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5.xml" ContentType="application/vnd.openxmlformats-officedocument.drawing+xml"/>
  <Override PartName="/xl/tables/table1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3.xml" ContentType="application/vnd.openxmlformats-officedocument.spreadsheetml.table+xml"/>
  <Override PartName="/xl/drawings/drawing6.xml" ContentType="application/vnd.openxmlformats-officedocument.drawing+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7.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8.xml" ContentType="application/vnd.openxmlformats-officedocument.drawing+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tables/table156.xml" ContentType="application/vnd.openxmlformats-officedocument.spreadsheetml.table+xml"/>
  <Override PartName="/xl/tables/table157.xml" ContentType="application/vnd.openxmlformats-officedocument.spreadsheetml.table+xml"/>
  <Override PartName="/xl/tables/table158.xml" ContentType="application/vnd.openxmlformats-officedocument.spreadsheetml.table+xml"/>
  <Override PartName="/xl/tables/table159.xml" ContentType="application/vnd.openxmlformats-officedocument.spreadsheetml.table+xml"/>
  <Override PartName="/xl/tables/table160.xml" ContentType="application/vnd.openxmlformats-officedocument.spreadsheetml.table+xml"/>
  <Override PartName="/xl/tables/table161.xml" ContentType="application/vnd.openxmlformats-officedocument.spreadsheetml.table+xml"/>
  <Override PartName="/xl/tables/table162.xml" ContentType="application/vnd.openxmlformats-officedocument.spreadsheetml.table+xml"/>
  <Override PartName="/xl/tables/table163.xml" ContentType="application/vnd.openxmlformats-officedocument.spreadsheetml.table+xml"/>
  <Override PartName="/xl/tables/table164.xml" ContentType="application/vnd.openxmlformats-officedocument.spreadsheetml.table+xml"/>
  <Override PartName="/xl/tables/table165.xml" ContentType="application/vnd.openxmlformats-officedocument.spreadsheetml.table+xml"/>
  <Override PartName="/xl/tables/table166.xml" ContentType="application/vnd.openxmlformats-officedocument.spreadsheetml.table+xml"/>
  <Override PartName="/xl/tables/table167.xml" ContentType="application/vnd.openxmlformats-officedocument.spreadsheetml.table+xml"/>
  <Override PartName="/xl/tables/table168.xml" ContentType="application/vnd.openxmlformats-officedocument.spreadsheetml.table+xml"/>
  <Override PartName="/xl/tables/table169.xml" ContentType="application/vnd.openxmlformats-officedocument.spreadsheetml.table+xml"/>
  <Override PartName="/xl/tables/table170.xml" ContentType="application/vnd.openxmlformats-officedocument.spreadsheetml.table+xml"/>
  <Override PartName="/xl/tables/table171.xml" ContentType="application/vnd.openxmlformats-officedocument.spreadsheetml.table+xml"/>
  <Override PartName="/xl/tables/table172.xml" ContentType="application/vnd.openxmlformats-officedocument.spreadsheetml.table+xml"/>
  <Override PartName="/xl/tables/table173.xml" ContentType="application/vnd.openxmlformats-officedocument.spreadsheetml.table+xml"/>
  <Override PartName="/xl/tables/table174.xml" ContentType="application/vnd.openxmlformats-officedocument.spreadsheetml.table+xml"/>
  <Override PartName="/xl/tables/table175.xml" ContentType="application/vnd.openxmlformats-officedocument.spreadsheetml.table+xml"/>
  <Override PartName="/xl/tables/table176.xml" ContentType="application/vnd.openxmlformats-officedocument.spreadsheetml.table+xml"/>
  <Override PartName="/xl/tables/table177.xml" ContentType="application/vnd.openxmlformats-officedocument.spreadsheetml.table+xml"/>
  <Override PartName="/xl/tables/table178.xml" ContentType="application/vnd.openxmlformats-officedocument.spreadsheetml.table+xml"/>
  <Override PartName="/xl/tables/table179.xml" ContentType="application/vnd.openxmlformats-officedocument.spreadsheetml.table+xml"/>
  <Override PartName="/xl/tables/table180.xml" ContentType="application/vnd.openxmlformats-officedocument.spreadsheetml.table+xml"/>
  <Override PartName="/xl/tables/table181.xml" ContentType="application/vnd.openxmlformats-officedocument.spreadsheetml.table+xml"/>
  <Override PartName="/xl/tables/table182.xml" ContentType="application/vnd.openxmlformats-officedocument.spreadsheetml.table+xml"/>
  <Override PartName="/xl/tables/table183.xml" ContentType="application/vnd.openxmlformats-officedocument.spreadsheetml.table+xml"/>
  <Override PartName="/xl/tables/table184.xml" ContentType="application/vnd.openxmlformats-officedocument.spreadsheetml.table+xml"/>
  <Override PartName="/xl/tables/table185.xml" ContentType="application/vnd.openxmlformats-officedocument.spreadsheetml.table+xml"/>
  <Override PartName="/xl/tables/table186.xml" ContentType="application/vnd.openxmlformats-officedocument.spreadsheetml.table+xml"/>
  <Override PartName="/xl/tables/table187.xml" ContentType="application/vnd.openxmlformats-officedocument.spreadsheetml.table+xml"/>
  <Override PartName="/xl/tables/table188.xml" ContentType="application/vnd.openxmlformats-officedocument.spreadsheetml.table+xml"/>
  <Override PartName="/xl/tables/table189.xml" ContentType="application/vnd.openxmlformats-officedocument.spreadsheetml.table+xml"/>
  <Override PartName="/xl/tables/table190.xml" ContentType="application/vnd.openxmlformats-officedocument.spreadsheetml.table+xml"/>
  <Override PartName="/xl/tables/table191.xml" ContentType="application/vnd.openxmlformats-officedocument.spreadsheetml.table+xml"/>
  <Override PartName="/xl/tables/table192.xml" ContentType="application/vnd.openxmlformats-officedocument.spreadsheetml.table+xml"/>
  <Override PartName="/xl/tables/table193.xml" ContentType="application/vnd.openxmlformats-officedocument.spreadsheetml.table+xml"/>
  <Override PartName="/xl/tables/table194.xml" ContentType="application/vnd.openxmlformats-officedocument.spreadsheetml.table+xml"/>
  <Override PartName="/xl/tables/table195.xml" ContentType="application/vnd.openxmlformats-officedocument.spreadsheetml.table+xml"/>
  <Override PartName="/xl/tables/table196.xml" ContentType="application/vnd.openxmlformats-officedocument.spreadsheetml.table+xml"/>
  <Override PartName="/xl/tables/table197.xml" ContentType="application/vnd.openxmlformats-officedocument.spreadsheetml.table+xml"/>
  <Override PartName="/xl/tables/table198.xml" ContentType="application/vnd.openxmlformats-officedocument.spreadsheetml.table+xml"/>
  <Override PartName="/xl/tables/table199.xml" ContentType="application/vnd.openxmlformats-officedocument.spreadsheetml.table+xml"/>
  <Override PartName="/xl/tables/table200.xml" ContentType="application/vnd.openxmlformats-officedocument.spreadsheetml.table+xml"/>
  <Override PartName="/xl/tables/table201.xml" ContentType="application/vnd.openxmlformats-officedocument.spreadsheetml.table+xml"/>
  <Override PartName="/xl/tables/table202.xml" ContentType="application/vnd.openxmlformats-officedocument.spreadsheetml.table+xml"/>
  <Override PartName="/xl/tables/table203.xml" ContentType="application/vnd.openxmlformats-officedocument.spreadsheetml.table+xml"/>
  <Override PartName="/xl/tables/table204.xml" ContentType="application/vnd.openxmlformats-officedocument.spreadsheetml.table+xml"/>
  <Override PartName="/xl/tables/table205.xml" ContentType="application/vnd.openxmlformats-officedocument.spreadsheetml.table+xml"/>
  <Override PartName="/xl/tables/table206.xml" ContentType="application/vnd.openxmlformats-officedocument.spreadsheetml.table+xml"/>
  <Override PartName="/xl/tables/table207.xml" ContentType="application/vnd.openxmlformats-officedocument.spreadsheetml.table+xml"/>
  <Override PartName="/xl/tables/table208.xml" ContentType="application/vnd.openxmlformats-officedocument.spreadsheetml.table+xml"/>
  <Override PartName="/xl/tables/table209.xml" ContentType="application/vnd.openxmlformats-officedocument.spreadsheetml.table+xml"/>
  <Override PartName="/xl/tables/table210.xml" ContentType="application/vnd.openxmlformats-officedocument.spreadsheetml.table+xml"/>
  <Override PartName="/xl/tables/table211.xml" ContentType="application/vnd.openxmlformats-officedocument.spreadsheetml.table+xml"/>
  <Override PartName="/xl/tables/table212.xml" ContentType="application/vnd.openxmlformats-officedocument.spreadsheetml.table+xml"/>
  <Override PartName="/xl/tables/table213.xml" ContentType="application/vnd.openxmlformats-officedocument.spreadsheetml.table+xml"/>
  <Override PartName="/xl/tables/table214.xml" ContentType="application/vnd.openxmlformats-officedocument.spreadsheetml.table+xml"/>
  <Override PartName="/xl/tables/table215.xml" ContentType="application/vnd.openxmlformats-officedocument.spreadsheetml.table+xml"/>
  <Override PartName="/xl/tables/table216.xml" ContentType="application/vnd.openxmlformats-officedocument.spreadsheetml.table+xml"/>
  <Override PartName="/xl/tables/table217.xml" ContentType="application/vnd.openxmlformats-officedocument.spreadsheetml.table+xml"/>
  <Override PartName="/xl/tables/table218.xml" ContentType="application/vnd.openxmlformats-officedocument.spreadsheetml.table+xml"/>
  <Override PartName="/xl/tables/table219.xml" ContentType="application/vnd.openxmlformats-officedocument.spreadsheetml.table+xml"/>
  <Override PartName="/xl/tables/table220.xml" ContentType="application/vnd.openxmlformats-officedocument.spreadsheetml.table+xml"/>
  <Override PartName="/xl/tables/table221.xml" ContentType="application/vnd.openxmlformats-officedocument.spreadsheetml.table+xml"/>
  <Override PartName="/xl/tables/table222.xml" ContentType="application/vnd.openxmlformats-officedocument.spreadsheetml.table+xml"/>
  <Override PartName="/xl/tables/table223.xml" ContentType="application/vnd.openxmlformats-officedocument.spreadsheetml.table+xml"/>
  <Override PartName="/xl/tables/table224.xml" ContentType="application/vnd.openxmlformats-officedocument.spreadsheetml.table+xml"/>
  <Override PartName="/xl/tables/table225.xml" ContentType="application/vnd.openxmlformats-officedocument.spreadsheetml.table+xml"/>
  <Override PartName="/xl/tables/table226.xml" ContentType="application/vnd.openxmlformats-officedocument.spreadsheetml.table+xml"/>
  <Override PartName="/xl/tables/table227.xml" ContentType="application/vnd.openxmlformats-officedocument.spreadsheetml.table+xml"/>
  <Override PartName="/xl/tables/table228.xml" ContentType="application/vnd.openxmlformats-officedocument.spreadsheetml.table+xml"/>
  <Override PartName="/xl/tables/table229.xml" ContentType="application/vnd.openxmlformats-officedocument.spreadsheetml.table+xml"/>
  <Override PartName="/xl/tables/table230.xml" ContentType="application/vnd.openxmlformats-officedocument.spreadsheetml.table+xml"/>
  <Override PartName="/xl/tables/table231.xml" ContentType="application/vnd.openxmlformats-officedocument.spreadsheetml.table+xml"/>
  <Override PartName="/xl/tables/table232.xml" ContentType="application/vnd.openxmlformats-officedocument.spreadsheetml.table+xml"/>
  <Override PartName="/xl/tables/table233.xml" ContentType="application/vnd.openxmlformats-officedocument.spreadsheetml.table+xml"/>
  <Override PartName="/xl/tables/table234.xml" ContentType="application/vnd.openxmlformats-officedocument.spreadsheetml.table+xml"/>
  <Override PartName="/xl/tables/table235.xml" ContentType="application/vnd.openxmlformats-officedocument.spreadsheetml.table+xml"/>
  <Override PartName="/xl/tables/table236.xml" ContentType="application/vnd.openxmlformats-officedocument.spreadsheetml.table+xml"/>
  <Override PartName="/xl/tables/table237.xml" ContentType="application/vnd.openxmlformats-officedocument.spreadsheetml.table+xml"/>
  <Override PartName="/xl/tables/table238.xml" ContentType="application/vnd.openxmlformats-officedocument.spreadsheetml.table+xml"/>
  <Override PartName="/xl/tables/table239.xml" ContentType="application/vnd.openxmlformats-officedocument.spreadsheetml.table+xml"/>
  <Override PartName="/xl/tables/table240.xml" ContentType="application/vnd.openxmlformats-officedocument.spreadsheetml.table+xml"/>
  <Override PartName="/xl/tables/table241.xml" ContentType="application/vnd.openxmlformats-officedocument.spreadsheetml.table+xml"/>
  <Override PartName="/xl/tables/table242.xml" ContentType="application/vnd.openxmlformats-officedocument.spreadsheetml.table+xml"/>
  <Override PartName="/xl/tables/table243.xml" ContentType="application/vnd.openxmlformats-officedocument.spreadsheetml.table+xml"/>
  <Override PartName="/xl/tables/table244.xml" ContentType="application/vnd.openxmlformats-officedocument.spreadsheetml.table+xml"/>
  <Override PartName="/xl/tables/table245.xml" ContentType="application/vnd.openxmlformats-officedocument.spreadsheetml.table+xml"/>
  <Override PartName="/xl/tables/table246.xml" ContentType="application/vnd.openxmlformats-officedocument.spreadsheetml.table+xml"/>
  <Override PartName="/xl/tables/table247.xml" ContentType="application/vnd.openxmlformats-officedocument.spreadsheetml.table+xml"/>
  <Override PartName="/xl/tables/table248.xml" ContentType="application/vnd.openxmlformats-officedocument.spreadsheetml.table+xml"/>
  <Override PartName="/xl/tables/table249.xml" ContentType="application/vnd.openxmlformats-officedocument.spreadsheetml.table+xml"/>
  <Override PartName="/xl/tables/table250.xml" ContentType="application/vnd.openxmlformats-officedocument.spreadsheetml.table+xml"/>
  <Override PartName="/xl/tables/table251.xml" ContentType="application/vnd.openxmlformats-officedocument.spreadsheetml.table+xml"/>
  <Override PartName="/xl/tables/table252.xml" ContentType="application/vnd.openxmlformats-officedocument.spreadsheetml.table+xml"/>
  <Override PartName="/xl/tables/table253.xml" ContentType="application/vnd.openxmlformats-officedocument.spreadsheetml.table+xml"/>
  <Override PartName="/xl/tables/table254.xml" ContentType="application/vnd.openxmlformats-officedocument.spreadsheetml.table+xml"/>
  <Override PartName="/xl/tables/table255.xml" ContentType="application/vnd.openxmlformats-officedocument.spreadsheetml.table+xml"/>
  <Override PartName="/xl/tables/table256.xml" ContentType="application/vnd.openxmlformats-officedocument.spreadsheetml.table+xml"/>
  <Override PartName="/xl/tables/table257.xml" ContentType="application/vnd.openxmlformats-officedocument.spreadsheetml.table+xml"/>
  <Override PartName="/xl/tables/table258.xml" ContentType="application/vnd.openxmlformats-officedocument.spreadsheetml.table+xml"/>
  <Override PartName="/xl/tables/table259.xml" ContentType="application/vnd.openxmlformats-officedocument.spreadsheetml.table+xml"/>
  <Override PartName="/xl/tables/table260.xml" ContentType="application/vnd.openxmlformats-officedocument.spreadsheetml.table+xml"/>
  <Override PartName="/xl/tables/table261.xml" ContentType="application/vnd.openxmlformats-officedocument.spreadsheetml.table+xml"/>
  <Override PartName="/xl/tables/table262.xml" ContentType="application/vnd.openxmlformats-officedocument.spreadsheetml.table+xml"/>
  <Override PartName="/xl/tables/table263.xml" ContentType="application/vnd.openxmlformats-officedocument.spreadsheetml.table+xml"/>
  <Override PartName="/xl/tables/table264.xml" ContentType="application/vnd.openxmlformats-officedocument.spreadsheetml.table+xml"/>
  <Override PartName="/xl/tables/table265.xml" ContentType="application/vnd.openxmlformats-officedocument.spreadsheetml.table+xml"/>
  <Override PartName="/xl/tables/table266.xml" ContentType="application/vnd.openxmlformats-officedocument.spreadsheetml.table+xml"/>
  <Override PartName="/xl/tables/table267.xml" ContentType="application/vnd.openxmlformats-officedocument.spreadsheetml.table+xml"/>
  <Override PartName="/xl/tables/table268.xml" ContentType="application/vnd.openxmlformats-officedocument.spreadsheetml.table+xml"/>
  <Override PartName="/xl/tables/table269.xml" ContentType="application/vnd.openxmlformats-officedocument.spreadsheetml.table+xml"/>
  <Override PartName="/xl/tables/table270.xml" ContentType="application/vnd.openxmlformats-officedocument.spreadsheetml.table+xml"/>
  <Override PartName="/xl/tables/table271.xml" ContentType="application/vnd.openxmlformats-officedocument.spreadsheetml.table+xml"/>
  <Override PartName="/xl/tables/table272.xml" ContentType="application/vnd.openxmlformats-officedocument.spreadsheetml.table+xml"/>
  <Override PartName="/xl/tables/table273.xml" ContentType="application/vnd.openxmlformats-officedocument.spreadsheetml.table+xml"/>
  <Override PartName="/xl/tables/table274.xml" ContentType="application/vnd.openxmlformats-officedocument.spreadsheetml.table+xml"/>
  <Override PartName="/xl/tables/table275.xml" ContentType="application/vnd.openxmlformats-officedocument.spreadsheetml.table+xml"/>
  <Override PartName="/xl/tables/table27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2007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customUI2010RelID"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showInkAnnotation="0" codeName="Множество"/>
  <mc:AlternateContent xmlns:mc="http://schemas.openxmlformats.org/markup-compatibility/2006">
    <mc:Choice Requires="x15">
      <x15ac:absPath xmlns:x15ac="http://schemas.microsoft.com/office/spreadsheetml/2010/11/ac" url="C:\5_VBA_экспертная система\Source\"/>
    </mc:Choice>
  </mc:AlternateContent>
  <xr:revisionPtr revIDLastSave="0" documentId="13_ncr:1_{8BC60B3B-7ED4-4CC5-AD37-F3290A368712}" xr6:coauthVersionLast="47" xr6:coauthVersionMax="47" xr10:uidLastSave="{00000000-0000-0000-0000-000000000000}"/>
  <bookViews>
    <workbookView xWindow="-19320" yWindow="-120" windowWidth="19440" windowHeight="15150" tabRatio="636" firstSheet="5" activeTab="6" xr2:uid="{00000000-000D-0000-FFFF-FFFF00000000}"/>
  </bookViews>
  <sheets>
    <sheet name="Содержание" sheetId="1" state="hidden" r:id="rId1"/>
    <sheet name="Чувствительность" sheetId="111" state="hidden" r:id="rId2"/>
    <sheet name="Чувствительность (мини)" sheetId="13" state="hidden" r:id="rId3"/>
    <sheet name="Чувчтвительность 2" sheetId="89" state="hidden" r:id="rId4"/>
    <sheet name="Множество" sheetId="15" r:id="rId5"/>
    <sheet name="Множество_202208012240571257" sheetId="123" r:id="rId6"/>
    <sheet name="Множество_202207112140401240" sheetId="122" r:id="rId7"/>
    <sheet name="Почетный результат изъёбов 1" sheetId="116" state="hidden" r:id="rId8"/>
    <sheet name="Модель" sheetId="8" r:id="rId9"/>
    <sheet name="Лист1" sheetId="112" r:id="rId10"/>
    <sheet name="Подбор 2" sheetId="41" r:id="rId11"/>
    <sheet name="Перебор_2_20170709140117" sheetId="109" state="hidden" r:id="rId12"/>
    <sheet name="123" sheetId="98" state="hidden" r:id="rId13"/>
    <sheet name="Модель - Формы" sheetId="88" state="hidden" r:id="rId14"/>
    <sheet name="Перебор" sheetId="10" state="hidden" r:id="rId15"/>
    <sheet name="Лист9" sheetId="9" state="hidden" r:id="rId16"/>
    <sheet name="F0" sheetId="2" state="hidden" r:id="rId17"/>
    <sheet name="F1" sheetId="3" state="hidden" r:id="rId18"/>
    <sheet name="F2" sheetId="4" state="hidden" r:id="rId19"/>
    <sheet name="F3" sheetId="5" state="hidden" r:id="rId20"/>
    <sheet name="F4" sheetId="6" state="hidden" r:id="rId21"/>
    <sheet name="F5" sheetId="7" state="hidden" r:id="rId22"/>
  </sheets>
  <functionGroups builtInGroupCount="19"/>
  <externalReferences>
    <externalReference r:id="rId23"/>
  </externalReferences>
  <definedNames>
    <definedName name="COLUMNRIGHT" localSheetId="13">IF('Модель - Формы'!A2="F0",INDIRECT("П_Бок_F0[Бок_F0]"), IF('Модель - Формы'!A2="F1",INDIRECT("П_Бок_F1[Бок_F1]"), IF('Модель - Формы'!A2="F2",INDIRECT("П_Бок_F2[Бок_F2]"), IF('Модель - Формы'!A2="F3",INDIRECT("П_Бок_F3[Бок_F3]"), IF('Модель - Формы'!A2="F4",INDIRECT("П_Бок_F4[Бок_F4]"), IF('Модель - Формы'!A2="F5",INDIRECT("П_Бок_F5[Бок_F5]"),))))))</definedName>
    <definedName name="COLUMNRIGHT" comment="Упраление списком для правых вертикальных ячеек" localSheetId="1">IF(Модель!A2="F0",INDIRECT("П_Бок_F0[Бок_F0]"), IF(Модель!A2="F1",INDIRECT("П_Бок_F1[Бок_F1]"), IF(Модель!A2="F2",INDIRECT("П_Бок_F2[Бок_F2]"), IF(Модель!A2="F3",INDIRECT("П_Бок_F3[Бок_F3]"), IF(Модель!A2="F4",INDIRECT("П_Бок_F4[Бок_F4]"), IF(Модель!A2="F5",INDIRECT("П_Бок_F5[Бок_F5]"),))))))</definedName>
    <definedName name="COLUMNRIGHT" comment="Упраление списком для правых вертикальных ячеек">IF(Модель!A2="F0",INDIRECT("П_Бок_F0[Бок_F0]"), IF(Модель!A2="F1",INDIRECT("П_Бок_F1[Бок_F1]"), IF(Модель!A2="F2",INDIRECT("П_Бок_F2[Бок_F2]"), IF(Модель!A2="F3",INDIRECT("П_Бок_F3[Бок_F3]"), IF(Модель!A2="F4",INDIRECT("П_Бок_F4[Бок_F4]"), IF(Модель!A2="F5",INDIRECT("П_Бок_F5[Бок_F5]"),))))))</definedName>
    <definedName name="COLUMNRIGHT_1" localSheetId="13">IF('Модель - Формы'!A2="F0",INDIRECT("П_Бок_F0[Бок_F0]"),       IF('Модель - Формы'!A2="F1",INDIRECT("П_Бок_F1[Бок_F1]"),             IF('Модель - Формы'!A2="F2",INDIRECT("П_Бок_F2[Бок_F2]"),                   IF('Модель - Формы'!A2="F3",INDIRECT("П_Бок_F3[Бок_F3]"),                         IF('Модель - Формы'!A2="F4",INDIRECT("П_Бок_F4[Бок_F4]"),                               IF('Модель - Формы'!A2="F5",                                   IF('Модель - Формы'!A3="F5",INDIRECT("П_Бок_F5_5[Бок_F5_5]"),INDIRECT("П_Бок_F5[Бок_F5]")),))))))</definedName>
    <definedName name="COLUMNRIGHT_1" localSheetId="1">IF(Модель!A2="F0",INDIRECT("П_Бок_F0[Бок_F0]"),       IF(Модель!A2="F1",INDIRECT("П_Бок_F1[Бок_F1]"),             IF(Модель!A2="F2",INDIRECT("П_Бок_F2[Бок_F2]"),                   IF(Модель!A2="F3",INDIRECT("П_Бок_F3[Бок_F3]"),                         IF(Модель!A2="F4",INDIRECT("П_Бок_F4[Бок_F4]"),                               IF(Модель!A2="F5",                                   IF(Модель!A3="F5",INDIRECT("П_Бок_F5_5[Бок_F5_5]"),INDIRECT("П_Бок_F5[Бок_F5]")),))))))</definedName>
    <definedName name="COLUMNRIGHT_1">IF(Модель!A2="F0",INDIRECT("П_Бок_F0[Бок_F0]"),       IF(Модель!A2="F1",INDIRECT("П_Бок_F1[Бок_F1]"),             IF(Модель!A2="F2",INDIRECT("П_Бок_F2[Бок_F2]"),                   IF(Модель!A2="F3",INDIRECT("П_Бок_F3[Бок_F3]"),                         IF(Модель!A2="F4",INDIRECT("П_Бок_F4[Бок_F4]"),                               IF(Модель!A2="F5",                                   IF(Модель!A3="F5",INDIRECT("П_Бок_F5_5[Бок_F5_5]"),INDIRECT("П_Бок_F5[Бок_F5]")),))))))</definedName>
    <definedName name="EVA">EVALUATE(#REF!)</definedName>
    <definedName name="kach_1" localSheetId="13">IF('Модель - Формы'!A1048576="Прямая",1,IF('Модель - Формы'!A1048576="Обратная",4,IF('Модель - Формы'!A1048576="Опт. в макс.",1,IF('Модель - Формы'!A1048576="Опт. в мин.",4,))))</definedName>
    <definedName name="kach_1" localSheetId="1">IF(Модель!A1048576="Прямая",1,IF(Модель!A1048576="Обратная",4,IF(Модель!A1048576="Опт. в макс.",1,IF(Модель!A1048576="Опт. в мин.",4,))))</definedName>
    <definedName name="kach_1">IF(Модель!A1048576="Прямая",1,IF(Модель!A1048576="Обратная",4,IF(Модель!A1048576="Опт. в макс.",1,IF(Модель!A1048576="Опт. в мин.",4,))))</definedName>
    <definedName name="kach_2" localSheetId="13">IF(AND('Модель - Формы'!XFD1=4,'Модель - Формы'!B1=4),1,IF(AND('Модель - Формы'!XFD1=1,'Модель - Формы'!B1=1),4,(ABS('Модель - Формы'!B1-'Модель - Формы'!XFD1))/2+1))</definedName>
    <definedName name="kach_2" localSheetId="1">IF(AND(Модель!XFD1=4,Модель!B1=4),1,IF(AND(Модель!XFD1=1,Модель!B1=1),4,(ABS(Модель!B1-Модель!XFD1))/2+1))</definedName>
    <definedName name="kach_2">IF(AND(Модель!XFD1=4,Модель!B1=4),1,IF(AND(Модель!XFD1=1,Модель!B1=1),4,(ABS(Модель!B1-Модель!XFD1))/2+1))</definedName>
    <definedName name="kach_3" localSheetId="13">IF('Модель - Формы'!XFC1048576="Прямая",4,IF('Модель - Формы'!XFC1048576="Обратная",1,IF('Модель - Формы'!XFC1048576="Опт. в макс.",1,IF('Модель - Формы'!XFC1048576="Опт. в мин.",4,))))</definedName>
    <definedName name="kach_3" localSheetId="1">IF(Модель!XFC1048576="Прямая",4,IF(Модель!XFC1048576="Обратная",1,IF(Модель!XFC1048576="Опт. в макс.",1,IF(Модель!XFC1048576="Опт. в мин.",4,))))</definedName>
    <definedName name="kach_3">IF(Модель!XFC1048576="Прямая",4,IF(Модель!XFC1048576="Обратная",1,IF(Модель!XFC1048576="Опт. в макс.",1,IF(Модель!XFC1048576="Опт. в мин.",4,))))</definedName>
    <definedName name="Max_1">IF(INDIRECT("R[-1]C[-2]",FALSE)="Прямая",4,IF(INDIRECT("R[-1]C[-2]",FALSE)="Обратная",1,IF(INDIRECT("R[-1]C[-2]",FALSE)="Опт. в макс.",1,IF(INDIRECT("R[-1]C[-2]",FALSE)="Опт. в мин.",4,))))</definedName>
    <definedName name="Mid_1">IF(AND(INDIRECT("RC[-1]",FALSE)=4,INDIRECT("RC[1]",FALSE)=4),1,IF(AND(INDIRECT("RC[-1]",FALSE)=1,INDIRECT("RC[1]",FALSE)=1),4,(ABS(INDIRECT("RC[1]",FALSE)-INDIRECT("RC[-1]",FALSE)))/2+1))</definedName>
    <definedName name="Min_1">IF(INDIRECT("R[-1]C",FALSE)="Прямая",1,IF(INDIRECT("R[-1]C",FALSE)="Обратная",4,IF(INDIRECT("R[-1]C",FALSE)="Опт. в макс.",1,IF(INDIRECT("R[-1]C",FALSE)="Опт. в мин.",4,))))</definedName>
    <definedName name="ROWDOWN" localSheetId="13">IF('Модель - Формы'!B1="F0",INDIRECT("П_Низ_F0[Низ_F0]"), IF('Модель - Формы'!B1="F1",INDIRECT("П_Низ_F1[Низ_F1]"), IF('Модель - Формы'!B1="F2",INDIRECT("П_Низ_F2[Низ_F2]"), IF('Модель - Формы'!B1="F3",INDIRECT("П_Низ_F3[Низ_F3]"), IF('Модель - Формы'!B1="F4",INDIRECT("П_Низ_F4[Низ_F4]"), IF('Модель - Формы'!B1="F5",INDIRECT("П_Низ_F5[Низ_F5]"),))))))</definedName>
    <definedName name="ROWDOWN" comment="Упраление списком для нижних горизонтальных ячеек" localSheetId="1">IF(Модель!B1="F0",INDIRECT("П_Низ_F0[Низ_F0]"), IF(Модель!B1="F1",INDIRECT("П_Низ_F1[Низ_F1]"), IF(Модель!B1="F2",INDIRECT("П_Низ_F2[Низ_F2]"), IF(Модель!B1="F3",INDIRECT("П_Низ_F3[Низ_F3]"), IF(Модель!B1="F4",INDIRECT("П_Низ_F4[Низ_F4]"), IF(Модель!B1="F5",INDIRECT("П_Низ_F5[Низ_F5]"),))))))</definedName>
    <definedName name="ROWDOWN" comment="Упраление списком для нижних горизонтальных ячеек">IF(Модель!B1="F0",INDIRECT("П_Низ_F0[Низ_F0]"), IF(Модель!B1="F1",INDIRECT("П_Низ_F1[Низ_F1]"), IF(Модель!B1="F2",INDIRECT("П_Низ_F2[Низ_F2]"), IF(Модель!B1="F3",INDIRECT("П_Низ_F3[Низ_F3]"), IF(Модель!B1="F4",INDIRECT("П_Низ_F4[Низ_F4]"), IF(Модель!B1="F5",INDIRECT("П_Низ_F5[Низ_F5]"),))))))</definedName>
    <definedName name="ROWDOWN_1" localSheetId="13">IF('Модель - Формы'!B1="F0",INDIRECT("П_Низ_F0[Низ_F0]"),        IF('Модель - Формы'!B1="F1",INDIRECT("П_Низ_F1[Низ_F1]"),             IF('Модель - Формы'!B1="F2",INDIRECT("П_Низ_F2[Низ_F2]"),                   IF('Модель - Формы'!B1="F3",INDIRECT("П_Низ_F3[Низ_F3]"),                         IF('Модель - Формы'!B1="F4",INDIRECT("П_Низ_F4[Низ_F4]"),                               IF('Модель - Формы'!B1="F5",                                   IF('Модель - Формы'!C1="F5",INDIRECT("П_Низ_F5_5[Низ_F5_5]"),INDIRECT("П_Низ_F5[Низ_F5]")),))))))</definedName>
    <definedName name="ROWDOWN_1" localSheetId="1">IF(Модель!B1="F0",INDIRECT("П_Низ_F0[Низ_F0]"),        IF(Модель!B1="F1",INDIRECT("П_Низ_F1[Низ_F1]"),             IF(Модель!B1="F2",INDIRECT("П_Низ_F2[Низ_F2]"),                   IF(Модель!B1="F3",INDIRECT("П_Низ_F3[Низ_F3]"),                         IF(Модель!B1="F4",INDIRECT("П_Низ_F4[Низ_F4]"),                               IF(Модель!B1="F5",                                   IF(Модель!C1="F5",INDIRECT("П_Низ_F5_5[Низ_F5_5]"),INDIRECT("П_Низ_F5[Низ_F5]")),))))))</definedName>
    <definedName name="ROWDOWN_1">IF(Модель!B1="F0",INDIRECT("П_Низ_F0[Низ_F0]"),        IF(Модель!B1="F1",INDIRECT("П_Низ_F1[Низ_F1]"),             IF(Модель!B1="F2",INDIRECT("П_Низ_F2[Низ_F2]"),                   IF(Модель!B1="F3",INDIRECT("П_Низ_F3[Низ_F3]"),                         IF(Модель!B1="F4",INDIRECT("П_Низ_F4[Низ_F4]"),                               IF(Модель!B1="F5",                                   IF(Модель!C1="F5",INDIRECT("П_Низ_F5_5[Низ_F5_5]"),INDIRECT("П_Низ_F5[Низ_F5]")),))))))</definedName>
    <definedName name="UPLEFT" localSheetId="4">IF(OR(AND(Модель!A2="F0",OR(Модель!B1="F0",Модель!B1="F2",Модель!B1="F4")),AND(Модель!A2="F3",OR(Модель!B1="F0",Модель!B1="F2",Модель!B1="F4")),AND(Модель!A2="F4",OR(Модель!B1="F0",Модель!B1="F2",Модель!B1="F4")),),IF((VLOOKUP(Модель!B2,Длт[],4,FALSE)+VLOOKUP(Модель!C2,Длт[],3,FALSE))&gt;=3,INDIRECT("П_В_F0_F0т0[В_F0_F0т0]"),IF((VLOOKUP(Модель!B2,Длт[],4,FALSE)+VLOOKUP(Модель!C2,Длт[],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4,FALSE)+VLOOKUP(Модель!C2,Длт[],3,FALSE))&gt;=3,INDIRECT("П_В_F0_F1т0[В_F0_F1т0]"),IF((VLOOKUP(Модель!B2,Длт[],4,FALSE)+VLOOKUP(Модель!C2,Длт[],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C2,Длт[],3,FALSE))&gt;=3,INDIRECT("П_В_F1_F0т0[В_F1_F0т0]"),IF((VLOOKUP(Модель!B2,Длт[],4,FALSE)+VLOOKUP(Модель!C2,Длт[],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C2,Длт[],3,FALSE))&gt;=3,INDIRECT("П_В_F1_F1т0[В_F1_F1т0]"),IF((VLOOKUP(Модель!B2,Длт[],4,FALSE)+VLOOKUP(Модель!C2,Длт[],3,FALSE))&gt;=2,INDIRECT("П_В_F1_F1_5[В_F1_F1_5]"),INDIRECT("П_В_F1_F1[В_F1_F1]"))),))))</definedName>
    <definedName name="UPLEFT" localSheetId="13">IF(OR(AND('Модель - Формы'!A2="F0",OR('Модель - Формы'!B1="F0",'Модель - Формы'!B1="F2",'Модель - Формы'!B1="F4")),AND('Модель - Формы'!A2="F3",OR('Модель - Формы'!B1="F0",'Модель - Формы'!B1="F2",'Модель - Формы'!B1="F4")),AND('Модель - Формы'!A2="F4",OR('Модель - Формы'!B1="F0",'Модель - Формы'!B1="F2",'Модель - Формы'!B1="F4")),),IF((VLOOKUP('Модель - Формы'!B2,Длт[],4,FALSE)+VLOOKUP('Модель - Формы'!C2,Длт[],3,FALSE))&gt;=3,INDIRECT("П_В_F0_F0т0[В_F0_F0т0]"),IF((VLOOKUP('Модель - Формы'!B2,Длт[],4,FALSE)+VLOOKUP('Модель - Формы'!C2,Длт[],3,FALSE))&gt;=2,INDIRECT("П_В_F0_F0_5[В_F0_F0_5]"),INDIRECT("П_В_F0_F0[В_F0_F0]"))), IF(OR(AND('Модель - Формы'!A2="F0",OR('Модель - Формы'!B1="F1",'Модель - Формы'!B1="F3",'Модель - Формы'!B1="F5")),AND('Модель - Формы'!A2="F3",OR('Модель - Формы'!B1="F1",'Модель - Формы'!B1="F3",'Модель - Формы'!B1="F5")),AND('Модель - Формы'!A2="F4",OR('Модель - Формы'!B1="F1",'Модель - Формы'!B1="F3",'Модель - Формы'!B1="F5")),),IF((VLOOKUP('Модель - Формы'!B2,Длт[],4,FALSE)+VLOOKUP('Модель - Формы'!C2,Длт[],3,FALSE))&gt;=3,INDIRECT("П_В_F0_F1т0[В_F0_F1т0]"),IF((VLOOKUP('Модель - Формы'!B2,Длт[],4,FALSE)+VLOOKUP('Модель - Формы'!C2,Длт[],3,FALSE))&gt;=2,INDIRECT("П_В_F0_F1_5[В_F0_F1_5]"),INDIRECT("П_В_F0_F1[В_F0_F1]"))),IF(OR(AND('Модель - Формы'!A2="F1",OR('Модель - Формы'!B1="F0",'Модель - Формы'!B1="F2",'Модель - Формы'!B1="F4")),AND('Модель - Формы'!A2="F2",OR('Модель - Формы'!B1="F0",'Модель - Формы'!B1="F2",'Модель - Формы'!B1="F4")),AND('Модель - Формы'!A2="F5",OR('Модель - Формы'!B1="F0",'Модель - Формы'!B1="F2",'Модель - Формы'!B1="F4")),),IF((VLOOKUP('Модель - Формы'!B2,Длт[],4,FALSE)+VLOOKUP('Модель - Формы'!C2,Длт[],3,FALSE))&gt;=3,INDIRECT("П_В_F1_F0т0[В_F1_F0т0]"),IF((VLOOKUP('Модель - Формы'!B2,Длт[],4,FALSE)+VLOOKUP('Модель - Формы'!C2,Длт[],3,FALSE))&gt;=2,INDIRECT("П_В_F1_F0_5[В_F1_F0_5]"),INDIRECT("П_В_F1_F0[В_F1_F0]"))),IF(OR(AND('Модель - Формы'!A2="F1",OR('Модель - Формы'!B1="F1",'Модель - Формы'!B1="F3",'Модель - Формы'!B1="F5")),AND('Модель - Формы'!A2="F2",OR('Модель - Формы'!B1="F1",'Модель - Формы'!B1="F3",'Модель - Формы'!B1="F5")),AND('Модель - Формы'!A2="F5",OR('Модель - Формы'!B1="F1",'Модель - Формы'!B1="F3",'Модель - Формы'!B1="F5")),),IF((VLOOKUP('Модель - Формы'!B2,Длт[],4,FALSE)+VLOOKUP('Модель - Формы'!C2,Длт[],3,FALSE))&gt;=3,INDIRECT("П_В_F1_F1т0[В_F1_F1т0]"),IF((VLOOKUP('Модель - Формы'!B2,Длт[],4,FALSE)+VLOOKUP('Модель - Формы'!C2,Длт[],3,FALSE))&gt;=2,INDIRECT("П_В_F1_F1_5[В_F1_F1_5]"),INDIRECT("П_В_F1_F1[В_F1_F1]"))),))))</definedName>
    <definedName name="UPLEFT" localSheetId="1">IF(OR(AND(Модель!A2="F0",OR(Модель!B1="F0",Модель!B1="F2",Модель!B1="F4")),AND(Модель!A2="F3",OR(Модель!B1="F0",Модель!B1="F2",Модель!B1="F4")),AND(Модель!A2="F4",OR(Модель!B1="F0",Модель!B1="F2",Модель!B1="F4")),),IF((VLOOKUP(Модель!B2,Длт[#Data],4,FALSE)+VLOOKUP(Модель!C2,Длт[#Data],3,FALSE))&gt;=3,INDIRECT("П_В_F0_F0т0[В_F0_F0т0]"),IF((VLOOKUP(Модель!B2,Длт[#Data],4,FALSE)+VLOOKUP(Модель!C2,Длт[#Data],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Data],4,FALSE)+VLOOKUP(Модель!C2,Длт[#Data],3,FALSE))&gt;=3,INDIRECT("П_В_F0_F1т0[В_F0_F1т0]"),IF((VLOOKUP(Модель!B2,Длт[#Data],4,FALSE)+VLOOKUP(Модель!C2,Длт[#Data],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Data],4,FALSE)+VLOOKUP(Модель!C2,Длт[#Data],3,FALSE))&gt;=3,INDIRECT("П_В_F1_F0т0[В_F1_F0т0]"),IF((VLOOKUP(Модель!B2,Длт[#Data],4,FALSE)+VLOOKUP(Модель!C2,Длт[#Data],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Data],4,FALSE)+VLOOKUP(Модель!C2,Длт[#Data],3,FALSE))&gt;=3,INDIRECT("П_В_F1_F1т0[В_F1_F1т0]"),IF((VLOOKUP(Модель!B2,Длт[#Data],4,FALSE)+VLOOKUP(Модель!C2,Длт[#Data],3,FALSE))&gt;=2,INDIRECT("П_В_F1_F1_5[В_F1_F1_5]"),INDIRECT("П_В_F1_F1[В_F1_F1]"))),))))</definedName>
    <definedName name="UPLEFT" localSheetId="2">IF(OR(AND(Модель!A2="F0",OR(Модель!B1="F0",Модель!B1="F2",Модель!B1="F4")),AND(Модель!A2="F3",OR(Модель!B1="F0",Модель!B1="F2",Модель!B1="F4")),AND(Модель!A2="F4",OR(Модель!B1="F0",Модель!B1="F2",Модель!B1="F4")),),IF((VLOOKUP(Модель!B2,Длт[],4,FALSE)+VLOOKUP(Модель!C2,Длт[],3,FALSE))&gt;=3,INDIRECT("П_В_F0_F0т0[В_F0_F0т0]"),IF((VLOOKUP(Модель!B2,Длт[],4,FALSE)+VLOOKUP(Модель!C2,Длт[],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4,FALSE)+VLOOKUP(Модель!C2,Длт[],3,FALSE))&gt;=3,INDIRECT("П_В_F0_F1т0[В_F0_F1т0]"),IF((VLOOKUP(Модель!B2,Длт[],4,FALSE)+VLOOKUP(Модель!C2,Длт[],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C2,Длт[],3,FALSE))&gt;=3,INDIRECT("П_В_F1_F0т0[В_F1_F0т0]"),IF((VLOOKUP(Модель!B2,Длт[],4,FALSE)+VLOOKUP(Модель!C2,Длт[],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C2,Длт[],3,FALSE))&gt;=3,INDIRECT("П_В_F1_F1т0[В_F1_F1т0]"),IF((VLOOKUP(Модель!B2,Длт[],4,FALSE)+VLOOKUP(Модель!C2,Длт[],3,FALSE))&gt;=2,INDIRECT("П_В_F1_F1_5[В_F1_F1_5]"),INDIRECT("П_В_F1_F1[В_F1_F1]"))),))))</definedName>
    <definedName name="UPLEFT">IF(OR(AND(Модель!A2="F0",OR(Модель!B1="F0",Модель!B1="F2",Модель!B1="F4")),AND(Модель!A2="F3",OR(Модель!B1="F0",Модель!B1="F2",Модель!B1="F4")),AND(Модель!A2="F4",OR(Модель!B1="F0",Модель!B1="F2",Модель!B1="F4")),),IF((VLOOKUP(Модель!B2,Длт[],4,FALSE)+VLOOKUP(Модель!C2,Длт[],3,FALSE))&gt;=3,INDIRECT("П_В_F0_F0т0[В_F0_F0т0]"),IF((VLOOKUP(Модель!B2,Длт[],4,FALSE)+VLOOKUP(Модель!C2,Длт[],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4,FALSE)+VLOOKUP(Модель!C2,Длт[],3,FALSE))&gt;=3,INDIRECT("П_В_F0_F1т0[В_F0_F1т0]"),IF((VLOOKUP(Модель!B2,Длт[],4,FALSE)+VLOOKUP(Модель!C2,Длт[],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C2,Длт[],3,FALSE))&gt;=3,INDIRECT("П_В_F1_F0т0[В_F1_F0т0]"),IF((VLOOKUP(Модель!B2,Длт[],4,FALSE)+VLOOKUP(Модель!C2,Длт[],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C2,Длт[],3,FALSE))&gt;=3,INDIRECT("П_В_F1_F1т0[В_F1_F1т0]"),IF((VLOOKUP(Модель!B2,Длт[],4,FALSE)+VLOOKUP(Модель!C2,Длт[],3,FALSE))&gt;=2,INDIRECT("П_В_F1_F1_5[В_F1_F1_5]"),INDIRECT("П_В_F1_F1[В_F1_F1]"))),))))</definedName>
    <definedName name="UPMAIN_1" localSheetId="13">IF(OR(AND('Модель - Формы'!A2="F0",'Модель - Формы'!B1="F0"),AND('Модель - Формы'!A2="F0",'Модель - Формы'!B1="F2"),AND('Модель - Формы'!A2="F0",'Модель - Формы'!B1="F4"),AND('Модель - Формы'!A2="F3",'Модель - Формы'!B1="F0"),AND('Модель - Формы'!A2="F3",'Модель - Формы'!B1="F2"),AND('Модель - Формы'!A2="F3",'Модель - Формы'!B1="F4"),AND('Модель - Формы'!A2="F4",'Модель - Формы'!B1="F0"),AND('Модель - Формы'!A2="F4",'Модель - Формы'!B1="F2"),AND('Модель - Формы'!A2="F4",'Модель - Формы'!B1="F4")),IF('Модель - Формы'!B2="F0",INDIRECT("П_В_F0_F0_0[В_F0_F0_0]"),IF('Модель - Формы'!B2="F5",INDIRECT("П_В_F0_F0_5[В_F0_F0_5]"),INDIRECT("П_В_F0_F0[В_F0_F0]"))),IF(OR(AND('Модель - Формы'!A2="F0",'Модель - Формы'!B1="F1"),AND('Модель - Формы'!A2="F0",'Модель - Формы'!B1="F3"),AND('Модель - Формы'!A2="F0",'Модель - Формы'!B1="F5"),AND('Модель - Формы'!A2="F3",'Модель - Формы'!B1="F1"),AND('Модель - Формы'!A2="F3",'Модель - Формы'!B1="F3"),AND('Модель - Формы'!A2="F3",'Модель - Формы'!B1="F5"),AND('Модель - Формы'!A2="F4",'Модель - Формы'!B1="F1"),AND('Модель - Формы'!A2="F4",'Модель - Формы'!B1="F3"),AND('Модель - Формы'!A2="F4",'Модель - Формы'!B1="F5")),IF('Модель - Формы'!B2="F0",INDIRECT("П_В_F0_F1_0[В_F0_F1_0]"),IF('Модель - Формы'!B2="F5",INDIRECT("П_В_F0_F1_5[В_F0_F1_5]"),INDIRECT("П_В_F0_F1[В_F0_F1]"))),IF(OR(AND('Модель - Формы'!A2="F1",'Модель - Формы'!B1="F0"),AND('Модель - Формы'!A2="F1",'Модель - Формы'!B1="F2"),AND('Модель - Формы'!A2="F1",'Модель - Формы'!B1="F4"),AND('Модель - Формы'!A2="F2",'Модель - Формы'!B1="F0"),AND('Модель - Формы'!A2="F2",'Модель - Формы'!B1="F2"),AND('Модель - Формы'!A2="F2",'Модель - Формы'!B1="F4"),AND('Модель - Формы'!A2="F5",'Модель - Формы'!B1="F0"),AND('Модель - Формы'!A2="F5",'Модель - Формы'!B1="F2"),AND('Модель - Формы'!A2="F5",'Модель - Формы'!B1="F4")),IF('Модель - Формы'!B2="F0",INDIRECT("П_В_F1_F0_0[В_F1_F0_0]"),IF('Модель - Формы'!B2="F5",INDIRECT("П_В_F1_F0_5[В_F1_F0_5]"),INDIRECT("П_В_F1_F0[В_F1_F0]"))),IF(OR(AND('Модель - Формы'!A2="F1",'Модель - Формы'!B1="F1"),AND('Модель - Формы'!A2="F1",'Модель - Формы'!B1="F3"),AND('Модель - Формы'!A2="F1",'Модель - Формы'!B1="F5"),AND('Модель - Формы'!A2="F2",'Модель - Формы'!B1="F1"),AND('Модель - Формы'!A2="F2",'Модель - Формы'!B1="F3"),AND('Модель - Формы'!A2="F2",'Модель - Формы'!B1="F5"),AND('Модель - Формы'!A2="F5",'Модель - Формы'!B1="F1"),AND('Модель - Формы'!A2="F5",'Модель - Формы'!B1="F3"),AND('Модель - Формы'!A2="F5",'Модель - Формы'!B1="F5")),IF('Модель - Формы'!B2="F0",INDIRECT("П_В_F1_F1_0[В_F1_F1_0]"),IF('Модель - Формы'!B2="F5",INDIRECT("П_В_F1_F1_5[В_F1_F1_5]"),INDIRECT("П_В_F1_F1[В_F1_F1]"))),))))</definedName>
    <definedName name="UPMAIN_1" localSheetId="1">IF(OR(AND([1]Модель!A2="F0",[1]Модель!B1="F0"),AND([1]Модель!A2="F0",[1]Модель!B1="F2"),AND([1]Модель!A2="F0",[1]Модель!B1="F4"),AND([1]Модель!A2="F3",[1]Модель!B1="F0"),AND([1]Модель!A2="F3",[1]Модель!B1="F2"),AND([1]Модель!A2="F3",[1]Модель!B1="F4"),AND([1]Модель!A2="F4",[1]Модель!B1="F0"),AND([1]Модель!A2="F4",[1]Модель!B1="F2"),AND([1]Модель!A2="F4",[1]Модель!B1="F4")),IF([1]Модель!B2="F0",INDIRECT("П_В_F0_F0_0[В_F0_F0_0]"),IF([1]Модель!B2="F5",INDIRECT("П_В_F0_F0_5[В_F0_F0_5]"),INDIRECT("П_В_F0_F0[В_F0_F0]"))),IF(OR(AND([1]Модель!A2="F0",[1]Модель!B1="F1"),AND([1]Модель!A2="F0",[1]Модель!B1="F3"),AND([1]Модель!A2="F0",[1]Модель!B1="F5"),AND([1]Модель!A2="F3",[1]Модель!B1="F1"),AND([1]Модель!A2="F3",[1]Модель!B1="F3"),AND([1]Модель!A2="F3",[1]Модель!B1="F5"),AND([1]Модель!A2="F4",[1]Модель!B1="F1"),AND([1]Модель!A2="F4",[1]Модель!B1="F3"),AND([1]Модель!A2="F4",[1]Модель!B1="F5")),IF([1]Модель!B2="F0",INDIRECT("П_В_F0_F1_0[В_F0_F1_0]"),IF([1]Модель!B2="F5",INDIRECT("П_В_F0_F1_5[В_F0_F1_5]"),INDIRECT("П_В_F0_F1[В_F0_F1]"))),IF(OR(AND([1]Модель!A2="F1",[1]Модель!B1="F0"),AND([1]Модель!A2="F1",[1]Модель!B1="F2"),AND([1]Модель!A2="F1",[1]Модель!B1="F4"),AND([1]Модель!A2="F2",[1]Модель!B1="F0"),AND([1]Модель!A2="F2",[1]Модель!B1="F2"),AND([1]Модель!A2="F2",[1]Модель!B1="F4"),AND([1]Модель!A2="F5",[1]Модель!B1="F0"),AND([1]Модель!A2="F5",[1]Модель!B1="F2"),AND([1]Модель!A2="F5",[1]Модель!B1="F4")),IF([1]Модель!B2="F0",INDIRECT("П_В_F1_F0_0[В_F1_F0_0]"),IF([1]Модель!B2="F5",INDIRECT("П_В_F1_F0_5[В_F1_F0_5]"),INDIRECT("П_В_F1_F0[В_F1_F0]"))),IF(OR(AND([1]Модель!A2="F1",[1]Модель!B1="F1"),AND([1]Модель!A2="F1",[1]Модель!B1="F3"),AND([1]Модель!A2="F1",[1]Модель!B1="F5"),AND([1]Модель!A2="F2",[1]Модель!B1="F1"),AND([1]Модель!A2="F2",[1]Модель!B1="F3"),AND([1]Модель!A2="F2",[1]Модель!B1="F5"),AND([1]Модель!A2="F5",[1]Модель!B1="F1"),AND([1]Модель!A2="F5",[1]Модель!B1="F3"),AND([1]Модель!A2="F5",[1]Модель!B1="F5")),IF([1]Модель!B2="F0",INDIRECT("П_В_F1_F1_0[В_F1_F1_0]"),IF([1]Модель!B2="F5",INDIRECT("П_В_F1_F1_5[В_F1_F1_5]"),INDIRECT("П_В_F1_F1[В_F1_F1]"))),))))</definedName>
    <definedName name="UPMAIN_1">IF(OR(AND(Модель!A2="F0",Модель!B1="F0"),AND(Модель!A2="F0",Модель!B1="F2"),AND(Модель!A2="F0",Модель!B1="F4"),AND(Модель!A2="F3",Модель!B1="F0"),AND(Модель!A2="F3",Модель!B1="F2"),AND(Модель!A2="F3",Модель!B1="F4"),AND(Модель!A2="F4",Модель!B1="F0"),AND(Модель!A2="F4",Модель!B1="F2"),AND(Модель!A2="F4",Модель!B1="F4")),IF(Модель!B2="F0",INDIRECT("П_В_F0_F0_0[В_F0_F0_0]"),IF(Модель!B2="F5",INDIRECT("П_В_F0_F0_5[В_F0_F0_5]"),INDIRECT("П_В_F0_F0[В_F0_F0]"))),IF(OR(AND(Модель!A2="F0",Модель!B1="F1"),AND(Модель!A2="F0",Модель!B1="F3"),AND(Модель!A2="F0",Модель!B1="F5"),AND(Модель!A2="F3",Модель!B1="F1"),AND(Модель!A2="F3",Модель!B1="F3"),AND(Модель!A2="F3",Модель!B1="F5"),AND(Модель!A2="F4",Модель!B1="F1"),AND(Модель!A2="F4",Модель!B1="F3"),AND(Модель!A2="F4",Модель!B1="F5")),IF(Модель!B2="F0",INDIRECT("П_В_F0_F1_0[В_F0_F1_0]"),IF(Модель!B2="F5",INDIRECT("П_В_F0_F1_5[В_F0_F1_5]"),INDIRECT("П_В_F0_F1[В_F0_F1]"))),IF(OR(AND(Модель!A2="F1",Модель!B1="F0"),AND(Модель!A2="F1",Модель!B1="F2"),AND(Модель!A2="F1",Модель!B1="F4"),AND(Модель!A2="F2",Модель!B1="F0"),AND(Модель!A2="F2",Модель!B1="F2"),AND(Модель!A2="F2",Модель!B1="F4"),AND(Модель!A2="F5",Модель!B1="F0"),AND(Модель!A2="F5",Модель!B1="F2"),AND(Модель!A2="F5",Модель!B1="F4")),IF(Модель!B2="F0",INDIRECT("П_В_F1_F0_0[В_F1_F0_0]"),IF(Модель!B2="F5",INDIRECT("П_В_F1_F0_5[В_F1_F0_5]"),INDIRECT("П_В_F1_F0[В_F1_F0]"))),IF(OR(AND(Модель!A2="F1",Модель!B1="F1"),AND(Модель!A2="F1",Модель!B1="F3"),AND(Модель!A2="F1",Модель!B1="F5"),AND(Модель!A2="F2",Модель!B1="F1"),AND(Модель!A2="F2",Модель!B1="F3"),AND(Модель!A2="F2",Модель!B1="F5"),AND(Модель!A2="F5",Модель!B1="F1"),AND(Модель!A2="F5",Модель!B1="F3"),AND(Модель!A2="F5",Модель!B1="F5")),IF(Модель!B2="F0",INDIRECT("П_В_F1_F1_0[В_F1_F1_0]"),IF(Модель!B2="F5",INDIRECT("П_В_F1_F1_5[В_F1_F1_5]"),INDIRECT("П_В_F1_F1[В_F1_F1]"))),))))</definedName>
    <definedName name="UPMAIN_2" localSheetId="13">IF(OR(AND('Модель - Формы'!A2="F0",'Модель - Формы'!B1="F0"),AND('Модель - Формы'!A2="F0",'Модель - Формы'!B1="F2"),AND('Модель - Формы'!A2="F0",'Модель - Формы'!B1="F4"),AND('Модель - Формы'!A2="F3",'Модель - Формы'!B1="F0"),AND('Модель - Формы'!A2="F3",'Модель - Формы'!B1="F2"),AND('Модель - Формы'!A2="F3",'Модель - Формы'!B1="F4"),AND('Модель - Формы'!A2="F4",'Модель - Формы'!B1="F0"),AND('Модель - Формы'!A2="F4",'Модель - Формы'!B1="F2"),AND('Модель - Формы'!A2="F4",'Модель - Формы'!B1="F4")),IF(OR(AND('Модель - Формы'!B2="F0",'Модель - Формы'!C3="F5"),AND('Модель - Формы'!B2="F5",'Модель - Формы'!C3="F0")),INDIRECT("ПВF0F0_05[ВF0F0_05]"),IF(OR('Модель - Формы'!B2="F0",'Модель - Формы'!C3="F0"),INDIRECT("П_В_F0_F0т5[В_F0_F0т5]"),IF(OR('Модель - Формы'!B2="F5",'Модель - Формы'!C3="F5"),INDIRECT("П_В_F0_F0т0[В_F0_F0т0]"),INDIRECT("ПВF0F0_05[ВF0F0_05]")))),IF(OR(AND('Модель - Формы'!A2="F0",'Модель - Формы'!B1="F1"),AND('Модель - Формы'!A2="F0",'Модель - Формы'!B1="F3"),AND('Модель - Формы'!A2="F0",'Модель - Формы'!B1="F5"),AND('Модель - Формы'!A2="F3",'Модель - Формы'!B1="F1"),AND('Модель - Формы'!A2="F3",'Модель - Формы'!B1="F3"),AND('Модель - Формы'!A2="F3",'Модель - Формы'!B1="F5"),AND('Модель - Формы'!A2="F4",'Модель - Формы'!B1="F1"),AND('Модель - Формы'!A2="F4",'Модель - Формы'!B1="F3"),AND('Модель - Формы'!A2="F4",'Модель - Формы'!B1="F5")),IF(OR(AND('Модель - Формы'!B2="F0",'Модель - Формы'!C3="F5"),AND('Модель - Формы'!B2="F5",'Модель - Формы'!C3="F0")),INDIRECT("ПВF0F1_05[ВF0F1_05]"),IF(OR('Модель - Формы'!B2="F0",'Модель - Формы'!C3="F0"),INDIRECT("П_В_F0_F1т5[В_F0_F1т5]"),IF(OR('Модель - Формы'!B2="F5",'Модель - Формы'!C3="F5"),INDIRECT("П_В_F0_F1т0[В_F0_F1т0]"),INDIRECT("ПВF0F1_05[ВF0F1_05]")))),IF(OR(AND('Модель - Формы'!A2="F1",'Модель - Формы'!B1="F0"),AND('Модель - Формы'!A2="F1",'Модель - Формы'!B1="F2"),AND('Модель - Формы'!A2="F1",'Модель - Формы'!B1="F4"),AND('Модель - Формы'!A2="F2",'Модель - Формы'!B1="F0"),AND('Модель - Формы'!A2="F2",'Модель - Формы'!B1="F2"),AND('Модель - Формы'!A2="F2",'Модель - Формы'!B1="F4"),AND('Модель - Формы'!A2="F5",'Модель - Формы'!B1="F0"),AND('Модель - Формы'!A2="F5",'Модель - Формы'!B1="F2"),AND('Модель - Формы'!A2="F5",'Модель - Формы'!B1="F4")),IF(OR(AND('Модель - Формы'!B2="F0",'Модель - Формы'!C3="F5"),AND('Модель - Формы'!B2="F5",'Модель - Формы'!C3="F0")),INDIRECT("ПВF1F0_05[ВF1F0_05]"),IF(OR('Модель - Формы'!B2="F0",'Модель - Формы'!C3="F0"),INDIRECT("П_В_F1_F0т5[В_F1_F0т5]"),IF(OR('Модель - Формы'!B2="F5",'Модель - Формы'!C3="F5"),INDIRECT("П_В_F1_F0т0[В_F1_F0т0]"),INDIRECT("ПВF1F0_05[ВF1F0_05]")))),IF(OR(AND('Модель - Формы'!A2="F1",'Модель - Формы'!B1="F1"),AND('Модель - Формы'!A2="F1",'Модель - Формы'!B1="F3"),AND('Модель - Формы'!A2="F1",'Модель - Формы'!B1="F5"),AND('Модель - Формы'!A2="F2",'Модель - Формы'!B1="F1"),AND('Модель - Формы'!A2="F2",'Модель - Формы'!B1="F3"),AND('Модель - Формы'!A2="F2",'Модель - Формы'!B1="F5"),AND('Модель - Формы'!A2="F5",'Модель - Формы'!B1="F1"),AND('Модель - Формы'!A2="F5",'Модель - Формы'!B1="F3"),AND('Модель - Формы'!A2="F5",'Модель - Формы'!B1="F5")),IF(OR(AND('Модель - Формы'!B2="F0",'Модель - Формы'!C3="F5"),AND('Модель - Формы'!B2="F5",'Модель - Формы'!C3="F0")),INDIRECT("ПВF1F1_05[ВF1F1_05]"),IF(OR('Модель - Формы'!B2="F0",'Модель - Формы'!C3="F0"),INDIRECT("П_В_F1_F1т5[В_F1_F1т5]"),IF(OR('Модель - Формы'!B2="F5",'Модель - Формы'!C3="F5"),INDIRECT("П_В_F1_F1т0[В_F1_F1т0]"),INDIRECT("ПВF1F1_05[ВF1F1_05]")))),))))</definedName>
    <definedName name="UPMAIN_2" localSheetId="1">IF(OR(AND([1]Модель!A2="F0",[1]Модель!B1="F0"),AND([1]Модель!A2="F0",[1]Модель!B1="F2"),AND([1]Модель!A2="F0",[1]Модель!B1="F4"),AND([1]Модель!A2="F3",[1]Модель!B1="F0"),AND([1]Модель!A2="F3",[1]Модель!B1="F2"),AND([1]Модель!A2="F3",[1]Модель!B1="F4"),AND([1]Модель!A2="F4",[1]Модель!B1="F0"),AND([1]Модель!A2="F4",[1]Модель!B1="F2"),AND([1]Модель!A2="F4",[1]Модель!B1="F4")),IF(OR(AND([1]Модель!B2="F0",[1]Модель!C3="F5"),AND([1]Модель!B2="F5",[1]Модель!C3="F0")),INDIRECT("ПВF0F0_05[ВF0F0_05]"),IF(OR([1]Модель!B2="F0",[1]Модель!C3="F0"),INDIRECT("П_В_F0_F0т5[В_F0_F0т5]"),IF(OR([1]Модель!B2="F5",[1]Модель!C3="F5"),INDIRECT("П_В_F0_F0т0[В_F0_F0т0]"),INDIRECT("ПВF0F0_05[ВF0F0_05]")))),IF(OR(AND([1]Модель!A2="F0",[1]Модель!B1="F1"),AND([1]Модель!A2="F0",[1]Модель!B1="F3"),AND([1]Модель!A2="F0",[1]Модель!B1="F5"),AND([1]Модель!A2="F3",[1]Модель!B1="F1"),AND([1]Модель!A2="F3",[1]Модель!B1="F3"),AND([1]Модель!A2="F3",[1]Модель!B1="F5"),AND([1]Модель!A2="F4",[1]Модель!B1="F1"),AND([1]Модель!A2="F4",[1]Модель!B1="F3"),AND([1]Модель!A2="F4",[1]Модель!B1="F5")),IF(OR(AND([1]Модель!B2="F0",[1]Модель!C3="F5"),AND([1]Модель!B2="F5",[1]Модель!C3="F0")),INDIRECT("ПВF0F1_05[ВF0F1_05]"),IF(OR([1]Модель!B2="F0",[1]Модель!C3="F0"),INDIRECT("П_В_F0_F1т5[В_F0_F1т5]"),IF(OR([1]Модель!B2="F5",[1]Модель!C3="F5"),INDIRECT("П_В_F0_F1т0[В_F0_F1т0]"),INDIRECT("ПВF0F1_05[ВF0F1_05]")))),IF(OR(AND([1]Модель!A2="F1",[1]Модель!B1="F0"),AND([1]Модель!A2="F1",[1]Модель!B1="F2"),AND([1]Модель!A2="F1",[1]Модель!B1="F4"),AND([1]Модель!A2="F2",[1]Модель!B1="F0"),AND([1]Модель!A2="F2",[1]Модель!B1="F2"),AND([1]Модель!A2="F2",[1]Модель!B1="F4"),AND([1]Модель!A2="F5",[1]Модель!B1="F0"),AND([1]Модель!A2="F5",[1]Модель!B1="F2"),AND([1]Модель!A2="F5",[1]Модель!B1="F4")),IF(OR(AND([1]Модель!B2="F0",[1]Модель!C3="F5"),AND([1]Модель!B2="F5",[1]Модель!C3="F0")),INDIRECT("ПВF1F0_05[ВF1F0_05]"),IF(OR([1]Модель!B2="F0",[1]Модель!C3="F0"),INDIRECT("П_В_F1_F0т5[В_F1_F0т5]"),IF(OR([1]Модель!B2="F5",[1]Модель!C3="F5"),INDIRECT("П_В_F1_F0т0[В_F1_F0т0]"),INDIRECT("ПВF1F0_05[ВF1F0_05]")))),IF(OR(AND([1]Модель!A2="F1",[1]Модель!B1="F1"),AND([1]Модель!A2="F1",[1]Модель!B1="F3"),AND([1]Модель!A2="F1",[1]Модель!B1="F5"),AND([1]Модель!A2="F2",[1]Модель!B1="F1"),AND([1]Модель!A2="F2",[1]Модель!B1="F3"),AND([1]Модель!A2="F2",[1]Модель!B1="F5"),AND([1]Модель!A2="F5",[1]Модель!B1="F1"),AND([1]Модель!A2="F5",[1]Модель!B1="F3"),AND([1]Модель!A2="F5",[1]Модель!B1="F5")),IF(OR(AND([1]Модель!B2="F0",[1]Модель!C3="F5"),AND([1]Модель!B2="F5",[1]Модель!C3="F0")),INDIRECT("ПВF1F1_05[ВF1F1_05]"),IF(OR([1]Модель!B2="F0",[1]Модель!C3="F0"),INDIRECT("П_В_F1_F1т5[В_F1_F1т5]"),IF(OR([1]Модель!B2="F5",[1]Модель!C3="F5"),INDIRECT("П_В_F1_F1т0[В_F1_F1т0]"),INDIRECT("ПВF1F1_05[ВF1F1_05]")))),))))</definedName>
    <definedName name="UPMAIN_2">IF(OR(AND(Модель!A2="F0",Модель!B1="F0"),AND(Модель!A2="F0",Модель!B1="F2"),AND(Модель!A2="F0",Модель!B1="F4"),AND(Модель!A2="F3",Модель!B1="F0"),AND(Модель!A2="F3",Модель!B1="F2"),AND(Модель!A2="F3",Модель!B1="F4"),AND(Модель!A2="F4",Модель!B1="F0"),AND(Модель!A2="F4",Модель!B1="F2"),AND(Модель!A2="F4",Модель!B1="F4")),IF(OR(AND(Модель!B2="F0",Модель!C3="F5"),AND(Модель!B2="F5",Модель!C3="F0")),INDIRECT("ПВF0F0_05[ВF0F0_05]"),IF(OR(Модель!B2="F0",Модель!C3="F0"),INDIRECT("П_В_F0_F0т5[В_F0_F0т5]"),IF(OR(Модель!B2="F5",Модель!C3="F5"),INDIRECT("П_В_F0_F0т0[В_F0_F0т0]"),INDIRECT("ПВF0F0_05[ВF0F0_05]")))),IF(OR(AND(Модель!A2="F0",Модель!B1="F1"),AND(Модель!A2="F0",Модель!B1="F3"),AND(Модель!A2="F0",Модель!B1="F5"),AND(Модель!A2="F3",Модель!B1="F1"),AND(Модель!A2="F3",Модель!B1="F3"),AND(Модель!A2="F3",Модель!B1="F5"),AND(Модель!A2="F4",Модель!B1="F1"),AND(Модель!A2="F4",Модель!B1="F3"),AND(Модель!A2="F4",Модель!B1="F5")),IF(OR(AND(Модель!B2="F0",Модель!C3="F5"),AND(Модель!B2="F5",Модель!C3="F0")),INDIRECT("ПВF0F1_05[ВF0F1_05]"),IF(OR(Модель!B2="F0",Модель!C3="F0"),INDIRECT("П_В_F0_F1т5[В_F0_F1т5]"),IF(OR(Модель!B2="F5",Модель!C3="F5"),INDIRECT("П_В_F0_F1т0[В_F0_F1т0]"),INDIRECT("ПВF0F1_05[ВF0F1_05]")))),IF(OR(AND(Модель!A2="F1",Модель!B1="F0"),AND(Модель!A2="F1",Модель!B1="F2"),AND(Модель!A2="F1",Модель!B1="F4"),AND(Модель!A2="F2",Модель!B1="F0"),AND(Модель!A2="F2",Модель!B1="F2"),AND(Модель!A2="F2",Модель!B1="F4"),AND(Модель!A2="F5",Модель!B1="F0"),AND(Модель!A2="F5",Модель!B1="F2"),AND(Модель!A2="F5",Модель!B1="F4")),IF(OR(AND(Модель!B2="F0",Модель!C3="F5"),AND(Модель!B2="F5",Модель!C3="F0")),INDIRECT("ПВF1F0_05[ВF1F0_05]"),IF(OR(Модель!B2="F0",Модель!C3="F0"),INDIRECT("П_В_F1_F0т5[В_F1_F0т5]"),IF(OR(Модель!B2="F5",Модель!C3="F5"),INDIRECT("П_В_F1_F0т0[В_F1_F0т0]"),INDIRECT("ПВF1F0_05[ВF1F0_05]")))),IF(OR(AND(Модель!A2="F1",Модель!B1="F1"),AND(Модель!A2="F1",Модель!B1="F3"),AND(Модель!A2="F1",Модель!B1="F5"),AND(Модель!A2="F2",Модель!B1="F1"),AND(Модель!A2="F2",Модель!B1="F3"),AND(Модель!A2="F2",Модель!B1="F5"),AND(Модель!A2="F5",Модель!B1="F1"),AND(Модель!A2="F5",Модель!B1="F3"),AND(Модель!A2="F5",Модель!B1="F5")),IF(OR(AND(Модель!B2="F0",Модель!C3="F5"),AND(Модель!B2="F5",Модель!C3="F0")),INDIRECT("ПВF1F1_05[ВF1F1_05]"),IF(OR(Модель!B2="F0",Модель!C3="F0"),INDIRECT("П_В_F1_F1т5[В_F1_F1т5]"),IF(OR(Модель!B2="F5",Модель!C3="F5"),INDIRECT("П_В_F1_F1т0[В_F1_F1т0]"),INDIRECT("ПВF1F1_05[ВF1F1_05]")))),))))</definedName>
    <definedName name="UPUP" localSheetId="4">IF(OR(AND(Модель!A2="F0",OR(Модель!B1="F0",Модель!B1="F2",Модель!B1="F4")),AND(Модель!A2="F3",OR(Модель!B1="F0",Модель!B1="F2",Модель!B1="F4")),AND(Модель!A2="F4",OR(Модель!B1="F0",Модель!B1="F2",Модель!B1="F4")),),IF((VLOOKUP(Модель!B2,Длт[],4,FALSE)+VLOOKUP(Модель!B3,Длт[],2,FALSE))&gt;=3,INDIRECT("П_В_F0_F0т0[В_F0_F0т0]"),IF((VLOOKUP(Модель!B2,Длт[],4,FALSE)+VLOOKUP(Модель!B3,Длт[],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4,FALSE)+VLOOKUP(Модель!B3,Длт[],2,FALSE))&gt;=3,INDIRECT("П_В_F0_F1т0[В_F0_F1т0]"),IF((VLOOKUP(Модель!B2,Длт[],4,FALSE)+VLOOKUP(Модель!B3,Длт[],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B3,Длт[],2,FALSE))&gt;=3,INDIRECT("П_В_F1_F0т0[В_F1_F0т0]"),IF((VLOOKUP(Модель!B2,Длт[],4,FALSE)+VLOOKUP(Модель!B3,Длт[],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B3,Длт[],2,FALSE))&gt;=3,INDIRECT("П_В_F1_F1т0[В_F1_F1т0]"),IF((VLOOKUP(Модель!B2,Длт[],4,FALSE)+VLOOKUP(Модель!B3,Длт[],2,FALSE))&gt;=2,INDIRECT("П_В_F1_F1_5[В_F1_F1_5]"),INDIRECT("П_В_F1_F1[В_F1_F1]"))),))))</definedName>
    <definedName name="UPUP" localSheetId="13">IF(OR(AND('Модель - Формы'!A2="F0",OR('Модель - Формы'!B1="F0",'Модель - Формы'!B1="F2",'Модель - Формы'!B1="F4")),AND('Модель - Формы'!A2="F3",OR('Модель - Формы'!B1="F0",'Модель - Формы'!B1="F2",'Модель - Формы'!B1="F4")),AND('Модель - Формы'!A2="F4",OR('Модель - Формы'!B1="F0",'Модель - Формы'!B1="F2",'Модель - Формы'!B1="F4")),),IF((VLOOKUP('Модель - Формы'!B2,Длт[],4,FALSE)+VLOOKUP('Модель - Формы'!B3,Длт[],2,FALSE))&gt;=3,INDIRECT("П_В_F0_F0т0[В_F0_F0т0]"),IF((VLOOKUP('Модель - Формы'!B2,Длт[],4,FALSE)+VLOOKUP('Модель - Формы'!B3,Длт[],2,FALSE))&gt;=2,INDIRECT("П_В_F0_F0_5[В_F0_F0_5]"),INDIRECT("П_В_F0_F0[В_F0_F0]"))),IF(OR(AND('Модель - Формы'!A2="F0",OR('Модель - Формы'!B1="F1",'Модель - Формы'!B1="F3",'Модель - Формы'!B1="F5")),AND('Модель - Формы'!A2="F3",OR('Модель - Формы'!B1="F1",'Модель - Формы'!B1="F3",'Модель - Формы'!B1="F5")),AND('Модель - Формы'!A2="F4",OR('Модель - Формы'!B1="F1",'Модель - Формы'!B1="F3",'Модель - Формы'!B1="F5")),),IF((VLOOKUP('Модель - Формы'!B2,Длт[],4,FALSE)+VLOOKUP('Модель - Формы'!B3,Длт[],2,FALSE))&gt;=3,INDIRECT("П_В_F0_F1т0[В_F0_F1т0]"),IF((VLOOKUP('Модель - Формы'!B2,Длт[],4,FALSE)+VLOOKUP('Модель - Формы'!B3,Длт[],2,FALSE))&gt;=2,INDIRECT("П_В_F0_F1_5[В_F0_F1_5]"),INDIRECT("П_В_F0_F1[В_F0_F1]"))),IF(OR(AND('Модель - Формы'!A2="F1",OR('Модель - Формы'!B1="F0",'Модель - Формы'!B1="F2",'Модель - Формы'!B1="F4")),AND('Модель - Формы'!A2="F2",OR('Модель - Формы'!B1="F0",'Модель - Формы'!B1="F2",'Модель - Формы'!B1="F4")),AND('Модель - Формы'!A2="F5",OR('Модель - Формы'!B1="F0",'Модель - Формы'!B1="F2",'Модель - Формы'!B1="F4")),),IF((VLOOKUP('Модель - Формы'!B2,Длт[],4,FALSE)+VLOOKUP('Модель - Формы'!B3,Длт[],2,FALSE))&gt;=3,INDIRECT("П_В_F1_F0т0[В_F1_F0т0]"),IF((VLOOKUP('Модель - Формы'!B2,Длт[],4,FALSE)+VLOOKUP('Модель - Формы'!B3,Длт[],2,FALSE))&gt;=2,INDIRECT("П_В_F1_F0_5[В_F1_F0_5]"),INDIRECT("П_В_F1_F0[В_F1_F0]"))),IF(OR(AND('Модель - Формы'!A2="F1",OR('Модель - Формы'!B1="F1",'Модель - Формы'!B1="F3",'Модель - Формы'!B1="F5")),AND('Модель - Формы'!A2="F2",OR('Модель - Формы'!B1="F1",'Модель - Формы'!B1="F3",'Модель - Формы'!B1="F5")),AND('Модель - Формы'!A2="F5",OR('Модель - Формы'!B1="F1",'Модель - Формы'!B1="F3",'Модель - Формы'!B1="F5")),),IF((VLOOKUP('Модель - Формы'!B2,Длт[],4,FALSE)+VLOOKUP('Модель - Формы'!B3,Длт[],2,FALSE))&gt;=3,INDIRECT("П_В_F1_F1т0[В_F1_F1т0]"),IF((VLOOKUP('Модель - Формы'!B2,Длт[],4,FALSE)+VLOOKUP('Модель - Формы'!B3,Длт[],2,FALSE))&gt;=2,INDIRECT("П_В_F1_F1_5[В_F1_F1_5]"),INDIRECT("П_В_F1_F1[В_F1_F1]"))),))))</definedName>
    <definedName name="UPUP" localSheetId="1">IF(OR(AND(Модель!A2="F0",OR(Модель!B1="F0",Модель!B1="F2",Модель!B1="F4")),AND(Модель!A2="F3",OR(Модель!B1="F0",Модель!B1="F2",Модель!B1="F4")),AND(Модель!A2="F4",OR(Модель!B1="F0",Модель!B1="F2",Модель!B1="F4")),),IF((VLOOKUP(Модель!B2,Длт[#Data],4,FALSE)+VLOOKUP(Модель!B3,Длт[#Data],2,FALSE))&gt;=3,INDIRECT("П_В_F0_F0т0[В_F0_F0т0]"),IF((VLOOKUP(Модель!B2,Длт[#Data],4,FALSE)+VLOOKUP(Модель!B3,Длт[#Data],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Data],4,FALSE)+VLOOKUP(Модель!B3,Длт[#Data],2,FALSE))&gt;=3,INDIRECT("П_В_F0_F1т0[В_F0_F1т0]"),IF((VLOOKUP(Модель!B2,Длт[#Data],4,FALSE)+VLOOKUP(Модель!B3,Длт[#Data],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Data],4,FALSE)+VLOOKUP(Модель!B3,Длт[#Data],2,FALSE))&gt;=3,INDIRECT("П_В_F1_F0т0[В_F1_F0т0]"),IF((VLOOKUP(Модель!B2,Длт[#Data],4,FALSE)+VLOOKUP(Модель!B3,Длт[#Data],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Data],4,FALSE)+VLOOKUP(Модель!B3,Длт[#Data],2,FALSE))&gt;=3,INDIRECT("П_В_F1_F1т0[В_F1_F1т0]"),IF((VLOOKUP(Модель!B2,Длт[#Data],4,FALSE)+VLOOKUP(Модель!B3,Длт[#Data],2,FALSE))&gt;=2,INDIRECT("П_В_F1_F1_5[В_F1_F1_5]"),INDIRECT("П_В_F1_F1[В_F1_F1]"))),))))</definedName>
    <definedName name="UPUP" localSheetId="2">IF(OR(AND(Модель!A2="F0",OR(Модель!B1="F0",Модель!B1="F2",Модель!B1="F4")),AND(Модель!A2="F3",OR(Модель!B1="F0",Модель!B1="F2",Модель!B1="F4")),AND(Модель!A2="F4",OR(Модель!B1="F0",Модель!B1="F2",Модель!B1="F4")),),IF((VLOOKUP(Модель!B2,Длт[],4,FALSE)+VLOOKUP(Модель!B3,Длт[],2,FALSE))&gt;=3,INDIRECT("П_В_F0_F0т0[В_F0_F0т0]"),IF((VLOOKUP(Модель!B2,Длт[],4,FALSE)+VLOOKUP(Модель!B3,Длт[],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4,FALSE)+VLOOKUP(Модель!B3,Длт[],2,FALSE))&gt;=3,INDIRECT("П_В_F0_F1т0[В_F0_F1т0]"),IF((VLOOKUP(Модель!B2,Длт[],4,FALSE)+VLOOKUP(Модель!B3,Длт[],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B3,Длт[],2,FALSE))&gt;=3,INDIRECT("П_В_F1_F0т0[В_F1_F0т0]"),IF((VLOOKUP(Модель!B2,Длт[],4,FALSE)+VLOOKUP(Модель!B3,Длт[],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B3,Длт[],2,FALSE))&gt;=3,INDIRECT("П_В_F1_F1т0[В_F1_F1т0]"),IF((VLOOKUP(Модель!B2,Длт[],4,FALSE)+VLOOKUP(Модель!B3,Длт[],2,FALSE))&gt;=2,INDIRECT("П_В_F1_F1_5[В_F1_F1_5]"),INDIRECT("П_В_F1_F1[В_F1_F1]"))),))))</definedName>
    <definedName name="UPUP">IF(OR(AND(Модель!A2="F0",OR(Модель!B1="F0",Модель!B1="F2",Модель!B1="F4")),AND(Модель!A2="F3",OR(Модель!B1="F0",Модель!B1="F2",Модель!B1="F4")),AND(Модель!A2="F4",OR(Модель!B1="F0",Модель!B1="F2",Модель!B1="F4")),),IF((VLOOKUP(Модель!B2,Длт[],4,FALSE)+VLOOKUP(Модель!B3,Длт[],2,FALSE))&gt;=3,INDIRECT("П_В_F0_F0т0[В_F0_F0т0]"),IF((VLOOKUP(Модель!B2,Длт[],4,FALSE)+VLOOKUP(Модель!B3,Длт[],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4,FALSE)+VLOOKUP(Модель!B3,Длт[],2,FALSE))&gt;=3,INDIRECT("П_В_F0_F1т0[В_F0_F1т0]"),IF((VLOOKUP(Модель!B2,Длт[],4,FALSE)+VLOOKUP(Модель!B3,Длт[],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B3,Длт[],2,FALSE))&gt;=3,INDIRECT("П_В_F1_F0т0[В_F1_F0т0]"),IF((VLOOKUP(Модель!B2,Длт[],4,FALSE)+VLOOKUP(Модель!B3,Длт[],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B3,Длт[],2,FALSE))&gt;=3,INDIRECT("П_В_F1_F1т0[В_F1_F1т0]"),IF((VLOOKUP(Модель!B2,Длт[],4,FALSE)+VLOOKUP(Модель!B3,Длт[],2,FALSE))&gt;=2,INDIRECT("П_В_F1_F1_5[В_F1_F1_5]"),INDIRECT("П_В_F1_F1[В_F1_F1]"))),))))</definedName>
    <definedName name="Вычисление_1_1" localSheetId="4">IF(Модель!D1="F0",INDEX(MatrixF0[],(Модель!A1048575-1+0.01)*100,(Модель!A1048576-1+0.02)*100), IF(Модель!D1="F1",INDEX(MatrixF1[],(Модель!A1048575-1+0.01)*100,(Модель!A1048576-1+0.02)*100), IF(Модель!D1="F2",INDEX(MatrixF2[],(Модель!A1048575-1+0.01)*100,(Модель!A1048576-1+0.02)*100), IF(Модель!D1="F3",INDEX(MatrixF3[],(Модель!A1048575-1+0.01)*100,(Модель!A1048576-1+0.02)*100), IF(Модель!D1="F4",INDEX(MatrixF4[],(Модель!A1048575-1+0.01)*100,(Модель!A1048576-1+0.02)*100), IF(Модель!D1="F5",INDEX(MatrixF5[],(Модель!A1048575-1+0.01)*100,(Модель!A1048576-1+0.02)*100),""))))))</definedName>
    <definedName name="Вычисление_1_1" localSheetId="13">IF('Модель - Формы'!D1="F0",INDEX(MatrixF0[],('Модель - Формы'!A1048575-1+0.01)*100,('Модель - Формы'!A1048576-1+0.02)*100), IF('Модель - Формы'!D1="F1",INDEX(MatrixF1[],('Модель - Формы'!A1048575-1+0.01)*100,('Модель - Формы'!A1048576-1+0.02)*100), IF('Модель - Формы'!D1="F2",INDEX(MatrixF2[],('Модель - Формы'!A1048575-1+0.01)*100,('Модель - Формы'!A1048576-1+0.02)*100), IF('Модель - Формы'!D1="F3",INDEX(MatrixF3[],('Модель - Формы'!A1048575-1+0.01)*100,('Модель - Формы'!A1048576-1+0.02)*100), IF('Модель - Формы'!D1="F4",INDEX(MatrixF4[],('Модель - Формы'!A1048575-1+0.01)*100,('Модель - Формы'!A1048576-1+0.02)*100), IF('Модель - Формы'!D1="F5",INDEX(MatrixF5[],('Модель - Формы'!A1048575-1+0.01)*100,('Модель - Формы'!A1048576-1+0.02)*100),""))))))</definedName>
    <definedName name="Вычисление_1_1" localSheetId="1">IF(Модель!D1="F0",INDEX(MatrixF0[#Data],(Модель!A1048575-1+0.01)*100,(Модель!A1048576-1+0.02)*100), IF(Модель!D1="F1",INDEX(MatrixF1[#Data],(Модель!A1048575-1+0.01)*100,(Модель!A1048576-1+0.02)*100), IF(Модель!D1="F2",INDEX(MatrixF2[#Data],(Модель!A1048575-1+0.01)*100,(Модель!A1048576-1+0.02)*100), IF(Модель!D1="F3",INDEX(MatrixF3[#Data],(Модель!A1048575-1+0.01)*100,(Модель!A1048576-1+0.02)*100), IF(Модель!D1="F4",INDEX(MatrixF4[#Data],(Модель!A1048575-1+0.01)*100,(Модель!A1048576-1+0.02)*100), IF(Модель!D1="F5",INDEX(MatrixF5[#Data],(Модель!A1048575-1+0.01)*100,(Модель!A1048576-1+0.02)*100),""))))))</definedName>
    <definedName name="Вычисление_1_1" localSheetId="2">IF(Модель!D1="F0",INDEX(MatrixF0[],(Модель!A1048575-1+0.01)*100,(Модель!A1048576-1+0.02)*100), IF(Модель!D1="F1",INDEX(MatrixF1[],(Модель!A1048575-1+0.01)*100,(Модель!A1048576-1+0.02)*100), IF(Модель!D1="F2",INDEX(MatrixF2[],(Модель!A1048575-1+0.01)*100,(Модель!A1048576-1+0.02)*100), IF(Модель!D1="F3",INDEX(MatrixF3[],(Модель!A1048575-1+0.01)*100,(Модель!A1048576-1+0.02)*100), IF(Модель!D1="F4",INDEX(MatrixF4[],(Модель!A1048575-1+0.01)*100,(Модель!A1048576-1+0.02)*100), IF(Модель!D1="F5",INDEX(MatrixF5[],(Модель!A1048575-1+0.01)*100,(Модель!A1048576-1+0.02)*100),""))))))</definedName>
    <definedName name="Вычисление_1_1">IF(Модель!D1="F0",INDEX(MatrixF0[],(Модель!A1048575-1+0.01)*100,(Модель!A1048576-1+0.02)*100), IF(Модель!D1="F1",INDEX(MatrixF1[],(Модель!A1048575-1+0.01)*100,(Модель!A1048576-1+0.02)*100), IF(Модель!D1="F2",INDEX(MatrixF2[],(Модель!A1048575-1+0.01)*100,(Модель!A1048576-1+0.02)*100), IF(Модель!D1="F3",INDEX(MatrixF3[],(Модель!A1048575-1+0.01)*100,(Модель!A1048576-1+0.02)*100), IF(Модель!D1="F4",INDEX(MatrixF4[],(Модель!A1048575-1+0.01)*100,(Модель!A1048576-1+0.02)*100), IF(Модель!D1="F5",INDEX(MatrixF5[],(Модель!A1048575-1+0.01)*100,(Модель!A1048576-1+0.02)*100),""))))))</definedName>
    <definedName name="Вычисление_1_2" localSheetId="4">IF(Модель!C1="F0",INDEX(MatrixF0[],(Модель!A1048575-1+0.01)*100,(Модель!A1048576-2+0.02)*100), IF(Модель!C1="F1",INDEX(MatrixF1[],(Модель!A1048575-1+0.01)*100,(Модель!A1048576-2+0.02)*100), IF(Модель!C1="F2",INDEX(MatrixF2[],(Модель!A1048575-1+0.01)*100,(Модель!A1048576-2+0.02)*100), IF(Модель!C1="F3",INDEX(MatrixF3[],(Модель!A1048575-1+0.01)*100,(Модель!A1048576-2+0.02)*100), IF(Модель!C1="F4",INDEX(MatrixF4[],(Модель!A1048575-1+0.01)*100,(Модель!A1048576-2+0.02)*100), IF(Модель!C1="F5",INDEX(MatrixF5[],(Модель!A1048575-1+0.01)*100,(Модель!A1048576-2+0.02)*100),""))))))</definedName>
    <definedName name="Вычисление_1_2" localSheetId="13">IF('Модель - Формы'!C1="F0",INDEX(MatrixF0[],('Модель - Формы'!A1048575-1+0.01)*100,('Модель - Формы'!A1048576-2+0.02)*100), IF('Модель - Формы'!C1="F1",INDEX(MatrixF1[],('Модель - Формы'!A1048575-1+0.01)*100,('Модель - Формы'!A1048576-2+0.02)*100), IF('Модель - Формы'!C1="F2",INDEX(MatrixF2[],('Модель - Формы'!A1048575-1+0.01)*100,('Модель - Формы'!A1048576-2+0.02)*100), IF('Модель - Формы'!C1="F3",INDEX(MatrixF3[],('Модель - Формы'!A1048575-1+0.01)*100,('Модель - Формы'!A1048576-2+0.02)*100), IF('Модель - Формы'!C1="F4",INDEX(MatrixF4[],('Модель - Формы'!A1048575-1+0.01)*100,('Модель - Формы'!A1048576-2+0.02)*100), IF('Модель - Формы'!C1="F5",INDEX(MatrixF5[],('Модель - Формы'!A1048575-1+0.01)*100,('Модель - Формы'!A1048576-2+0.02)*100),""))))))</definedName>
    <definedName name="Вычисление_1_2" localSheetId="1">IF(Модель!C1="F0",INDEX(MatrixF0[#Data],(Модель!A1048575-1+0.01)*100,(Модель!A1048576-2+0.02)*100), IF(Модель!C1="F1",INDEX(MatrixF1[#Data],(Модель!A1048575-1+0.01)*100,(Модель!A1048576-2+0.02)*100), IF(Модель!C1="F2",INDEX(MatrixF2[#Data],(Модель!A1048575-1+0.01)*100,(Модель!A1048576-2+0.02)*100), IF(Модель!C1="F3",INDEX(MatrixF3[#Data],(Модель!A1048575-1+0.01)*100,(Модель!A1048576-2+0.02)*100), IF(Модель!C1="F4",INDEX(MatrixF4[#Data],(Модель!A1048575-1+0.01)*100,(Модель!A1048576-2+0.02)*100), IF(Модель!C1="F5",INDEX(MatrixF5[#Data],(Модель!A1048575-1+0.01)*100,(Модель!A1048576-2+0.02)*100),""))))))</definedName>
    <definedName name="Вычисление_1_2" localSheetId="2">IF(Модель!C1="F0",INDEX(MatrixF0[],(Модель!A1048575-1+0.01)*100,(Модель!A1048576-2+0.02)*100), IF(Модель!C1="F1",INDEX(MatrixF1[],(Модель!A1048575-1+0.01)*100,(Модель!A1048576-2+0.02)*100), IF(Модель!C1="F2",INDEX(MatrixF2[],(Модель!A1048575-1+0.01)*100,(Модель!A1048576-2+0.02)*100), IF(Модель!C1="F3",INDEX(MatrixF3[],(Модель!A1048575-1+0.01)*100,(Модель!A1048576-2+0.02)*100), IF(Модель!C1="F4",INDEX(MatrixF4[],(Модель!A1048575-1+0.01)*100,(Модель!A1048576-2+0.02)*100), IF(Модель!C1="F5",INDEX(MatrixF5[],(Модель!A1048575-1+0.01)*100,(Модель!A1048576-2+0.02)*100),""))))))</definedName>
    <definedName name="Вычисление_1_2">IF(Модель!C1="F0",INDEX(MatrixF0[],(Модель!A1048575-1+0.01)*100,(Модель!A1048576-2+0.02)*100), IF(Модель!C1="F1",INDEX(MatrixF1[],(Модель!A1048575-1+0.01)*100,(Модель!A1048576-2+0.02)*100), IF(Модель!C1="F2",INDEX(MatrixF2[],(Модель!A1048575-1+0.01)*100,(Модель!A1048576-2+0.02)*100), IF(Модель!C1="F3",INDEX(MatrixF3[],(Модель!A1048575-1+0.01)*100,(Модель!A1048576-2+0.02)*100), IF(Модель!C1="F4",INDEX(MatrixF4[],(Модель!A1048575-1+0.01)*100,(Модель!A1048576-2+0.02)*100), IF(Модель!C1="F5",INDEX(MatrixF5[],(Модель!A1048575-1+0.01)*100,(Модель!A1048576-2+0.02)*100),""))))))</definedName>
    <definedName name="Вычисление_1_3" localSheetId="4">IF(Модель!B1="F0",INDEX(MatrixF0[],(Модель!A1048575-1+0.01)*100,(Модель!A1048576-3+0.02)*100), IF(Модель!B1="F1",INDEX(MatrixF1[],(Модель!A1048575-1+0.01)*100,(Модель!A1048576-3+0.02)*100), IF(Модель!B1="F2",INDEX(MatrixF2[],(Модель!A1048575-1+0.01)*100,(Модель!A1048576-3+0.02)*100), IF(Модель!B1="F3",INDEX(MatrixF3[],(Модель!A1048575-1+0.01)*100,(Модель!A1048576-3+0.02)*100), IF(Модель!B1="F4",INDEX(MatrixF4[],(Модель!A1048575-1+0.01)*100,(Модель!A1048576-3+0.02)*100), IF(Модель!B1="F5",INDEX(MatrixF5[],(Модель!A1048575-1+0.01)*100,(Модель!A1048576-3+0.02)*100),""))))))</definedName>
    <definedName name="Вычисление_1_3" localSheetId="13">IF('Модель - Формы'!B1="F0",INDEX(MatrixF0[],('Модель - Формы'!A1048575-1+0.01)*100,('Модель - Формы'!A1048576-3+0.02)*100), IF('Модель - Формы'!B1="F1",INDEX(MatrixF1[],('Модель - Формы'!A1048575-1+0.01)*100,('Модель - Формы'!A1048576-3+0.02)*100), IF('Модель - Формы'!B1="F2",INDEX(MatrixF2[],('Модель - Формы'!A1048575-1+0.01)*100,('Модель - Формы'!A1048576-3+0.02)*100), IF('Модель - Формы'!B1="F3",INDEX(MatrixF3[],('Модель - Формы'!A1048575-1+0.01)*100,('Модель - Формы'!A1048576-3+0.02)*100), IF('Модель - Формы'!B1="F4",INDEX(MatrixF4[],('Модель - Формы'!A1048575-1+0.01)*100,('Модель - Формы'!A1048576-3+0.02)*100), IF('Модель - Формы'!B1="F5",INDEX(MatrixF5[],('Модель - Формы'!A1048575-1+0.01)*100,('Модель - Формы'!A1048576-3+0.02)*100),""))))))</definedName>
    <definedName name="Вычисление_1_3" localSheetId="1">IF(Модель!B1="F0",INDEX(MatrixF0[#Data],(Модель!A1048575-1+0.01)*100,(Модель!A1048576-3+0.02)*100), IF(Модель!B1="F1",INDEX(MatrixF1[#Data],(Модель!A1048575-1+0.01)*100,(Модель!A1048576-3+0.02)*100), IF(Модель!B1="F2",INDEX(MatrixF2[#Data],(Модель!A1048575-1+0.01)*100,(Модель!A1048576-3+0.02)*100), IF(Модель!B1="F3",INDEX(MatrixF3[#Data],(Модель!A1048575-1+0.01)*100,(Модель!A1048576-3+0.02)*100), IF(Модель!B1="F4",INDEX(MatrixF4[#Data],(Модель!A1048575-1+0.01)*100,(Модель!A1048576-3+0.02)*100), IF(Модель!B1="F5",INDEX(MatrixF5[#Data],(Модель!A1048575-1+0.01)*100,(Модель!A1048576-3+0.02)*100),""))))))</definedName>
    <definedName name="Вычисление_1_3" localSheetId="2">IF(Модель!B1="F0",INDEX(MatrixF0[],(Модель!A1048575-1+0.01)*100,(Модель!A1048576-3+0.02)*100), IF(Модель!B1="F1",INDEX(MatrixF1[],(Модель!A1048575-1+0.01)*100,(Модель!A1048576-3+0.02)*100), IF(Модель!B1="F2",INDEX(MatrixF2[],(Модель!A1048575-1+0.01)*100,(Модель!A1048576-3+0.02)*100), IF(Модель!B1="F3",INDEX(MatrixF3[],(Модель!A1048575-1+0.01)*100,(Модель!A1048576-3+0.02)*100), IF(Модель!B1="F4",INDEX(MatrixF4[],(Модель!A1048575-1+0.01)*100,(Модель!A1048576-3+0.02)*100), IF(Модель!B1="F5",INDEX(MatrixF5[],(Модель!A1048575-1+0.01)*100,(Модель!A1048576-3+0.02)*100),""))))))</definedName>
    <definedName name="Вычисление_1_3">IF(Модель!B1="F0",INDEX(MatrixF0[],(Модель!A1048575-1+0.01)*100,(Модель!A1048576-3+0.02)*100), IF(Модель!B1="F1",INDEX(MatrixF1[],(Модель!A1048575-1+0.01)*100,(Модель!A1048576-3+0.02)*100), IF(Модель!B1="F2",INDEX(MatrixF2[],(Модель!A1048575-1+0.01)*100,(Модель!A1048576-3+0.02)*100), IF(Модель!B1="F3",INDEX(MatrixF3[],(Модель!A1048575-1+0.01)*100,(Модель!A1048576-3+0.02)*100), IF(Модель!B1="F4",INDEX(MatrixF4[],(Модель!A1048575-1+0.01)*100,(Модель!A1048576-3+0.02)*100), IF(Модель!B1="F5",INDEX(MatrixF5[],(Модель!A1048575-1+0.01)*100,(Модель!A1048576-3+0.02)*100),""))))))</definedName>
    <definedName name="Вычисление_2_1" localSheetId="4">IF(Модель!D1048576="F0",INDEX(MatrixF0[],(Модель!A1048575-2+0.01)*100,(Модель!A1048576-1+0.02)*100), IF(Модель!D1048576="F1",INDEX(MatrixF1[],(Модель!A1048575-2+0.01)*100,(Модель!A1048576-1+0.02)*100), IF(Модель!D1048576="F2",INDEX(MatrixF2[],(Модель!A1048575-2+0.01)*100,(Модель!A1048576-1+0.02)*100), IF(Модель!D1048576="F3",INDEX(MatrixF3[],(Модель!A1048575-2+0.01)*100,(Модель!A1048576-1+0.02)*100), IF(Модель!D1048576="F4",INDEX(MatrixF4[],(Модель!A1048575-2+0.01)*100,(Модель!A1048576-1+0.02)*100), IF(Модель!D1048576="F5",INDEX(MatrixF5[],(Модель!A1048575-2+0.01)*100,(Модель!A1048576-1+0.02)*100),""))))))</definedName>
    <definedName name="Вычисление_2_1" localSheetId="13">IF('Модель - Формы'!D1048576="F0",INDEX(MatrixF0[],('Модель - Формы'!A1048575-2+0.01)*100,('Модель - Формы'!A1048576-1+0.02)*100), IF('Модель - Формы'!D1048576="F1",INDEX(MatrixF1[],('Модель - Формы'!A1048575-2+0.01)*100,('Модель - Формы'!A1048576-1+0.02)*100), IF('Модель - Формы'!D1048576="F2",INDEX(MatrixF2[],('Модель - Формы'!A1048575-2+0.01)*100,('Модель - Формы'!A1048576-1+0.02)*100), IF('Модель - Формы'!D1048576="F3",INDEX(MatrixF3[],('Модель - Формы'!A1048575-2+0.01)*100,('Модель - Формы'!A1048576-1+0.02)*100), IF('Модель - Формы'!D1048576="F4",INDEX(MatrixF4[],('Модель - Формы'!A1048575-2+0.01)*100,('Модель - Формы'!A1048576-1+0.02)*100), IF('Модель - Формы'!D1048576="F5",INDEX(MatrixF5[],('Модель - Формы'!A1048575-2+0.01)*100,('Модель - Формы'!A1048576-1+0.02)*100),""))))))</definedName>
    <definedName name="Вычисление_2_1" localSheetId="1">IF(Модель!D1048576="F0",INDEX(MatrixF0[#Data],(Модель!A1048575-2+0.01)*100,(Модель!A1048576-1+0.02)*100), IF(Модель!D1048576="F1",INDEX(MatrixF1[#Data],(Модель!A1048575-2+0.01)*100,(Модель!A1048576-1+0.02)*100), IF(Модель!D1048576="F2",INDEX(MatrixF2[#Data],(Модель!A1048575-2+0.01)*100,(Модель!A1048576-1+0.02)*100), IF(Модель!D1048576="F3",INDEX(MatrixF3[#Data],(Модель!A1048575-2+0.01)*100,(Модель!A1048576-1+0.02)*100), IF(Модель!D1048576="F4",INDEX(MatrixF4[#Data],(Модель!A1048575-2+0.01)*100,(Модель!A1048576-1+0.02)*100), IF(Модель!D1048576="F5",INDEX(MatrixF5[#Data],(Модель!A1048575-2+0.01)*100,(Модель!A1048576-1+0.02)*100),""))))))</definedName>
    <definedName name="Вычисление_2_1" localSheetId="2">IF(Модель!D1048576="F0",INDEX(MatrixF0[],(Модель!A1048575-2+0.01)*100,(Модель!A1048576-1+0.02)*100), IF(Модель!D1048576="F1",INDEX(MatrixF1[],(Модель!A1048575-2+0.01)*100,(Модель!A1048576-1+0.02)*100), IF(Модель!D1048576="F2",INDEX(MatrixF2[],(Модель!A1048575-2+0.01)*100,(Модель!A1048576-1+0.02)*100), IF(Модель!D1048576="F3",INDEX(MatrixF3[],(Модель!A1048575-2+0.01)*100,(Модель!A1048576-1+0.02)*100), IF(Модель!D1048576="F4",INDEX(MatrixF4[],(Модель!A1048575-2+0.01)*100,(Модель!A1048576-1+0.02)*100), IF(Модель!D1048576="F5",INDEX(MatrixF5[],(Модель!A1048575-2+0.01)*100,(Модель!A1048576-1+0.02)*100),""))))))</definedName>
    <definedName name="Вычисление_2_1">IF(Модель!D1048576="F0",INDEX(MatrixF0[],(Модель!A1048575-2+0.01)*100,(Модель!A1048576-1+0.02)*100), IF(Модель!D1048576="F1",INDEX(MatrixF1[],(Модель!A1048575-2+0.01)*100,(Модель!A1048576-1+0.02)*100), IF(Модель!D1048576="F2",INDEX(MatrixF2[],(Модель!A1048575-2+0.01)*100,(Модель!A1048576-1+0.02)*100), IF(Модель!D1048576="F3",INDEX(MatrixF3[],(Модель!A1048575-2+0.01)*100,(Модель!A1048576-1+0.02)*100), IF(Модель!D1048576="F4",INDEX(MatrixF4[],(Модель!A1048575-2+0.01)*100,(Модель!A1048576-1+0.02)*100), IF(Модель!D1048576="F5",INDEX(MatrixF5[],(Модель!A1048575-2+0.01)*100,(Модель!A1048576-1+0.02)*100),""))))))</definedName>
    <definedName name="Вычисление_2_2" localSheetId="4">IF(Модель!C1048576="F0",INDEX(MatrixF0[],(Модель!A1048575-2+0.01)*100,(Модель!A1048576-2+0.02)*100), IF(Модель!C1048576="F1",INDEX(MatrixF1[],(Модель!A1048575-2+0.01)*100,(Модель!A1048576-2+0.02)*100), IF(Модель!C1048576="F2",INDEX(MatrixF2[],(Модель!A1048575-2+0.01)*100,(Модель!A1048576-2+0.02)*100), IF(Модель!C1048576="F3",INDEX(MatrixF3[],(Модель!A1048575-2+0.01)*100,(Модель!A1048576-2+0.02)*100), IF(Модель!C1048576="F4",INDEX(MatrixF4[],(Модель!A1048575-2+0.01)*100,(Модель!A1048576-2+0.02)*100), IF(Модель!C1048576="F5",INDEX(MatrixF5[],(Модель!A1048575-2+0.01)*100,(Модель!A1048576-2+0.02)*100),""))))))</definedName>
    <definedName name="Вычисление_2_2" localSheetId="13">IF('Модель - Формы'!C1048576="F0",INDEX(MatrixF0[],('Модель - Формы'!A1048575-2+0.01)*100,('Модель - Формы'!A1048576-2+0.02)*100), IF('Модель - Формы'!C1048576="F1",INDEX(MatrixF1[],('Модель - Формы'!A1048575-2+0.01)*100,('Модель - Формы'!A1048576-2+0.02)*100), IF('Модель - Формы'!C1048576="F2",INDEX(MatrixF2[],('Модель - Формы'!A1048575-2+0.01)*100,('Модель - Формы'!A1048576-2+0.02)*100), IF('Модель - Формы'!C1048576="F3",INDEX(MatrixF3[],('Модель - Формы'!A1048575-2+0.01)*100,('Модель - Формы'!A1048576-2+0.02)*100), IF('Модель - Формы'!C1048576="F4",INDEX(MatrixF4[],('Модель - Формы'!A1048575-2+0.01)*100,('Модель - Формы'!A1048576-2+0.02)*100), IF('Модель - Формы'!C1048576="F5",INDEX(MatrixF5[],('Модель - Формы'!A1048575-2+0.01)*100,('Модель - Формы'!A1048576-2+0.02)*100),""))))))</definedName>
    <definedName name="Вычисление_2_2" localSheetId="1">IF(Модель!C1048576="F0",INDEX(MatrixF0[#Data],(Модель!A1048575-2+0.01)*100,(Модель!A1048576-2+0.02)*100), IF(Модель!C1048576="F1",INDEX(MatrixF1[#Data],(Модель!A1048575-2+0.01)*100,(Модель!A1048576-2+0.02)*100), IF(Модель!C1048576="F2",INDEX(MatrixF2[#Data],(Модель!A1048575-2+0.01)*100,(Модель!A1048576-2+0.02)*100), IF(Модель!C1048576="F3",INDEX(MatrixF3[#Data],(Модель!A1048575-2+0.01)*100,(Модель!A1048576-2+0.02)*100), IF(Модель!C1048576="F4",INDEX(MatrixF4[#Data],(Модель!A1048575-2+0.01)*100,(Модель!A1048576-2+0.02)*100), IF(Модель!C1048576="F5",INDEX(MatrixF5[#Data],(Модель!A1048575-2+0.01)*100,(Модель!A1048576-2+0.02)*100),""))))))</definedName>
    <definedName name="Вычисление_2_2" localSheetId="2">IF(Модель!C1048576="F0",INDEX(MatrixF0[],(Модель!A1048575-2+0.01)*100,(Модель!A1048576-2+0.02)*100), IF(Модель!C1048576="F1",INDEX(MatrixF1[],(Модель!A1048575-2+0.01)*100,(Модель!A1048576-2+0.02)*100), IF(Модель!C1048576="F2",INDEX(MatrixF2[],(Модель!A1048575-2+0.01)*100,(Модель!A1048576-2+0.02)*100), IF(Модель!C1048576="F3",INDEX(MatrixF3[],(Модель!A1048575-2+0.01)*100,(Модель!A1048576-2+0.02)*100), IF(Модель!C1048576="F4",INDEX(MatrixF4[],(Модель!A1048575-2+0.01)*100,(Модель!A1048576-2+0.02)*100), IF(Модель!C1048576="F5",INDEX(MatrixF5[],(Модель!A1048575-2+0.01)*100,(Модель!A1048576-2+0.02)*100),""))))))</definedName>
    <definedName name="Вычисление_2_2">IF(Модель!C1048576="F0",INDEX(MatrixF0[],(Модель!A1048575-2+0.01)*100,(Модель!A1048576-2+0.02)*100), IF(Модель!C1048576="F1",INDEX(MatrixF1[],(Модель!A1048575-2+0.01)*100,(Модель!A1048576-2+0.02)*100), IF(Модель!C1048576="F2",INDEX(MatrixF2[],(Модель!A1048575-2+0.01)*100,(Модель!A1048576-2+0.02)*100), IF(Модель!C1048576="F3",INDEX(MatrixF3[],(Модель!A1048575-2+0.01)*100,(Модель!A1048576-2+0.02)*100), IF(Модель!C1048576="F4",INDEX(MatrixF4[],(Модель!A1048575-2+0.01)*100,(Модель!A1048576-2+0.02)*100), IF(Модель!C1048576="F5",INDEX(MatrixF5[],(Модель!A1048575-2+0.01)*100,(Модель!A1048576-2+0.02)*100),""))))))</definedName>
    <definedName name="Вычисление_2_3" localSheetId="4">IF(Модель!B1048576="F0",INDEX(MatrixF0[],(Модель!A1048575-2+0.01)*100,(Модель!A1048576-3+0.02)*100), IF(Модель!B1048576="F1",INDEX(MatrixF1[],(Модель!A1048575-2+0.01)*100,(Модель!A1048576-3+0.02)*100), IF(Модель!B1048576="F2",INDEX(MatrixF2[],(Модель!A1048575-2+0.01)*100,(Модель!A1048576-3+0.02)*100), IF(Модель!B1048576="F3",INDEX(MatrixF3[],(Модель!A1048575-2+0.01)*100,(Модель!A1048576-3+0.02)*100), IF(Модель!B1048576="F4",INDEX(MatrixF4[],(Модель!A1048575-2+0.01)*100,(Модель!A1048576-3+0.02)*100), IF(Модель!B1048576="F5",INDEX(MatrixF5[],(Модель!A1048575-2+0.01)*100,(Модель!A1048576-3+0.02)*100),""))))))</definedName>
    <definedName name="Вычисление_2_3" localSheetId="13">IF('Модель - Формы'!B1048576="F0",INDEX(MatrixF0[],('Модель - Формы'!A1048575-2+0.01)*100,('Модель - Формы'!A1048576-3+0.02)*100), IF('Модель - Формы'!B1048576="F1",INDEX(MatrixF1[],('Модель - Формы'!A1048575-2+0.01)*100,('Модель - Формы'!A1048576-3+0.02)*100), IF('Модель - Формы'!B1048576="F2",INDEX(MatrixF2[],('Модель - Формы'!A1048575-2+0.01)*100,('Модель - Формы'!A1048576-3+0.02)*100), IF('Модель - Формы'!B1048576="F3",INDEX(MatrixF3[],('Модель - Формы'!A1048575-2+0.01)*100,('Модель - Формы'!A1048576-3+0.02)*100), IF('Модель - Формы'!B1048576="F4",INDEX(MatrixF4[],('Модель - Формы'!A1048575-2+0.01)*100,('Модель - Формы'!A1048576-3+0.02)*100), IF('Модель - Формы'!B1048576="F5",INDEX(MatrixF5[],('Модель - Формы'!A1048575-2+0.01)*100,('Модель - Формы'!A1048576-3+0.02)*100),""))))))</definedName>
    <definedName name="Вычисление_2_3" localSheetId="1">IF(Модель!B1048576="F0",INDEX(MatrixF0[#Data],(Модель!A1048575-2+0.01)*100,(Модель!A1048576-3+0.02)*100), IF(Модель!B1048576="F1",INDEX(MatrixF1[#Data],(Модель!A1048575-2+0.01)*100,(Модель!A1048576-3+0.02)*100), IF(Модель!B1048576="F2",INDEX(MatrixF2[#Data],(Модель!A1048575-2+0.01)*100,(Модель!A1048576-3+0.02)*100), IF(Модель!B1048576="F3",INDEX(MatrixF3[#Data],(Модель!A1048575-2+0.01)*100,(Модель!A1048576-3+0.02)*100), IF(Модель!B1048576="F4",INDEX(MatrixF4[#Data],(Модель!A1048575-2+0.01)*100,(Модель!A1048576-3+0.02)*100), IF(Модель!B1048576="F5",INDEX(MatrixF5[#Data],(Модель!A1048575-2+0.01)*100,(Модель!A1048576-3+0.02)*100),""))))))</definedName>
    <definedName name="Вычисление_2_3" localSheetId="2">IF(Модель!B1048576="F0",INDEX(MatrixF0[],(Модель!A1048575-2+0.01)*100,(Модель!A1048576-3+0.02)*100), IF(Модель!B1048576="F1",INDEX(MatrixF1[],(Модель!A1048575-2+0.01)*100,(Модель!A1048576-3+0.02)*100), IF(Модель!B1048576="F2",INDEX(MatrixF2[],(Модель!A1048575-2+0.01)*100,(Модель!A1048576-3+0.02)*100), IF(Модель!B1048576="F3",INDEX(MatrixF3[],(Модель!A1048575-2+0.01)*100,(Модель!A1048576-3+0.02)*100), IF(Модель!B1048576="F4",INDEX(MatrixF4[],(Модель!A1048575-2+0.01)*100,(Модель!A1048576-3+0.02)*100), IF(Модель!B1048576="F5",INDEX(MatrixF5[],(Модель!A1048575-2+0.01)*100,(Модель!A1048576-3+0.02)*100),""))))))</definedName>
    <definedName name="Вычисление_2_3">IF(Модель!B1048576="F0",INDEX(MatrixF0[],(Модель!A1048575-2+0.01)*100,(Модель!A1048576-3+0.02)*100), IF(Модель!B1048576="F1",INDEX(MatrixF1[],(Модель!A1048575-2+0.01)*100,(Модель!A1048576-3+0.02)*100), IF(Модель!B1048576="F2",INDEX(MatrixF2[],(Модель!A1048575-2+0.01)*100,(Модель!A1048576-3+0.02)*100), IF(Модель!B1048576="F3",INDEX(MatrixF3[],(Модель!A1048575-2+0.01)*100,(Модель!A1048576-3+0.02)*100), IF(Модель!B1048576="F4",INDEX(MatrixF4[],(Модель!A1048575-2+0.01)*100,(Модель!A1048576-3+0.02)*100), IF(Модель!B1048576="F5",INDEX(MatrixF5[],(Модель!A1048575-2+0.01)*100,(Модель!A1048576-3+0.02)*100),""))))))</definedName>
    <definedName name="Вычисление_3_1" localSheetId="4">IF(Модель!D1048575="F0",INDEX(MatrixF0[],(Модель!A1048575-3+0.01)*100,(Модель!A1048576-1+0.02)*100), IF(Модель!D1048575="F1",INDEX(MatrixF1[],(Модель!A1048575-3+0.01)*100,(Модель!A1048576-1+0.02)*100), IF(Модель!D1048575="F2",INDEX(MatrixF2[],(Модель!A1048575-3+0.01)*100,(Модель!A1048576-1+0.02)*100), IF(Модель!D1048575="F3",INDEX(MatrixF3[],(Модель!A1048575-3+0.01)*100,(Модель!A1048576-1+0.02)*100), IF(Модель!D1048575="F4",INDEX(MatrixF4[],(Модель!A1048575-3+0.01)*100,(Модель!A1048576-1+0.02)*100), IF(Модель!D1048575="F5",INDEX(MatrixF5[],(Модель!A1048575-3+0.01)*100,(Модель!A1048576-1+0.02)*100),""))))))</definedName>
    <definedName name="Вычисление_3_1" localSheetId="13">IF('Модель - Формы'!D1048575="F0",INDEX(MatrixF0[],('Модель - Формы'!A1048575-3+0.01)*100,('Модель - Формы'!A1048576-1+0.02)*100), IF('Модель - Формы'!D1048575="F1",INDEX(MatrixF1[],('Модель - Формы'!A1048575-3+0.01)*100,('Модель - Формы'!A1048576-1+0.02)*100), IF('Модель - Формы'!D1048575="F2",INDEX(MatrixF2[],('Модель - Формы'!A1048575-3+0.01)*100,('Модель - Формы'!A1048576-1+0.02)*100), IF('Модель - Формы'!D1048575="F3",INDEX(MatrixF3[],('Модель - Формы'!A1048575-3+0.01)*100,('Модель - Формы'!A1048576-1+0.02)*100), IF('Модель - Формы'!D1048575="F4",INDEX(MatrixF4[],('Модель - Формы'!A1048575-3+0.01)*100,('Модель - Формы'!A1048576-1+0.02)*100), IF('Модель - Формы'!D1048575="F5",INDEX(MatrixF5[],('Модель - Формы'!A1048575-3+0.01)*100,('Модель - Формы'!A1048576-1+0.02)*100),""))))))</definedName>
    <definedName name="Вычисление_3_1" localSheetId="1">IF(Модель!D1048575="F0",INDEX(MatrixF0[#Data],(Модель!A1048575-3+0.01)*100,(Модель!A1048576-1+0.02)*100), IF(Модель!D1048575="F1",INDEX(MatrixF1[#Data],(Модель!A1048575-3+0.01)*100,(Модель!A1048576-1+0.02)*100), IF(Модель!D1048575="F2",INDEX(MatrixF2[#Data],(Модель!A1048575-3+0.01)*100,(Модель!A1048576-1+0.02)*100), IF(Модель!D1048575="F3",INDEX(MatrixF3[#Data],(Модель!A1048575-3+0.01)*100,(Модель!A1048576-1+0.02)*100), IF(Модель!D1048575="F4",INDEX(MatrixF4[#Data],(Модель!A1048575-3+0.01)*100,(Модель!A1048576-1+0.02)*100), IF(Модель!D1048575="F5",INDEX(MatrixF5[#Data],(Модель!A1048575-3+0.01)*100,(Модель!A1048576-1+0.02)*100),""))))))</definedName>
    <definedName name="Вычисление_3_1" localSheetId="2">IF(Модель!D1048575="F0",INDEX(MatrixF0[],(Модель!A1048575-3+0.01)*100,(Модель!A1048576-1+0.02)*100), IF(Модель!D1048575="F1",INDEX(MatrixF1[],(Модель!A1048575-3+0.01)*100,(Модель!A1048576-1+0.02)*100), IF(Модель!D1048575="F2",INDEX(MatrixF2[],(Модель!A1048575-3+0.01)*100,(Модель!A1048576-1+0.02)*100), IF(Модель!D1048575="F3",INDEX(MatrixF3[],(Модель!A1048575-3+0.01)*100,(Модель!A1048576-1+0.02)*100), IF(Модель!D1048575="F4",INDEX(MatrixF4[],(Модель!A1048575-3+0.01)*100,(Модель!A1048576-1+0.02)*100), IF(Модель!D1048575="F5",INDEX(MatrixF5[],(Модель!A1048575-3+0.01)*100,(Модель!A1048576-1+0.02)*100),""))))))</definedName>
    <definedName name="Вычисление_3_1">IF(Модель!D1048575="F0",INDEX(MatrixF0[],(Модель!A1048575-3+0.01)*100,(Модель!A1048576-1+0.02)*100), IF(Модель!D1048575="F1",INDEX(MatrixF1[],(Модель!A1048575-3+0.01)*100,(Модель!A1048576-1+0.02)*100), IF(Модель!D1048575="F2",INDEX(MatrixF2[],(Модель!A1048575-3+0.01)*100,(Модель!A1048576-1+0.02)*100), IF(Модель!D1048575="F3",INDEX(MatrixF3[],(Модель!A1048575-3+0.01)*100,(Модель!A1048576-1+0.02)*100), IF(Модель!D1048575="F4",INDEX(MatrixF4[],(Модель!A1048575-3+0.01)*100,(Модель!A1048576-1+0.02)*100), IF(Модель!D1048575="F5",INDEX(MatrixF5[],(Модель!A1048575-3+0.01)*100,(Модель!A1048576-1+0.02)*100),""))))))</definedName>
    <definedName name="Вычисление_3_2" localSheetId="4">IF(Модель!C1048575="F0",INDEX(MatrixF0[],(Модель!A1048575-3+0.01)*100,(Модель!A1048576-2+0.02)*100), IF(Модель!C1048575="F1",INDEX(MatrixF1[],(Модель!A1048575-3+0.01)*100,(Модель!A1048576-2+0.02)*100), IF(Модель!C1048575="F2",INDEX(MatrixF2[],(Модель!A1048575-3+0.01)*100,(Модель!A1048576-2+0.02)*100), IF(Модель!C1048575="F3",INDEX(MatrixF3[],(Модель!A1048575-3+0.01)*100,(Модель!A1048576-2+0.02)*100), IF(Модель!C1048575="F4",INDEX(MatrixF4[],(Модель!A1048575-3+0.01)*100,(Модель!A1048576-2+0.02)*100), IF(Модель!C1048575="F5",INDEX(MatrixF5[],(Модель!A1048575-3+0.01)*100,(Модель!A1048576-2+0.02)*100),""))))))</definedName>
    <definedName name="Вычисление_3_2" localSheetId="13">IF('Модель - Формы'!C1048575="F0",INDEX(MatrixF0[],('Модель - Формы'!A1048575-3+0.01)*100,('Модель - Формы'!A1048576-2+0.02)*100), IF('Модель - Формы'!C1048575="F1",INDEX(MatrixF1[],('Модель - Формы'!A1048575-3+0.01)*100,('Модель - Формы'!A1048576-2+0.02)*100), IF('Модель - Формы'!C1048575="F2",INDEX(MatrixF2[],('Модель - Формы'!A1048575-3+0.01)*100,('Модель - Формы'!A1048576-2+0.02)*100), IF('Модель - Формы'!C1048575="F3",INDEX(MatrixF3[],('Модель - Формы'!A1048575-3+0.01)*100,('Модель - Формы'!A1048576-2+0.02)*100), IF('Модель - Формы'!C1048575="F4",INDEX(MatrixF4[],('Модель - Формы'!A1048575-3+0.01)*100,('Модель - Формы'!A1048576-2+0.02)*100), IF('Модель - Формы'!C1048575="F5",INDEX(MatrixF5[],('Модель - Формы'!A1048575-3+0.01)*100,('Модель - Формы'!A1048576-2+0.02)*100),""))))))</definedName>
    <definedName name="Вычисление_3_2" localSheetId="1">IF(Модель!C1048575="F0",INDEX(MatrixF0[#Data],(Модель!A1048575-3+0.01)*100,(Модель!A1048576-2+0.02)*100), IF(Модель!C1048575="F1",INDEX(MatrixF1[#Data],(Модель!A1048575-3+0.01)*100,(Модель!A1048576-2+0.02)*100), IF(Модель!C1048575="F2",INDEX(MatrixF2[#Data],(Модель!A1048575-3+0.01)*100,(Модель!A1048576-2+0.02)*100), IF(Модель!C1048575="F3",INDEX(MatrixF3[#Data],(Модель!A1048575-3+0.01)*100,(Модель!A1048576-2+0.02)*100), IF(Модель!C1048575="F4",INDEX(MatrixF4[#Data],(Модель!A1048575-3+0.01)*100,(Модель!A1048576-2+0.02)*100), IF(Модель!C1048575="F5",INDEX(MatrixF5[#Data],(Модель!A1048575-3+0.01)*100,(Модель!A1048576-2+0.02)*100),""))))))</definedName>
    <definedName name="Вычисление_3_2" localSheetId="2">IF(Модель!C1048575="F0",INDEX(MatrixF0[],(Модель!A1048575-3+0.01)*100,(Модель!A1048576-2+0.02)*100), IF(Модель!C1048575="F1",INDEX(MatrixF1[],(Модель!A1048575-3+0.01)*100,(Модель!A1048576-2+0.02)*100), IF(Модель!C1048575="F2",INDEX(MatrixF2[],(Модель!A1048575-3+0.01)*100,(Модель!A1048576-2+0.02)*100), IF(Модель!C1048575="F3",INDEX(MatrixF3[],(Модель!A1048575-3+0.01)*100,(Модель!A1048576-2+0.02)*100), IF(Модель!C1048575="F4",INDEX(MatrixF4[],(Модель!A1048575-3+0.01)*100,(Модель!A1048576-2+0.02)*100), IF(Модель!C1048575="F5",INDEX(MatrixF5[],(Модель!A1048575-3+0.01)*100,(Модель!A1048576-2+0.02)*100),""))))))</definedName>
    <definedName name="Вычисление_3_2">IF(Модель!C1048575="F0",INDEX(MatrixF0[],(Модель!A1048575-3+0.01)*100,(Модель!A1048576-2+0.02)*100), IF(Модель!C1048575="F1",INDEX(MatrixF1[],(Модель!A1048575-3+0.01)*100,(Модель!A1048576-2+0.02)*100), IF(Модель!C1048575="F2",INDEX(MatrixF2[],(Модель!A1048575-3+0.01)*100,(Модель!A1048576-2+0.02)*100), IF(Модель!C1048575="F3",INDEX(MatrixF3[],(Модель!A1048575-3+0.01)*100,(Модель!A1048576-2+0.02)*100), IF(Модель!C1048575="F4",INDEX(MatrixF4[],(Модель!A1048575-3+0.01)*100,(Модель!A1048576-2+0.02)*100), IF(Модель!C1048575="F5",INDEX(MatrixF5[],(Модель!A1048575-3+0.01)*100,(Модель!A1048576-2+0.02)*100),""))))))</definedName>
    <definedName name="Вычисление_3_3" localSheetId="4">IF(Модель!B1048575="F0",INDEX(MatrixF0[],(Модель!A1048575-3+0.01)*100,(Модель!A1048576-3+0.02)*100), IF(Модель!B1048575="F1",INDEX(MatrixF1[],(Модель!A1048575-3+0.01)*100,(Модель!A1048576-3+0.02)*100), IF(Модель!B1048575="F2",INDEX(MatrixF2[],(Модель!A1048575-3+0.01)*100,(Модель!A1048576-3+0.02)*100), IF(Модель!B1048575="F3",INDEX(MatrixF3[],(Модель!A1048575-3+0.01)*100,(Модель!A1048576-3+0.02)*100), IF(Модель!B1048575="F4",INDEX(MatrixF4[],(Модель!A1048575-3+0.01)*100,(Модель!A1048576-3+0.02)*100), IF(Модель!B1048575="F5",INDEX(MatrixF5[],(Модель!A1048575-3+0.01)*100,(Модель!A1048576-3+0.02)*100),""))))))</definedName>
    <definedName name="Вычисление_3_3" localSheetId="13">IF('Модель - Формы'!B1048575="F0",INDEX(MatrixF0[],('Модель - Формы'!A1048575-3+0.01)*100,('Модель - Формы'!A1048576-3+0.02)*100), IF('Модель - Формы'!B1048575="F1",INDEX(MatrixF1[],('Модель - Формы'!A1048575-3+0.01)*100,('Модель - Формы'!A1048576-3+0.02)*100), IF('Модель - Формы'!B1048575="F2",INDEX(MatrixF2[],('Модель - Формы'!A1048575-3+0.01)*100,('Модель - Формы'!A1048576-3+0.02)*100), IF('Модель - Формы'!B1048575="F3",INDEX(MatrixF3[],('Модель - Формы'!A1048575-3+0.01)*100,('Модель - Формы'!A1048576-3+0.02)*100), IF('Модель - Формы'!B1048575="F4",INDEX(MatrixF4[],('Модель - Формы'!A1048575-3+0.01)*100,('Модель - Формы'!A1048576-3+0.02)*100), IF('Модель - Формы'!B1048575="F5",INDEX(MatrixF5[],('Модель - Формы'!A1048575-3+0.01)*100,('Модель - Формы'!A1048576-3+0.02)*100),""))))))</definedName>
    <definedName name="Вычисление_3_3" localSheetId="1">IF(Модель!B1048575="F0",INDEX(MatrixF0[#Data],(Модель!A1048575-3+0.01)*100,(Модель!A1048576-3+0.02)*100), IF(Модель!B1048575="F1",INDEX(MatrixF1[#Data],(Модель!A1048575-3+0.01)*100,(Модель!A1048576-3+0.02)*100), IF(Модель!B1048575="F2",INDEX(MatrixF2[#Data],(Модель!A1048575-3+0.01)*100,(Модель!A1048576-3+0.02)*100), IF(Модель!B1048575="F3",INDEX(MatrixF3[#Data],(Модель!A1048575-3+0.01)*100,(Модель!A1048576-3+0.02)*100), IF(Модель!B1048575="F4",INDEX(MatrixF4[#Data],(Модель!A1048575-3+0.01)*100,(Модель!A1048576-3+0.02)*100), IF(Модель!B1048575="F5",INDEX(MatrixF5[#Data],(Модель!A1048575-3+0.01)*100,(Модель!A1048576-3+0.02)*100),""))))))</definedName>
    <definedName name="Вычисление_3_3" localSheetId="2">IF(Модель!B1048575="F0",INDEX(MatrixF0[],(Модель!A1048575-3+0.01)*100,(Модель!A1048576-3+0.02)*100), IF(Модель!B1048575="F1",INDEX(MatrixF1[],(Модель!A1048575-3+0.01)*100,(Модель!A1048576-3+0.02)*100), IF(Модель!B1048575="F2",INDEX(MatrixF2[],(Модель!A1048575-3+0.01)*100,(Модель!A1048576-3+0.02)*100), IF(Модель!B1048575="F3",INDEX(MatrixF3[],(Модель!A1048575-3+0.01)*100,(Модель!A1048576-3+0.02)*100), IF(Модель!B1048575="F4",INDEX(MatrixF4[],(Модель!A1048575-3+0.01)*100,(Модель!A1048576-3+0.02)*100), IF(Модель!B1048575="F5",INDEX(MatrixF5[],(Модель!A1048575-3+0.01)*100,(Модель!A1048576-3+0.02)*100),""))))))</definedName>
    <definedName name="Вычисление_3_3">IF(Модель!B1048575="F0",INDEX(MatrixF0[],(Модель!A1048575-3+0.01)*100,(Модель!A1048576-3+0.02)*100), IF(Модель!B1048575="F1",INDEX(MatrixF1[],(Модель!A1048575-3+0.01)*100,(Модель!A1048576-3+0.02)*100), IF(Модель!B1048575="F2",INDEX(MatrixF2[],(Модель!A1048575-3+0.01)*100,(Модель!A1048576-3+0.02)*100), IF(Модель!B1048575="F3",INDEX(MatrixF3[],(Модель!A1048575-3+0.01)*100,(Модель!A1048576-3+0.02)*100), IF(Модель!B1048575="F4",INDEX(MatrixF4[],(Модель!A1048575-3+0.01)*100,(Модель!A1048576-3+0.02)*100), IF(Модель!B1048575="F5",INDEX(MatrixF5[],(Модель!A1048575-3+0.01)*100,(Модель!A1048576-3+0.02)*100),""))))))</definedName>
    <definedName name="Изопрайса" localSheetId="13">IF('Модель - Формы'!XFB1="F5","Y",IF('Модель - Формы'!XFB1="F4","T",IF('Модель - Формы'!XFB1="F3","R",IF('Модель - Формы'!XFB1="F2","E",IF('Модель - Формы'!XFB1="F1","W",IF('Модель - Формы'!XFB1="F0","Q",""))))))</definedName>
    <definedName name="Изопрайса" localSheetId="1">IF(Модель!XFB1="F5","Y",IF(Модель!XFB1="F4","T",IF(Модель!XFB1="F3","R",IF(Модель!XFB1="F2","E",IF(Модель!XFB1="F1","W",IF(Модель!XFB1="F0","Q",""))))))</definedName>
    <definedName name="Изопрайса">IF(Модель!XFB1="F5","Y",IF(Модель!XFB1="F4","T",IF(Модель!XFB1="F3","R",IF(Модель!XFB1="F2","E",IF(Модель!XFB1="F1","W",IF(Модель!XFB1="F0","Q",""))))))</definedName>
    <definedName name="Матрица_Расчёт" localSheetId="1">IFERROR(IF(AND(ROUNDDOWN(Модель!A1048575,0)&gt;=1,ROUNDDOWN(Модель!A1048576,0)&gt;=1), IF(AND(ROUNDDOWN(Модель!A1048575,0)&lt;2,ROUNDDOWN(Модель!A1048576,0)&lt;2),Чувствительность!Вычисление_1_1, IF(AND(ROUNDDOWN(Модель!A1048575,0)&lt;2,ROUNDDOWN(Модель!A1048576,0)&lt;3),Чувствительность!Вычисление_1_2+VLOOKUP(Модель!D1,Длт[#Data],3,FALSE), IF(AND(ROUNDDOWN(Модель!A1048575,0)&lt;2,ROUNDDOWN(Модель!A1048576,0)&lt;=4),Чувствительность!Вычисление_1_3+VLOOKUP(Модель!D1,Длт[#Data],3,FALSE)+VLOOKUP(Модель!C1,Длт[#Data],3,FALSE), IF(AND(ROUNDDOWN(Модель!A1048575,0)&lt;3,ROUNDDOWN(Модель!A1048576,0)&lt;2),Чувствительность!Вычисление_2_1+VLOOKUP(Модель!D1,Длт[#Data],2,FALSE), IF(AND(ROUNDDOWN(Модель!A1048575,0)&lt;3,ROUNDDOWN(Модель!A1048576,0)&lt;3),Чувствительность!Вычисление_2_2+VLOOKUP(Модель!D1,Длт[#Data],4,FALSE), IF(AND(ROUNDDOWN(Модель!A1048575,0)&lt;3,ROUNDDOWN(Модель!A1048576,0)&lt;=4),Чувствительность!Вычисление_2_3+VLOOKUP(Модель!D1,Длт[#Data],4,FALSE)+VLOOKUP(Модель!C1048576,Длт[#Data],3,FALSE), IF(AND(ROUNDDOWN(Модель!A1048575,0)&lt;=4,ROUNDDOWN(Модель!A1048576,0)&lt;2),Чувствительность!Вычисление_3_1+VLOOKUP(Модель!D1,Длт[#Data],2,FALSE)+VLOOKUP(Модель!D1048576,Длт[#Data],2,FALSE), IF(AND(ROUNDDOWN(Модель!A1048575,0)&lt;=4,ROUNDDOWN(Модель!A1048576,0)&lt;3),Чувствительность!Вычисление_3_2+VLOOKUP(Модель!D1,Длт[#Data],2,FALSE)+VLOOKUP(Модель!D1048576,Длт[#Data],4,FALSE), IF(AND(ROUNDDOWN(Модель!A1048575,0)&lt;=4,ROUNDDOWN(Модель!A1048576,0)&lt;=4),Чувствительность!Вычисление_3_3+VLOOKUP(Модель!D1,Длт[#Data],4,FALSE)+VLOOKUP(Модель!C1048576,Длт[#Data],4,FALSE),"" ))))))))),""),)</definedName>
    <definedName name="Матрица_Расчёт">IFERROR(IF(AND(ROUNDDOWN(Модель!A1048575,0)&gt;=1,ROUNDDOWN(Модель!A1048576,0)&gt;=1), IF(AND(ROUNDDOWN(Модель!A1048575,0)&lt;2,ROUNDDOWN(Модель!A1048576,0)&lt;2),Вычисление_1_1, IF(AND(ROUNDDOWN(Модель!A1048575,0)&lt;2,ROUNDDOWN(Модель!A1048576,0)&lt;3),Вычисление_1_2+VLOOKUP(Модель!D1,Длт[],3,FALSE), IF(AND(ROUNDDOWN(Модель!A1048575,0)&lt;2,ROUNDDOWN(Модель!A1048576,0)&lt;=4),Вычисление_1_3+VLOOKUP(Модель!D1,Длт[],3,FALSE)+VLOOKUP(Модель!C1,Длт[],3,FALSE), IF(AND(ROUNDDOWN(Модель!A1048575,0)&lt;3,ROUNDDOWN(Модель!A1048576,0)&lt;2),Вычисление_2_1+VLOOKUP(Модель!D1,Длт[],2,FALSE), IF(AND(ROUNDDOWN(Модель!A1048575,0)&lt;3,ROUNDDOWN(Модель!A1048576,0)&lt;3),Вычисление_2_2+VLOOKUP(Модель!D1,Длт[],4,FALSE), IF(AND(ROUNDDOWN(Модель!A1048575,0)&lt;3,ROUNDDOWN(Модель!A1048576,0)&lt;=4),Вычисление_2_3+VLOOKUP(Модель!D1,Длт[],4,FALSE)+VLOOKUP(Модель!C1048576,Длт[],3,FALSE), IF(AND(ROUNDDOWN(Модель!A1048575,0)&lt;=4,ROUNDDOWN(Модель!A1048576,0)&lt;2),Вычисление_3_1+VLOOKUP(Модель!D1,Длт[],2,FALSE)+VLOOKUP(Модель!D1048576,Длт[],2,FALSE), IF(AND(ROUNDDOWN(Модель!A1048575,0)&lt;=4,ROUNDDOWN(Модель!A1048576,0)&lt;3),Вычисление_3_2+VLOOKUP(Модель!D1,Длт[],2,FALSE)+VLOOKUP(Модель!D1048576,Длт[],4,FALSE), IF(AND(ROUNDDOWN(Модель!A1048575,0)&lt;=4,ROUNDDOWN(Модель!A1048576,0)&lt;=4),Вычисление_3_3+VLOOKUP(Модель!D1,Длт[],4,FALSE)+VLOOKUP(Модель!C1048576,Длт[],4,FALSE),"" ))))))))),""),)</definedName>
    <definedName name="Приведение" localSheetId="13">IFERROR(IF(AND(Модель!A2&lt;=MAX(Модель!XFB2:XFD2),Модель!A2&gt;=MIN(Модель!XFB2:XFD2)), IF(Модель!XFC2&lt;=MAX(Модель!XFB2,Модель!XFD2), IF(OR(Модель!XFB1048576="Прямая",Модель!XFB1048576="Обратная"),((Модель!A2-Модель!XFB2)*(Модель!XFD1-Модель!XFB1)/(Модель!XFD2-Модель!XFB2))+Модель!XFB1,IF(MIN(Модель!XFB2:XFD2)=Модель!XFB2, IF((Модель!A2)&lt;=Модель!XFC2,((Модель!A2-Модель!XFB2)*(Модель!XFC1-Модель!XFB1)/(Модель!XFC2-Модель!XFB2))+Модель!XFB1,((Модель!A2-Модель!XFC2)*(Модель!XFD1-Модель!XFC1)/(Модель!XFD2-Модель!XFC2))+Модель!XFC1), IF(MIN(Модель!XFB2:XFD2)=Модель!XFD2,IF((+Модель!A2)&lt;=Модель!XFC2,((Модель!A2-Модель!XFC2)*(Модель!XFD1-Модель!XFC1)/(Модель!XFD2-Модель!XFC2))+Модель!XFC1,((Модель!A2-Модель!XFB2)*(Модель!XFC1-Модель!XFB1)/(Модель!XFC2-Модель!XFB2))+Модель!XFB1),"!!!"))),"!!!"),"!!!"),"!!!")</definedName>
    <definedName name="Приведение" localSheetId="1">IFERROR(IF(AND(Модель!A2&lt;=MAX(Модель!XFB2:XFD2),Модель!A2&gt;=MIN(Модель!XFB2:XFD2)), IF(Модель!XFC2&lt;=MAX(Модель!XFB2,Модель!XFD2), IF(OR(Модель!XFB1048576="Прямая",Модель!XFB1048576="Обратная"),((Модель!A2-Модель!XFB2)*(Модель!XFD1-Модель!XFB1)/(Модель!XFD2-Модель!XFB2))+Модель!XFB1,IF(MIN(Модель!XFB2:XFD2)=Модель!XFB2, IF((Модель!A2)&lt;=Модель!XFC2,((Модель!A2-Модель!XFB2)*(Модель!XFC1-Модель!XFB1)/(Модель!XFC2-Модель!XFB2))+Модель!XFB1,((Модель!A2-Модель!XFC2)*(Модель!XFD1-Модель!XFC1)/(Модель!XFD2-Модель!XFC2))+Модель!XFC1), IF(MIN(Модель!XFB2:XFD2)=Модель!XFD2,IF((+Модель!A2)&lt;=Модель!XFC2,((Модель!A2-Модель!XFC2)*(Модель!XFD1-Модель!XFC1)/(Модель!XFD2-Модель!XFC2))+Модель!XFC1,((Модель!A2-Модель!XFB2)*(Модель!XFC1-Модель!XFB1)/(Модель!XFC2-Модель!XFB2))+Модель!XFB1),"!!!"))),"!!!"),"!!!"),"!!!")</definedName>
    <definedName name="Приведение">IFERROR(IF(AND(Модель!A2&lt;=MAX(Модель!XFB2:XFD2),Модель!A2&gt;=MIN(Модель!XFB2:XFD2)), IF(OR(Модель!XFB1048576="Прямая",Модель!XFB1048576="Обратная"),((Модель!A2-Модель!XFB2)*(Модель!XFD1-Модель!XFB1)/(Модель!XFD2-Модель!XFB2))+Модель!XFB1,IF(Модель!XFC2&lt;=MAX(Модель!XFB2,Модель!XFD2), IF(MIN(Модель!XFB2:XFD2)=Модель!XFB2, IF((Модель!A2)&lt;=Модель!XFC2,((Модель!A2-Модель!XFB2)*(Модель!XFC1-Модель!XFB1)/(Модель!XFC2-Модель!XFB2))+Модель!XFB1,((Модель!A2-Модель!XFC2)*(Модель!XFD1-Модель!XFC1)/(Модель!XFD2-Модель!XFC2))+Модель!XFC1), IF(MIN(Модель!XFB2:XFD2)=Модель!XFD2,IF((+Модель!A2)&lt;=Модель!XFC2,((Модель!A2-Модель!XFC2)*(Модель!XFD1-Модель!XFC1)/(Модель!XFD2-Модель!XFC2))+Модель!XFC1,((Модель!A2-Модель!XFB2)*(Модель!XFC1-Модель!XFB1)/(Модель!XFC2-Модель!XFB2))+Модель!XFB1),"!!!")),"!!!")),"!!!"),"!!!")</definedName>
    <definedName name="Проба" localSheetId="13">'Модель - Формы'!B2*3</definedName>
    <definedName name="Проба" localSheetId="1">Модель!B2*3</definedName>
    <definedName name="Проба">Модель!B2*3</definedName>
    <definedName name="Ссылка_на_лист_Множество_Критерий">INDIRECT("Критерий[№]")</definedName>
    <definedName name="Фантом" localSheetId="1">IFERROR(IF(Ячейка_Т&lt;&gt;1,((Ячейка_Т-1)*Чувствительность!Ячейка_min+(Чувствительность!Ячейка_макс-(Ячейка_Т-1))*Чувствительность!Ячейка_max)/Чувствительность!Ячейка_макс,""),"")</definedName>
    <definedName name="Фантом">IFERROR(IF(Ячейка_Т&lt;&gt;1,((Ячейка_Т-1)*Ячейка_min+(Ячейка_макс-(Ячейка_Т-1))*Ячейка_max)/Ячейка_макс,""),"")</definedName>
    <definedName name="Ячейка_max" localSheetId="1">INDIRECT(ADDRESS(ROW()-Ячейка_Т-1,COLUMN()+1))</definedName>
    <definedName name="Ячейка_max">INDIRECT(ADDRESS(ROW()-Ячейка_Т-1,COLUMN()+1))</definedName>
    <definedName name="Ячейка_min" localSheetId="1">INDIRECT(ADDRESS(ROW()-Ячейка_Т-1,COLUMN()-1))</definedName>
    <definedName name="Ячейка_min">INDIRECT(ADDRESS(ROW()-Ячейка_Т-1,COLUMN()-1))</definedName>
    <definedName name="Ячейка_макс" localSheetId="1">INDIRECT(ADDRESS(ROW()-Ячейка_Т-1,COLUMN()))</definedName>
    <definedName name="Ячейка_макс">INDIRECT(ADDRESS(ROW()-Ячейка_Т-1,COLUMN()))</definedName>
    <definedName name="Ячейка_Т">INDIRECT(ADDRESS(ROW(),COLUMN()-1))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X2" i="122" l="1"/>
  <c r="X3" i="122"/>
  <c r="X4" i="122"/>
  <c r="X5" i="122"/>
  <c r="X6" i="122"/>
  <c r="X7" i="122"/>
  <c r="X8" i="122"/>
  <c r="X9" i="122"/>
  <c r="X10" i="122"/>
  <c r="X11" i="122"/>
  <c r="X12" i="122"/>
  <c r="X13" i="122"/>
  <c r="X14" i="122"/>
  <c r="X15" i="122"/>
  <c r="X16" i="122"/>
  <c r="X17" i="122"/>
  <c r="X18" i="122"/>
  <c r="X19" i="122"/>
  <c r="X20" i="122"/>
  <c r="X21" i="122"/>
  <c r="X22" i="122"/>
  <c r="X23" i="122"/>
  <c r="X24" i="122"/>
  <c r="X25" i="122"/>
  <c r="X26" i="122"/>
  <c r="X27" i="122"/>
  <c r="X28" i="122"/>
  <c r="X29" i="122"/>
  <c r="X30" i="122"/>
  <c r="X31" i="122"/>
  <c r="X32" i="122"/>
  <c r="X33" i="122"/>
  <c r="X34" i="122"/>
  <c r="X35" i="122"/>
  <c r="X36" i="122"/>
  <c r="X37" i="122"/>
  <c r="X38" i="122"/>
  <c r="X39" i="122"/>
  <c r="X40" i="122"/>
  <c r="X41" i="122"/>
  <c r="X42" i="122"/>
  <c r="X43" i="122"/>
  <c r="X44" i="122"/>
  <c r="X45" i="122"/>
  <c r="X46" i="122"/>
  <c r="X47" i="122"/>
  <c r="X48" i="122"/>
  <c r="X49" i="122"/>
  <c r="X50" i="122"/>
  <c r="X51" i="122"/>
  <c r="X52" i="122"/>
  <c r="X53" i="122"/>
  <c r="X54" i="122"/>
  <c r="X55" i="122"/>
  <c r="X56" i="122"/>
  <c r="X57" i="122"/>
  <c r="X58" i="122"/>
  <c r="X59" i="122"/>
  <c r="X60" i="122"/>
  <c r="X61" i="122"/>
  <c r="X62" i="122"/>
  <c r="X63" i="122"/>
  <c r="X64" i="122"/>
  <c r="X65" i="122"/>
  <c r="X66" i="122"/>
  <c r="X67" i="122"/>
  <c r="X68" i="122"/>
  <c r="X69" i="122"/>
  <c r="X70" i="122"/>
  <c r="X71" i="122"/>
  <c r="X72" i="122"/>
  <c r="X73" i="122"/>
  <c r="X74" i="122"/>
  <c r="X75" i="122"/>
  <c r="X76" i="122"/>
  <c r="X77" i="122"/>
  <c r="X78" i="122"/>
  <c r="X79" i="122"/>
  <c r="X80" i="122"/>
  <c r="X81" i="122"/>
  <c r="X82" i="122"/>
  <c r="X83" i="122"/>
  <c r="X84" i="122"/>
  <c r="X85" i="122"/>
  <c r="X86" i="122"/>
  <c r="X87" i="122"/>
  <c r="X88" i="122"/>
  <c r="X89" i="122"/>
  <c r="X90" i="122"/>
  <c r="X91" i="122"/>
  <c r="X92" i="122"/>
  <c r="X93" i="122"/>
  <c r="X94" i="122"/>
  <c r="X95" i="122"/>
  <c r="X96" i="122"/>
  <c r="X97" i="122"/>
  <c r="X98" i="122"/>
  <c r="X99" i="122"/>
  <c r="X100" i="122"/>
  <c r="X101" i="122"/>
  <c r="X102" i="122"/>
  <c r="X103" i="122"/>
  <c r="X104" i="122"/>
  <c r="X105" i="122"/>
  <c r="X106" i="122"/>
  <c r="X107" i="122"/>
  <c r="X108" i="122"/>
  <c r="X109" i="122"/>
  <c r="X110" i="122"/>
  <c r="X111" i="122"/>
  <c r="X112" i="122"/>
  <c r="X113" i="122"/>
  <c r="X114" i="122"/>
  <c r="X115" i="122"/>
  <c r="X116" i="122"/>
  <c r="X117" i="122"/>
  <c r="X118" i="122"/>
  <c r="X119" i="122"/>
  <c r="X120" i="122"/>
  <c r="X121" i="122"/>
  <c r="X122" i="122"/>
  <c r="X123" i="122"/>
  <c r="X124" i="122"/>
  <c r="X125" i="122"/>
  <c r="X126" i="122"/>
  <c r="X127" i="122"/>
  <c r="X128" i="122"/>
  <c r="X129" i="122"/>
  <c r="X130" i="122"/>
  <c r="X131" i="122"/>
  <c r="X132" i="122"/>
  <c r="X133" i="122"/>
  <c r="X134" i="122"/>
  <c r="X135" i="122"/>
  <c r="X136" i="122"/>
  <c r="X137" i="122"/>
  <c r="X138" i="122"/>
  <c r="X139" i="122"/>
  <c r="X140" i="122"/>
  <c r="X141" i="122"/>
  <c r="X142" i="122"/>
  <c r="X143" i="122"/>
  <c r="X144" i="122"/>
  <c r="X145" i="122"/>
  <c r="X146" i="122"/>
  <c r="X147" i="122"/>
  <c r="X148" i="122"/>
  <c r="X149" i="122"/>
  <c r="X150" i="122"/>
  <c r="X151" i="122"/>
  <c r="X152" i="122"/>
  <c r="X153" i="122"/>
  <c r="X154" i="122"/>
  <c r="X155" i="122"/>
  <c r="X156" i="122"/>
  <c r="X157" i="122"/>
  <c r="X158" i="122"/>
  <c r="X159" i="122"/>
  <c r="X160" i="122"/>
  <c r="X161" i="122"/>
  <c r="X162" i="122"/>
  <c r="X163" i="122"/>
  <c r="X164" i="122"/>
  <c r="X165" i="122"/>
  <c r="X166" i="122"/>
  <c r="X167" i="122"/>
  <c r="X168" i="122"/>
  <c r="X169" i="122"/>
  <c r="X170" i="122"/>
  <c r="X171" i="122"/>
  <c r="X172" i="122"/>
  <c r="X173" i="122"/>
  <c r="X174" i="122"/>
  <c r="X175" i="122"/>
  <c r="X176" i="122"/>
  <c r="X177" i="122"/>
  <c r="X178" i="122"/>
  <c r="X179" i="122"/>
  <c r="X180" i="122"/>
  <c r="X181" i="122"/>
  <c r="X182" i="122"/>
  <c r="X183" i="122"/>
  <c r="X184" i="122"/>
  <c r="X185" i="122"/>
  <c r="X186" i="122"/>
  <c r="X187" i="122"/>
  <c r="X188" i="122"/>
  <c r="X189" i="122"/>
  <c r="X190" i="122"/>
  <c r="X191" i="122"/>
  <c r="X192" i="122"/>
  <c r="X193" i="122"/>
  <c r="X194" i="122"/>
  <c r="X195" i="122"/>
  <c r="X196" i="122"/>
  <c r="X197" i="122"/>
  <c r="X198" i="122"/>
  <c r="X199" i="122"/>
  <c r="X200" i="122"/>
  <c r="X201" i="122"/>
  <c r="X202" i="122"/>
  <c r="X203" i="122"/>
  <c r="X204" i="122"/>
  <c r="X205" i="122"/>
  <c r="X206" i="122"/>
  <c r="X207" i="122"/>
  <c r="X208" i="122"/>
  <c r="X209" i="122"/>
  <c r="X210" i="122"/>
  <c r="X211" i="122"/>
  <c r="X212" i="122"/>
  <c r="X213" i="122"/>
  <c r="X214" i="122"/>
  <c r="X215" i="122"/>
  <c r="X216" i="122"/>
  <c r="X217" i="122"/>
  <c r="X218" i="122"/>
  <c r="X219" i="122"/>
  <c r="X220" i="122"/>
  <c r="X221" i="122"/>
  <c r="X222" i="122"/>
  <c r="X223" i="122"/>
  <c r="X224" i="122"/>
  <c r="X225" i="122"/>
  <c r="X226" i="122"/>
  <c r="X227" i="122"/>
  <c r="X228" i="122"/>
  <c r="X229" i="122"/>
  <c r="X230" i="122"/>
  <c r="X231" i="122"/>
  <c r="X232" i="122"/>
  <c r="X233" i="122"/>
  <c r="X234" i="122"/>
  <c r="X235" i="122"/>
  <c r="X236" i="122"/>
  <c r="X237" i="122"/>
  <c r="X238" i="122"/>
  <c r="X239" i="122"/>
  <c r="X240" i="122"/>
  <c r="X241" i="122"/>
  <c r="X242" i="122"/>
  <c r="X243" i="122"/>
  <c r="X244" i="122"/>
  <c r="X245" i="122"/>
  <c r="X246" i="122"/>
  <c r="X247" i="122"/>
  <c r="X248" i="122"/>
  <c r="X249" i="122"/>
  <c r="X250" i="122"/>
  <c r="X251" i="122"/>
  <c r="X252" i="122"/>
  <c r="X253" i="122"/>
  <c r="X254" i="122"/>
  <c r="X255" i="122"/>
  <c r="X256" i="122"/>
  <c r="X257" i="122"/>
  <c r="X258" i="122"/>
  <c r="X259" i="122"/>
  <c r="X260" i="122"/>
  <c r="X261" i="122"/>
  <c r="X262" i="122"/>
  <c r="X263" i="122"/>
  <c r="X264" i="122"/>
  <c r="X265" i="122"/>
  <c r="X266" i="122"/>
  <c r="X267" i="122"/>
  <c r="X268" i="122"/>
  <c r="X269" i="122"/>
  <c r="X270" i="122"/>
  <c r="X271" i="122"/>
  <c r="X272" i="122"/>
  <c r="X273" i="122"/>
  <c r="X274" i="122"/>
  <c r="X275" i="122"/>
  <c r="X276" i="122"/>
  <c r="X277" i="122"/>
  <c r="X278" i="122"/>
  <c r="X279" i="122"/>
  <c r="X280" i="122"/>
  <c r="X281" i="122"/>
  <c r="X282" i="122"/>
  <c r="X283" i="122"/>
  <c r="X284" i="122"/>
  <c r="X285" i="122"/>
  <c r="X286" i="122"/>
  <c r="X287" i="122"/>
  <c r="X288" i="122"/>
  <c r="X289" i="122"/>
  <c r="X290" i="122"/>
  <c r="X291" i="122"/>
  <c r="X292" i="122"/>
  <c r="X293" i="122"/>
  <c r="X294" i="122"/>
  <c r="X295" i="122"/>
  <c r="X296" i="122"/>
  <c r="X297" i="122"/>
  <c r="X298" i="122"/>
  <c r="X299" i="122"/>
  <c r="X300" i="122"/>
  <c r="X301" i="122"/>
  <c r="X302" i="122"/>
  <c r="X303" i="122"/>
  <c r="X304" i="122"/>
  <c r="X305" i="122"/>
  <c r="X306" i="122"/>
  <c r="X307" i="122"/>
  <c r="X308" i="122"/>
  <c r="X309" i="122"/>
  <c r="X310" i="122"/>
  <c r="X311" i="122"/>
  <c r="X312" i="122"/>
  <c r="X313" i="122"/>
  <c r="X314" i="122"/>
  <c r="X315" i="122"/>
  <c r="X316" i="122"/>
  <c r="X317" i="122"/>
  <c r="X318" i="122"/>
  <c r="X319" i="122"/>
  <c r="X320" i="122"/>
  <c r="X321" i="122"/>
  <c r="X322" i="122"/>
  <c r="X323" i="122"/>
  <c r="X324" i="122"/>
  <c r="X325" i="122"/>
  <c r="X326" i="122"/>
  <c r="X327" i="122"/>
  <c r="X328" i="122"/>
  <c r="X329" i="122"/>
  <c r="X330" i="122"/>
  <c r="X331" i="122"/>
  <c r="X332" i="122"/>
  <c r="X333" i="122"/>
  <c r="X334" i="122"/>
  <c r="X335" i="122"/>
  <c r="X336" i="122"/>
  <c r="X337" i="122"/>
  <c r="X338" i="122"/>
  <c r="X339" i="122"/>
  <c r="X340" i="122"/>
  <c r="X341" i="122"/>
  <c r="X342" i="122"/>
  <c r="X343" i="122"/>
  <c r="X344" i="122"/>
  <c r="X345" i="122"/>
  <c r="X346" i="122"/>
  <c r="X347" i="122"/>
  <c r="X348" i="122"/>
  <c r="X349" i="122"/>
  <c r="X350" i="122"/>
  <c r="AB2" i="122"/>
  <c r="AB3" i="122"/>
  <c r="AB4" i="122"/>
  <c r="AB5" i="122"/>
  <c r="AC5" i="122" s="1"/>
  <c r="AB6" i="122"/>
  <c r="AB7" i="122"/>
  <c r="AB8" i="122"/>
  <c r="AB9" i="122"/>
  <c r="AC9" i="122" s="1"/>
  <c r="AB10" i="122"/>
  <c r="AB11" i="122"/>
  <c r="AB12" i="122"/>
  <c r="AB13" i="122"/>
  <c r="AC13" i="122" s="1"/>
  <c r="AB14" i="122"/>
  <c r="AB15" i="122"/>
  <c r="AB16" i="122"/>
  <c r="AB17" i="122"/>
  <c r="AC17" i="122" s="1"/>
  <c r="AB18" i="122"/>
  <c r="AB19" i="122"/>
  <c r="AB20" i="122"/>
  <c r="AB21" i="122"/>
  <c r="AC21" i="122" s="1"/>
  <c r="AB22" i="122"/>
  <c r="AB23" i="122"/>
  <c r="AB24" i="122"/>
  <c r="AB25" i="122"/>
  <c r="AC25" i="122" s="1"/>
  <c r="AB26" i="122"/>
  <c r="AB27" i="122"/>
  <c r="AB28" i="122"/>
  <c r="AB29" i="122"/>
  <c r="AC29" i="122" s="1"/>
  <c r="AB30" i="122"/>
  <c r="AB31" i="122"/>
  <c r="AB32" i="122"/>
  <c r="AB33" i="122"/>
  <c r="AC33" i="122" s="1"/>
  <c r="AB34" i="122"/>
  <c r="AB35" i="122"/>
  <c r="AB36" i="122"/>
  <c r="AB37" i="122"/>
  <c r="AC37" i="122" s="1"/>
  <c r="AB38" i="122"/>
  <c r="AB39" i="122"/>
  <c r="AB40" i="122"/>
  <c r="AB41" i="122"/>
  <c r="AC41" i="122" s="1"/>
  <c r="AB42" i="122"/>
  <c r="AB43" i="122"/>
  <c r="AB44" i="122"/>
  <c r="AB45" i="122"/>
  <c r="AC45" i="122" s="1"/>
  <c r="AB46" i="122"/>
  <c r="AB47" i="122"/>
  <c r="AB48" i="122"/>
  <c r="AB49" i="122"/>
  <c r="AC49" i="122" s="1"/>
  <c r="AB50" i="122"/>
  <c r="AB51" i="122"/>
  <c r="AB52" i="122"/>
  <c r="AB53" i="122"/>
  <c r="AC53" i="122" s="1"/>
  <c r="AB54" i="122"/>
  <c r="AB55" i="122"/>
  <c r="AB56" i="122"/>
  <c r="AB57" i="122"/>
  <c r="AC57" i="122" s="1"/>
  <c r="AB58" i="122"/>
  <c r="AB59" i="122"/>
  <c r="AB60" i="122"/>
  <c r="AB61" i="122"/>
  <c r="AC61" i="122" s="1"/>
  <c r="AB62" i="122"/>
  <c r="AB63" i="122"/>
  <c r="AC63" i="122" s="1"/>
  <c r="AB64" i="122"/>
  <c r="AB65" i="122"/>
  <c r="AC65" i="122" s="1"/>
  <c r="AB66" i="122"/>
  <c r="AB67" i="122"/>
  <c r="AC67" i="122" s="1"/>
  <c r="AB68" i="122"/>
  <c r="AB69" i="122"/>
  <c r="AC69" i="122" s="1"/>
  <c r="AB70" i="122"/>
  <c r="AB71" i="122"/>
  <c r="AC71" i="122" s="1"/>
  <c r="AB72" i="122"/>
  <c r="AB73" i="122"/>
  <c r="AC73" i="122" s="1"/>
  <c r="AB74" i="122"/>
  <c r="AB75" i="122"/>
  <c r="AC75" i="122" s="1"/>
  <c r="AB76" i="122"/>
  <c r="AB77" i="122"/>
  <c r="AC77" i="122" s="1"/>
  <c r="AB78" i="122"/>
  <c r="AB79" i="122"/>
  <c r="AC79" i="122" s="1"/>
  <c r="AB80" i="122"/>
  <c r="AB81" i="122"/>
  <c r="AC81" i="122" s="1"/>
  <c r="AB82" i="122"/>
  <c r="AB83" i="122"/>
  <c r="AC83" i="122" s="1"/>
  <c r="AB84" i="122"/>
  <c r="AB85" i="122"/>
  <c r="AC85" i="122" s="1"/>
  <c r="AB86" i="122"/>
  <c r="AB87" i="122"/>
  <c r="AC87" i="122" s="1"/>
  <c r="AB88" i="122"/>
  <c r="AB89" i="122"/>
  <c r="AC89" i="122" s="1"/>
  <c r="AB90" i="122"/>
  <c r="AB91" i="122"/>
  <c r="AC91" i="122" s="1"/>
  <c r="AB92" i="122"/>
  <c r="AB93" i="122"/>
  <c r="AC93" i="122" s="1"/>
  <c r="AB94" i="122"/>
  <c r="AB95" i="122"/>
  <c r="AC95" i="122" s="1"/>
  <c r="AB96" i="122"/>
  <c r="AB97" i="122"/>
  <c r="AC97" i="122" s="1"/>
  <c r="AB98" i="122"/>
  <c r="AB99" i="122"/>
  <c r="AC99" i="122" s="1"/>
  <c r="AB100" i="122"/>
  <c r="AB101" i="122"/>
  <c r="AC101" i="122" s="1"/>
  <c r="AB102" i="122"/>
  <c r="AB103" i="122"/>
  <c r="AC103" i="122" s="1"/>
  <c r="AB104" i="122"/>
  <c r="AB105" i="122"/>
  <c r="AC105" i="122" s="1"/>
  <c r="AB106" i="122"/>
  <c r="AB107" i="122"/>
  <c r="AC107" i="122" s="1"/>
  <c r="AB108" i="122"/>
  <c r="AB109" i="122"/>
  <c r="AC109" i="122" s="1"/>
  <c r="AB110" i="122"/>
  <c r="AB111" i="122"/>
  <c r="AC111" i="122" s="1"/>
  <c r="AB112" i="122"/>
  <c r="AB113" i="122"/>
  <c r="AC113" i="122" s="1"/>
  <c r="AB114" i="122"/>
  <c r="AB115" i="122"/>
  <c r="AC115" i="122" s="1"/>
  <c r="AB116" i="122"/>
  <c r="AB117" i="122"/>
  <c r="AC117" i="122" s="1"/>
  <c r="AB118" i="122"/>
  <c r="AB119" i="122"/>
  <c r="AC119" i="122" s="1"/>
  <c r="AB120" i="122"/>
  <c r="AB121" i="122"/>
  <c r="AC121" i="122" s="1"/>
  <c r="AB122" i="122"/>
  <c r="AB123" i="122"/>
  <c r="AC123" i="122" s="1"/>
  <c r="AB124" i="122"/>
  <c r="AB125" i="122"/>
  <c r="AC125" i="122" s="1"/>
  <c r="AB126" i="122"/>
  <c r="AB127" i="122"/>
  <c r="AC127" i="122" s="1"/>
  <c r="AB128" i="122"/>
  <c r="AB129" i="122"/>
  <c r="AC129" i="122" s="1"/>
  <c r="AB130" i="122"/>
  <c r="AB131" i="122"/>
  <c r="AC131" i="122" s="1"/>
  <c r="AB132" i="122"/>
  <c r="AB133" i="122"/>
  <c r="AC133" i="122" s="1"/>
  <c r="AB134" i="122"/>
  <c r="AB135" i="122"/>
  <c r="AC135" i="122" s="1"/>
  <c r="AB136" i="122"/>
  <c r="AB137" i="122"/>
  <c r="AC137" i="122" s="1"/>
  <c r="AB138" i="122"/>
  <c r="AB139" i="122"/>
  <c r="AC139" i="122" s="1"/>
  <c r="AB140" i="122"/>
  <c r="AB141" i="122"/>
  <c r="AC141" i="122" s="1"/>
  <c r="AB142" i="122"/>
  <c r="AB143" i="122"/>
  <c r="AC143" i="122" s="1"/>
  <c r="AB144" i="122"/>
  <c r="AB145" i="122"/>
  <c r="AC145" i="122" s="1"/>
  <c r="AB146" i="122"/>
  <c r="AB147" i="122"/>
  <c r="AC147" i="122" s="1"/>
  <c r="AB148" i="122"/>
  <c r="AB149" i="122"/>
  <c r="AC149" i="122" s="1"/>
  <c r="AB150" i="122"/>
  <c r="AB151" i="122"/>
  <c r="AC151" i="122" s="1"/>
  <c r="AB152" i="122"/>
  <c r="AB153" i="122"/>
  <c r="AC153" i="122" s="1"/>
  <c r="AB154" i="122"/>
  <c r="AB155" i="122"/>
  <c r="AC155" i="122" s="1"/>
  <c r="AB156" i="122"/>
  <c r="AB157" i="122"/>
  <c r="AC157" i="122" s="1"/>
  <c r="AB158" i="122"/>
  <c r="AB159" i="122"/>
  <c r="AC159" i="122" s="1"/>
  <c r="AB160" i="122"/>
  <c r="AB161" i="122"/>
  <c r="AC161" i="122" s="1"/>
  <c r="AB162" i="122"/>
  <c r="AB163" i="122"/>
  <c r="AC163" i="122" s="1"/>
  <c r="AB164" i="122"/>
  <c r="AB165" i="122"/>
  <c r="AC165" i="122" s="1"/>
  <c r="AB166" i="122"/>
  <c r="AB167" i="122"/>
  <c r="AC167" i="122" s="1"/>
  <c r="AB168" i="122"/>
  <c r="AB169" i="122"/>
  <c r="AC169" i="122" s="1"/>
  <c r="AB170" i="122"/>
  <c r="AB171" i="122"/>
  <c r="AC171" i="122" s="1"/>
  <c r="AB172" i="122"/>
  <c r="AB173" i="122"/>
  <c r="AC173" i="122" s="1"/>
  <c r="AB174" i="122"/>
  <c r="AB175" i="122"/>
  <c r="AC175" i="122" s="1"/>
  <c r="AB176" i="122"/>
  <c r="AB177" i="122"/>
  <c r="AC177" i="122" s="1"/>
  <c r="AB178" i="122"/>
  <c r="AB179" i="122"/>
  <c r="AC179" i="122" s="1"/>
  <c r="AB180" i="122"/>
  <c r="AB181" i="122"/>
  <c r="AC181" i="122" s="1"/>
  <c r="AB182" i="122"/>
  <c r="AB183" i="122"/>
  <c r="AC183" i="122" s="1"/>
  <c r="AB184" i="122"/>
  <c r="AB185" i="122"/>
  <c r="AC185" i="122" s="1"/>
  <c r="AB186" i="122"/>
  <c r="AB187" i="122"/>
  <c r="AC187" i="122" s="1"/>
  <c r="AB188" i="122"/>
  <c r="AB189" i="122"/>
  <c r="AC189" i="122" s="1"/>
  <c r="AB190" i="122"/>
  <c r="AB191" i="122"/>
  <c r="AC191" i="122" s="1"/>
  <c r="AB192" i="122"/>
  <c r="AB193" i="122"/>
  <c r="AC193" i="122" s="1"/>
  <c r="AB194" i="122"/>
  <c r="AB195" i="122"/>
  <c r="AC195" i="122" s="1"/>
  <c r="AB196" i="122"/>
  <c r="AB197" i="122"/>
  <c r="AC197" i="122" s="1"/>
  <c r="AB198" i="122"/>
  <c r="AB199" i="122"/>
  <c r="AC199" i="122" s="1"/>
  <c r="AB200" i="122"/>
  <c r="AB201" i="122"/>
  <c r="AC201" i="122" s="1"/>
  <c r="AB202" i="122"/>
  <c r="AB203" i="122"/>
  <c r="AC203" i="122" s="1"/>
  <c r="AB204" i="122"/>
  <c r="AB205" i="122"/>
  <c r="AC205" i="122" s="1"/>
  <c r="AB206" i="122"/>
  <c r="AB207" i="122"/>
  <c r="AC207" i="122" s="1"/>
  <c r="AB208" i="122"/>
  <c r="AB209" i="122"/>
  <c r="AC209" i="122" s="1"/>
  <c r="AB210" i="122"/>
  <c r="AB211" i="122"/>
  <c r="AC211" i="122" s="1"/>
  <c r="AB212" i="122"/>
  <c r="AB213" i="122"/>
  <c r="AC213" i="122" s="1"/>
  <c r="AB214" i="122"/>
  <c r="AB215" i="122"/>
  <c r="AC215" i="122" s="1"/>
  <c r="AB216" i="122"/>
  <c r="AB217" i="122"/>
  <c r="AC217" i="122" s="1"/>
  <c r="AB218" i="122"/>
  <c r="AB219" i="122"/>
  <c r="AC219" i="122" s="1"/>
  <c r="AB220" i="122"/>
  <c r="AB221" i="122"/>
  <c r="AC221" i="122" s="1"/>
  <c r="AB222" i="122"/>
  <c r="AB223" i="122"/>
  <c r="AC223" i="122" s="1"/>
  <c r="AB224" i="122"/>
  <c r="AB225" i="122"/>
  <c r="AC225" i="122" s="1"/>
  <c r="AB226" i="122"/>
  <c r="AB227" i="122"/>
  <c r="AC227" i="122" s="1"/>
  <c r="AB228" i="122"/>
  <c r="AB229" i="122"/>
  <c r="AC229" i="122" s="1"/>
  <c r="AB230" i="122"/>
  <c r="AB231" i="122"/>
  <c r="AC231" i="122" s="1"/>
  <c r="AB232" i="122"/>
  <c r="AB233" i="122"/>
  <c r="AC233" i="122" s="1"/>
  <c r="AB234" i="122"/>
  <c r="AB235" i="122"/>
  <c r="AC235" i="122" s="1"/>
  <c r="AB236" i="122"/>
  <c r="AB237" i="122"/>
  <c r="AC237" i="122" s="1"/>
  <c r="AB238" i="122"/>
  <c r="AB239" i="122"/>
  <c r="AC239" i="122" s="1"/>
  <c r="AB240" i="122"/>
  <c r="AB241" i="122"/>
  <c r="AC241" i="122" s="1"/>
  <c r="AB242" i="122"/>
  <c r="AB243" i="122"/>
  <c r="AC243" i="122" s="1"/>
  <c r="AB244" i="122"/>
  <c r="AB245" i="122"/>
  <c r="AC245" i="122" s="1"/>
  <c r="AB246" i="122"/>
  <c r="AB247" i="122"/>
  <c r="AC247" i="122" s="1"/>
  <c r="AB248" i="122"/>
  <c r="AB249" i="122"/>
  <c r="AC249" i="122" s="1"/>
  <c r="AB250" i="122"/>
  <c r="AB251" i="122"/>
  <c r="AC251" i="122" s="1"/>
  <c r="AB252" i="122"/>
  <c r="AB253" i="122"/>
  <c r="AC253" i="122" s="1"/>
  <c r="AB254" i="122"/>
  <c r="AB255" i="122"/>
  <c r="AC255" i="122" s="1"/>
  <c r="AB256" i="122"/>
  <c r="AB257" i="122"/>
  <c r="AC257" i="122" s="1"/>
  <c r="AB258" i="122"/>
  <c r="AB259" i="122"/>
  <c r="AC259" i="122" s="1"/>
  <c r="AB260" i="122"/>
  <c r="AB261" i="122"/>
  <c r="AC261" i="122" s="1"/>
  <c r="AB262" i="122"/>
  <c r="AB263" i="122"/>
  <c r="AC263" i="122" s="1"/>
  <c r="AB264" i="122"/>
  <c r="AB265" i="122"/>
  <c r="AC265" i="122" s="1"/>
  <c r="AB266" i="122"/>
  <c r="AB267" i="122"/>
  <c r="AC267" i="122" s="1"/>
  <c r="AB268" i="122"/>
  <c r="AB269" i="122"/>
  <c r="AC269" i="122" s="1"/>
  <c r="AB270" i="122"/>
  <c r="AB271" i="122"/>
  <c r="AC271" i="122" s="1"/>
  <c r="AB272" i="122"/>
  <c r="AB273" i="122"/>
  <c r="AC273" i="122" s="1"/>
  <c r="AB274" i="122"/>
  <c r="AB275" i="122"/>
  <c r="AC275" i="122" s="1"/>
  <c r="AB276" i="122"/>
  <c r="AB277" i="122"/>
  <c r="AC277" i="122" s="1"/>
  <c r="AB278" i="122"/>
  <c r="AB279" i="122"/>
  <c r="AC279" i="122" s="1"/>
  <c r="AB280" i="122"/>
  <c r="AB281" i="122"/>
  <c r="AC281" i="122" s="1"/>
  <c r="AB282" i="122"/>
  <c r="AB283" i="122"/>
  <c r="AC283" i="122" s="1"/>
  <c r="AB284" i="122"/>
  <c r="AB285" i="122"/>
  <c r="AC285" i="122" s="1"/>
  <c r="AB286" i="122"/>
  <c r="AB287" i="122"/>
  <c r="AC287" i="122" s="1"/>
  <c r="AB288" i="122"/>
  <c r="AB289" i="122"/>
  <c r="AC289" i="122" s="1"/>
  <c r="AB290" i="122"/>
  <c r="AB291" i="122"/>
  <c r="AC291" i="122" s="1"/>
  <c r="AB292" i="122"/>
  <c r="AB293" i="122"/>
  <c r="AC293" i="122" s="1"/>
  <c r="AB294" i="122"/>
  <c r="AB295" i="122"/>
  <c r="AC295" i="122" s="1"/>
  <c r="AB296" i="122"/>
  <c r="AB297" i="122"/>
  <c r="AC297" i="122" s="1"/>
  <c r="AB298" i="122"/>
  <c r="AB299" i="122"/>
  <c r="AC299" i="122" s="1"/>
  <c r="AB300" i="122"/>
  <c r="AB301" i="122"/>
  <c r="AC301" i="122" s="1"/>
  <c r="AB302" i="122"/>
  <c r="AB303" i="122"/>
  <c r="AC303" i="122" s="1"/>
  <c r="AB304" i="122"/>
  <c r="AB305" i="122"/>
  <c r="AC305" i="122" s="1"/>
  <c r="AB306" i="122"/>
  <c r="AB307" i="122"/>
  <c r="AC307" i="122" s="1"/>
  <c r="AB308" i="122"/>
  <c r="AB309" i="122"/>
  <c r="AC309" i="122" s="1"/>
  <c r="AB310" i="122"/>
  <c r="AB311" i="122"/>
  <c r="AC311" i="122" s="1"/>
  <c r="AB312" i="122"/>
  <c r="AB313" i="122"/>
  <c r="AC313" i="122" s="1"/>
  <c r="AB314" i="122"/>
  <c r="AB315" i="122"/>
  <c r="AC315" i="122" s="1"/>
  <c r="AB316" i="122"/>
  <c r="AB317" i="122"/>
  <c r="AC317" i="122" s="1"/>
  <c r="AB318" i="122"/>
  <c r="AB319" i="122"/>
  <c r="AC319" i="122" s="1"/>
  <c r="AB320" i="122"/>
  <c r="AB321" i="122"/>
  <c r="AC321" i="122" s="1"/>
  <c r="AB322" i="122"/>
  <c r="AB323" i="122"/>
  <c r="AC323" i="122" s="1"/>
  <c r="AB324" i="122"/>
  <c r="AB325" i="122"/>
  <c r="AC325" i="122" s="1"/>
  <c r="AB326" i="122"/>
  <c r="AB327" i="122"/>
  <c r="AC327" i="122" s="1"/>
  <c r="AB328" i="122"/>
  <c r="AB329" i="122"/>
  <c r="AC329" i="122" s="1"/>
  <c r="AB330" i="122"/>
  <c r="AB331" i="122"/>
  <c r="AC331" i="122" s="1"/>
  <c r="AB332" i="122"/>
  <c r="AB333" i="122"/>
  <c r="AC333" i="122" s="1"/>
  <c r="AB334" i="122"/>
  <c r="AB335" i="122"/>
  <c r="AC335" i="122" s="1"/>
  <c r="AB336" i="122"/>
  <c r="AB337" i="122"/>
  <c r="AC337" i="122" s="1"/>
  <c r="AB338" i="122"/>
  <c r="AB339" i="122"/>
  <c r="AC339" i="122" s="1"/>
  <c r="AB340" i="122"/>
  <c r="AB341" i="122"/>
  <c r="AC341" i="122" s="1"/>
  <c r="AB342" i="122"/>
  <c r="AB343" i="122"/>
  <c r="AC343" i="122" s="1"/>
  <c r="AB344" i="122"/>
  <c r="AB345" i="122"/>
  <c r="AC345" i="122" s="1"/>
  <c r="AB346" i="122"/>
  <c r="AB347" i="122"/>
  <c r="AC347" i="122" s="1"/>
  <c r="AB348" i="122"/>
  <c r="AB349" i="122"/>
  <c r="AB350" i="122"/>
  <c r="AA2" i="122"/>
  <c r="AA3" i="122"/>
  <c r="AA4" i="122"/>
  <c r="AA5" i="122"/>
  <c r="AA6" i="122"/>
  <c r="AA7" i="122"/>
  <c r="AA8" i="122"/>
  <c r="AA9" i="122"/>
  <c r="AA10" i="122"/>
  <c r="AA11" i="122"/>
  <c r="AA12" i="122"/>
  <c r="AA13" i="122"/>
  <c r="AA14" i="122"/>
  <c r="AA15" i="122"/>
  <c r="AA16" i="122"/>
  <c r="AA17" i="122"/>
  <c r="AA18" i="122"/>
  <c r="AA19" i="122"/>
  <c r="AA20" i="122"/>
  <c r="AA21" i="122"/>
  <c r="AA22" i="122"/>
  <c r="AA23" i="122"/>
  <c r="AA24" i="122"/>
  <c r="AA25" i="122"/>
  <c r="AA26" i="122"/>
  <c r="AA27" i="122"/>
  <c r="AA28" i="122"/>
  <c r="AA29" i="122"/>
  <c r="AA30" i="122"/>
  <c r="AA31" i="122"/>
  <c r="AA32" i="122"/>
  <c r="AA33" i="122"/>
  <c r="AA34" i="122"/>
  <c r="AA35" i="122"/>
  <c r="AA36" i="122"/>
  <c r="AA37" i="122"/>
  <c r="AA38" i="122"/>
  <c r="AA39" i="122"/>
  <c r="AA40" i="122"/>
  <c r="AA41" i="122"/>
  <c r="AA42" i="122"/>
  <c r="AA43" i="122"/>
  <c r="AA44" i="122"/>
  <c r="AA45" i="122"/>
  <c r="AA46" i="122"/>
  <c r="AA47" i="122"/>
  <c r="AA48" i="122"/>
  <c r="AA49" i="122"/>
  <c r="AA50" i="122"/>
  <c r="AA51" i="122"/>
  <c r="AA52" i="122"/>
  <c r="AA53" i="122"/>
  <c r="AA54" i="122"/>
  <c r="AA55" i="122"/>
  <c r="AA56" i="122"/>
  <c r="AA57" i="122"/>
  <c r="AA58" i="122"/>
  <c r="AA59" i="122"/>
  <c r="AA60" i="122"/>
  <c r="AA61" i="122"/>
  <c r="AA62" i="122"/>
  <c r="AA63" i="122"/>
  <c r="AA64" i="122"/>
  <c r="AA65" i="122"/>
  <c r="AA66" i="122"/>
  <c r="AA67" i="122"/>
  <c r="AA68" i="122"/>
  <c r="AA69" i="122"/>
  <c r="AA70" i="122"/>
  <c r="AA71" i="122"/>
  <c r="AA72" i="122"/>
  <c r="AA73" i="122"/>
  <c r="AA74" i="122"/>
  <c r="AA75" i="122"/>
  <c r="AA76" i="122"/>
  <c r="AA77" i="122"/>
  <c r="AA78" i="122"/>
  <c r="AA79" i="122"/>
  <c r="AA80" i="122"/>
  <c r="AA81" i="122"/>
  <c r="AA82" i="122"/>
  <c r="AA83" i="122"/>
  <c r="AA84" i="122"/>
  <c r="AA85" i="122"/>
  <c r="AA86" i="122"/>
  <c r="AA87" i="122"/>
  <c r="AA88" i="122"/>
  <c r="AA89" i="122"/>
  <c r="AA90" i="122"/>
  <c r="AA91" i="122"/>
  <c r="AA92" i="122"/>
  <c r="AA93" i="122"/>
  <c r="AA94" i="122"/>
  <c r="AA95" i="122"/>
  <c r="AA96" i="122"/>
  <c r="AA97" i="122"/>
  <c r="AA98" i="122"/>
  <c r="AA99" i="122"/>
  <c r="AA100" i="122"/>
  <c r="AA101" i="122"/>
  <c r="AA102" i="122"/>
  <c r="AA103" i="122"/>
  <c r="AA104" i="122"/>
  <c r="AA105" i="122"/>
  <c r="AA106" i="122"/>
  <c r="AA107" i="122"/>
  <c r="AA108" i="122"/>
  <c r="AA109" i="122"/>
  <c r="AA110" i="122"/>
  <c r="AA111" i="122"/>
  <c r="AA112" i="122"/>
  <c r="AA113" i="122"/>
  <c r="AA114" i="122"/>
  <c r="AA115" i="122"/>
  <c r="AA116" i="122"/>
  <c r="AA117" i="122"/>
  <c r="AA118" i="122"/>
  <c r="AA119" i="122"/>
  <c r="AA120" i="122"/>
  <c r="AA121" i="122"/>
  <c r="AA122" i="122"/>
  <c r="AA123" i="122"/>
  <c r="AA124" i="122"/>
  <c r="AA125" i="122"/>
  <c r="AA126" i="122"/>
  <c r="AA127" i="122"/>
  <c r="AA128" i="122"/>
  <c r="AA129" i="122"/>
  <c r="AA130" i="122"/>
  <c r="AA131" i="122"/>
  <c r="AA132" i="122"/>
  <c r="AA133" i="122"/>
  <c r="AA134" i="122"/>
  <c r="AA135" i="122"/>
  <c r="AA136" i="122"/>
  <c r="AA137" i="122"/>
  <c r="AA138" i="122"/>
  <c r="AA139" i="122"/>
  <c r="AA140" i="122"/>
  <c r="AA141" i="122"/>
  <c r="AA142" i="122"/>
  <c r="AA143" i="122"/>
  <c r="AA144" i="122"/>
  <c r="AA145" i="122"/>
  <c r="AA146" i="122"/>
  <c r="AA147" i="122"/>
  <c r="AA148" i="122"/>
  <c r="AA149" i="122"/>
  <c r="AA150" i="122"/>
  <c r="AA151" i="122"/>
  <c r="AA152" i="122"/>
  <c r="AA153" i="122"/>
  <c r="AA154" i="122"/>
  <c r="AA155" i="122"/>
  <c r="AA156" i="122"/>
  <c r="AA157" i="122"/>
  <c r="AA158" i="122"/>
  <c r="AA159" i="122"/>
  <c r="AA160" i="122"/>
  <c r="AA161" i="122"/>
  <c r="AA162" i="122"/>
  <c r="AA163" i="122"/>
  <c r="AA164" i="122"/>
  <c r="AA165" i="122"/>
  <c r="AA166" i="122"/>
  <c r="AA167" i="122"/>
  <c r="AA168" i="122"/>
  <c r="AA169" i="122"/>
  <c r="AA170" i="122"/>
  <c r="AA171" i="122"/>
  <c r="AA172" i="122"/>
  <c r="AA173" i="122"/>
  <c r="AA174" i="122"/>
  <c r="AA175" i="122"/>
  <c r="AA176" i="122"/>
  <c r="AA177" i="122"/>
  <c r="AA178" i="122"/>
  <c r="AA179" i="122"/>
  <c r="AA180" i="122"/>
  <c r="AA181" i="122"/>
  <c r="AA182" i="122"/>
  <c r="AA183" i="122"/>
  <c r="AA184" i="122"/>
  <c r="AA185" i="122"/>
  <c r="AA186" i="122"/>
  <c r="AA187" i="122"/>
  <c r="AA188" i="122"/>
  <c r="AA189" i="122"/>
  <c r="AA190" i="122"/>
  <c r="AA191" i="122"/>
  <c r="AA192" i="122"/>
  <c r="AA193" i="122"/>
  <c r="AA194" i="122"/>
  <c r="AA195" i="122"/>
  <c r="AA196" i="122"/>
  <c r="AA197" i="122"/>
  <c r="AA198" i="122"/>
  <c r="AA199" i="122"/>
  <c r="AA200" i="122"/>
  <c r="AA201" i="122"/>
  <c r="AA202" i="122"/>
  <c r="AA203" i="122"/>
  <c r="AA204" i="122"/>
  <c r="AA205" i="122"/>
  <c r="AA206" i="122"/>
  <c r="AA207" i="122"/>
  <c r="AA208" i="122"/>
  <c r="AA209" i="122"/>
  <c r="AA210" i="122"/>
  <c r="AA211" i="122"/>
  <c r="AA212" i="122"/>
  <c r="AA213" i="122"/>
  <c r="AA214" i="122"/>
  <c r="AA215" i="122"/>
  <c r="AA216" i="122"/>
  <c r="AA217" i="122"/>
  <c r="AA218" i="122"/>
  <c r="AA219" i="122"/>
  <c r="AA220" i="122"/>
  <c r="AA221" i="122"/>
  <c r="AA222" i="122"/>
  <c r="AA223" i="122"/>
  <c r="AA224" i="122"/>
  <c r="AA225" i="122"/>
  <c r="AA226" i="122"/>
  <c r="AA227" i="122"/>
  <c r="AA228" i="122"/>
  <c r="AA229" i="122"/>
  <c r="AA230" i="122"/>
  <c r="AA231" i="122"/>
  <c r="AA232" i="122"/>
  <c r="AA233" i="122"/>
  <c r="AA234" i="122"/>
  <c r="AA235" i="122"/>
  <c r="AA236" i="122"/>
  <c r="AA237" i="122"/>
  <c r="AA238" i="122"/>
  <c r="AA239" i="122"/>
  <c r="AA240" i="122"/>
  <c r="AA241" i="122"/>
  <c r="AA242" i="122"/>
  <c r="AA243" i="122"/>
  <c r="AA244" i="122"/>
  <c r="AA245" i="122"/>
  <c r="AA246" i="122"/>
  <c r="AA247" i="122"/>
  <c r="AA248" i="122"/>
  <c r="AA249" i="122"/>
  <c r="AA250" i="122"/>
  <c r="AA251" i="122"/>
  <c r="AA252" i="122"/>
  <c r="AA253" i="122"/>
  <c r="AA254" i="122"/>
  <c r="AA255" i="122"/>
  <c r="AA256" i="122"/>
  <c r="AA257" i="122"/>
  <c r="AA258" i="122"/>
  <c r="AA259" i="122"/>
  <c r="AA260" i="122"/>
  <c r="AA261" i="122"/>
  <c r="AA262" i="122"/>
  <c r="AA263" i="122"/>
  <c r="AA264" i="122"/>
  <c r="AA265" i="122"/>
  <c r="AA266" i="122"/>
  <c r="AA267" i="122"/>
  <c r="AA268" i="122"/>
  <c r="AA269" i="122"/>
  <c r="AA270" i="122"/>
  <c r="AA271" i="122"/>
  <c r="AA272" i="122"/>
  <c r="AA273" i="122"/>
  <c r="AA274" i="122"/>
  <c r="AA275" i="122"/>
  <c r="AA276" i="122"/>
  <c r="AA277" i="122"/>
  <c r="AA278" i="122"/>
  <c r="AA279" i="122"/>
  <c r="AA280" i="122"/>
  <c r="AA281" i="122"/>
  <c r="AA282" i="122"/>
  <c r="AA283" i="122"/>
  <c r="AA284" i="122"/>
  <c r="AA285" i="122"/>
  <c r="AA286" i="122"/>
  <c r="AA287" i="122"/>
  <c r="AA288" i="122"/>
  <c r="AA289" i="122"/>
  <c r="AA290" i="122"/>
  <c r="AA291" i="122"/>
  <c r="AA292" i="122"/>
  <c r="AA293" i="122"/>
  <c r="AA294" i="122"/>
  <c r="AA295" i="122"/>
  <c r="AA296" i="122"/>
  <c r="AA297" i="122"/>
  <c r="AA298" i="122"/>
  <c r="AA299" i="122"/>
  <c r="AA300" i="122"/>
  <c r="AA301" i="122"/>
  <c r="AA302" i="122"/>
  <c r="AA303" i="122"/>
  <c r="AA304" i="122"/>
  <c r="AA305" i="122"/>
  <c r="AA306" i="122"/>
  <c r="AA307" i="122"/>
  <c r="AA308" i="122"/>
  <c r="AA309" i="122"/>
  <c r="AA310" i="122"/>
  <c r="AA311" i="122"/>
  <c r="AA312" i="122"/>
  <c r="AA313" i="122"/>
  <c r="AA314" i="122"/>
  <c r="AA315" i="122"/>
  <c r="AA316" i="122"/>
  <c r="AA317" i="122"/>
  <c r="AA318" i="122"/>
  <c r="AA319" i="122"/>
  <c r="AA320" i="122"/>
  <c r="AA321" i="122"/>
  <c r="AA322" i="122"/>
  <c r="AA323" i="122"/>
  <c r="AA324" i="122"/>
  <c r="AA325" i="122"/>
  <c r="AA326" i="122"/>
  <c r="AA327" i="122"/>
  <c r="AA328" i="122"/>
  <c r="AA329" i="122"/>
  <c r="AA330" i="122"/>
  <c r="AA331" i="122"/>
  <c r="AA332" i="122"/>
  <c r="AA333" i="122"/>
  <c r="AA334" i="122"/>
  <c r="AA335" i="122"/>
  <c r="AA336" i="122"/>
  <c r="AA337" i="122"/>
  <c r="AA338" i="122"/>
  <c r="AA339" i="122"/>
  <c r="AA340" i="122"/>
  <c r="AA341" i="122"/>
  <c r="AA342" i="122"/>
  <c r="AA343" i="122"/>
  <c r="AA344" i="122"/>
  <c r="AA345" i="122"/>
  <c r="AA346" i="122"/>
  <c r="AA347" i="122"/>
  <c r="AA348" i="122"/>
  <c r="AA349" i="122"/>
  <c r="AA350" i="122"/>
  <c r="AC3" i="122"/>
  <c r="AC4" i="122"/>
  <c r="AC6" i="122"/>
  <c r="AC7" i="122"/>
  <c r="AC8" i="122"/>
  <c r="AC10" i="122"/>
  <c r="AC11" i="122"/>
  <c r="AC12" i="122"/>
  <c r="AC14" i="122"/>
  <c r="AC15" i="122"/>
  <c r="AC16" i="122"/>
  <c r="AC18" i="122"/>
  <c r="AC19" i="122"/>
  <c r="AC20" i="122"/>
  <c r="AC22" i="122"/>
  <c r="AC23" i="122"/>
  <c r="AC24" i="122"/>
  <c r="AC26" i="122"/>
  <c r="AC27" i="122"/>
  <c r="AC28" i="122"/>
  <c r="AC30" i="122"/>
  <c r="AC31" i="122"/>
  <c r="AC32" i="122"/>
  <c r="AC34" i="122"/>
  <c r="AC35" i="122"/>
  <c r="AC36" i="122"/>
  <c r="AC38" i="122"/>
  <c r="AC39" i="122"/>
  <c r="AC40" i="122"/>
  <c r="AC42" i="122"/>
  <c r="AC43" i="122"/>
  <c r="AC44" i="122"/>
  <c r="AC46" i="122"/>
  <c r="AC47" i="122"/>
  <c r="AC48" i="122"/>
  <c r="AC50" i="122"/>
  <c r="AC51" i="122"/>
  <c r="AC52" i="122"/>
  <c r="AC54" i="122"/>
  <c r="AC55" i="122"/>
  <c r="AC56" i="122"/>
  <c r="AC58" i="122"/>
  <c r="AC59" i="122"/>
  <c r="AC60" i="122"/>
  <c r="AC62" i="122"/>
  <c r="AC64" i="122"/>
  <c r="AC66" i="122"/>
  <c r="AC68" i="122"/>
  <c r="AC70" i="122"/>
  <c r="AC72" i="122"/>
  <c r="AC74" i="122"/>
  <c r="AC76" i="122"/>
  <c r="AC78" i="122"/>
  <c r="AC80" i="122"/>
  <c r="AC82" i="122"/>
  <c r="AC84" i="122"/>
  <c r="AC86" i="122"/>
  <c r="AC88" i="122"/>
  <c r="AC90" i="122"/>
  <c r="AC92" i="122"/>
  <c r="AC94" i="122"/>
  <c r="AC96" i="122"/>
  <c r="AC98" i="122"/>
  <c r="AC100" i="122"/>
  <c r="AC102" i="122"/>
  <c r="AC104" i="122"/>
  <c r="AC106" i="122"/>
  <c r="AC108" i="122"/>
  <c r="AC110" i="122"/>
  <c r="AC112" i="122"/>
  <c r="AC114" i="122"/>
  <c r="AC116" i="122"/>
  <c r="AC118" i="122"/>
  <c r="AC120" i="122"/>
  <c r="AC122" i="122"/>
  <c r="AC124" i="122"/>
  <c r="AC126" i="122"/>
  <c r="AC128" i="122"/>
  <c r="AC130" i="122"/>
  <c r="AC132" i="122"/>
  <c r="AC134" i="122"/>
  <c r="AC136" i="122"/>
  <c r="AC138" i="122"/>
  <c r="AC140" i="122"/>
  <c r="AC142" i="122"/>
  <c r="AC144" i="122"/>
  <c r="AC146" i="122"/>
  <c r="AC148" i="122"/>
  <c r="AC150" i="122"/>
  <c r="AC152" i="122"/>
  <c r="AC154" i="122"/>
  <c r="AC156" i="122"/>
  <c r="AC158" i="122"/>
  <c r="AC160" i="122"/>
  <c r="AC162" i="122"/>
  <c r="AC164" i="122"/>
  <c r="AC166" i="122"/>
  <c r="AC168" i="122"/>
  <c r="AC170" i="122"/>
  <c r="AC172" i="122"/>
  <c r="AC174" i="122"/>
  <c r="AC176" i="122"/>
  <c r="AC178" i="122"/>
  <c r="AC180" i="122"/>
  <c r="AC182" i="122"/>
  <c r="AC184" i="122"/>
  <c r="AC186" i="122"/>
  <c r="AC188" i="122"/>
  <c r="AC190" i="122"/>
  <c r="AC192" i="122"/>
  <c r="AC194" i="122"/>
  <c r="AC196" i="122"/>
  <c r="AC198" i="122"/>
  <c r="AC200" i="122"/>
  <c r="AC202" i="122"/>
  <c r="AC204" i="122"/>
  <c r="AC206" i="122"/>
  <c r="AC208" i="122"/>
  <c r="AC210" i="122"/>
  <c r="AC212" i="122"/>
  <c r="AC214" i="122"/>
  <c r="AC216" i="122"/>
  <c r="AC218" i="122"/>
  <c r="AC220" i="122"/>
  <c r="AC222" i="122"/>
  <c r="AC224" i="122"/>
  <c r="AC226" i="122"/>
  <c r="AC228" i="122"/>
  <c r="AC230" i="122"/>
  <c r="AC232" i="122"/>
  <c r="AC234" i="122"/>
  <c r="AC236" i="122"/>
  <c r="AC238" i="122"/>
  <c r="AC240" i="122"/>
  <c r="AC242" i="122"/>
  <c r="AC244" i="122"/>
  <c r="AC246" i="122"/>
  <c r="AC248" i="122"/>
  <c r="AC250" i="122"/>
  <c r="AC252" i="122"/>
  <c r="AC254" i="122"/>
  <c r="AC256" i="122"/>
  <c r="AC258" i="122"/>
  <c r="AC260" i="122"/>
  <c r="AC262" i="122"/>
  <c r="AC264" i="122"/>
  <c r="AC266" i="122"/>
  <c r="AC268" i="122"/>
  <c r="AC270" i="122"/>
  <c r="AC272" i="122"/>
  <c r="AC274" i="122"/>
  <c r="AC276" i="122"/>
  <c r="AC278" i="122"/>
  <c r="AC280" i="122"/>
  <c r="AC282" i="122"/>
  <c r="AC284" i="122"/>
  <c r="AC286" i="122"/>
  <c r="AC288" i="122"/>
  <c r="AC290" i="122"/>
  <c r="AC292" i="122"/>
  <c r="AC294" i="122"/>
  <c r="AC296" i="122"/>
  <c r="AC298" i="122"/>
  <c r="AC300" i="122"/>
  <c r="AC302" i="122"/>
  <c r="AC304" i="122"/>
  <c r="AC306" i="122"/>
  <c r="AC308" i="122"/>
  <c r="AC310" i="122"/>
  <c r="AC312" i="122"/>
  <c r="AC314" i="122"/>
  <c r="AC316" i="122"/>
  <c r="AC318" i="122"/>
  <c r="AC320" i="122"/>
  <c r="AC322" i="122"/>
  <c r="AC324" i="122"/>
  <c r="AC326" i="122"/>
  <c r="AC328" i="122"/>
  <c r="AC330" i="122"/>
  <c r="AC332" i="122"/>
  <c r="AC334" i="122"/>
  <c r="AC336" i="122"/>
  <c r="AC338" i="122"/>
  <c r="AC340" i="122"/>
  <c r="AC342" i="122"/>
  <c r="AC344" i="122"/>
  <c r="AC346" i="122"/>
  <c r="AC348" i="122"/>
  <c r="AC349" i="122"/>
  <c r="AC350" i="122"/>
  <c r="K89" i="122"/>
  <c r="K90" i="122"/>
  <c r="K91" i="122"/>
  <c r="K92" i="122"/>
  <c r="K93" i="122"/>
  <c r="K94" i="122"/>
  <c r="K95" i="122"/>
  <c r="K96" i="122"/>
  <c r="K97" i="122"/>
  <c r="K98" i="122"/>
  <c r="K99" i="122"/>
  <c r="K100" i="122"/>
  <c r="K101" i="122"/>
  <c r="K102" i="122"/>
  <c r="K103" i="122"/>
  <c r="K104" i="122"/>
  <c r="K105" i="122"/>
  <c r="K106" i="122"/>
  <c r="K107" i="122"/>
  <c r="K108" i="122"/>
  <c r="K109" i="122"/>
  <c r="K110" i="122"/>
  <c r="K111" i="122"/>
  <c r="K112" i="122"/>
  <c r="K113" i="122"/>
  <c r="K114" i="122"/>
  <c r="K115" i="122"/>
  <c r="K116" i="122"/>
  <c r="K117" i="122"/>
  <c r="K118" i="122"/>
  <c r="K119" i="122"/>
  <c r="K120" i="122"/>
  <c r="K121" i="122"/>
  <c r="K122" i="122"/>
  <c r="K123" i="122"/>
  <c r="K124" i="122"/>
  <c r="K125" i="122"/>
  <c r="K126" i="122"/>
  <c r="K127" i="122"/>
  <c r="K128" i="122"/>
  <c r="K129" i="122"/>
  <c r="K130" i="122"/>
  <c r="K131" i="122"/>
  <c r="K132" i="122"/>
  <c r="K133" i="122"/>
  <c r="K134" i="122"/>
  <c r="K135" i="122"/>
  <c r="K136" i="122"/>
  <c r="K137" i="122"/>
  <c r="K138" i="122"/>
  <c r="K139" i="122"/>
  <c r="M139" i="122" s="1"/>
  <c r="K140" i="122"/>
  <c r="K141" i="122"/>
  <c r="K142" i="122"/>
  <c r="K143" i="122"/>
  <c r="K144" i="122"/>
  <c r="K145" i="122"/>
  <c r="K146" i="122"/>
  <c r="K147" i="122"/>
  <c r="K148" i="122"/>
  <c r="K149" i="122"/>
  <c r="K150" i="122"/>
  <c r="K151" i="122"/>
  <c r="K152" i="122"/>
  <c r="K153" i="122"/>
  <c r="K154" i="122"/>
  <c r="K155" i="122"/>
  <c r="K156" i="122"/>
  <c r="K157" i="122"/>
  <c r="K158" i="122"/>
  <c r="K159" i="122"/>
  <c r="K160" i="122"/>
  <c r="K161" i="122"/>
  <c r="K162" i="122"/>
  <c r="K163" i="122"/>
  <c r="K164" i="122"/>
  <c r="K165" i="122"/>
  <c r="K166" i="122"/>
  <c r="K167" i="122"/>
  <c r="K168" i="122"/>
  <c r="K169" i="122"/>
  <c r="K170" i="122"/>
  <c r="K171" i="122"/>
  <c r="K172" i="122"/>
  <c r="K173" i="122"/>
  <c r="K174" i="122"/>
  <c r="K175" i="122"/>
  <c r="M175" i="122" s="1"/>
  <c r="K176" i="122"/>
  <c r="K177" i="122"/>
  <c r="K178" i="122"/>
  <c r="K179" i="122"/>
  <c r="K180" i="122"/>
  <c r="K181" i="122"/>
  <c r="K182" i="122"/>
  <c r="K183" i="122"/>
  <c r="K184" i="122"/>
  <c r="K185" i="122"/>
  <c r="K186" i="122"/>
  <c r="K187" i="122"/>
  <c r="K188" i="122"/>
  <c r="K189" i="122"/>
  <c r="K190" i="122"/>
  <c r="K191" i="122"/>
  <c r="K192" i="122"/>
  <c r="K193" i="122"/>
  <c r="K194" i="122"/>
  <c r="K195" i="122"/>
  <c r="K196" i="122"/>
  <c r="K197" i="122"/>
  <c r="K198" i="122"/>
  <c r="K199" i="122"/>
  <c r="K200" i="122"/>
  <c r="K201" i="122"/>
  <c r="K202" i="122"/>
  <c r="K203" i="122"/>
  <c r="K204" i="122"/>
  <c r="K205" i="122"/>
  <c r="K206" i="122"/>
  <c r="K207" i="122"/>
  <c r="K208" i="122"/>
  <c r="K209" i="122"/>
  <c r="K210" i="122"/>
  <c r="K211" i="122"/>
  <c r="K212" i="122"/>
  <c r="K213" i="122"/>
  <c r="K214" i="122"/>
  <c r="K215" i="122"/>
  <c r="K216" i="122"/>
  <c r="K217" i="122"/>
  <c r="K218" i="122"/>
  <c r="K219" i="122"/>
  <c r="K220" i="122"/>
  <c r="K221" i="122"/>
  <c r="K222" i="122"/>
  <c r="K223" i="122"/>
  <c r="K224" i="122"/>
  <c r="K225" i="122"/>
  <c r="K226" i="122"/>
  <c r="K227" i="122"/>
  <c r="K228" i="122"/>
  <c r="K229" i="122"/>
  <c r="K230" i="122"/>
  <c r="K231" i="122"/>
  <c r="K232" i="122"/>
  <c r="K233" i="122"/>
  <c r="K234" i="122"/>
  <c r="K235" i="122"/>
  <c r="K236" i="122"/>
  <c r="K237" i="122"/>
  <c r="K238" i="122"/>
  <c r="K239" i="122"/>
  <c r="M239" i="122" s="1"/>
  <c r="K240" i="122"/>
  <c r="K241" i="122"/>
  <c r="K242" i="122"/>
  <c r="K243" i="122"/>
  <c r="K244" i="122"/>
  <c r="K245" i="122"/>
  <c r="K246" i="122"/>
  <c r="K247" i="122"/>
  <c r="K248" i="122"/>
  <c r="K249" i="122"/>
  <c r="K250" i="122"/>
  <c r="K251" i="122"/>
  <c r="K252" i="122"/>
  <c r="K253" i="122"/>
  <c r="K254" i="122"/>
  <c r="K255" i="122"/>
  <c r="K256" i="122"/>
  <c r="K257" i="122"/>
  <c r="K258" i="122"/>
  <c r="K259" i="122"/>
  <c r="K260" i="122"/>
  <c r="K261" i="122"/>
  <c r="K262" i="122"/>
  <c r="K263" i="122"/>
  <c r="K264" i="122"/>
  <c r="K265" i="122"/>
  <c r="K266" i="122"/>
  <c r="K267" i="122"/>
  <c r="M267" i="122" s="1"/>
  <c r="K268" i="122"/>
  <c r="K269" i="122"/>
  <c r="K270" i="122"/>
  <c r="K271" i="122"/>
  <c r="K272" i="122"/>
  <c r="K273" i="122"/>
  <c r="K274" i="122"/>
  <c r="K275" i="122"/>
  <c r="K276" i="122"/>
  <c r="K277" i="122"/>
  <c r="K278" i="122"/>
  <c r="K279" i="122"/>
  <c r="K280" i="122"/>
  <c r="K281" i="122"/>
  <c r="K282" i="122"/>
  <c r="K283" i="122"/>
  <c r="K284" i="122"/>
  <c r="K285" i="122"/>
  <c r="K286" i="122"/>
  <c r="K287" i="122"/>
  <c r="K288" i="122"/>
  <c r="K289" i="122"/>
  <c r="K290" i="122"/>
  <c r="K291" i="122"/>
  <c r="K292" i="122"/>
  <c r="K293" i="122"/>
  <c r="K294" i="122"/>
  <c r="K295" i="122"/>
  <c r="K296" i="122"/>
  <c r="K297" i="122"/>
  <c r="K298" i="122"/>
  <c r="K299" i="122"/>
  <c r="K300" i="122"/>
  <c r="K301" i="122"/>
  <c r="K302" i="122"/>
  <c r="K303" i="122"/>
  <c r="K304" i="122"/>
  <c r="K305" i="122"/>
  <c r="K306" i="122"/>
  <c r="K307" i="122"/>
  <c r="K308" i="122"/>
  <c r="K309" i="122"/>
  <c r="K310" i="122"/>
  <c r="K311" i="122"/>
  <c r="K312" i="122"/>
  <c r="K313" i="122"/>
  <c r="K314" i="122"/>
  <c r="K315" i="122"/>
  <c r="K316" i="122"/>
  <c r="K317" i="122"/>
  <c r="K318" i="122"/>
  <c r="K319" i="122"/>
  <c r="K320" i="122"/>
  <c r="K321" i="122"/>
  <c r="K322" i="122"/>
  <c r="K323" i="122"/>
  <c r="K324" i="122"/>
  <c r="K325" i="122"/>
  <c r="K326" i="122"/>
  <c r="K327" i="122"/>
  <c r="K328" i="122"/>
  <c r="K329" i="122"/>
  <c r="K330" i="122"/>
  <c r="K331" i="122"/>
  <c r="K332" i="122"/>
  <c r="K333" i="122"/>
  <c r="K334" i="122"/>
  <c r="K335" i="122"/>
  <c r="K336" i="122"/>
  <c r="K337" i="122"/>
  <c r="K338" i="122"/>
  <c r="K339" i="122"/>
  <c r="K340" i="122"/>
  <c r="K341" i="122"/>
  <c r="K342" i="122"/>
  <c r="K343" i="122"/>
  <c r="K344" i="122"/>
  <c r="K345" i="122"/>
  <c r="K346" i="122"/>
  <c r="K347" i="122"/>
  <c r="K348" i="122"/>
  <c r="K349" i="122"/>
  <c r="K350" i="122"/>
  <c r="L89" i="122"/>
  <c r="M89" i="122" s="1"/>
  <c r="L90" i="122"/>
  <c r="L91" i="122"/>
  <c r="L92" i="122"/>
  <c r="L93" i="122"/>
  <c r="L94" i="122"/>
  <c r="L95" i="122"/>
  <c r="L96" i="122"/>
  <c r="L97" i="122"/>
  <c r="M97" i="122" s="1"/>
  <c r="L98" i="122"/>
  <c r="L99" i="122"/>
  <c r="L100" i="122"/>
  <c r="L101" i="122"/>
  <c r="L102" i="122"/>
  <c r="L103" i="122"/>
  <c r="L104" i="122"/>
  <c r="L105" i="122"/>
  <c r="M105" i="122" s="1"/>
  <c r="L106" i="122"/>
  <c r="L107" i="122"/>
  <c r="L108" i="122"/>
  <c r="L109" i="122"/>
  <c r="L110" i="122"/>
  <c r="L111" i="122"/>
  <c r="L112" i="122"/>
  <c r="L113" i="122"/>
  <c r="M113" i="122" s="1"/>
  <c r="L114" i="122"/>
  <c r="L115" i="122"/>
  <c r="L116" i="122"/>
  <c r="L117" i="122"/>
  <c r="L118" i="122"/>
  <c r="L119" i="122"/>
  <c r="L120" i="122"/>
  <c r="L121" i="122"/>
  <c r="L122" i="122"/>
  <c r="L123" i="122"/>
  <c r="L124" i="122"/>
  <c r="L125" i="122"/>
  <c r="M125" i="122" s="1"/>
  <c r="L126" i="122"/>
  <c r="L127" i="122"/>
  <c r="L128" i="122"/>
  <c r="L129" i="122"/>
  <c r="L130" i="122"/>
  <c r="L131" i="122"/>
  <c r="L132" i="122"/>
  <c r="L133" i="122"/>
  <c r="M133" i="122" s="1"/>
  <c r="L134" i="122"/>
  <c r="L135" i="122"/>
  <c r="L136" i="122"/>
  <c r="L137" i="122"/>
  <c r="L138" i="122"/>
  <c r="L139" i="122"/>
  <c r="L140" i="122"/>
  <c r="L141" i="122"/>
  <c r="M141" i="122" s="1"/>
  <c r="L142" i="122"/>
  <c r="L143" i="122"/>
  <c r="L144" i="122"/>
  <c r="L145" i="122"/>
  <c r="L146" i="122"/>
  <c r="L147" i="122"/>
  <c r="L148" i="122"/>
  <c r="L149" i="122"/>
  <c r="M149" i="122" s="1"/>
  <c r="L150" i="122"/>
  <c r="L151" i="122"/>
  <c r="L152" i="122"/>
  <c r="L153" i="122"/>
  <c r="M153" i="122" s="1"/>
  <c r="L154" i="122"/>
  <c r="L155" i="122"/>
  <c r="L156" i="122"/>
  <c r="L157" i="122"/>
  <c r="L158" i="122"/>
  <c r="L159" i="122"/>
  <c r="L160" i="122"/>
  <c r="L161" i="122"/>
  <c r="M161" i="122" s="1"/>
  <c r="L162" i="122"/>
  <c r="L163" i="122"/>
  <c r="L164" i="122"/>
  <c r="L165" i="122"/>
  <c r="L166" i="122"/>
  <c r="L167" i="122"/>
  <c r="L168" i="122"/>
  <c r="L169" i="122"/>
  <c r="M169" i="122" s="1"/>
  <c r="L170" i="122"/>
  <c r="L171" i="122"/>
  <c r="L172" i="122"/>
  <c r="L173" i="122"/>
  <c r="L174" i="122"/>
  <c r="L175" i="122"/>
  <c r="L176" i="122"/>
  <c r="L177" i="122"/>
  <c r="M177" i="122" s="1"/>
  <c r="L178" i="122"/>
  <c r="L179" i="122"/>
  <c r="L180" i="122"/>
  <c r="L181" i="122"/>
  <c r="L182" i="122"/>
  <c r="L183" i="122"/>
  <c r="L184" i="122"/>
  <c r="L185" i="122"/>
  <c r="L186" i="122"/>
  <c r="L187" i="122"/>
  <c r="L188" i="122"/>
  <c r="L189" i="122"/>
  <c r="M189" i="122" s="1"/>
  <c r="L190" i="122"/>
  <c r="L191" i="122"/>
  <c r="L192" i="122"/>
  <c r="L193" i="122"/>
  <c r="L194" i="122"/>
  <c r="L195" i="122"/>
  <c r="L196" i="122"/>
  <c r="L197" i="122"/>
  <c r="M197" i="122" s="1"/>
  <c r="L198" i="122"/>
  <c r="L199" i="122"/>
  <c r="L200" i="122"/>
  <c r="L201" i="122"/>
  <c r="L202" i="122"/>
  <c r="L203" i="122"/>
  <c r="L204" i="122"/>
  <c r="L205" i="122"/>
  <c r="M205" i="122" s="1"/>
  <c r="L206" i="122"/>
  <c r="L207" i="122"/>
  <c r="L208" i="122"/>
  <c r="L209" i="122"/>
  <c r="L210" i="122"/>
  <c r="L211" i="122"/>
  <c r="L212" i="122"/>
  <c r="L213" i="122"/>
  <c r="M213" i="122" s="1"/>
  <c r="L214" i="122"/>
  <c r="L215" i="122"/>
  <c r="L216" i="122"/>
  <c r="L217" i="122"/>
  <c r="M217" i="122" s="1"/>
  <c r="L218" i="122"/>
  <c r="L219" i="122"/>
  <c r="L220" i="122"/>
  <c r="L221" i="122"/>
  <c r="L222" i="122"/>
  <c r="L223" i="122"/>
  <c r="L224" i="122"/>
  <c r="L225" i="122"/>
  <c r="M225" i="122" s="1"/>
  <c r="L226" i="122"/>
  <c r="L227" i="122"/>
  <c r="L228" i="122"/>
  <c r="L229" i="122"/>
  <c r="L230" i="122"/>
  <c r="L231" i="122"/>
  <c r="L232" i="122"/>
  <c r="L233" i="122"/>
  <c r="M233" i="122" s="1"/>
  <c r="L234" i="122"/>
  <c r="L235" i="122"/>
  <c r="L236" i="122"/>
  <c r="L237" i="122"/>
  <c r="L238" i="122"/>
  <c r="L239" i="122"/>
  <c r="L240" i="122"/>
  <c r="L241" i="122"/>
  <c r="M241" i="122" s="1"/>
  <c r="L242" i="122"/>
  <c r="L243" i="122"/>
  <c r="L244" i="122"/>
  <c r="L245" i="122"/>
  <c r="L246" i="122"/>
  <c r="L247" i="122"/>
  <c r="L248" i="122"/>
  <c r="L249" i="122"/>
  <c r="L250" i="122"/>
  <c r="L251" i="122"/>
  <c r="L252" i="122"/>
  <c r="L253" i="122"/>
  <c r="M253" i="122" s="1"/>
  <c r="L254" i="122"/>
  <c r="L255" i="122"/>
  <c r="L256" i="122"/>
  <c r="L257" i="122"/>
  <c r="L258" i="122"/>
  <c r="L259" i="122"/>
  <c r="L260" i="122"/>
  <c r="L261" i="122"/>
  <c r="M261" i="122" s="1"/>
  <c r="L262" i="122"/>
  <c r="L263" i="122"/>
  <c r="L264" i="122"/>
  <c r="L265" i="122"/>
  <c r="L266" i="122"/>
  <c r="L267" i="122"/>
  <c r="L268" i="122"/>
  <c r="L269" i="122"/>
  <c r="M269" i="122" s="1"/>
  <c r="L270" i="122"/>
  <c r="L271" i="122"/>
  <c r="L272" i="122"/>
  <c r="L273" i="122"/>
  <c r="L274" i="122"/>
  <c r="L275" i="122"/>
  <c r="L276" i="122"/>
  <c r="L277" i="122"/>
  <c r="M277" i="122" s="1"/>
  <c r="L278" i="122"/>
  <c r="L279" i="122"/>
  <c r="L280" i="122"/>
  <c r="L281" i="122"/>
  <c r="M281" i="122" s="1"/>
  <c r="L282" i="122"/>
  <c r="L283" i="122"/>
  <c r="L284" i="122"/>
  <c r="L285" i="122"/>
  <c r="L286" i="122"/>
  <c r="L287" i="122"/>
  <c r="L288" i="122"/>
  <c r="L289" i="122"/>
  <c r="M289" i="122" s="1"/>
  <c r="L290" i="122"/>
  <c r="L291" i="122"/>
  <c r="L292" i="122"/>
  <c r="L293" i="122"/>
  <c r="L294" i="122"/>
  <c r="L295" i="122"/>
  <c r="L296" i="122"/>
  <c r="L297" i="122"/>
  <c r="M297" i="122" s="1"/>
  <c r="L298" i="122"/>
  <c r="L299" i="122"/>
  <c r="L300" i="122"/>
  <c r="L301" i="122"/>
  <c r="L302" i="122"/>
  <c r="L303" i="122"/>
  <c r="L304" i="122"/>
  <c r="L305" i="122"/>
  <c r="M305" i="122" s="1"/>
  <c r="L306" i="122"/>
  <c r="L307" i="122"/>
  <c r="L308" i="122"/>
  <c r="L309" i="122"/>
  <c r="L310" i="122"/>
  <c r="L311" i="122"/>
  <c r="L312" i="122"/>
  <c r="L313" i="122"/>
  <c r="L314" i="122"/>
  <c r="L315" i="122"/>
  <c r="L316" i="122"/>
  <c r="L317" i="122"/>
  <c r="M317" i="122" s="1"/>
  <c r="L318" i="122"/>
  <c r="L319" i="122"/>
  <c r="L320" i="122"/>
  <c r="L321" i="122"/>
  <c r="L322" i="122"/>
  <c r="L323" i="122"/>
  <c r="L324" i="122"/>
  <c r="L325" i="122"/>
  <c r="M325" i="122" s="1"/>
  <c r="L326" i="122"/>
  <c r="L327" i="122"/>
  <c r="L328" i="122"/>
  <c r="L329" i="122"/>
  <c r="L330" i="122"/>
  <c r="L331" i="122"/>
  <c r="L332" i="122"/>
  <c r="L333" i="122"/>
  <c r="M333" i="122" s="1"/>
  <c r="L334" i="122"/>
  <c r="L335" i="122"/>
  <c r="L336" i="122"/>
  <c r="L337" i="122"/>
  <c r="L338" i="122"/>
  <c r="L339" i="122"/>
  <c r="L340" i="122"/>
  <c r="L341" i="122"/>
  <c r="M341" i="122" s="1"/>
  <c r="L342" i="122"/>
  <c r="L343" i="122"/>
  <c r="L344" i="122"/>
  <c r="L345" i="122"/>
  <c r="M345" i="122" s="1"/>
  <c r="L346" i="122"/>
  <c r="L347" i="122"/>
  <c r="L348" i="122"/>
  <c r="L349" i="122"/>
  <c r="L350" i="122"/>
  <c r="M203" i="122"/>
  <c r="N89" i="122"/>
  <c r="N90" i="122"/>
  <c r="N91" i="122"/>
  <c r="N92" i="122"/>
  <c r="N93" i="122"/>
  <c r="N94" i="122"/>
  <c r="N95" i="122"/>
  <c r="N96" i="122"/>
  <c r="N97" i="122"/>
  <c r="N98" i="122"/>
  <c r="N99" i="122"/>
  <c r="N100" i="122"/>
  <c r="N101" i="122"/>
  <c r="N102" i="122"/>
  <c r="N103" i="122"/>
  <c r="N104" i="122"/>
  <c r="N105" i="122"/>
  <c r="N106" i="122"/>
  <c r="N107" i="122"/>
  <c r="N108" i="122"/>
  <c r="N109" i="122"/>
  <c r="N110" i="122"/>
  <c r="N111" i="122"/>
  <c r="N112" i="122"/>
  <c r="N113" i="122"/>
  <c r="N114" i="122"/>
  <c r="N115" i="122"/>
  <c r="N116" i="122"/>
  <c r="N117" i="122"/>
  <c r="N118" i="122"/>
  <c r="N119" i="122"/>
  <c r="N120" i="122"/>
  <c r="N121" i="122"/>
  <c r="N122" i="122"/>
  <c r="N123" i="122"/>
  <c r="N124" i="122"/>
  <c r="N125" i="122"/>
  <c r="N126" i="122"/>
  <c r="N127" i="122"/>
  <c r="N128" i="122"/>
  <c r="N129" i="122"/>
  <c r="N130" i="122"/>
  <c r="N131" i="122"/>
  <c r="N132" i="122"/>
  <c r="N133" i="122"/>
  <c r="N134" i="122"/>
  <c r="N135" i="122"/>
  <c r="N136" i="122"/>
  <c r="N137" i="122"/>
  <c r="N138" i="122"/>
  <c r="N139" i="122"/>
  <c r="N140" i="122"/>
  <c r="N141" i="122"/>
  <c r="N142" i="122"/>
  <c r="N143" i="122"/>
  <c r="N144" i="122"/>
  <c r="N145" i="122"/>
  <c r="N146" i="122"/>
  <c r="N147" i="122"/>
  <c r="N148" i="122"/>
  <c r="N149" i="122"/>
  <c r="N150" i="122"/>
  <c r="N151" i="122"/>
  <c r="N152" i="122"/>
  <c r="N153" i="122"/>
  <c r="N154" i="122"/>
  <c r="N155" i="122"/>
  <c r="N156" i="122"/>
  <c r="N157" i="122"/>
  <c r="N158" i="122"/>
  <c r="N159" i="122"/>
  <c r="N160" i="122"/>
  <c r="N161" i="122"/>
  <c r="N162" i="122"/>
  <c r="N163" i="122"/>
  <c r="N164" i="122"/>
  <c r="N165" i="122"/>
  <c r="N166" i="122"/>
  <c r="N167" i="122"/>
  <c r="N168" i="122"/>
  <c r="N169" i="122"/>
  <c r="N170" i="122"/>
  <c r="N171" i="122"/>
  <c r="N172" i="122"/>
  <c r="N173" i="122"/>
  <c r="N174" i="122"/>
  <c r="N175" i="122"/>
  <c r="N176" i="122"/>
  <c r="N177" i="122"/>
  <c r="N178" i="122"/>
  <c r="N179" i="122"/>
  <c r="N180" i="122"/>
  <c r="N181" i="122"/>
  <c r="N182" i="122"/>
  <c r="N183" i="122"/>
  <c r="N184" i="122"/>
  <c r="N185" i="122"/>
  <c r="N186" i="122"/>
  <c r="N187" i="122"/>
  <c r="N188" i="122"/>
  <c r="N189" i="122"/>
  <c r="N190" i="122"/>
  <c r="N191" i="122"/>
  <c r="N192" i="122"/>
  <c r="N193" i="122"/>
  <c r="N194" i="122"/>
  <c r="N195" i="122"/>
  <c r="N196" i="122"/>
  <c r="N197" i="122"/>
  <c r="N198" i="122"/>
  <c r="N199" i="122"/>
  <c r="N200" i="122"/>
  <c r="N201" i="122"/>
  <c r="N202" i="122"/>
  <c r="N203" i="122"/>
  <c r="N204" i="122"/>
  <c r="N205" i="122"/>
  <c r="N206" i="122"/>
  <c r="N207" i="122"/>
  <c r="N208" i="122"/>
  <c r="N209" i="122"/>
  <c r="N210" i="122"/>
  <c r="N211" i="122"/>
  <c r="N212" i="122"/>
  <c r="N213" i="122"/>
  <c r="N214" i="122"/>
  <c r="N215" i="122"/>
  <c r="N216" i="122"/>
  <c r="N217" i="122"/>
  <c r="N218" i="122"/>
  <c r="N219" i="122"/>
  <c r="N220" i="122"/>
  <c r="N221" i="122"/>
  <c r="N222" i="122"/>
  <c r="N223" i="122"/>
  <c r="N224" i="122"/>
  <c r="N225" i="122"/>
  <c r="N226" i="122"/>
  <c r="N227" i="122"/>
  <c r="N228" i="122"/>
  <c r="N229" i="122"/>
  <c r="N230" i="122"/>
  <c r="N231" i="122"/>
  <c r="N232" i="122"/>
  <c r="N233" i="122"/>
  <c r="N234" i="122"/>
  <c r="N235" i="122"/>
  <c r="N236" i="122"/>
  <c r="N237" i="122"/>
  <c r="N238" i="122"/>
  <c r="N239" i="122"/>
  <c r="N240" i="122"/>
  <c r="N241" i="122"/>
  <c r="N242" i="122"/>
  <c r="N243" i="122"/>
  <c r="N244" i="122"/>
  <c r="N245" i="122"/>
  <c r="N246" i="122"/>
  <c r="N247" i="122"/>
  <c r="N248" i="122"/>
  <c r="N249" i="122"/>
  <c r="N250" i="122"/>
  <c r="N251" i="122"/>
  <c r="N252" i="122"/>
  <c r="N253" i="122"/>
  <c r="N254" i="122"/>
  <c r="N255" i="122"/>
  <c r="N256" i="122"/>
  <c r="N257" i="122"/>
  <c r="N258" i="122"/>
  <c r="N259" i="122"/>
  <c r="N260" i="122"/>
  <c r="N261" i="122"/>
  <c r="N262" i="122"/>
  <c r="N263" i="122"/>
  <c r="N264" i="122"/>
  <c r="N265" i="122"/>
  <c r="N266" i="122"/>
  <c r="N267" i="122"/>
  <c r="N268" i="122"/>
  <c r="N269" i="122"/>
  <c r="N270" i="122"/>
  <c r="N271" i="122"/>
  <c r="N272" i="122"/>
  <c r="N273" i="122"/>
  <c r="N274" i="122"/>
  <c r="N275" i="122"/>
  <c r="N276" i="122"/>
  <c r="N277" i="122"/>
  <c r="N278" i="122"/>
  <c r="N279" i="122"/>
  <c r="N280" i="122"/>
  <c r="N281" i="122"/>
  <c r="N282" i="122"/>
  <c r="N283" i="122"/>
  <c r="N284" i="122"/>
  <c r="N285" i="122"/>
  <c r="N286" i="122"/>
  <c r="N287" i="122"/>
  <c r="N288" i="122"/>
  <c r="N289" i="122"/>
  <c r="N290" i="122"/>
  <c r="N291" i="122"/>
  <c r="N292" i="122"/>
  <c r="N293" i="122"/>
  <c r="N294" i="122"/>
  <c r="N295" i="122"/>
  <c r="N296" i="122"/>
  <c r="N297" i="122"/>
  <c r="N298" i="122"/>
  <c r="N299" i="122"/>
  <c r="N300" i="122"/>
  <c r="N301" i="122"/>
  <c r="N302" i="122"/>
  <c r="N303" i="122"/>
  <c r="N304" i="122"/>
  <c r="N305" i="122"/>
  <c r="N306" i="122"/>
  <c r="N307" i="122"/>
  <c r="N308" i="122"/>
  <c r="N309" i="122"/>
  <c r="N310" i="122"/>
  <c r="N311" i="122"/>
  <c r="N312" i="122"/>
  <c r="N313" i="122"/>
  <c r="N314" i="122"/>
  <c r="N315" i="122"/>
  <c r="N316" i="122"/>
  <c r="N317" i="122"/>
  <c r="N318" i="122"/>
  <c r="N319" i="122"/>
  <c r="N320" i="122"/>
  <c r="N321" i="122"/>
  <c r="N322" i="122"/>
  <c r="N323" i="122"/>
  <c r="N324" i="122"/>
  <c r="N325" i="122"/>
  <c r="N326" i="122"/>
  <c r="N327" i="122"/>
  <c r="N328" i="122"/>
  <c r="N329" i="122"/>
  <c r="N330" i="122"/>
  <c r="N331" i="122"/>
  <c r="N332" i="122"/>
  <c r="N333" i="122"/>
  <c r="N334" i="122"/>
  <c r="N335" i="122"/>
  <c r="N336" i="122"/>
  <c r="N337" i="122"/>
  <c r="N338" i="122"/>
  <c r="N339" i="122"/>
  <c r="N340" i="122"/>
  <c r="N341" i="122"/>
  <c r="N342" i="122"/>
  <c r="N343" i="122"/>
  <c r="N344" i="122"/>
  <c r="N345" i="122"/>
  <c r="N346" i="122"/>
  <c r="N347" i="122"/>
  <c r="N348" i="122"/>
  <c r="N349" i="122"/>
  <c r="N350" i="122"/>
  <c r="U89" i="122"/>
  <c r="U90" i="122"/>
  <c r="U91" i="122"/>
  <c r="U92" i="122"/>
  <c r="U93" i="122"/>
  <c r="U94" i="122"/>
  <c r="U95" i="122"/>
  <c r="W95" i="122" s="1"/>
  <c r="U96" i="122"/>
  <c r="U97" i="122"/>
  <c r="U98" i="122"/>
  <c r="U99" i="122"/>
  <c r="U100" i="122"/>
  <c r="U101" i="122"/>
  <c r="U102" i="122"/>
  <c r="U103" i="122"/>
  <c r="U104" i="122"/>
  <c r="U105" i="122"/>
  <c r="U106" i="122"/>
  <c r="U107" i="122"/>
  <c r="U108" i="122"/>
  <c r="U109" i="122"/>
  <c r="U110" i="122"/>
  <c r="U111" i="122"/>
  <c r="U112" i="122"/>
  <c r="U113" i="122"/>
  <c r="U114" i="122"/>
  <c r="U115" i="122"/>
  <c r="U116" i="122"/>
  <c r="U117" i="122"/>
  <c r="U118" i="122"/>
  <c r="U119" i="122"/>
  <c r="U120" i="122"/>
  <c r="U121" i="122"/>
  <c r="U122" i="122"/>
  <c r="U123" i="122"/>
  <c r="U124" i="122"/>
  <c r="U125" i="122"/>
  <c r="U126" i="122"/>
  <c r="U127" i="122"/>
  <c r="U128" i="122"/>
  <c r="U129" i="122"/>
  <c r="U130" i="122"/>
  <c r="U131" i="122"/>
  <c r="U132" i="122"/>
  <c r="U133" i="122"/>
  <c r="U134" i="122"/>
  <c r="U135" i="122"/>
  <c r="U136" i="122"/>
  <c r="U137" i="122"/>
  <c r="U138" i="122"/>
  <c r="U139" i="122"/>
  <c r="U140" i="122"/>
  <c r="U141" i="122"/>
  <c r="U142" i="122"/>
  <c r="U143" i="122"/>
  <c r="U144" i="122"/>
  <c r="U145" i="122"/>
  <c r="U146" i="122"/>
  <c r="U147" i="122"/>
  <c r="U148" i="122"/>
  <c r="U149" i="122"/>
  <c r="U150" i="122"/>
  <c r="U151" i="122"/>
  <c r="U152" i="122"/>
  <c r="U153" i="122"/>
  <c r="U154" i="122"/>
  <c r="U155" i="122"/>
  <c r="U156" i="122"/>
  <c r="U157" i="122"/>
  <c r="U158" i="122"/>
  <c r="U159" i="122"/>
  <c r="U160" i="122"/>
  <c r="U161" i="122"/>
  <c r="U162" i="122"/>
  <c r="U163" i="122"/>
  <c r="U164" i="122"/>
  <c r="U165" i="122"/>
  <c r="U166" i="122"/>
  <c r="U167" i="122"/>
  <c r="U168" i="122"/>
  <c r="U169" i="122"/>
  <c r="U170" i="122"/>
  <c r="U171" i="122"/>
  <c r="U172" i="122"/>
  <c r="U173" i="122"/>
  <c r="U174" i="122"/>
  <c r="U175" i="122"/>
  <c r="U176" i="122"/>
  <c r="U177" i="122"/>
  <c r="U178" i="122"/>
  <c r="U179" i="122"/>
  <c r="U180" i="122"/>
  <c r="U181" i="122"/>
  <c r="U182" i="122"/>
  <c r="U183" i="122"/>
  <c r="U184" i="122"/>
  <c r="U185" i="122"/>
  <c r="U186" i="122"/>
  <c r="U187" i="122"/>
  <c r="U188" i="122"/>
  <c r="U189" i="122"/>
  <c r="U190" i="122"/>
  <c r="U191" i="122"/>
  <c r="W191" i="122" s="1"/>
  <c r="U192" i="122"/>
  <c r="U193" i="122"/>
  <c r="U194" i="122"/>
  <c r="U195" i="122"/>
  <c r="U196" i="122"/>
  <c r="U197" i="122"/>
  <c r="U198" i="122"/>
  <c r="U199" i="122"/>
  <c r="U200" i="122"/>
  <c r="U201" i="122"/>
  <c r="U202" i="122"/>
  <c r="U203" i="122"/>
  <c r="U204" i="122"/>
  <c r="U205" i="122"/>
  <c r="U206" i="122"/>
  <c r="U207" i="122"/>
  <c r="U208" i="122"/>
  <c r="U209" i="122"/>
  <c r="U210" i="122"/>
  <c r="U211" i="122"/>
  <c r="U212" i="122"/>
  <c r="U213" i="122"/>
  <c r="U214" i="122"/>
  <c r="U215" i="122"/>
  <c r="U216" i="122"/>
  <c r="U217" i="122"/>
  <c r="U218" i="122"/>
  <c r="U219" i="122"/>
  <c r="U220" i="122"/>
  <c r="U221" i="122"/>
  <c r="U222" i="122"/>
  <c r="U223" i="122"/>
  <c r="U224" i="122"/>
  <c r="U225" i="122"/>
  <c r="U226" i="122"/>
  <c r="U227" i="122"/>
  <c r="U228" i="122"/>
  <c r="U229" i="122"/>
  <c r="U230" i="122"/>
  <c r="U231" i="122"/>
  <c r="U232" i="122"/>
  <c r="U233" i="122"/>
  <c r="U234" i="122"/>
  <c r="U235" i="122"/>
  <c r="U236" i="122"/>
  <c r="U237" i="122"/>
  <c r="U238" i="122"/>
  <c r="U239" i="122"/>
  <c r="U240" i="122"/>
  <c r="U241" i="122"/>
  <c r="U242" i="122"/>
  <c r="U243" i="122"/>
  <c r="U244" i="122"/>
  <c r="U245" i="122"/>
  <c r="U246" i="122"/>
  <c r="U247" i="122"/>
  <c r="U248" i="122"/>
  <c r="U249" i="122"/>
  <c r="U250" i="122"/>
  <c r="U251" i="122"/>
  <c r="U252" i="122"/>
  <c r="U253" i="122"/>
  <c r="U254" i="122"/>
  <c r="U255" i="122"/>
  <c r="U256" i="122"/>
  <c r="U257" i="122"/>
  <c r="U258" i="122"/>
  <c r="U259" i="122"/>
  <c r="U260" i="122"/>
  <c r="U261" i="122"/>
  <c r="U262" i="122"/>
  <c r="U263" i="122"/>
  <c r="U264" i="122"/>
  <c r="U265" i="122"/>
  <c r="U266" i="122"/>
  <c r="U267" i="122"/>
  <c r="U268" i="122"/>
  <c r="U269" i="122"/>
  <c r="U270" i="122"/>
  <c r="U271" i="122"/>
  <c r="U272" i="122"/>
  <c r="U273" i="122"/>
  <c r="U274" i="122"/>
  <c r="U275" i="122"/>
  <c r="U276" i="122"/>
  <c r="U277" i="122"/>
  <c r="U278" i="122"/>
  <c r="U279" i="122"/>
  <c r="U280" i="122"/>
  <c r="U281" i="122"/>
  <c r="U282" i="122"/>
  <c r="U283" i="122"/>
  <c r="U284" i="122"/>
  <c r="U285" i="122"/>
  <c r="U286" i="122"/>
  <c r="U287" i="122"/>
  <c r="U288" i="122"/>
  <c r="U289" i="122"/>
  <c r="U290" i="122"/>
  <c r="U291" i="122"/>
  <c r="U292" i="122"/>
  <c r="U293" i="122"/>
  <c r="U294" i="122"/>
  <c r="U295" i="122"/>
  <c r="U296" i="122"/>
  <c r="U297" i="122"/>
  <c r="U298" i="122"/>
  <c r="U299" i="122"/>
  <c r="U300" i="122"/>
  <c r="U301" i="122"/>
  <c r="U302" i="122"/>
  <c r="U303" i="122"/>
  <c r="U304" i="122"/>
  <c r="U305" i="122"/>
  <c r="U306" i="122"/>
  <c r="U307" i="122"/>
  <c r="U308" i="122"/>
  <c r="U309" i="122"/>
  <c r="U310" i="122"/>
  <c r="U311" i="122"/>
  <c r="U312" i="122"/>
  <c r="U313" i="122"/>
  <c r="U314" i="122"/>
  <c r="U315" i="122"/>
  <c r="U316" i="122"/>
  <c r="U317" i="122"/>
  <c r="U318" i="122"/>
  <c r="U319" i="122"/>
  <c r="U320" i="122"/>
  <c r="U321" i="122"/>
  <c r="U322" i="122"/>
  <c r="U323" i="122"/>
  <c r="U324" i="122"/>
  <c r="U325" i="122"/>
  <c r="U326" i="122"/>
  <c r="U327" i="122"/>
  <c r="U328" i="122"/>
  <c r="U329" i="122"/>
  <c r="U330" i="122"/>
  <c r="U331" i="122"/>
  <c r="U332" i="122"/>
  <c r="U333" i="122"/>
  <c r="U334" i="122"/>
  <c r="U335" i="122"/>
  <c r="U336" i="122"/>
  <c r="U337" i="122"/>
  <c r="U338" i="122"/>
  <c r="U339" i="122"/>
  <c r="U340" i="122"/>
  <c r="U341" i="122"/>
  <c r="U342" i="122"/>
  <c r="U343" i="122"/>
  <c r="U344" i="122"/>
  <c r="U345" i="122"/>
  <c r="U346" i="122"/>
  <c r="U347" i="122"/>
  <c r="U348" i="122"/>
  <c r="U349" i="122"/>
  <c r="U350" i="122"/>
  <c r="V89" i="122"/>
  <c r="V90" i="122"/>
  <c r="V91" i="122"/>
  <c r="V92" i="122"/>
  <c r="V93" i="122"/>
  <c r="V94" i="122"/>
  <c r="V95" i="122"/>
  <c r="V96" i="122"/>
  <c r="V97" i="122"/>
  <c r="V98" i="122"/>
  <c r="V99" i="122"/>
  <c r="V100" i="122"/>
  <c r="V101" i="122"/>
  <c r="V102" i="122"/>
  <c r="V103" i="122"/>
  <c r="V104" i="122"/>
  <c r="V105" i="122"/>
  <c r="V106" i="122"/>
  <c r="V107" i="122"/>
  <c r="V108" i="122"/>
  <c r="V109" i="122"/>
  <c r="V110" i="122"/>
  <c r="V111" i="122"/>
  <c r="V112" i="122"/>
  <c r="V113" i="122"/>
  <c r="V114" i="122"/>
  <c r="V115" i="122"/>
  <c r="V116" i="122"/>
  <c r="V117" i="122"/>
  <c r="V118" i="122"/>
  <c r="V119" i="122"/>
  <c r="V120" i="122"/>
  <c r="V121" i="122"/>
  <c r="V122" i="122"/>
  <c r="V123" i="122"/>
  <c r="V124" i="122"/>
  <c r="V125" i="122"/>
  <c r="V126" i="122"/>
  <c r="V127" i="122"/>
  <c r="V128" i="122"/>
  <c r="V129" i="122"/>
  <c r="V130" i="122"/>
  <c r="V131" i="122"/>
  <c r="V132" i="122"/>
  <c r="V133" i="122"/>
  <c r="V134" i="122"/>
  <c r="V135" i="122"/>
  <c r="V136" i="122"/>
  <c r="V137" i="122"/>
  <c r="V138" i="122"/>
  <c r="V139" i="122"/>
  <c r="V140" i="122"/>
  <c r="V141" i="122"/>
  <c r="V142" i="122"/>
  <c r="V143" i="122"/>
  <c r="V144" i="122"/>
  <c r="V145" i="122"/>
  <c r="V146" i="122"/>
  <c r="V147" i="122"/>
  <c r="V148" i="122"/>
  <c r="V149" i="122"/>
  <c r="V150" i="122"/>
  <c r="V151" i="122"/>
  <c r="V152" i="122"/>
  <c r="V153" i="122"/>
  <c r="V154" i="122"/>
  <c r="V155" i="122"/>
  <c r="V156" i="122"/>
  <c r="V157" i="122"/>
  <c r="V158" i="122"/>
  <c r="V159" i="122"/>
  <c r="V160" i="122"/>
  <c r="V161" i="122"/>
  <c r="V162" i="122"/>
  <c r="V163" i="122"/>
  <c r="V164" i="122"/>
  <c r="V165" i="122"/>
  <c r="V166" i="122"/>
  <c r="V167" i="122"/>
  <c r="V168" i="122"/>
  <c r="V169" i="122"/>
  <c r="V170" i="122"/>
  <c r="V171" i="122"/>
  <c r="V172" i="122"/>
  <c r="V173" i="122"/>
  <c r="V174" i="122"/>
  <c r="V175" i="122"/>
  <c r="V176" i="122"/>
  <c r="V177" i="122"/>
  <c r="V178" i="122"/>
  <c r="V179" i="122"/>
  <c r="V180" i="122"/>
  <c r="V181" i="122"/>
  <c r="V182" i="122"/>
  <c r="V183" i="122"/>
  <c r="V184" i="122"/>
  <c r="V185" i="122"/>
  <c r="V186" i="122"/>
  <c r="V187" i="122"/>
  <c r="V188" i="122"/>
  <c r="V189" i="122"/>
  <c r="V190" i="122"/>
  <c r="V191" i="122"/>
  <c r="V192" i="122"/>
  <c r="V193" i="122"/>
  <c r="V194" i="122"/>
  <c r="V195" i="122"/>
  <c r="V196" i="122"/>
  <c r="V197" i="122"/>
  <c r="V198" i="122"/>
  <c r="V199" i="122"/>
  <c r="V200" i="122"/>
  <c r="V201" i="122"/>
  <c r="V202" i="122"/>
  <c r="V203" i="122"/>
  <c r="V204" i="122"/>
  <c r="V205" i="122"/>
  <c r="V206" i="122"/>
  <c r="V207" i="122"/>
  <c r="V208" i="122"/>
  <c r="V209" i="122"/>
  <c r="V210" i="122"/>
  <c r="V211" i="122"/>
  <c r="V212" i="122"/>
  <c r="V213" i="122"/>
  <c r="V214" i="122"/>
  <c r="V215" i="122"/>
  <c r="V216" i="122"/>
  <c r="V217" i="122"/>
  <c r="V218" i="122"/>
  <c r="V219" i="122"/>
  <c r="V220" i="122"/>
  <c r="V221" i="122"/>
  <c r="V222" i="122"/>
  <c r="V223" i="122"/>
  <c r="V224" i="122"/>
  <c r="V225" i="122"/>
  <c r="V226" i="122"/>
  <c r="V227" i="122"/>
  <c r="V228" i="122"/>
  <c r="V229" i="122"/>
  <c r="V230" i="122"/>
  <c r="V231" i="122"/>
  <c r="V232" i="122"/>
  <c r="V233" i="122"/>
  <c r="V234" i="122"/>
  <c r="V235" i="122"/>
  <c r="V236" i="122"/>
  <c r="V237" i="122"/>
  <c r="V238" i="122"/>
  <c r="V239" i="122"/>
  <c r="V240" i="122"/>
  <c r="V241" i="122"/>
  <c r="V242" i="122"/>
  <c r="V243" i="122"/>
  <c r="V244" i="122"/>
  <c r="V245" i="122"/>
  <c r="V246" i="122"/>
  <c r="V247" i="122"/>
  <c r="V248" i="122"/>
  <c r="V249" i="122"/>
  <c r="V250" i="122"/>
  <c r="V251" i="122"/>
  <c r="V252" i="122"/>
  <c r="V253" i="122"/>
  <c r="V254" i="122"/>
  <c r="V255" i="122"/>
  <c r="V256" i="122"/>
  <c r="V257" i="122"/>
  <c r="V258" i="122"/>
  <c r="V259" i="122"/>
  <c r="V260" i="122"/>
  <c r="V261" i="122"/>
  <c r="V262" i="122"/>
  <c r="V263" i="122"/>
  <c r="V264" i="122"/>
  <c r="V265" i="122"/>
  <c r="V266" i="122"/>
  <c r="V267" i="122"/>
  <c r="V268" i="122"/>
  <c r="V269" i="122"/>
  <c r="V270" i="122"/>
  <c r="V271" i="122"/>
  <c r="V272" i="122"/>
  <c r="V273" i="122"/>
  <c r="V274" i="122"/>
  <c r="V275" i="122"/>
  <c r="V276" i="122"/>
  <c r="V277" i="122"/>
  <c r="V278" i="122"/>
  <c r="V279" i="122"/>
  <c r="V280" i="122"/>
  <c r="V281" i="122"/>
  <c r="V282" i="122"/>
  <c r="V283" i="122"/>
  <c r="V284" i="122"/>
  <c r="V285" i="122"/>
  <c r="V286" i="122"/>
  <c r="V287" i="122"/>
  <c r="V288" i="122"/>
  <c r="V289" i="122"/>
  <c r="V290" i="122"/>
  <c r="V291" i="122"/>
  <c r="V292" i="122"/>
  <c r="V293" i="122"/>
  <c r="V294" i="122"/>
  <c r="V295" i="122"/>
  <c r="V296" i="122"/>
  <c r="V297" i="122"/>
  <c r="V298" i="122"/>
  <c r="V299" i="122"/>
  <c r="V300" i="122"/>
  <c r="V301" i="122"/>
  <c r="V302" i="122"/>
  <c r="V303" i="122"/>
  <c r="V304" i="122"/>
  <c r="V305" i="122"/>
  <c r="V306" i="122"/>
  <c r="V307" i="122"/>
  <c r="V308" i="122"/>
  <c r="V309" i="122"/>
  <c r="V310" i="122"/>
  <c r="V311" i="122"/>
  <c r="V312" i="122"/>
  <c r="V313" i="122"/>
  <c r="V314" i="122"/>
  <c r="V315" i="122"/>
  <c r="V316" i="122"/>
  <c r="V317" i="122"/>
  <c r="V318" i="122"/>
  <c r="V319" i="122"/>
  <c r="V320" i="122"/>
  <c r="V321" i="122"/>
  <c r="V322" i="122"/>
  <c r="V323" i="122"/>
  <c r="V324" i="122"/>
  <c r="V325" i="122"/>
  <c r="V326" i="122"/>
  <c r="V327" i="122"/>
  <c r="V328" i="122"/>
  <c r="V329" i="122"/>
  <c r="V330" i="122"/>
  <c r="V331" i="122"/>
  <c r="V332" i="122"/>
  <c r="V333" i="122"/>
  <c r="V334" i="122"/>
  <c r="V335" i="122"/>
  <c r="V336" i="122"/>
  <c r="V337" i="122"/>
  <c r="V338" i="122"/>
  <c r="V339" i="122"/>
  <c r="V340" i="122"/>
  <c r="V341" i="122"/>
  <c r="V342" i="122"/>
  <c r="V343" i="122"/>
  <c r="V344" i="122"/>
  <c r="V345" i="122"/>
  <c r="V346" i="122"/>
  <c r="V347" i="122"/>
  <c r="V348" i="122"/>
  <c r="V349" i="122"/>
  <c r="V350" i="122"/>
  <c r="K87" i="122"/>
  <c r="K88" i="122"/>
  <c r="L87" i="122"/>
  <c r="L88" i="122"/>
  <c r="N87" i="122"/>
  <c r="N88" i="122"/>
  <c r="U87" i="122"/>
  <c r="U88" i="122"/>
  <c r="V87" i="122"/>
  <c r="V88" i="122"/>
  <c r="V2" i="122"/>
  <c r="V3" i="122"/>
  <c r="V4" i="122"/>
  <c r="V5" i="122"/>
  <c r="V6" i="122"/>
  <c r="V7" i="122"/>
  <c r="V8" i="122"/>
  <c r="V9" i="122"/>
  <c r="V10" i="122"/>
  <c r="V11" i="122"/>
  <c r="V12" i="122"/>
  <c r="V13" i="122"/>
  <c r="V14" i="122"/>
  <c r="V15" i="122"/>
  <c r="V16" i="122"/>
  <c r="V17" i="122"/>
  <c r="V18" i="122"/>
  <c r="V19" i="122"/>
  <c r="V20" i="122"/>
  <c r="V21" i="122"/>
  <c r="V22" i="122"/>
  <c r="V23" i="122"/>
  <c r="V24" i="122"/>
  <c r="V25" i="122"/>
  <c r="V26" i="122"/>
  <c r="V27" i="122"/>
  <c r="V28" i="122"/>
  <c r="V29" i="122"/>
  <c r="V30" i="122"/>
  <c r="V31" i="122"/>
  <c r="V32" i="122"/>
  <c r="V33" i="122"/>
  <c r="V34" i="122"/>
  <c r="V35" i="122"/>
  <c r="V36" i="122"/>
  <c r="V37" i="122"/>
  <c r="V38" i="122"/>
  <c r="V39" i="122"/>
  <c r="V40" i="122"/>
  <c r="V41" i="122"/>
  <c r="V42" i="122"/>
  <c r="V43" i="122"/>
  <c r="V44" i="122"/>
  <c r="V45" i="122"/>
  <c r="V46" i="122"/>
  <c r="V47" i="122"/>
  <c r="V48" i="122"/>
  <c r="V49" i="122"/>
  <c r="V50" i="122"/>
  <c r="V51" i="122"/>
  <c r="V52" i="122"/>
  <c r="V53" i="122"/>
  <c r="V54" i="122"/>
  <c r="V55" i="122"/>
  <c r="V56" i="122"/>
  <c r="V57" i="122"/>
  <c r="V58" i="122"/>
  <c r="V59" i="122"/>
  <c r="V60" i="122"/>
  <c r="V61" i="122"/>
  <c r="V62" i="122"/>
  <c r="V63" i="122"/>
  <c r="V64" i="122"/>
  <c r="V65" i="122"/>
  <c r="V66" i="122"/>
  <c r="V67" i="122"/>
  <c r="V68" i="122"/>
  <c r="V69" i="122"/>
  <c r="V70" i="122"/>
  <c r="V71" i="122"/>
  <c r="V72" i="122"/>
  <c r="V73" i="122"/>
  <c r="V74" i="122"/>
  <c r="V75" i="122"/>
  <c r="V76" i="122"/>
  <c r="V77" i="122"/>
  <c r="V78" i="122"/>
  <c r="V79" i="122"/>
  <c r="V80" i="122"/>
  <c r="V81" i="122"/>
  <c r="V82" i="122"/>
  <c r="V83" i="122"/>
  <c r="V84" i="122"/>
  <c r="V85" i="122"/>
  <c r="V86" i="122"/>
  <c r="U2" i="122"/>
  <c r="U3" i="122"/>
  <c r="U4" i="122"/>
  <c r="U5" i="122"/>
  <c r="U6" i="122"/>
  <c r="U7" i="122"/>
  <c r="U8" i="122"/>
  <c r="U9" i="122"/>
  <c r="U10" i="122"/>
  <c r="U11" i="122"/>
  <c r="U12" i="122"/>
  <c r="U13" i="122"/>
  <c r="U14" i="122"/>
  <c r="U15" i="122"/>
  <c r="U16" i="122"/>
  <c r="U17" i="122"/>
  <c r="U18" i="122"/>
  <c r="U19" i="122"/>
  <c r="U20" i="122"/>
  <c r="U21" i="122"/>
  <c r="U22" i="122"/>
  <c r="U23" i="122"/>
  <c r="U24" i="122"/>
  <c r="U25" i="122"/>
  <c r="U26" i="122"/>
  <c r="U27" i="122"/>
  <c r="U28" i="122"/>
  <c r="U29" i="122"/>
  <c r="U30" i="122"/>
  <c r="U31" i="122"/>
  <c r="U32" i="122"/>
  <c r="U33" i="122"/>
  <c r="U34" i="122"/>
  <c r="U35" i="122"/>
  <c r="U36" i="122"/>
  <c r="U37" i="122"/>
  <c r="U38" i="122"/>
  <c r="U39" i="122"/>
  <c r="U40" i="122"/>
  <c r="U41" i="122"/>
  <c r="U42" i="122"/>
  <c r="U43" i="122"/>
  <c r="U44" i="122"/>
  <c r="U45" i="122"/>
  <c r="U46" i="122"/>
  <c r="U47" i="122"/>
  <c r="U48" i="122"/>
  <c r="U49" i="122"/>
  <c r="U50" i="122"/>
  <c r="U51" i="122"/>
  <c r="U52" i="122"/>
  <c r="U53" i="122"/>
  <c r="U54" i="122"/>
  <c r="U55" i="122"/>
  <c r="U56" i="122"/>
  <c r="U57" i="122"/>
  <c r="U58" i="122"/>
  <c r="U59" i="122"/>
  <c r="U60" i="122"/>
  <c r="U61" i="122"/>
  <c r="U62" i="122"/>
  <c r="U63" i="122"/>
  <c r="U64" i="122"/>
  <c r="U65" i="122"/>
  <c r="U66" i="122"/>
  <c r="U67" i="122"/>
  <c r="U68" i="122"/>
  <c r="U69" i="122"/>
  <c r="U70" i="122"/>
  <c r="U71" i="122"/>
  <c r="U72" i="122"/>
  <c r="U73" i="122"/>
  <c r="U74" i="122"/>
  <c r="U75" i="122"/>
  <c r="U76" i="122"/>
  <c r="U77" i="122"/>
  <c r="U78" i="122"/>
  <c r="U79" i="122"/>
  <c r="U80" i="122"/>
  <c r="U81" i="122"/>
  <c r="U82" i="122"/>
  <c r="U83" i="122"/>
  <c r="U84" i="122"/>
  <c r="U85" i="122"/>
  <c r="U86" i="122"/>
  <c r="N2" i="122"/>
  <c r="N3" i="122"/>
  <c r="N4" i="122"/>
  <c r="N5" i="122"/>
  <c r="N6" i="122"/>
  <c r="N7" i="122"/>
  <c r="N8" i="122"/>
  <c r="N9" i="122"/>
  <c r="N10" i="122"/>
  <c r="N11" i="122"/>
  <c r="N12" i="122"/>
  <c r="N13" i="122"/>
  <c r="N14" i="122"/>
  <c r="N15" i="122"/>
  <c r="N16" i="122"/>
  <c r="N17" i="122"/>
  <c r="N18" i="122"/>
  <c r="N19" i="122"/>
  <c r="N20" i="122"/>
  <c r="N21" i="122"/>
  <c r="N22" i="122"/>
  <c r="N23" i="122"/>
  <c r="N24" i="122"/>
  <c r="N25" i="122"/>
  <c r="N26" i="122"/>
  <c r="N27" i="122"/>
  <c r="N28" i="122"/>
  <c r="N29" i="122"/>
  <c r="N30" i="122"/>
  <c r="N31" i="122"/>
  <c r="N32" i="122"/>
  <c r="N33" i="122"/>
  <c r="N34" i="122"/>
  <c r="N35" i="122"/>
  <c r="N36" i="122"/>
  <c r="N37" i="122"/>
  <c r="N38" i="122"/>
  <c r="N39" i="122"/>
  <c r="N40" i="122"/>
  <c r="N41" i="122"/>
  <c r="N42" i="122"/>
  <c r="N43" i="122"/>
  <c r="N44" i="122"/>
  <c r="N45" i="122"/>
  <c r="N46" i="122"/>
  <c r="N47" i="122"/>
  <c r="N48" i="122"/>
  <c r="N49" i="122"/>
  <c r="N50" i="122"/>
  <c r="N51" i="122"/>
  <c r="N52" i="122"/>
  <c r="N53" i="122"/>
  <c r="N54" i="122"/>
  <c r="N55" i="122"/>
  <c r="N56" i="122"/>
  <c r="N57" i="122"/>
  <c r="N58" i="122"/>
  <c r="N59" i="122"/>
  <c r="N60" i="122"/>
  <c r="N61" i="122"/>
  <c r="N62" i="122"/>
  <c r="N63" i="122"/>
  <c r="N64" i="122"/>
  <c r="N65" i="122"/>
  <c r="N66" i="122"/>
  <c r="N67" i="122"/>
  <c r="N68" i="122"/>
  <c r="N69" i="122"/>
  <c r="N70" i="122"/>
  <c r="N71" i="122"/>
  <c r="N72" i="122"/>
  <c r="N73" i="122"/>
  <c r="N74" i="122"/>
  <c r="N75" i="122"/>
  <c r="N76" i="122"/>
  <c r="N77" i="122"/>
  <c r="N78" i="122"/>
  <c r="N79" i="122"/>
  <c r="N80" i="122"/>
  <c r="N81" i="122"/>
  <c r="N82" i="122"/>
  <c r="N83" i="122"/>
  <c r="N84" i="122"/>
  <c r="N85" i="122"/>
  <c r="N86" i="122"/>
  <c r="K2" i="122"/>
  <c r="K3" i="122"/>
  <c r="K4" i="122"/>
  <c r="K5" i="122"/>
  <c r="K6" i="122"/>
  <c r="K7" i="122"/>
  <c r="K8" i="122"/>
  <c r="K9" i="122"/>
  <c r="K10" i="122"/>
  <c r="K11" i="122"/>
  <c r="K12" i="122"/>
  <c r="K13" i="122"/>
  <c r="K14" i="122"/>
  <c r="K15" i="122"/>
  <c r="K16" i="122"/>
  <c r="K17" i="122"/>
  <c r="K18" i="122"/>
  <c r="K19" i="122"/>
  <c r="K20" i="122"/>
  <c r="K21" i="122"/>
  <c r="K22" i="122"/>
  <c r="K23" i="122"/>
  <c r="K24" i="122"/>
  <c r="K25" i="122"/>
  <c r="K26" i="122"/>
  <c r="K27" i="122"/>
  <c r="K28" i="122"/>
  <c r="K29" i="122"/>
  <c r="K30" i="122"/>
  <c r="K31" i="122"/>
  <c r="K32" i="122"/>
  <c r="K33" i="122"/>
  <c r="K34" i="122"/>
  <c r="K35" i="122"/>
  <c r="K36" i="122"/>
  <c r="K37" i="122"/>
  <c r="K38" i="122"/>
  <c r="K39" i="122"/>
  <c r="K40" i="122"/>
  <c r="K41" i="122"/>
  <c r="K42" i="122"/>
  <c r="K43" i="122"/>
  <c r="K44" i="122"/>
  <c r="K45" i="122"/>
  <c r="K46" i="122"/>
  <c r="K47" i="122"/>
  <c r="K48" i="122"/>
  <c r="K49" i="122"/>
  <c r="K50" i="122"/>
  <c r="K51" i="122"/>
  <c r="K52" i="122"/>
  <c r="K53" i="122"/>
  <c r="K54" i="122"/>
  <c r="K55" i="122"/>
  <c r="K56" i="122"/>
  <c r="K57" i="122"/>
  <c r="K58" i="122"/>
  <c r="K59" i="122"/>
  <c r="K60" i="122"/>
  <c r="K61" i="122"/>
  <c r="K62" i="122"/>
  <c r="K63" i="122"/>
  <c r="K64" i="122"/>
  <c r="K65" i="122"/>
  <c r="K66" i="122"/>
  <c r="K67" i="122"/>
  <c r="K68" i="122"/>
  <c r="K69" i="122"/>
  <c r="K70" i="122"/>
  <c r="K71" i="122"/>
  <c r="K72" i="122"/>
  <c r="K73" i="122"/>
  <c r="K74" i="122"/>
  <c r="K75" i="122"/>
  <c r="K76" i="122"/>
  <c r="K77" i="122"/>
  <c r="K78" i="122"/>
  <c r="K79" i="122"/>
  <c r="K80" i="122"/>
  <c r="K81" i="122"/>
  <c r="K82" i="122"/>
  <c r="K83" i="122"/>
  <c r="K84" i="122"/>
  <c r="K85" i="122"/>
  <c r="K86" i="122"/>
  <c r="L2" i="122"/>
  <c r="L3" i="122"/>
  <c r="L4" i="122"/>
  <c r="L5" i="122"/>
  <c r="L6" i="122"/>
  <c r="L7" i="122"/>
  <c r="L8" i="122"/>
  <c r="L9" i="122"/>
  <c r="L10" i="122"/>
  <c r="L11" i="122"/>
  <c r="L12" i="122"/>
  <c r="L13" i="122"/>
  <c r="L14" i="122"/>
  <c r="L15" i="122"/>
  <c r="L16" i="122"/>
  <c r="L17" i="122"/>
  <c r="L18" i="122"/>
  <c r="L19" i="122"/>
  <c r="L20" i="122"/>
  <c r="L21" i="122"/>
  <c r="L22" i="122"/>
  <c r="L23" i="122"/>
  <c r="L24" i="122"/>
  <c r="L25" i="122"/>
  <c r="L26" i="122"/>
  <c r="L27" i="122"/>
  <c r="L28" i="122"/>
  <c r="L29" i="122"/>
  <c r="L30" i="122"/>
  <c r="L31" i="122"/>
  <c r="L32" i="122"/>
  <c r="L33" i="122"/>
  <c r="L34" i="122"/>
  <c r="L35" i="122"/>
  <c r="L36" i="122"/>
  <c r="L37" i="122"/>
  <c r="L38" i="122"/>
  <c r="L39" i="122"/>
  <c r="L40" i="122"/>
  <c r="L41" i="122"/>
  <c r="L42" i="122"/>
  <c r="L43" i="122"/>
  <c r="L44" i="122"/>
  <c r="L45" i="122"/>
  <c r="L46" i="122"/>
  <c r="L47" i="122"/>
  <c r="L48" i="122"/>
  <c r="L49" i="122"/>
  <c r="L50" i="122"/>
  <c r="L51" i="122"/>
  <c r="L52" i="122"/>
  <c r="L53" i="122"/>
  <c r="L54" i="122"/>
  <c r="L55" i="122"/>
  <c r="L56" i="122"/>
  <c r="L57" i="122"/>
  <c r="L58" i="122"/>
  <c r="L59" i="122"/>
  <c r="L60" i="122"/>
  <c r="L61" i="122"/>
  <c r="L62" i="122"/>
  <c r="L63" i="122"/>
  <c r="L64" i="122"/>
  <c r="L65" i="122"/>
  <c r="L66" i="122"/>
  <c r="L67" i="122"/>
  <c r="L68" i="122"/>
  <c r="L69" i="122"/>
  <c r="L70" i="122"/>
  <c r="L71" i="122"/>
  <c r="L72" i="122"/>
  <c r="L73" i="122"/>
  <c r="L74" i="122"/>
  <c r="L75" i="122"/>
  <c r="L76" i="122"/>
  <c r="L77" i="122"/>
  <c r="L78" i="122"/>
  <c r="L79" i="122"/>
  <c r="L80" i="122"/>
  <c r="L81" i="122"/>
  <c r="L82" i="122"/>
  <c r="L83" i="122"/>
  <c r="L84" i="122"/>
  <c r="L85" i="122"/>
  <c r="L86" i="122"/>
  <c r="AL1009" i="15"/>
  <c r="AL1008" i="15"/>
  <c r="AL1007" i="15"/>
  <c r="AL1006" i="15"/>
  <c r="AL1005" i="15"/>
  <c r="AL1004" i="15"/>
  <c r="AL1003" i="15"/>
  <c r="AL1002" i="15"/>
  <c r="AL1001" i="15"/>
  <c r="AL1000" i="15"/>
  <c r="AL999" i="15"/>
  <c r="AL998" i="15"/>
  <c r="AL997" i="15"/>
  <c r="AL996" i="15"/>
  <c r="AL995" i="15"/>
  <c r="AL994" i="15"/>
  <c r="AL993" i="15"/>
  <c r="AL992" i="15"/>
  <c r="AL991" i="15"/>
  <c r="AL990" i="15"/>
  <c r="AL989" i="15"/>
  <c r="AL988" i="15"/>
  <c r="AL987" i="15"/>
  <c r="AL986" i="15"/>
  <c r="AL985" i="15"/>
  <c r="AL984" i="15"/>
  <c r="AL983" i="15"/>
  <c r="AL982" i="15"/>
  <c r="AL981" i="15"/>
  <c r="AL980" i="15"/>
  <c r="AL979" i="15"/>
  <c r="AL978" i="15"/>
  <c r="AL977" i="15"/>
  <c r="AL976" i="15"/>
  <c r="AL975" i="15"/>
  <c r="AL974" i="15"/>
  <c r="AL973" i="15"/>
  <c r="AL972" i="15"/>
  <c r="AL971" i="15"/>
  <c r="AL970" i="15"/>
  <c r="AL969" i="15"/>
  <c r="AL968" i="15"/>
  <c r="AL967" i="15"/>
  <c r="AL966" i="15"/>
  <c r="AL965" i="15"/>
  <c r="AL964" i="15"/>
  <c r="AL963" i="15"/>
  <c r="AL962" i="15"/>
  <c r="AL961" i="15"/>
  <c r="AL960" i="15"/>
  <c r="AL959" i="15"/>
  <c r="AL958" i="15"/>
  <c r="AL957" i="15"/>
  <c r="AL956" i="15"/>
  <c r="AL955" i="15"/>
  <c r="AL954" i="15"/>
  <c r="AL953" i="15"/>
  <c r="AL952" i="15"/>
  <c r="AL951" i="15"/>
  <c r="AL950" i="15"/>
  <c r="AL949" i="15"/>
  <c r="AL948" i="15"/>
  <c r="AL947" i="15"/>
  <c r="AL946" i="15"/>
  <c r="AL945" i="15"/>
  <c r="AL944" i="15"/>
  <c r="AL943" i="15"/>
  <c r="AL942" i="15"/>
  <c r="AL941" i="15"/>
  <c r="AL940" i="15"/>
  <c r="AL939" i="15"/>
  <c r="AL938" i="15"/>
  <c r="AL937" i="15"/>
  <c r="AL936" i="15"/>
  <c r="AL935" i="15"/>
  <c r="AL934" i="15"/>
  <c r="AL933" i="15"/>
  <c r="AL932" i="15"/>
  <c r="AL931" i="15"/>
  <c r="AL930" i="15"/>
  <c r="AL929" i="15"/>
  <c r="AL928" i="15"/>
  <c r="AL927" i="15"/>
  <c r="AL926" i="15"/>
  <c r="AL925" i="15"/>
  <c r="AL924" i="15"/>
  <c r="AL923" i="15"/>
  <c r="AL922" i="15"/>
  <c r="AL921" i="15"/>
  <c r="AL920" i="15"/>
  <c r="AL919" i="15"/>
  <c r="AL918" i="15"/>
  <c r="AL917" i="15"/>
  <c r="AL916" i="15"/>
  <c r="AL915" i="15"/>
  <c r="AL914" i="15"/>
  <c r="AL913" i="15"/>
  <c r="AL912" i="15"/>
  <c r="AL911" i="15"/>
  <c r="AL910" i="15"/>
  <c r="AL909" i="15"/>
  <c r="AL908" i="15"/>
  <c r="AL907" i="15"/>
  <c r="AL906" i="15"/>
  <c r="AL905" i="15"/>
  <c r="AL904" i="15"/>
  <c r="AL903" i="15"/>
  <c r="AL902" i="15"/>
  <c r="AL901" i="15"/>
  <c r="AL900" i="15"/>
  <c r="AL899" i="15"/>
  <c r="AL898" i="15"/>
  <c r="AL897" i="15"/>
  <c r="AL896" i="15"/>
  <c r="AL895" i="15"/>
  <c r="AL894" i="15"/>
  <c r="AL893" i="15"/>
  <c r="AL892" i="15"/>
  <c r="AL891" i="15"/>
  <c r="AL890" i="15"/>
  <c r="AL889" i="15"/>
  <c r="AL888" i="15"/>
  <c r="AL887" i="15"/>
  <c r="AL886" i="15"/>
  <c r="AL885" i="15"/>
  <c r="AL884" i="15"/>
  <c r="AL883" i="15"/>
  <c r="AL882" i="15"/>
  <c r="AL881" i="15"/>
  <c r="AL880" i="15"/>
  <c r="AL879" i="15"/>
  <c r="AL878" i="15"/>
  <c r="AL877" i="15"/>
  <c r="AL876" i="15"/>
  <c r="AL875" i="15"/>
  <c r="AL874" i="15"/>
  <c r="AL873" i="15"/>
  <c r="AL872" i="15"/>
  <c r="AL871" i="15"/>
  <c r="AL870" i="15"/>
  <c r="AL869" i="15"/>
  <c r="AL868" i="15"/>
  <c r="AL867" i="15"/>
  <c r="AL866" i="15"/>
  <c r="AL865" i="15"/>
  <c r="AL864" i="15"/>
  <c r="AL863" i="15"/>
  <c r="AL862" i="15"/>
  <c r="AL861" i="15"/>
  <c r="AL860" i="15"/>
  <c r="AL859" i="15"/>
  <c r="AL858" i="15"/>
  <c r="AL857" i="15"/>
  <c r="AL856" i="15"/>
  <c r="AL855" i="15"/>
  <c r="AL854" i="15"/>
  <c r="AL853" i="15"/>
  <c r="AL852" i="15"/>
  <c r="AL851" i="15"/>
  <c r="AL850" i="15"/>
  <c r="AL849" i="15"/>
  <c r="AL848" i="15"/>
  <c r="AL847" i="15"/>
  <c r="AL846" i="15"/>
  <c r="AL845" i="15"/>
  <c r="AL844" i="15"/>
  <c r="AL843" i="15"/>
  <c r="AL842" i="15"/>
  <c r="AL841" i="15"/>
  <c r="AL840" i="15"/>
  <c r="AL839" i="15"/>
  <c r="AL838" i="15"/>
  <c r="AL837" i="15"/>
  <c r="AL836" i="15"/>
  <c r="AL835" i="15"/>
  <c r="AL834" i="15"/>
  <c r="AL833" i="15"/>
  <c r="AL832" i="15"/>
  <c r="AL831" i="15"/>
  <c r="AL830" i="15"/>
  <c r="AL829" i="15"/>
  <c r="AL828" i="15"/>
  <c r="AL827" i="15"/>
  <c r="AL826" i="15"/>
  <c r="AL825" i="15"/>
  <c r="AL824" i="15"/>
  <c r="AL823" i="15"/>
  <c r="AL822" i="15"/>
  <c r="AL821" i="15"/>
  <c r="AL820" i="15"/>
  <c r="AL819" i="15"/>
  <c r="AL818" i="15"/>
  <c r="AL817" i="15"/>
  <c r="AL816" i="15"/>
  <c r="AL815" i="15"/>
  <c r="AL814" i="15"/>
  <c r="AL813" i="15"/>
  <c r="AL812" i="15"/>
  <c r="AL811" i="15"/>
  <c r="AL810" i="15"/>
  <c r="AL809" i="15"/>
  <c r="AL808" i="15"/>
  <c r="AL807" i="15"/>
  <c r="AL806" i="15"/>
  <c r="AL805" i="15"/>
  <c r="AL804" i="15"/>
  <c r="AL803" i="15"/>
  <c r="AL802" i="15"/>
  <c r="AL801" i="15"/>
  <c r="AL800" i="15"/>
  <c r="AL799" i="15"/>
  <c r="AL798" i="15"/>
  <c r="AL797" i="15"/>
  <c r="AL796" i="15"/>
  <c r="AL795" i="15"/>
  <c r="AL794" i="15"/>
  <c r="AL793" i="15"/>
  <c r="AL792" i="15"/>
  <c r="AL791" i="15"/>
  <c r="AL790" i="15"/>
  <c r="AL789" i="15"/>
  <c r="AL788" i="15"/>
  <c r="AL787" i="15"/>
  <c r="AL786" i="15"/>
  <c r="AL785" i="15"/>
  <c r="AL784" i="15"/>
  <c r="AL783" i="15"/>
  <c r="AL782" i="15"/>
  <c r="AL781" i="15"/>
  <c r="AL780" i="15"/>
  <c r="AL779" i="15"/>
  <c r="AL778" i="15"/>
  <c r="AL777" i="15"/>
  <c r="AL776" i="15"/>
  <c r="AL775" i="15"/>
  <c r="AL774" i="15"/>
  <c r="AL773" i="15"/>
  <c r="AL772" i="15"/>
  <c r="AL771" i="15"/>
  <c r="AL770" i="15"/>
  <c r="AL769" i="15"/>
  <c r="AL768" i="15"/>
  <c r="AL767" i="15"/>
  <c r="AL766" i="15"/>
  <c r="AL765" i="15"/>
  <c r="AL764" i="15"/>
  <c r="AL763" i="15"/>
  <c r="AL762" i="15"/>
  <c r="AL761" i="15"/>
  <c r="AL760" i="15"/>
  <c r="AL759" i="15"/>
  <c r="AL758" i="15"/>
  <c r="AL757" i="15"/>
  <c r="AL756" i="15"/>
  <c r="AL755" i="15"/>
  <c r="AL754" i="15"/>
  <c r="AL753" i="15"/>
  <c r="AL752" i="15"/>
  <c r="AL751" i="15"/>
  <c r="AL750" i="15"/>
  <c r="AL749" i="15"/>
  <c r="AL748" i="15"/>
  <c r="AL747" i="15"/>
  <c r="AL746" i="15"/>
  <c r="AL745" i="15"/>
  <c r="AL744" i="15"/>
  <c r="AL743" i="15"/>
  <c r="AL742" i="15"/>
  <c r="AL741" i="15"/>
  <c r="AL740" i="15"/>
  <c r="AL739" i="15"/>
  <c r="AL738" i="15"/>
  <c r="AL737" i="15"/>
  <c r="AL736" i="15"/>
  <c r="AL735" i="15"/>
  <c r="AL734" i="15"/>
  <c r="AL733" i="15"/>
  <c r="AL732" i="15"/>
  <c r="AL731" i="15"/>
  <c r="AL730" i="15"/>
  <c r="AL729" i="15"/>
  <c r="AL728" i="15"/>
  <c r="AL727" i="15"/>
  <c r="AL726" i="15"/>
  <c r="AL725" i="15"/>
  <c r="AL724" i="15"/>
  <c r="AL723" i="15"/>
  <c r="AL722" i="15"/>
  <c r="AL721" i="15"/>
  <c r="AL720" i="15"/>
  <c r="AL719" i="15"/>
  <c r="AL718" i="15"/>
  <c r="AL717" i="15"/>
  <c r="AL716" i="15"/>
  <c r="AL715" i="15"/>
  <c r="AL714" i="15"/>
  <c r="AL713" i="15"/>
  <c r="AL712" i="15"/>
  <c r="AL711" i="15"/>
  <c r="AL710" i="15"/>
  <c r="AL709" i="15"/>
  <c r="AL708" i="15"/>
  <c r="AL707" i="15"/>
  <c r="AL706" i="15"/>
  <c r="AL705" i="15"/>
  <c r="AL704" i="15"/>
  <c r="AL703" i="15"/>
  <c r="AL702" i="15"/>
  <c r="AL701" i="15"/>
  <c r="AL700" i="15"/>
  <c r="AL699" i="15"/>
  <c r="AL698" i="15"/>
  <c r="AL697" i="15"/>
  <c r="AL696" i="15"/>
  <c r="AL695" i="15"/>
  <c r="AL694" i="15"/>
  <c r="AL693" i="15"/>
  <c r="AL692" i="15"/>
  <c r="AL691" i="15"/>
  <c r="AL690" i="15"/>
  <c r="AL689" i="15"/>
  <c r="AL688" i="15"/>
  <c r="AL687" i="15"/>
  <c r="AL686" i="15"/>
  <c r="AL685" i="15"/>
  <c r="AL684" i="15"/>
  <c r="AL683" i="15"/>
  <c r="AL682" i="15"/>
  <c r="AL681" i="15"/>
  <c r="AL680" i="15"/>
  <c r="AL679" i="15"/>
  <c r="AL678" i="15"/>
  <c r="AL677" i="15"/>
  <c r="AL676" i="15"/>
  <c r="AL675" i="15"/>
  <c r="AL674" i="15"/>
  <c r="AL673" i="15"/>
  <c r="AL672" i="15"/>
  <c r="AL671" i="15"/>
  <c r="AL670" i="15"/>
  <c r="AL669" i="15"/>
  <c r="AL668" i="15"/>
  <c r="AL667" i="15"/>
  <c r="AL666" i="15"/>
  <c r="AL665" i="15"/>
  <c r="AL664" i="15"/>
  <c r="AL663" i="15"/>
  <c r="AL662" i="15"/>
  <c r="AL661" i="15"/>
  <c r="AL660" i="15"/>
  <c r="AL659" i="15"/>
  <c r="AL658" i="15"/>
  <c r="AL657" i="15"/>
  <c r="AL656" i="15"/>
  <c r="AL655" i="15"/>
  <c r="AL654" i="15"/>
  <c r="AL653" i="15"/>
  <c r="AL652" i="15"/>
  <c r="AL651" i="15"/>
  <c r="AL650" i="15"/>
  <c r="AL649" i="15"/>
  <c r="AL648" i="15"/>
  <c r="AL647" i="15"/>
  <c r="AL646" i="15"/>
  <c r="AL645" i="15"/>
  <c r="AL644" i="15"/>
  <c r="AL643" i="15"/>
  <c r="AL642" i="15"/>
  <c r="AL641" i="15"/>
  <c r="AL640" i="15"/>
  <c r="AL639" i="15"/>
  <c r="AL638" i="15"/>
  <c r="AL637" i="15"/>
  <c r="AL636" i="15"/>
  <c r="AL635" i="15"/>
  <c r="AL634" i="15"/>
  <c r="AL633" i="15"/>
  <c r="AL632" i="15"/>
  <c r="AL631" i="15"/>
  <c r="AL630" i="15"/>
  <c r="AL629" i="15"/>
  <c r="AL628" i="15"/>
  <c r="AL627" i="15"/>
  <c r="AL626" i="15"/>
  <c r="AL625" i="15"/>
  <c r="AL624" i="15"/>
  <c r="AL623" i="15"/>
  <c r="AL622" i="15"/>
  <c r="AL621" i="15"/>
  <c r="AL620" i="15"/>
  <c r="AL619" i="15"/>
  <c r="AL618" i="15"/>
  <c r="AL617" i="15"/>
  <c r="AL616" i="15"/>
  <c r="AL615" i="15"/>
  <c r="AL614" i="15"/>
  <c r="AL613" i="15"/>
  <c r="AL612" i="15"/>
  <c r="AL611" i="15"/>
  <c r="AL610" i="15"/>
  <c r="AL609" i="15"/>
  <c r="AL608" i="15"/>
  <c r="AL607" i="15"/>
  <c r="AL606" i="15"/>
  <c r="AL605" i="15"/>
  <c r="AL604" i="15"/>
  <c r="AL603" i="15"/>
  <c r="AL602" i="15"/>
  <c r="AL601" i="15"/>
  <c r="AL600" i="15"/>
  <c r="AL599" i="15"/>
  <c r="AL598" i="15"/>
  <c r="AL597" i="15"/>
  <c r="AL596" i="15"/>
  <c r="AL595" i="15"/>
  <c r="AL594" i="15"/>
  <c r="AL593" i="15"/>
  <c r="AL592" i="15"/>
  <c r="AL591" i="15"/>
  <c r="AL590" i="15"/>
  <c r="AL589" i="15"/>
  <c r="AL588" i="15"/>
  <c r="AL587" i="15"/>
  <c r="AL586" i="15"/>
  <c r="AL585" i="15"/>
  <c r="AL584" i="15"/>
  <c r="AL583" i="15"/>
  <c r="AL582" i="15"/>
  <c r="AL581" i="15"/>
  <c r="AL580" i="15"/>
  <c r="AL579" i="15"/>
  <c r="AL578" i="15"/>
  <c r="AL577" i="15"/>
  <c r="AL576" i="15"/>
  <c r="AL575" i="15"/>
  <c r="AL574" i="15"/>
  <c r="AL573" i="15"/>
  <c r="AL572" i="15"/>
  <c r="AL571" i="15"/>
  <c r="AL570" i="15"/>
  <c r="AL569" i="15"/>
  <c r="AL568" i="15"/>
  <c r="AL567" i="15"/>
  <c r="AL566" i="15"/>
  <c r="AL565" i="15"/>
  <c r="AL564" i="15"/>
  <c r="AL563" i="15"/>
  <c r="AL562" i="15"/>
  <c r="AL561" i="15"/>
  <c r="AL560" i="15"/>
  <c r="AL559" i="15"/>
  <c r="AL558" i="15"/>
  <c r="AL557" i="15"/>
  <c r="AL556" i="15"/>
  <c r="AL555" i="15"/>
  <c r="AL554" i="15"/>
  <c r="AL553" i="15"/>
  <c r="AL552" i="15"/>
  <c r="AL551" i="15"/>
  <c r="AL550" i="15"/>
  <c r="AL549" i="15"/>
  <c r="AL548" i="15"/>
  <c r="AL547" i="15"/>
  <c r="AL546" i="15"/>
  <c r="AL545" i="15"/>
  <c r="AL544" i="15"/>
  <c r="AL543" i="15"/>
  <c r="AL542" i="15"/>
  <c r="AL541" i="15"/>
  <c r="AL540" i="15"/>
  <c r="AL539" i="15"/>
  <c r="AL538" i="15"/>
  <c r="AL537" i="15"/>
  <c r="AL536" i="15"/>
  <c r="AL535" i="15"/>
  <c r="AL534" i="15"/>
  <c r="AL533" i="15"/>
  <c r="AL532" i="15"/>
  <c r="AL531" i="15"/>
  <c r="AL530" i="15"/>
  <c r="AL529" i="15"/>
  <c r="AL528" i="15"/>
  <c r="AL527" i="15"/>
  <c r="AL526" i="15"/>
  <c r="AL525" i="15"/>
  <c r="AL524" i="15"/>
  <c r="AL523" i="15"/>
  <c r="AL522" i="15"/>
  <c r="AL521" i="15"/>
  <c r="AL520" i="15"/>
  <c r="AL519" i="15"/>
  <c r="AL518" i="15"/>
  <c r="AL517" i="15"/>
  <c r="AL516" i="15"/>
  <c r="AL515" i="15"/>
  <c r="AL514" i="15"/>
  <c r="AL513" i="15"/>
  <c r="AL512" i="15"/>
  <c r="AL511" i="15"/>
  <c r="AL510" i="15"/>
  <c r="AL509" i="15"/>
  <c r="AL508" i="15"/>
  <c r="AL507" i="15"/>
  <c r="AL506" i="15"/>
  <c r="AL505" i="15"/>
  <c r="AL504" i="15"/>
  <c r="AL503" i="15"/>
  <c r="AL502" i="15"/>
  <c r="AL501" i="15"/>
  <c r="AL500" i="15"/>
  <c r="AL499" i="15"/>
  <c r="AL498" i="15"/>
  <c r="AL497" i="15"/>
  <c r="AL496" i="15"/>
  <c r="AL495" i="15"/>
  <c r="AL494" i="15"/>
  <c r="AL493" i="15"/>
  <c r="AL492" i="15"/>
  <c r="AL491" i="15"/>
  <c r="AL490" i="15"/>
  <c r="AL489" i="15"/>
  <c r="AL488" i="15"/>
  <c r="AL487" i="15"/>
  <c r="AL486" i="15"/>
  <c r="AL485" i="15"/>
  <c r="AL484" i="15"/>
  <c r="AL483" i="15"/>
  <c r="AL482" i="15"/>
  <c r="AL481" i="15"/>
  <c r="AL480" i="15"/>
  <c r="AL479" i="15"/>
  <c r="AL478" i="15"/>
  <c r="AL477" i="15"/>
  <c r="AJ1009" i="15"/>
  <c r="AJ1008" i="15"/>
  <c r="AJ1007" i="15"/>
  <c r="AJ1006" i="15"/>
  <c r="AJ1005" i="15"/>
  <c r="AJ1004" i="15"/>
  <c r="AJ1003" i="15"/>
  <c r="AJ1002" i="15"/>
  <c r="AJ1001" i="15"/>
  <c r="AJ1000" i="15"/>
  <c r="AJ999" i="15"/>
  <c r="AJ998" i="15"/>
  <c r="AJ997" i="15"/>
  <c r="AJ996" i="15"/>
  <c r="AJ995" i="15"/>
  <c r="AJ994" i="15"/>
  <c r="AJ993" i="15"/>
  <c r="AJ992" i="15"/>
  <c r="AJ991" i="15"/>
  <c r="AJ990" i="15"/>
  <c r="AJ989" i="15"/>
  <c r="AJ988" i="15"/>
  <c r="AJ987" i="15"/>
  <c r="AJ986" i="15"/>
  <c r="AJ985" i="15"/>
  <c r="AJ984" i="15"/>
  <c r="AJ983" i="15"/>
  <c r="AJ982" i="15"/>
  <c r="AJ981" i="15"/>
  <c r="AJ980" i="15"/>
  <c r="AJ979" i="15"/>
  <c r="AJ978" i="15"/>
  <c r="AJ977" i="15"/>
  <c r="AJ976" i="15"/>
  <c r="AJ975" i="15"/>
  <c r="AJ974" i="15"/>
  <c r="AJ973" i="15"/>
  <c r="AJ972" i="15"/>
  <c r="AJ971" i="15"/>
  <c r="AJ970" i="15"/>
  <c r="AJ969" i="15"/>
  <c r="AJ968" i="15"/>
  <c r="AJ967" i="15"/>
  <c r="AJ966" i="15"/>
  <c r="AJ965" i="15"/>
  <c r="AJ964" i="15"/>
  <c r="AJ963" i="15"/>
  <c r="AJ962" i="15"/>
  <c r="AJ961" i="15"/>
  <c r="AJ960" i="15"/>
  <c r="AJ959" i="15"/>
  <c r="AJ958" i="15"/>
  <c r="AJ957" i="15"/>
  <c r="AJ956" i="15"/>
  <c r="AJ955" i="15"/>
  <c r="AJ954" i="15"/>
  <c r="AJ953" i="15"/>
  <c r="AJ952" i="15"/>
  <c r="AJ951" i="15"/>
  <c r="AJ950" i="15"/>
  <c r="AJ949" i="15"/>
  <c r="AJ948" i="15"/>
  <c r="AJ947" i="15"/>
  <c r="AJ946" i="15"/>
  <c r="AJ945" i="15"/>
  <c r="AJ944" i="15"/>
  <c r="AJ943" i="15"/>
  <c r="AJ942" i="15"/>
  <c r="AJ941" i="15"/>
  <c r="AJ940" i="15"/>
  <c r="AJ939" i="15"/>
  <c r="AJ938" i="15"/>
  <c r="AJ937" i="15"/>
  <c r="AJ936" i="15"/>
  <c r="AJ935" i="15"/>
  <c r="AJ934" i="15"/>
  <c r="AJ933" i="15"/>
  <c r="AJ932" i="15"/>
  <c r="AJ931" i="15"/>
  <c r="AJ930" i="15"/>
  <c r="AJ929" i="15"/>
  <c r="AJ928" i="15"/>
  <c r="AJ927" i="15"/>
  <c r="AJ926" i="15"/>
  <c r="AJ925" i="15"/>
  <c r="AJ924" i="15"/>
  <c r="AJ923" i="15"/>
  <c r="AJ922" i="15"/>
  <c r="AJ921" i="15"/>
  <c r="AJ920" i="15"/>
  <c r="AJ919" i="15"/>
  <c r="AJ918" i="15"/>
  <c r="AJ917" i="15"/>
  <c r="AJ916" i="15"/>
  <c r="AJ915" i="15"/>
  <c r="AJ914" i="15"/>
  <c r="AJ913" i="15"/>
  <c r="AJ912" i="15"/>
  <c r="AJ911" i="15"/>
  <c r="AJ910" i="15"/>
  <c r="AJ909" i="15"/>
  <c r="AJ908" i="15"/>
  <c r="AJ907" i="15"/>
  <c r="AJ906" i="15"/>
  <c r="AJ905" i="15"/>
  <c r="AJ904" i="15"/>
  <c r="AJ903" i="15"/>
  <c r="AJ902" i="15"/>
  <c r="AJ901" i="15"/>
  <c r="AJ900" i="15"/>
  <c r="AJ899" i="15"/>
  <c r="AJ898" i="15"/>
  <c r="AJ897" i="15"/>
  <c r="AJ896" i="15"/>
  <c r="AJ895" i="15"/>
  <c r="AJ894" i="15"/>
  <c r="AJ893" i="15"/>
  <c r="AJ892" i="15"/>
  <c r="AJ891" i="15"/>
  <c r="AJ890" i="15"/>
  <c r="AJ889" i="15"/>
  <c r="AJ888" i="15"/>
  <c r="AJ887" i="15"/>
  <c r="AJ886" i="15"/>
  <c r="AJ885" i="15"/>
  <c r="AJ884" i="15"/>
  <c r="AJ883" i="15"/>
  <c r="AJ882" i="15"/>
  <c r="AJ881" i="15"/>
  <c r="AJ880" i="15"/>
  <c r="AJ879" i="15"/>
  <c r="AJ878" i="15"/>
  <c r="AJ877" i="15"/>
  <c r="AJ876" i="15"/>
  <c r="AJ875" i="15"/>
  <c r="AJ874" i="15"/>
  <c r="AJ873" i="15"/>
  <c r="AJ872" i="15"/>
  <c r="AJ871" i="15"/>
  <c r="AJ870" i="15"/>
  <c r="AJ869" i="15"/>
  <c r="AJ868" i="15"/>
  <c r="AJ867" i="15"/>
  <c r="AJ866" i="15"/>
  <c r="AJ865" i="15"/>
  <c r="AJ864" i="15"/>
  <c r="AJ863" i="15"/>
  <c r="AJ862" i="15"/>
  <c r="AJ861" i="15"/>
  <c r="AJ860" i="15"/>
  <c r="AJ859" i="15"/>
  <c r="AJ858" i="15"/>
  <c r="AJ857" i="15"/>
  <c r="AJ856" i="15"/>
  <c r="AJ855" i="15"/>
  <c r="AJ854" i="15"/>
  <c r="AJ853" i="15"/>
  <c r="AJ852" i="15"/>
  <c r="AJ851" i="15"/>
  <c r="AJ850" i="15"/>
  <c r="AJ849" i="15"/>
  <c r="AJ848" i="15"/>
  <c r="AJ847" i="15"/>
  <c r="AJ846" i="15"/>
  <c r="AJ845" i="15"/>
  <c r="AJ844" i="15"/>
  <c r="AJ843" i="15"/>
  <c r="AJ842" i="15"/>
  <c r="AJ841" i="15"/>
  <c r="AJ840" i="15"/>
  <c r="AJ839" i="15"/>
  <c r="AJ838" i="15"/>
  <c r="AJ837" i="15"/>
  <c r="AJ836" i="15"/>
  <c r="AJ835" i="15"/>
  <c r="AJ834" i="15"/>
  <c r="AJ833" i="15"/>
  <c r="AJ832" i="15"/>
  <c r="AJ831" i="15"/>
  <c r="AJ830" i="15"/>
  <c r="AJ829" i="15"/>
  <c r="AJ828" i="15"/>
  <c r="AJ827" i="15"/>
  <c r="AJ826" i="15"/>
  <c r="AJ825" i="15"/>
  <c r="AJ824" i="15"/>
  <c r="AJ823" i="15"/>
  <c r="AJ822" i="15"/>
  <c r="AJ821" i="15"/>
  <c r="AJ820" i="15"/>
  <c r="AJ819" i="15"/>
  <c r="AJ818" i="15"/>
  <c r="AJ817" i="15"/>
  <c r="AJ816" i="15"/>
  <c r="AJ815" i="15"/>
  <c r="AJ814" i="15"/>
  <c r="AJ813" i="15"/>
  <c r="AJ812" i="15"/>
  <c r="AJ811" i="15"/>
  <c r="AJ810" i="15"/>
  <c r="AJ809" i="15"/>
  <c r="AJ808" i="15"/>
  <c r="AJ807" i="15"/>
  <c r="AJ806" i="15"/>
  <c r="AJ805" i="15"/>
  <c r="AJ804" i="15"/>
  <c r="AJ803" i="15"/>
  <c r="AJ802" i="15"/>
  <c r="AJ801" i="15"/>
  <c r="AJ800" i="15"/>
  <c r="AJ799" i="15"/>
  <c r="AJ798" i="15"/>
  <c r="AJ797" i="15"/>
  <c r="AJ796" i="15"/>
  <c r="AJ795" i="15"/>
  <c r="AJ794" i="15"/>
  <c r="AJ793" i="15"/>
  <c r="AJ792" i="15"/>
  <c r="AJ791" i="15"/>
  <c r="AJ790" i="15"/>
  <c r="AJ789" i="15"/>
  <c r="AJ788" i="15"/>
  <c r="AJ787" i="15"/>
  <c r="AJ786" i="15"/>
  <c r="AJ785" i="15"/>
  <c r="AJ784" i="15"/>
  <c r="AJ783" i="15"/>
  <c r="AJ782" i="15"/>
  <c r="AJ781" i="15"/>
  <c r="AJ780" i="15"/>
  <c r="AJ779" i="15"/>
  <c r="AJ778" i="15"/>
  <c r="AJ777" i="15"/>
  <c r="AJ776" i="15"/>
  <c r="AJ775" i="15"/>
  <c r="AJ774" i="15"/>
  <c r="AJ773" i="15"/>
  <c r="AJ772" i="15"/>
  <c r="AJ771" i="15"/>
  <c r="AJ770" i="15"/>
  <c r="AJ769" i="15"/>
  <c r="AJ768" i="15"/>
  <c r="AJ767" i="15"/>
  <c r="AJ766" i="15"/>
  <c r="AJ765" i="15"/>
  <c r="AJ764" i="15"/>
  <c r="AJ763" i="15"/>
  <c r="AJ762" i="15"/>
  <c r="AJ761" i="15"/>
  <c r="AJ760" i="15"/>
  <c r="AJ759" i="15"/>
  <c r="AJ758" i="15"/>
  <c r="AJ757" i="15"/>
  <c r="AJ756" i="15"/>
  <c r="AJ755" i="15"/>
  <c r="AJ754" i="15"/>
  <c r="AJ753" i="15"/>
  <c r="AJ752" i="15"/>
  <c r="AJ751" i="15"/>
  <c r="AJ750" i="15"/>
  <c r="AJ749" i="15"/>
  <c r="AJ748" i="15"/>
  <c r="AJ747" i="15"/>
  <c r="AJ746" i="15"/>
  <c r="AJ745" i="15"/>
  <c r="AJ744" i="15"/>
  <c r="AJ743" i="15"/>
  <c r="AJ742" i="15"/>
  <c r="AJ741" i="15"/>
  <c r="AJ740" i="15"/>
  <c r="AJ739" i="15"/>
  <c r="AJ738" i="15"/>
  <c r="AJ737" i="15"/>
  <c r="AJ736" i="15"/>
  <c r="AJ735" i="15"/>
  <c r="AJ734" i="15"/>
  <c r="AJ733" i="15"/>
  <c r="AJ732" i="15"/>
  <c r="AJ731" i="15"/>
  <c r="AJ730" i="15"/>
  <c r="AJ729" i="15"/>
  <c r="AJ728" i="15"/>
  <c r="AJ727" i="15"/>
  <c r="AJ726" i="15"/>
  <c r="AJ725" i="15"/>
  <c r="AJ724" i="15"/>
  <c r="AJ723" i="15"/>
  <c r="AJ722" i="15"/>
  <c r="AJ721" i="15"/>
  <c r="AJ720" i="15"/>
  <c r="AJ719" i="15"/>
  <c r="AJ718" i="15"/>
  <c r="AJ717" i="15"/>
  <c r="AJ716" i="15"/>
  <c r="AJ715" i="15"/>
  <c r="AJ714" i="15"/>
  <c r="AJ713" i="15"/>
  <c r="AJ712" i="15"/>
  <c r="AJ711" i="15"/>
  <c r="AJ710" i="15"/>
  <c r="AJ709" i="15"/>
  <c r="AJ708" i="15"/>
  <c r="AJ707" i="15"/>
  <c r="AJ706" i="15"/>
  <c r="AJ705" i="15"/>
  <c r="AJ704" i="15"/>
  <c r="AJ703" i="15"/>
  <c r="AJ702" i="15"/>
  <c r="AJ701" i="15"/>
  <c r="AJ700" i="15"/>
  <c r="AJ699" i="15"/>
  <c r="AJ698" i="15"/>
  <c r="AJ697" i="15"/>
  <c r="AJ696" i="15"/>
  <c r="AJ695" i="15"/>
  <c r="AJ694" i="15"/>
  <c r="AJ693" i="15"/>
  <c r="AJ692" i="15"/>
  <c r="AJ691" i="15"/>
  <c r="AJ690" i="15"/>
  <c r="AJ689" i="15"/>
  <c r="AJ688" i="15"/>
  <c r="AJ687" i="15"/>
  <c r="AJ686" i="15"/>
  <c r="AJ685" i="15"/>
  <c r="AJ684" i="15"/>
  <c r="AJ683" i="15"/>
  <c r="AJ682" i="15"/>
  <c r="AJ681" i="15"/>
  <c r="AJ680" i="15"/>
  <c r="AJ679" i="15"/>
  <c r="AJ678" i="15"/>
  <c r="AJ677" i="15"/>
  <c r="AJ676" i="15"/>
  <c r="AJ675" i="15"/>
  <c r="AJ674" i="15"/>
  <c r="AJ673" i="15"/>
  <c r="AJ672" i="15"/>
  <c r="AJ671" i="15"/>
  <c r="AJ670" i="15"/>
  <c r="AJ669" i="15"/>
  <c r="AJ668" i="15"/>
  <c r="AJ667" i="15"/>
  <c r="AJ666" i="15"/>
  <c r="AJ665" i="15"/>
  <c r="AJ664" i="15"/>
  <c r="AJ663" i="15"/>
  <c r="AJ662" i="15"/>
  <c r="AJ661" i="15"/>
  <c r="AJ660" i="15"/>
  <c r="AJ659" i="15"/>
  <c r="AJ658" i="15"/>
  <c r="AJ657" i="15"/>
  <c r="AJ656" i="15"/>
  <c r="AJ655" i="15"/>
  <c r="AJ654" i="15"/>
  <c r="AJ653" i="15"/>
  <c r="AJ652" i="15"/>
  <c r="AJ651" i="15"/>
  <c r="AJ650" i="15"/>
  <c r="AJ649" i="15"/>
  <c r="AJ648" i="15"/>
  <c r="AJ647" i="15"/>
  <c r="AJ646" i="15"/>
  <c r="AJ645" i="15"/>
  <c r="AJ644" i="15"/>
  <c r="AJ643" i="15"/>
  <c r="AJ642" i="15"/>
  <c r="AJ641" i="15"/>
  <c r="AJ640" i="15"/>
  <c r="AJ639" i="15"/>
  <c r="AJ638" i="15"/>
  <c r="AJ637" i="15"/>
  <c r="AJ636" i="15"/>
  <c r="AJ635" i="15"/>
  <c r="AJ634" i="15"/>
  <c r="AJ633" i="15"/>
  <c r="AJ632" i="15"/>
  <c r="AJ631" i="15"/>
  <c r="AJ630" i="15"/>
  <c r="AJ629" i="15"/>
  <c r="AJ628" i="15"/>
  <c r="AJ627" i="15"/>
  <c r="AJ626" i="15"/>
  <c r="AJ625" i="15"/>
  <c r="AJ624" i="15"/>
  <c r="AJ623" i="15"/>
  <c r="AJ622" i="15"/>
  <c r="AJ621" i="15"/>
  <c r="AJ620" i="15"/>
  <c r="AJ619" i="15"/>
  <c r="AJ618" i="15"/>
  <c r="AJ617" i="15"/>
  <c r="AJ616" i="15"/>
  <c r="AJ615" i="15"/>
  <c r="AJ614" i="15"/>
  <c r="AJ613" i="15"/>
  <c r="AJ612" i="15"/>
  <c r="AJ611" i="15"/>
  <c r="AJ610" i="15"/>
  <c r="AJ609" i="15"/>
  <c r="AJ608" i="15"/>
  <c r="AJ607" i="15"/>
  <c r="AJ606" i="15"/>
  <c r="AJ605" i="15"/>
  <c r="AJ604" i="15"/>
  <c r="AJ603" i="15"/>
  <c r="AJ602" i="15"/>
  <c r="AJ601" i="15"/>
  <c r="AJ600" i="15"/>
  <c r="AJ599" i="15"/>
  <c r="AJ598" i="15"/>
  <c r="AJ597" i="15"/>
  <c r="AJ596" i="15"/>
  <c r="AJ595" i="15"/>
  <c r="AJ594" i="15"/>
  <c r="AJ593" i="15"/>
  <c r="AJ592" i="15"/>
  <c r="AJ591" i="15"/>
  <c r="AJ590" i="15"/>
  <c r="AJ589" i="15"/>
  <c r="AJ588" i="15"/>
  <c r="AJ587" i="15"/>
  <c r="AJ586" i="15"/>
  <c r="AJ585" i="15"/>
  <c r="AJ584" i="15"/>
  <c r="AJ583" i="15"/>
  <c r="AJ582" i="15"/>
  <c r="AJ581" i="15"/>
  <c r="AJ580" i="15"/>
  <c r="AJ579" i="15"/>
  <c r="AJ578" i="15"/>
  <c r="AJ577" i="15"/>
  <c r="AJ576" i="15"/>
  <c r="AJ575" i="15"/>
  <c r="AJ574" i="15"/>
  <c r="AJ573" i="15"/>
  <c r="AJ572" i="15"/>
  <c r="AJ571" i="15"/>
  <c r="AJ570" i="15"/>
  <c r="AJ569" i="15"/>
  <c r="AJ568" i="15"/>
  <c r="AJ567" i="15"/>
  <c r="AJ566" i="15"/>
  <c r="AJ565" i="15"/>
  <c r="AJ564" i="15"/>
  <c r="AJ563" i="15"/>
  <c r="AJ562" i="15"/>
  <c r="AJ561" i="15"/>
  <c r="AJ560" i="15"/>
  <c r="AJ559" i="15"/>
  <c r="AJ558" i="15"/>
  <c r="AJ557" i="15"/>
  <c r="AJ556" i="15"/>
  <c r="AJ555" i="15"/>
  <c r="AJ554" i="15"/>
  <c r="AJ553" i="15"/>
  <c r="AJ552" i="15"/>
  <c r="AJ551" i="15"/>
  <c r="AJ550" i="15"/>
  <c r="AJ549" i="15"/>
  <c r="AJ548" i="15"/>
  <c r="AJ547" i="15"/>
  <c r="AJ546" i="15"/>
  <c r="AJ545" i="15"/>
  <c r="AJ544" i="15"/>
  <c r="AJ543" i="15"/>
  <c r="AJ542" i="15"/>
  <c r="AJ541" i="15"/>
  <c r="AJ540" i="15"/>
  <c r="AJ539" i="15"/>
  <c r="AJ538" i="15"/>
  <c r="AJ537" i="15"/>
  <c r="AJ536" i="15"/>
  <c r="AJ535" i="15"/>
  <c r="AJ534" i="15"/>
  <c r="AJ533" i="15"/>
  <c r="AJ532" i="15"/>
  <c r="AJ531" i="15"/>
  <c r="AJ530" i="15"/>
  <c r="AJ529" i="15"/>
  <c r="AJ528" i="15"/>
  <c r="AJ527" i="15"/>
  <c r="AJ526" i="15"/>
  <c r="AJ525" i="15"/>
  <c r="AJ524" i="15"/>
  <c r="AJ523" i="15"/>
  <c r="AJ522" i="15"/>
  <c r="AJ521" i="15"/>
  <c r="AJ520" i="15"/>
  <c r="AJ519" i="15"/>
  <c r="AJ518" i="15"/>
  <c r="AJ517" i="15"/>
  <c r="AJ516" i="15"/>
  <c r="AJ515" i="15"/>
  <c r="AJ514" i="15"/>
  <c r="AJ513" i="15"/>
  <c r="AJ512" i="15"/>
  <c r="AJ511" i="15"/>
  <c r="AJ510" i="15"/>
  <c r="AJ509" i="15"/>
  <c r="AJ508" i="15"/>
  <c r="AJ507" i="15"/>
  <c r="AJ506" i="15"/>
  <c r="AJ505" i="15"/>
  <c r="AJ504" i="15"/>
  <c r="AJ503" i="15"/>
  <c r="AJ502" i="15"/>
  <c r="AJ501" i="15"/>
  <c r="AJ500" i="15"/>
  <c r="AJ499" i="15"/>
  <c r="AJ498" i="15"/>
  <c r="AJ497" i="15"/>
  <c r="AJ496" i="15"/>
  <c r="AJ495" i="15"/>
  <c r="AJ494" i="15"/>
  <c r="AJ493" i="15"/>
  <c r="AJ492" i="15"/>
  <c r="AJ491" i="15"/>
  <c r="AJ490" i="15"/>
  <c r="AJ489" i="15"/>
  <c r="AJ488" i="15"/>
  <c r="AJ487" i="15"/>
  <c r="AJ486" i="15"/>
  <c r="AJ485" i="15"/>
  <c r="AJ484" i="15"/>
  <c r="AJ483" i="15"/>
  <c r="AJ482" i="15"/>
  <c r="AJ481" i="15"/>
  <c r="AJ480" i="15"/>
  <c r="AJ479" i="15"/>
  <c r="AJ478" i="15"/>
  <c r="AJ477" i="15"/>
  <c r="CT15" i="8"/>
  <c r="CS15" i="8"/>
  <c r="CR15" i="8"/>
  <c r="CT14" i="8"/>
  <c r="CS14" i="8"/>
  <c r="CR14" i="8"/>
  <c r="CT13" i="8"/>
  <c r="CS13" i="8"/>
  <c r="CR13" i="8"/>
  <c r="AL476" i="15"/>
  <c r="AL475" i="15"/>
  <c r="AL474" i="15"/>
  <c r="AL473" i="15"/>
  <c r="AL472" i="15"/>
  <c r="AL471" i="15"/>
  <c r="AL470" i="15"/>
  <c r="AL469" i="15"/>
  <c r="AL468" i="15"/>
  <c r="AL467" i="15"/>
  <c r="AL466" i="15"/>
  <c r="AL465" i="15"/>
  <c r="AL464" i="15"/>
  <c r="AL463" i="15"/>
  <c r="AL462" i="15"/>
  <c r="AL461" i="15"/>
  <c r="AL460" i="15"/>
  <c r="AL459" i="15"/>
  <c r="AL458" i="15"/>
  <c r="AL457" i="15"/>
  <c r="AL456" i="15"/>
  <c r="AL455" i="15"/>
  <c r="AL454" i="15"/>
  <c r="AL453" i="15"/>
  <c r="AL452" i="15"/>
  <c r="AL451" i="15"/>
  <c r="AL450" i="15"/>
  <c r="AL449" i="15"/>
  <c r="AL448" i="15"/>
  <c r="AL447" i="15"/>
  <c r="AL446" i="15"/>
  <c r="AL445" i="15"/>
  <c r="AL444" i="15"/>
  <c r="AL443" i="15"/>
  <c r="AL442" i="15"/>
  <c r="AL441" i="15"/>
  <c r="AL440" i="15"/>
  <c r="AL439" i="15"/>
  <c r="AL438" i="15"/>
  <c r="AL437" i="15"/>
  <c r="AL436" i="15"/>
  <c r="AL435" i="15"/>
  <c r="AL434" i="15"/>
  <c r="AL433" i="15"/>
  <c r="AL432" i="15"/>
  <c r="AL431" i="15"/>
  <c r="AL430" i="15"/>
  <c r="AL429" i="15"/>
  <c r="AL428" i="15"/>
  <c r="AL427" i="15"/>
  <c r="AL426" i="15"/>
  <c r="AL425" i="15"/>
  <c r="AL424" i="15"/>
  <c r="AL423" i="15"/>
  <c r="AL422" i="15"/>
  <c r="AL421" i="15"/>
  <c r="AL420" i="15"/>
  <c r="AL419" i="15"/>
  <c r="AL418" i="15"/>
  <c r="AL417" i="15"/>
  <c r="AL416" i="15"/>
  <c r="AL415" i="15"/>
  <c r="AL414" i="15"/>
  <c r="AL413" i="15"/>
  <c r="AL412" i="15"/>
  <c r="AL411" i="15"/>
  <c r="AL410" i="15"/>
  <c r="AL409" i="15"/>
  <c r="AL408" i="15"/>
  <c r="AL407" i="15"/>
  <c r="AL406" i="15"/>
  <c r="AL405" i="15"/>
  <c r="AL404" i="15"/>
  <c r="AL403" i="15"/>
  <c r="AL402" i="15"/>
  <c r="AL401" i="15"/>
  <c r="AL400" i="15"/>
  <c r="AL399" i="15"/>
  <c r="AL398" i="15"/>
  <c r="AL397" i="15"/>
  <c r="AL396" i="15"/>
  <c r="AL395" i="15"/>
  <c r="AL394" i="15"/>
  <c r="AL393" i="15"/>
  <c r="AL392" i="15"/>
  <c r="AL391" i="15"/>
  <c r="AL390" i="15"/>
  <c r="AL389" i="15"/>
  <c r="AL388" i="15"/>
  <c r="AL387" i="15"/>
  <c r="AL386" i="15"/>
  <c r="AL385" i="15"/>
  <c r="AL384" i="15"/>
  <c r="AL383" i="15"/>
  <c r="AL382" i="15"/>
  <c r="AL381" i="15"/>
  <c r="AJ476" i="15"/>
  <c r="AJ475" i="15"/>
  <c r="AJ474" i="15"/>
  <c r="AJ473" i="15"/>
  <c r="AJ472" i="15"/>
  <c r="AJ471" i="15"/>
  <c r="AJ470" i="15"/>
  <c r="AJ469" i="15"/>
  <c r="AJ468" i="15"/>
  <c r="AJ467" i="15"/>
  <c r="AJ466" i="15"/>
  <c r="AJ465" i="15"/>
  <c r="AJ464" i="15"/>
  <c r="AJ463" i="15"/>
  <c r="AJ462" i="15"/>
  <c r="AJ461" i="15"/>
  <c r="AJ460" i="15"/>
  <c r="AJ459" i="15"/>
  <c r="AJ458" i="15"/>
  <c r="AJ457" i="15"/>
  <c r="AJ456" i="15"/>
  <c r="AJ455" i="15"/>
  <c r="AJ454" i="15"/>
  <c r="AJ453" i="15"/>
  <c r="AJ452" i="15"/>
  <c r="AJ451" i="15"/>
  <c r="AJ450" i="15"/>
  <c r="AJ449" i="15"/>
  <c r="AJ448" i="15"/>
  <c r="AJ447" i="15"/>
  <c r="AJ446" i="15"/>
  <c r="AJ445" i="15"/>
  <c r="AJ444" i="15"/>
  <c r="AJ443" i="15"/>
  <c r="AJ442" i="15"/>
  <c r="AJ441" i="15"/>
  <c r="AJ440" i="15"/>
  <c r="AJ439" i="15"/>
  <c r="AJ438" i="15"/>
  <c r="AJ437" i="15"/>
  <c r="AJ436" i="15"/>
  <c r="AJ435" i="15"/>
  <c r="AJ434" i="15"/>
  <c r="AJ433" i="15"/>
  <c r="AJ432" i="15"/>
  <c r="AJ431" i="15"/>
  <c r="AJ430" i="15"/>
  <c r="AJ429" i="15"/>
  <c r="AJ428" i="15"/>
  <c r="AJ427" i="15"/>
  <c r="AJ426" i="15"/>
  <c r="AJ425" i="15"/>
  <c r="AJ424" i="15"/>
  <c r="AJ423" i="15"/>
  <c r="AJ422" i="15"/>
  <c r="AJ421" i="15"/>
  <c r="AJ420" i="15"/>
  <c r="AJ419" i="15"/>
  <c r="AJ418" i="15"/>
  <c r="AJ417" i="15"/>
  <c r="AJ416" i="15"/>
  <c r="AJ415" i="15"/>
  <c r="AJ414" i="15"/>
  <c r="AJ413" i="15"/>
  <c r="AJ412" i="15"/>
  <c r="AJ411" i="15"/>
  <c r="AJ410" i="15"/>
  <c r="AJ409" i="15"/>
  <c r="AJ408" i="15"/>
  <c r="AJ407" i="15"/>
  <c r="AJ406" i="15"/>
  <c r="AJ405" i="15"/>
  <c r="AJ404" i="15"/>
  <c r="AJ403" i="15"/>
  <c r="AJ402" i="15"/>
  <c r="AJ401" i="15"/>
  <c r="AJ400" i="15"/>
  <c r="AJ399" i="15"/>
  <c r="AJ398" i="15"/>
  <c r="AJ397" i="15"/>
  <c r="AJ396" i="15"/>
  <c r="AJ395" i="15"/>
  <c r="AJ394" i="15"/>
  <c r="AJ393" i="15"/>
  <c r="AJ392" i="15"/>
  <c r="AJ391" i="15"/>
  <c r="AJ390" i="15"/>
  <c r="AJ389" i="15"/>
  <c r="AJ388" i="15"/>
  <c r="AJ387" i="15"/>
  <c r="AJ386" i="15"/>
  <c r="AJ385" i="15"/>
  <c r="AJ384" i="15"/>
  <c r="AJ383" i="15"/>
  <c r="AJ382" i="15"/>
  <c r="AJ381" i="15"/>
  <c r="CX106" i="7"/>
  <c r="CW106" i="7"/>
  <c r="CV106" i="7"/>
  <c r="CU106" i="7"/>
  <c r="CT106" i="7"/>
  <c r="CS106" i="7"/>
  <c r="CR106" i="7"/>
  <c r="CQ106" i="7"/>
  <c r="CP106" i="7"/>
  <c r="CO106" i="7"/>
  <c r="CN106" i="7"/>
  <c r="CM106" i="7"/>
  <c r="CL106" i="7"/>
  <c r="CK106" i="7"/>
  <c r="CJ106" i="7"/>
  <c r="CI106" i="7"/>
  <c r="CH106" i="7"/>
  <c r="CG106" i="7"/>
  <c r="CF106" i="7"/>
  <c r="CE106" i="7"/>
  <c r="CD106" i="7"/>
  <c r="CC106" i="7"/>
  <c r="CB106" i="7"/>
  <c r="CA106" i="7"/>
  <c r="BZ106" i="7"/>
  <c r="BY106" i="7"/>
  <c r="BX106" i="7"/>
  <c r="BW106" i="7"/>
  <c r="BV106" i="7"/>
  <c r="BU106" i="7"/>
  <c r="BT106" i="7"/>
  <c r="BS106" i="7"/>
  <c r="BR106" i="7"/>
  <c r="BQ106" i="7"/>
  <c r="BP106" i="7"/>
  <c r="BO106" i="7"/>
  <c r="BN106" i="7"/>
  <c r="BM106" i="7"/>
  <c r="BL106" i="7"/>
  <c r="BK106" i="7"/>
  <c r="BJ106" i="7"/>
  <c r="BI106" i="7"/>
  <c r="BH106" i="7"/>
  <c r="BG106" i="7"/>
  <c r="BF106" i="7"/>
  <c r="BE106" i="7"/>
  <c r="BD106" i="7"/>
  <c r="BC106" i="7"/>
  <c r="BB106" i="7"/>
  <c r="BA106" i="7"/>
  <c r="AZ106" i="7"/>
  <c r="AY106" i="7"/>
  <c r="AX106" i="7"/>
  <c r="AW106" i="7"/>
  <c r="AV106" i="7"/>
  <c r="AU106" i="7"/>
  <c r="AT106" i="7"/>
  <c r="AS106" i="7"/>
  <c r="AR106" i="7"/>
  <c r="AQ106" i="7"/>
  <c r="AP106" i="7"/>
  <c r="AO106" i="7"/>
  <c r="AN106" i="7"/>
  <c r="AM106" i="7"/>
  <c r="AL106" i="7"/>
  <c r="AK106" i="7"/>
  <c r="AJ106" i="7"/>
  <c r="AI106" i="7"/>
  <c r="AH106" i="7"/>
  <c r="AG106" i="7"/>
  <c r="AF106" i="7"/>
  <c r="AE106" i="7"/>
  <c r="AD106" i="7"/>
  <c r="AC106" i="7"/>
  <c r="AB106" i="7"/>
  <c r="AA106" i="7"/>
  <c r="Z106" i="7"/>
  <c r="Y106" i="7"/>
  <c r="X106" i="7"/>
  <c r="W106" i="7"/>
  <c r="V106" i="7"/>
  <c r="U106" i="7"/>
  <c r="T106" i="7"/>
  <c r="S106" i="7"/>
  <c r="R106" i="7"/>
  <c r="Q106" i="7"/>
  <c r="P106" i="7"/>
  <c r="O106" i="7"/>
  <c r="N106" i="7"/>
  <c r="M106" i="7"/>
  <c r="L106" i="7"/>
  <c r="K106" i="7"/>
  <c r="J106" i="7"/>
  <c r="I106" i="7"/>
  <c r="H106" i="7"/>
  <c r="G106" i="7"/>
  <c r="F106" i="7"/>
  <c r="E106" i="7"/>
  <c r="D106" i="7"/>
  <c r="C106" i="7"/>
  <c r="CX105" i="7"/>
  <c r="CW105" i="7"/>
  <c r="CV105" i="7"/>
  <c r="CU105" i="7"/>
  <c r="CT105" i="7"/>
  <c r="CS105" i="7"/>
  <c r="CR105" i="7"/>
  <c r="CQ105" i="7"/>
  <c r="CP105" i="7"/>
  <c r="CO105" i="7"/>
  <c r="CN105" i="7"/>
  <c r="CM105" i="7"/>
  <c r="CL105" i="7"/>
  <c r="CK105" i="7"/>
  <c r="CJ105" i="7"/>
  <c r="CI105" i="7"/>
  <c r="CH105" i="7"/>
  <c r="CG105" i="7"/>
  <c r="CF105" i="7"/>
  <c r="CE105" i="7"/>
  <c r="CD105" i="7"/>
  <c r="CC105" i="7"/>
  <c r="CB105" i="7"/>
  <c r="CA105" i="7"/>
  <c r="BZ105" i="7"/>
  <c r="BY105" i="7"/>
  <c r="BX105" i="7"/>
  <c r="BW105" i="7"/>
  <c r="BV105" i="7"/>
  <c r="BU105" i="7"/>
  <c r="BT105" i="7"/>
  <c r="BS105" i="7"/>
  <c r="BR105" i="7"/>
  <c r="BQ105" i="7"/>
  <c r="BP105" i="7"/>
  <c r="BO105" i="7"/>
  <c r="BN105" i="7"/>
  <c r="BM105" i="7"/>
  <c r="BL105" i="7"/>
  <c r="BK105" i="7"/>
  <c r="BJ105" i="7"/>
  <c r="BI105" i="7"/>
  <c r="BH105" i="7"/>
  <c r="BG105" i="7"/>
  <c r="BF105" i="7"/>
  <c r="BE105" i="7"/>
  <c r="BD105" i="7"/>
  <c r="BC105" i="7"/>
  <c r="BB105" i="7"/>
  <c r="BA105" i="7"/>
  <c r="AZ105" i="7"/>
  <c r="AY105" i="7"/>
  <c r="AX105" i="7"/>
  <c r="AW105" i="7"/>
  <c r="AV105" i="7"/>
  <c r="AU105" i="7"/>
  <c r="AT105" i="7"/>
  <c r="AS105" i="7"/>
  <c r="AR105" i="7"/>
  <c r="AQ105" i="7"/>
  <c r="AP105" i="7"/>
  <c r="AO105" i="7"/>
  <c r="AN105" i="7"/>
  <c r="AM105" i="7"/>
  <c r="AL105" i="7"/>
  <c r="AK105" i="7"/>
  <c r="AJ105" i="7"/>
  <c r="AI105" i="7"/>
  <c r="AH105" i="7"/>
  <c r="AG105" i="7"/>
  <c r="AF105" i="7"/>
  <c r="AE105" i="7"/>
  <c r="AD105" i="7"/>
  <c r="AC105" i="7"/>
  <c r="AB105" i="7"/>
  <c r="AA105" i="7"/>
  <c r="Z105" i="7"/>
  <c r="Y105" i="7"/>
  <c r="X105" i="7"/>
  <c r="W105" i="7"/>
  <c r="V105" i="7"/>
  <c r="U105" i="7"/>
  <c r="T105" i="7"/>
  <c r="S105" i="7"/>
  <c r="R105" i="7"/>
  <c r="Q105" i="7"/>
  <c r="P105" i="7"/>
  <c r="O105" i="7"/>
  <c r="N105" i="7"/>
  <c r="M105" i="7"/>
  <c r="L105" i="7"/>
  <c r="K105" i="7"/>
  <c r="J105" i="7"/>
  <c r="I105" i="7"/>
  <c r="H105" i="7"/>
  <c r="G105" i="7"/>
  <c r="F105" i="7"/>
  <c r="E105" i="7"/>
  <c r="D105" i="7"/>
  <c r="C105" i="7"/>
  <c r="B105" i="7"/>
  <c r="DA103" i="7"/>
  <c r="CZ103" i="7"/>
  <c r="DA102" i="7"/>
  <c r="CZ102" i="7"/>
  <c r="DA101" i="7"/>
  <c r="CZ101" i="7"/>
  <c r="DA100" i="7"/>
  <c r="CZ100" i="7"/>
  <c r="DA99" i="7"/>
  <c r="CZ99" i="7"/>
  <c r="DA98" i="7"/>
  <c r="CZ98" i="7"/>
  <c r="DA97" i="7"/>
  <c r="CZ97" i="7"/>
  <c r="DA96" i="7"/>
  <c r="CZ96" i="7"/>
  <c r="DA95" i="7"/>
  <c r="CZ95" i="7"/>
  <c r="DA94" i="7"/>
  <c r="CZ94" i="7"/>
  <c r="DA93" i="7"/>
  <c r="CZ93" i="7"/>
  <c r="DA92" i="7"/>
  <c r="CZ92" i="7"/>
  <c r="DA91" i="7"/>
  <c r="CZ91" i="7"/>
  <c r="DA90" i="7"/>
  <c r="CZ90" i="7"/>
  <c r="DA89" i="7"/>
  <c r="CZ89" i="7"/>
  <c r="DA88" i="7"/>
  <c r="CZ88" i="7"/>
  <c r="DA87" i="7"/>
  <c r="CZ87" i="7"/>
  <c r="DA86" i="7"/>
  <c r="CZ86" i="7"/>
  <c r="DA85" i="7"/>
  <c r="CZ85" i="7"/>
  <c r="DA84" i="7"/>
  <c r="CZ84" i="7"/>
  <c r="DA83" i="7"/>
  <c r="CZ83" i="7"/>
  <c r="DA82" i="7"/>
  <c r="CZ82" i="7"/>
  <c r="DA81" i="7"/>
  <c r="CZ81" i="7"/>
  <c r="DA80" i="7"/>
  <c r="CZ80" i="7"/>
  <c r="DA79" i="7"/>
  <c r="CZ79" i="7"/>
  <c r="DA78" i="7"/>
  <c r="CZ78" i="7"/>
  <c r="DA77" i="7"/>
  <c r="CZ77" i="7"/>
  <c r="DA76" i="7"/>
  <c r="CZ76" i="7"/>
  <c r="DA75" i="7"/>
  <c r="CZ75" i="7"/>
  <c r="DA74" i="7"/>
  <c r="CZ74" i="7"/>
  <c r="DA73" i="7"/>
  <c r="CZ73" i="7"/>
  <c r="DA72" i="7"/>
  <c r="CZ72" i="7"/>
  <c r="DA71" i="7"/>
  <c r="CZ71" i="7"/>
  <c r="DA70" i="7"/>
  <c r="CZ70" i="7"/>
  <c r="DA69" i="7"/>
  <c r="CZ69" i="7"/>
  <c r="DA68" i="7"/>
  <c r="CZ68" i="7"/>
  <c r="DA67" i="7"/>
  <c r="CZ67" i="7"/>
  <c r="DA66" i="7"/>
  <c r="CZ66" i="7"/>
  <c r="DA65" i="7"/>
  <c r="CZ65" i="7"/>
  <c r="DA64" i="7"/>
  <c r="CZ64" i="7"/>
  <c r="DA63" i="7"/>
  <c r="CZ63" i="7"/>
  <c r="DA62" i="7"/>
  <c r="CZ62" i="7"/>
  <c r="DA61" i="7"/>
  <c r="CZ61" i="7"/>
  <c r="DA60" i="7"/>
  <c r="CZ60" i="7"/>
  <c r="DA59" i="7"/>
  <c r="CZ59" i="7"/>
  <c r="DA58" i="7"/>
  <c r="CZ58" i="7"/>
  <c r="DA57" i="7"/>
  <c r="CZ57" i="7"/>
  <c r="DA56" i="7"/>
  <c r="CZ56" i="7"/>
  <c r="DA55" i="7"/>
  <c r="CZ55" i="7"/>
  <c r="DA54" i="7"/>
  <c r="CZ54" i="7"/>
  <c r="DA53" i="7"/>
  <c r="CZ53" i="7"/>
  <c r="DA52" i="7"/>
  <c r="CZ52" i="7"/>
  <c r="DA51" i="7"/>
  <c r="CZ51" i="7"/>
  <c r="DA50" i="7"/>
  <c r="CZ50" i="7"/>
  <c r="DA49" i="7"/>
  <c r="CZ49" i="7"/>
  <c r="DA48" i="7"/>
  <c r="CZ48" i="7"/>
  <c r="DA47" i="7"/>
  <c r="CZ47" i="7"/>
  <c r="DA46" i="7"/>
  <c r="CZ46" i="7"/>
  <c r="DA45" i="7"/>
  <c r="CZ45" i="7"/>
  <c r="DA44" i="7"/>
  <c r="CZ44" i="7"/>
  <c r="DA43" i="7"/>
  <c r="CZ43" i="7"/>
  <c r="DA42" i="7"/>
  <c r="CZ42" i="7"/>
  <c r="DA41" i="7"/>
  <c r="CZ41" i="7"/>
  <c r="DA40" i="7"/>
  <c r="CZ40" i="7"/>
  <c r="DA39" i="7"/>
  <c r="CZ39" i="7"/>
  <c r="DA38" i="7"/>
  <c r="CZ38" i="7"/>
  <c r="DA37" i="7"/>
  <c r="CZ37" i="7"/>
  <c r="DA36" i="7"/>
  <c r="CZ36" i="7"/>
  <c r="DA35" i="7"/>
  <c r="CZ35" i="7"/>
  <c r="DA34" i="7"/>
  <c r="CZ34" i="7"/>
  <c r="DA33" i="7"/>
  <c r="CZ33" i="7"/>
  <c r="DA32" i="7"/>
  <c r="CZ32" i="7"/>
  <c r="DA31" i="7"/>
  <c r="CZ31" i="7"/>
  <c r="DA30" i="7"/>
  <c r="CZ30" i="7"/>
  <c r="DA29" i="7"/>
  <c r="CZ29" i="7"/>
  <c r="DA28" i="7"/>
  <c r="CZ28" i="7"/>
  <c r="DA27" i="7"/>
  <c r="CZ27" i="7"/>
  <c r="DA26" i="7"/>
  <c r="CZ26" i="7"/>
  <c r="DA25" i="7"/>
  <c r="CZ25" i="7"/>
  <c r="DA24" i="7"/>
  <c r="CZ24" i="7"/>
  <c r="DA23" i="7"/>
  <c r="CZ23" i="7"/>
  <c r="DA22" i="7"/>
  <c r="CZ22" i="7"/>
  <c r="DA21" i="7"/>
  <c r="CZ21" i="7"/>
  <c r="DA20" i="7"/>
  <c r="CZ20" i="7"/>
  <c r="DA19" i="7"/>
  <c r="CZ19" i="7"/>
  <c r="DA18" i="7"/>
  <c r="CZ18" i="7"/>
  <c r="DA17" i="7"/>
  <c r="CZ17" i="7"/>
  <c r="DA16" i="7"/>
  <c r="CZ16" i="7"/>
  <c r="DA15" i="7"/>
  <c r="CZ15" i="7"/>
  <c r="DA14" i="7"/>
  <c r="CZ14" i="7"/>
  <c r="DA13" i="7"/>
  <c r="CZ13" i="7"/>
  <c r="DA12" i="7"/>
  <c r="CZ12" i="7"/>
  <c r="DA11" i="7"/>
  <c r="CZ11" i="7"/>
  <c r="DA10" i="7"/>
  <c r="CZ10" i="7"/>
  <c r="DA9" i="7"/>
  <c r="CZ9" i="7"/>
  <c r="DA8" i="7"/>
  <c r="CZ8" i="7"/>
  <c r="DA7" i="7"/>
  <c r="CZ7" i="7"/>
  <c r="DA6" i="7"/>
  <c r="CZ6" i="7"/>
  <c r="DA5" i="7"/>
  <c r="CZ5" i="7"/>
  <c r="DA4" i="7"/>
  <c r="CZ4" i="7"/>
  <c r="CZ3" i="7"/>
  <c r="G1" i="7"/>
  <c r="CX105" i="6"/>
  <c r="CW105" i="6"/>
  <c r="CV105" i="6"/>
  <c r="CU105" i="6"/>
  <c r="CT105" i="6"/>
  <c r="CS105" i="6"/>
  <c r="CR105" i="6"/>
  <c r="CQ105" i="6"/>
  <c r="CP105" i="6"/>
  <c r="CO105" i="6"/>
  <c r="CN105" i="6"/>
  <c r="CM105" i="6"/>
  <c r="CL105" i="6"/>
  <c r="CK105" i="6"/>
  <c r="CJ105" i="6"/>
  <c r="CI105" i="6"/>
  <c r="CH105" i="6"/>
  <c r="CG105" i="6"/>
  <c r="CF105" i="6"/>
  <c r="CE105" i="6"/>
  <c r="CD105" i="6"/>
  <c r="CC105" i="6"/>
  <c r="CB105" i="6"/>
  <c r="CA105" i="6"/>
  <c r="BZ105" i="6"/>
  <c r="BY105" i="6"/>
  <c r="BX105" i="6"/>
  <c r="BW105" i="6"/>
  <c r="BV105" i="6"/>
  <c r="BU105" i="6"/>
  <c r="BT105" i="6"/>
  <c r="BS105" i="6"/>
  <c r="BR105" i="6"/>
  <c r="BQ105" i="6"/>
  <c r="BP105" i="6"/>
  <c r="BO105" i="6"/>
  <c r="BN105" i="6"/>
  <c r="BM105" i="6"/>
  <c r="BL105" i="6"/>
  <c r="BK105" i="6"/>
  <c r="BJ105" i="6"/>
  <c r="BI105" i="6"/>
  <c r="BH105" i="6"/>
  <c r="BG105" i="6"/>
  <c r="BF105" i="6"/>
  <c r="BE105" i="6"/>
  <c r="BD105" i="6"/>
  <c r="BC105" i="6"/>
  <c r="BB105" i="6"/>
  <c r="BA105" i="6"/>
  <c r="AZ105" i="6"/>
  <c r="AY105" i="6"/>
  <c r="AX105" i="6"/>
  <c r="AW105" i="6"/>
  <c r="AV105" i="6"/>
  <c r="AU105" i="6"/>
  <c r="AT105" i="6"/>
  <c r="AS105" i="6"/>
  <c r="AR105" i="6"/>
  <c r="AQ105" i="6"/>
  <c r="AP105" i="6"/>
  <c r="AO105" i="6"/>
  <c r="AN105" i="6"/>
  <c r="AM105" i="6"/>
  <c r="AL105" i="6"/>
  <c r="AK105" i="6"/>
  <c r="AJ105" i="6"/>
  <c r="AI105" i="6"/>
  <c r="AH105" i="6"/>
  <c r="AG105" i="6"/>
  <c r="AF105" i="6"/>
  <c r="AE105" i="6"/>
  <c r="AD105" i="6"/>
  <c r="AC105" i="6"/>
  <c r="AB105" i="6"/>
  <c r="AA105" i="6"/>
  <c r="Z105" i="6"/>
  <c r="Y105" i="6"/>
  <c r="X105" i="6"/>
  <c r="W105" i="6"/>
  <c r="V105" i="6"/>
  <c r="U105" i="6"/>
  <c r="T105" i="6"/>
  <c r="S105" i="6"/>
  <c r="R105" i="6"/>
  <c r="Q105" i="6"/>
  <c r="P105" i="6"/>
  <c r="O105" i="6"/>
  <c r="N105" i="6"/>
  <c r="M105" i="6"/>
  <c r="L105" i="6"/>
  <c r="K105" i="6"/>
  <c r="J105" i="6"/>
  <c r="I105" i="6"/>
  <c r="H105" i="6"/>
  <c r="G105" i="6"/>
  <c r="F105" i="6"/>
  <c r="E105" i="6"/>
  <c r="D105" i="6"/>
  <c r="C105" i="6"/>
  <c r="B105" i="6"/>
  <c r="CZ103" i="6"/>
  <c r="CZ102" i="6"/>
  <c r="CZ101" i="6"/>
  <c r="CZ100" i="6"/>
  <c r="CZ99" i="6"/>
  <c r="CZ98" i="6"/>
  <c r="CZ97" i="6"/>
  <c r="CZ96" i="6"/>
  <c r="CZ95" i="6"/>
  <c r="CZ94" i="6"/>
  <c r="CZ93" i="6"/>
  <c r="CZ92" i="6"/>
  <c r="CZ91" i="6"/>
  <c r="CZ90" i="6"/>
  <c r="CZ89" i="6"/>
  <c r="CZ88" i="6"/>
  <c r="CZ87" i="6"/>
  <c r="CZ86" i="6"/>
  <c r="CZ85" i="6"/>
  <c r="CZ84" i="6"/>
  <c r="CZ83" i="6"/>
  <c r="CZ82" i="6"/>
  <c r="CZ81" i="6"/>
  <c r="CZ80" i="6"/>
  <c r="CZ79" i="6"/>
  <c r="CZ78" i="6"/>
  <c r="CZ77" i="6"/>
  <c r="CZ76" i="6"/>
  <c r="CZ75" i="6"/>
  <c r="CZ74" i="6"/>
  <c r="CZ73" i="6"/>
  <c r="CZ72" i="6"/>
  <c r="CZ71" i="6"/>
  <c r="CZ70" i="6"/>
  <c r="CZ69" i="6"/>
  <c r="CZ68" i="6"/>
  <c r="CZ67" i="6"/>
  <c r="CZ66" i="6"/>
  <c r="CZ65" i="6"/>
  <c r="CZ64" i="6"/>
  <c r="CZ63" i="6"/>
  <c r="CZ62" i="6"/>
  <c r="CZ61" i="6"/>
  <c r="CZ60" i="6"/>
  <c r="CZ59" i="6"/>
  <c r="CZ58" i="6"/>
  <c r="CZ57" i="6"/>
  <c r="CZ56" i="6"/>
  <c r="CZ55" i="6"/>
  <c r="CZ54" i="6"/>
  <c r="CZ53" i="6"/>
  <c r="CZ52" i="6"/>
  <c r="CZ51" i="6"/>
  <c r="CZ50" i="6"/>
  <c r="CZ49" i="6"/>
  <c r="CZ48" i="6"/>
  <c r="CZ47" i="6"/>
  <c r="CZ46" i="6"/>
  <c r="CZ45" i="6"/>
  <c r="CZ44" i="6"/>
  <c r="CZ43" i="6"/>
  <c r="CZ42" i="6"/>
  <c r="CZ41" i="6"/>
  <c r="CZ40" i="6"/>
  <c r="CZ39" i="6"/>
  <c r="CZ38" i="6"/>
  <c r="CZ37" i="6"/>
  <c r="CZ36" i="6"/>
  <c r="CZ35" i="6"/>
  <c r="CZ34" i="6"/>
  <c r="CZ33" i="6"/>
  <c r="CZ32" i="6"/>
  <c r="CZ31" i="6"/>
  <c r="CZ30" i="6"/>
  <c r="CZ29" i="6"/>
  <c r="CZ28" i="6"/>
  <c r="CZ27" i="6"/>
  <c r="CZ26" i="6"/>
  <c r="CZ25" i="6"/>
  <c r="CZ24" i="6"/>
  <c r="CZ23" i="6"/>
  <c r="CZ22" i="6"/>
  <c r="CZ21" i="6"/>
  <c r="CZ20" i="6"/>
  <c r="CZ19" i="6"/>
  <c r="CZ18" i="6"/>
  <c r="CZ17" i="6"/>
  <c r="CZ16" i="6"/>
  <c r="CZ15" i="6"/>
  <c r="CZ14" i="6"/>
  <c r="CZ13" i="6"/>
  <c r="CZ12" i="6"/>
  <c r="CZ11" i="6"/>
  <c r="CZ10" i="6"/>
  <c r="CZ9" i="6"/>
  <c r="CZ8" i="6"/>
  <c r="CZ7" i="6"/>
  <c r="CZ6" i="6"/>
  <c r="CZ5" i="6"/>
  <c r="CZ4" i="6"/>
  <c r="CZ3" i="6"/>
  <c r="I1" i="6"/>
  <c r="CX105" i="5"/>
  <c r="CW105" i="5"/>
  <c r="CV105" i="5"/>
  <c r="CU105" i="5"/>
  <c r="CT105" i="5"/>
  <c r="CS105" i="5"/>
  <c r="CR105" i="5"/>
  <c r="CQ105" i="5"/>
  <c r="CP105" i="5"/>
  <c r="CO105" i="5"/>
  <c r="CN105" i="5"/>
  <c r="CM105" i="5"/>
  <c r="CL105" i="5"/>
  <c r="CK105" i="5"/>
  <c r="CJ105" i="5"/>
  <c r="CI105" i="5"/>
  <c r="CH105" i="5"/>
  <c r="CG105" i="5"/>
  <c r="CF105" i="5"/>
  <c r="CE105" i="5"/>
  <c r="CD105" i="5"/>
  <c r="CC105" i="5"/>
  <c r="CB105" i="5"/>
  <c r="CA105" i="5"/>
  <c r="BZ105" i="5"/>
  <c r="BY105" i="5"/>
  <c r="BX105" i="5"/>
  <c r="BW105" i="5"/>
  <c r="BV105" i="5"/>
  <c r="BU105" i="5"/>
  <c r="BT105" i="5"/>
  <c r="BS105" i="5"/>
  <c r="BR105" i="5"/>
  <c r="BQ105" i="5"/>
  <c r="BP105" i="5"/>
  <c r="BO105" i="5"/>
  <c r="BN105" i="5"/>
  <c r="BM105" i="5"/>
  <c r="BL105" i="5"/>
  <c r="BK105" i="5"/>
  <c r="BJ105" i="5"/>
  <c r="BI105" i="5"/>
  <c r="BH105" i="5"/>
  <c r="BG105" i="5"/>
  <c r="BF105" i="5"/>
  <c r="BE105" i="5"/>
  <c r="BD105" i="5"/>
  <c r="BC105" i="5"/>
  <c r="BB105" i="5"/>
  <c r="BA105" i="5"/>
  <c r="AZ105" i="5"/>
  <c r="AY105" i="5"/>
  <c r="AX105" i="5"/>
  <c r="AW105" i="5"/>
  <c r="AV105" i="5"/>
  <c r="AU105" i="5"/>
  <c r="AT105" i="5"/>
  <c r="AS105"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B105" i="5"/>
  <c r="CZ103" i="5"/>
  <c r="CZ102" i="5"/>
  <c r="CZ101" i="5"/>
  <c r="CZ100" i="5"/>
  <c r="CZ99" i="5"/>
  <c r="CZ98" i="5"/>
  <c r="CZ97" i="5"/>
  <c r="CZ96" i="5"/>
  <c r="CZ95" i="5"/>
  <c r="CZ94" i="5"/>
  <c r="CZ93" i="5"/>
  <c r="CZ92" i="5"/>
  <c r="CZ91" i="5"/>
  <c r="CZ90" i="5"/>
  <c r="CZ89" i="5"/>
  <c r="CZ88" i="5"/>
  <c r="CZ87" i="5"/>
  <c r="CZ86" i="5"/>
  <c r="CZ85" i="5"/>
  <c r="CZ84" i="5"/>
  <c r="CZ83" i="5"/>
  <c r="CZ82" i="5"/>
  <c r="CZ81" i="5"/>
  <c r="CZ80" i="5"/>
  <c r="CZ79" i="5"/>
  <c r="CZ78" i="5"/>
  <c r="CZ77" i="5"/>
  <c r="CZ76" i="5"/>
  <c r="CZ75" i="5"/>
  <c r="CZ74" i="5"/>
  <c r="CZ73" i="5"/>
  <c r="CZ72" i="5"/>
  <c r="CZ71" i="5"/>
  <c r="CZ70" i="5"/>
  <c r="CZ69" i="5"/>
  <c r="CZ68" i="5"/>
  <c r="CZ67" i="5"/>
  <c r="CZ66" i="5"/>
  <c r="CZ65" i="5"/>
  <c r="CZ64" i="5"/>
  <c r="CZ63" i="5"/>
  <c r="CZ62" i="5"/>
  <c r="CZ61" i="5"/>
  <c r="CZ60" i="5"/>
  <c r="CZ59" i="5"/>
  <c r="CZ58" i="5"/>
  <c r="CZ57" i="5"/>
  <c r="CZ56" i="5"/>
  <c r="CZ55" i="5"/>
  <c r="CZ54" i="5"/>
  <c r="CZ53" i="5"/>
  <c r="CZ52" i="5"/>
  <c r="CZ51" i="5"/>
  <c r="CZ50" i="5"/>
  <c r="CZ49" i="5"/>
  <c r="CZ48" i="5"/>
  <c r="CZ47" i="5"/>
  <c r="CZ46" i="5"/>
  <c r="CZ45" i="5"/>
  <c r="CZ44" i="5"/>
  <c r="CZ43" i="5"/>
  <c r="CZ42" i="5"/>
  <c r="CZ41" i="5"/>
  <c r="CZ40" i="5"/>
  <c r="CZ39" i="5"/>
  <c r="CZ38" i="5"/>
  <c r="CZ37" i="5"/>
  <c r="CZ36" i="5"/>
  <c r="CZ35" i="5"/>
  <c r="CZ34" i="5"/>
  <c r="CZ33" i="5"/>
  <c r="CZ32" i="5"/>
  <c r="CZ31" i="5"/>
  <c r="CZ30" i="5"/>
  <c r="CZ29" i="5"/>
  <c r="CZ28" i="5"/>
  <c r="CZ27" i="5"/>
  <c r="CZ26" i="5"/>
  <c r="CZ25" i="5"/>
  <c r="CZ24" i="5"/>
  <c r="CZ23" i="5"/>
  <c r="CZ22" i="5"/>
  <c r="CZ21" i="5"/>
  <c r="CZ20" i="5"/>
  <c r="CZ19" i="5"/>
  <c r="CZ18" i="5"/>
  <c r="CZ17" i="5"/>
  <c r="CZ16" i="5"/>
  <c r="CZ15" i="5"/>
  <c r="CZ14" i="5"/>
  <c r="CZ13" i="5"/>
  <c r="CZ12" i="5"/>
  <c r="CZ11" i="5"/>
  <c r="CZ10" i="5"/>
  <c r="CZ9" i="5"/>
  <c r="CZ8" i="5"/>
  <c r="CZ7" i="5"/>
  <c r="CZ6" i="5"/>
  <c r="CZ5" i="5"/>
  <c r="CZ4" i="5"/>
  <c r="CZ3" i="5"/>
  <c r="F1" i="5"/>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B105" i="4"/>
  <c r="CZ103" i="4"/>
  <c r="CZ102" i="4"/>
  <c r="CZ101" i="4"/>
  <c r="CZ100" i="4"/>
  <c r="CZ99" i="4"/>
  <c r="CZ98" i="4"/>
  <c r="CZ97" i="4"/>
  <c r="CZ96" i="4"/>
  <c r="CZ95" i="4"/>
  <c r="CZ94" i="4"/>
  <c r="CZ93" i="4"/>
  <c r="CZ92" i="4"/>
  <c r="CZ91" i="4"/>
  <c r="CZ90" i="4"/>
  <c r="CZ89" i="4"/>
  <c r="CZ88" i="4"/>
  <c r="CZ87" i="4"/>
  <c r="CZ86" i="4"/>
  <c r="CZ85" i="4"/>
  <c r="CZ84" i="4"/>
  <c r="CZ83" i="4"/>
  <c r="CZ82" i="4"/>
  <c r="CZ81" i="4"/>
  <c r="CZ80" i="4"/>
  <c r="CZ79" i="4"/>
  <c r="CZ78" i="4"/>
  <c r="CZ77" i="4"/>
  <c r="CZ76" i="4"/>
  <c r="CZ75" i="4"/>
  <c r="CZ74" i="4"/>
  <c r="CZ73" i="4"/>
  <c r="CZ72" i="4"/>
  <c r="CZ71" i="4"/>
  <c r="CZ70" i="4"/>
  <c r="CZ69" i="4"/>
  <c r="CZ68" i="4"/>
  <c r="CZ67" i="4"/>
  <c r="CZ66" i="4"/>
  <c r="CZ65" i="4"/>
  <c r="CZ64" i="4"/>
  <c r="CZ63" i="4"/>
  <c r="CZ62" i="4"/>
  <c r="CZ61" i="4"/>
  <c r="CZ60" i="4"/>
  <c r="CZ59" i="4"/>
  <c r="CZ58" i="4"/>
  <c r="CZ57" i="4"/>
  <c r="CZ56" i="4"/>
  <c r="CZ55" i="4"/>
  <c r="CZ54" i="4"/>
  <c r="CZ53" i="4"/>
  <c r="CZ52" i="4"/>
  <c r="CZ51" i="4"/>
  <c r="CZ50" i="4"/>
  <c r="CZ49" i="4"/>
  <c r="CZ48" i="4"/>
  <c r="CZ47" i="4"/>
  <c r="CZ46" i="4"/>
  <c r="CZ45" i="4"/>
  <c r="CZ44" i="4"/>
  <c r="CZ43" i="4"/>
  <c r="CZ42" i="4"/>
  <c r="CZ41" i="4"/>
  <c r="CZ40" i="4"/>
  <c r="CZ39" i="4"/>
  <c r="CZ38" i="4"/>
  <c r="CZ37" i="4"/>
  <c r="CZ36" i="4"/>
  <c r="CZ35" i="4"/>
  <c r="CZ34" i="4"/>
  <c r="CZ33" i="4"/>
  <c r="CZ32" i="4"/>
  <c r="CZ31" i="4"/>
  <c r="CZ30" i="4"/>
  <c r="CZ29" i="4"/>
  <c r="CZ28" i="4"/>
  <c r="CZ27" i="4"/>
  <c r="CZ26" i="4"/>
  <c r="CZ25" i="4"/>
  <c r="CZ24" i="4"/>
  <c r="CZ23" i="4"/>
  <c r="CZ22" i="4"/>
  <c r="CZ21" i="4"/>
  <c r="CZ20" i="4"/>
  <c r="CZ19" i="4"/>
  <c r="CZ18" i="4"/>
  <c r="CZ17" i="4"/>
  <c r="CZ16" i="4"/>
  <c r="CZ15" i="4"/>
  <c r="CZ14" i="4"/>
  <c r="CZ13" i="4"/>
  <c r="CZ12" i="4"/>
  <c r="CZ11" i="4"/>
  <c r="CZ10" i="4"/>
  <c r="CZ9" i="4"/>
  <c r="CZ8" i="4"/>
  <c r="CZ7" i="4"/>
  <c r="CZ6" i="4"/>
  <c r="CZ5" i="4"/>
  <c r="CZ4" i="4"/>
  <c r="CZ3" i="4"/>
  <c r="G1" i="4"/>
  <c r="CX105" i="3"/>
  <c r="CW105" i="3"/>
  <c r="CV105" i="3"/>
  <c r="CU105" i="3"/>
  <c r="CT105" i="3"/>
  <c r="CS105" i="3"/>
  <c r="CR105" i="3"/>
  <c r="CQ105" i="3"/>
  <c r="CP105" i="3"/>
  <c r="CO105" i="3"/>
  <c r="CN105" i="3"/>
  <c r="CM105" i="3"/>
  <c r="CL105" i="3"/>
  <c r="CK105" i="3"/>
  <c r="CJ105" i="3"/>
  <c r="CI105" i="3"/>
  <c r="CH105" i="3"/>
  <c r="CG105" i="3"/>
  <c r="CF105" i="3"/>
  <c r="CE105" i="3"/>
  <c r="CD105" i="3"/>
  <c r="CC105" i="3"/>
  <c r="CB105" i="3"/>
  <c r="CA105" i="3"/>
  <c r="BZ105" i="3"/>
  <c r="BY105" i="3"/>
  <c r="BX105" i="3"/>
  <c r="BW105" i="3"/>
  <c r="BV105" i="3"/>
  <c r="BU105" i="3"/>
  <c r="BT105" i="3"/>
  <c r="BS105" i="3"/>
  <c r="BR105" i="3"/>
  <c r="BQ105" i="3"/>
  <c r="BP105" i="3"/>
  <c r="BO105" i="3"/>
  <c r="BN105" i="3"/>
  <c r="BM105" i="3"/>
  <c r="BL105" i="3"/>
  <c r="BK105" i="3"/>
  <c r="BJ105" i="3"/>
  <c r="BI105" i="3"/>
  <c r="BH105" i="3"/>
  <c r="BG105" i="3"/>
  <c r="BF105" i="3"/>
  <c r="BE105" i="3"/>
  <c r="BD105" i="3"/>
  <c r="BC105" i="3"/>
  <c r="BB105" i="3"/>
  <c r="BA105" i="3"/>
  <c r="AZ105" i="3"/>
  <c r="AY105" i="3"/>
  <c r="AX105" i="3"/>
  <c r="AW105" i="3"/>
  <c r="AV105" i="3"/>
  <c r="AU105" i="3"/>
  <c r="AT105" i="3"/>
  <c r="AS105" i="3"/>
  <c r="AR105" i="3"/>
  <c r="AQ105" i="3"/>
  <c r="AP105" i="3"/>
  <c r="AO105" i="3"/>
  <c r="AN105" i="3"/>
  <c r="AM105" i="3"/>
  <c r="AL105" i="3"/>
  <c r="AK105" i="3"/>
  <c r="AJ105" i="3"/>
  <c r="AI105" i="3"/>
  <c r="AH105" i="3"/>
  <c r="AG105" i="3"/>
  <c r="AF105" i="3"/>
  <c r="AE105" i="3"/>
  <c r="AD105" i="3"/>
  <c r="AC105" i="3"/>
  <c r="AB105" i="3"/>
  <c r="AA105" i="3"/>
  <c r="Z105" i="3"/>
  <c r="Y105" i="3"/>
  <c r="X105" i="3"/>
  <c r="W105" i="3"/>
  <c r="V105" i="3"/>
  <c r="U105" i="3"/>
  <c r="T105" i="3"/>
  <c r="S105" i="3"/>
  <c r="R105" i="3"/>
  <c r="Q105" i="3"/>
  <c r="P105" i="3"/>
  <c r="O105" i="3"/>
  <c r="N105" i="3"/>
  <c r="M105" i="3"/>
  <c r="L105" i="3"/>
  <c r="K105" i="3"/>
  <c r="J105" i="3"/>
  <c r="I105" i="3"/>
  <c r="H105" i="3"/>
  <c r="G105" i="3"/>
  <c r="F105" i="3"/>
  <c r="E105" i="3"/>
  <c r="D105" i="3"/>
  <c r="C105" i="3"/>
  <c r="B105" i="3"/>
  <c r="CZ103" i="3"/>
  <c r="CZ102" i="3"/>
  <c r="CZ101" i="3"/>
  <c r="CZ100" i="3"/>
  <c r="CZ99" i="3"/>
  <c r="CZ98" i="3"/>
  <c r="CZ97" i="3"/>
  <c r="CZ96" i="3"/>
  <c r="CZ95" i="3"/>
  <c r="CZ94" i="3"/>
  <c r="CZ93" i="3"/>
  <c r="CZ92" i="3"/>
  <c r="CZ91" i="3"/>
  <c r="CZ90" i="3"/>
  <c r="CZ89" i="3"/>
  <c r="CZ88" i="3"/>
  <c r="CZ87" i="3"/>
  <c r="CZ86" i="3"/>
  <c r="CZ85" i="3"/>
  <c r="CZ84" i="3"/>
  <c r="CZ83" i="3"/>
  <c r="CZ82" i="3"/>
  <c r="CZ81" i="3"/>
  <c r="CZ80" i="3"/>
  <c r="CZ79" i="3"/>
  <c r="CZ78" i="3"/>
  <c r="CZ77" i="3"/>
  <c r="CZ76" i="3"/>
  <c r="CZ75" i="3"/>
  <c r="CZ74" i="3"/>
  <c r="CZ73" i="3"/>
  <c r="CZ72" i="3"/>
  <c r="CZ71" i="3"/>
  <c r="CZ70" i="3"/>
  <c r="CZ69" i="3"/>
  <c r="CZ68" i="3"/>
  <c r="CZ67" i="3"/>
  <c r="CZ66" i="3"/>
  <c r="CZ65" i="3"/>
  <c r="CZ64" i="3"/>
  <c r="CZ63" i="3"/>
  <c r="CZ62" i="3"/>
  <c r="CZ61" i="3"/>
  <c r="CZ60" i="3"/>
  <c r="CZ59" i="3"/>
  <c r="CZ58" i="3"/>
  <c r="CZ57" i="3"/>
  <c r="CZ56" i="3"/>
  <c r="CZ55" i="3"/>
  <c r="CZ54" i="3"/>
  <c r="CZ53" i="3"/>
  <c r="CZ52" i="3"/>
  <c r="CZ51" i="3"/>
  <c r="CZ50" i="3"/>
  <c r="CZ49" i="3"/>
  <c r="CZ48" i="3"/>
  <c r="CZ47" i="3"/>
  <c r="CZ46" i="3"/>
  <c r="CZ45" i="3"/>
  <c r="CZ44" i="3"/>
  <c r="CZ43" i="3"/>
  <c r="CZ42" i="3"/>
  <c r="CZ41" i="3"/>
  <c r="CZ40" i="3"/>
  <c r="CZ39" i="3"/>
  <c r="CZ38" i="3"/>
  <c r="CZ37" i="3"/>
  <c r="CZ36" i="3"/>
  <c r="CZ35" i="3"/>
  <c r="CZ34" i="3"/>
  <c r="CZ33" i="3"/>
  <c r="CZ32" i="3"/>
  <c r="CZ31" i="3"/>
  <c r="CZ30" i="3"/>
  <c r="CZ29" i="3"/>
  <c r="CZ28" i="3"/>
  <c r="CZ27" i="3"/>
  <c r="CZ26" i="3"/>
  <c r="CZ25" i="3"/>
  <c r="CZ24" i="3"/>
  <c r="CZ23" i="3"/>
  <c r="CZ22" i="3"/>
  <c r="CZ21" i="3"/>
  <c r="CZ20" i="3"/>
  <c r="CZ19" i="3"/>
  <c r="CZ18" i="3"/>
  <c r="CZ17" i="3"/>
  <c r="CZ16" i="3"/>
  <c r="CZ15" i="3"/>
  <c r="CZ14" i="3"/>
  <c r="CZ13" i="3"/>
  <c r="CZ12" i="3"/>
  <c r="CZ11" i="3"/>
  <c r="CZ10" i="3"/>
  <c r="CZ9" i="3"/>
  <c r="CZ8" i="3"/>
  <c r="CZ7" i="3"/>
  <c r="CZ6" i="3"/>
  <c r="CZ5" i="3"/>
  <c r="CZ4" i="3"/>
  <c r="CZ3" i="3"/>
  <c r="G1" i="3"/>
  <c r="CX105" i="2"/>
  <c r="CW105" i="2"/>
  <c r="CV105" i="2"/>
  <c r="CU105" i="2"/>
  <c r="CT105" i="2"/>
  <c r="CS105" i="2"/>
  <c r="CR105" i="2"/>
  <c r="CQ105" i="2"/>
  <c r="CP105" i="2"/>
  <c r="CO105" i="2"/>
  <c r="CN105" i="2"/>
  <c r="CM105" i="2"/>
  <c r="CL105" i="2"/>
  <c r="CK105" i="2"/>
  <c r="CJ105" i="2"/>
  <c r="CI105" i="2"/>
  <c r="CH105" i="2"/>
  <c r="CG105" i="2"/>
  <c r="CF105" i="2"/>
  <c r="CE105" i="2"/>
  <c r="CD105" i="2"/>
  <c r="CC105" i="2"/>
  <c r="CB105" i="2"/>
  <c r="CA105" i="2"/>
  <c r="BZ105" i="2"/>
  <c r="BY105" i="2"/>
  <c r="BX105" i="2"/>
  <c r="BW105" i="2"/>
  <c r="BV105" i="2"/>
  <c r="BU105" i="2"/>
  <c r="BT105" i="2"/>
  <c r="BS105" i="2"/>
  <c r="BR105" i="2"/>
  <c r="BQ105" i="2"/>
  <c r="BP105" i="2"/>
  <c r="BO105" i="2"/>
  <c r="BN105" i="2"/>
  <c r="BM105" i="2"/>
  <c r="BL105" i="2"/>
  <c r="BK105" i="2"/>
  <c r="BJ105" i="2"/>
  <c r="BI105" i="2"/>
  <c r="BH105" i="2"/>
  <c r="BG105" i="2"/>
  <c r="BF105" i="2"/>
  <c r="BE105" i="2"/>
  <c r="BD105" i="2"/>
  <c r="BC105" i="2"/>
  <c r="BB105" i="2"/>
  <c r="BA105" i="2"/>
  <c r="AZ105" i="2"/>
  <c r="AY105" i="2"/>
  <c r="AX105" i="2"/>
  <c r="AW105" i="2"/>
  <c r="AV105" i="2"/>
  <c r="AU105" i="2"/>
  <c r="AT105" i="2"/>
  <c r="AS105" i="2"/>
  <c r="AR105" i="2"/>
  <c r="AQ105" i="2"/>
  <c r="AP105" i="2"/>
  <c r="AO105" i="2"/>
  <c r="AN105" i="2"/>
  <c r="AM105" i="2"/>
  <c r="AL105" i="2"/>
  <c r="AK105" i="2"/>
  <c r="AJ105" i="2"/>
  <c r="AI105" i="2"/>
  <c r="AH105" i="2"/>
  <c r="AG105" i="2"/>
  <c r="AF105" i="2"/>
  <c r="AE105" i="2"/>
  <c r="AD105" i="2"/>
  <c r="AC105" i="2"/>
  <c r="AB105" i="2"/>
  <c r="AA105" i="2"/>
  <c r="Z105" i="2"/>
  <c r="Y105" i="2"/>
  <c r="X105" i="2"/>
  <c r="W105" i="2"/>
  <c r="V105" i="2"/>
  <c r="U105" i="2"/>
  <c r="T105" i="2"/>
  <c r="S105" i="2"/>
  <c r="R105" i="2"/>
  <c r="Q105" i="2"/>
  <c r="P105" i="2"/>
  <c r="O105" i="2"/>
  <c r="N105" i="2"/>
  <c r="M105" i="2"/>
  <c r="L105" i="2"/>
  <c r="K105" i="2"/>
  <c r="J105" i="2"/>
  <c r="I105" i="2"/>
  <c r="H105" i="2"/>
  <c r="G105" i="2"/>
  <c r="F105" i="2"/>
  <c r="E105" i="2"/>
  <c r="D105" i="2"/>
  <c r="C105" i="2"/>
  <c r="B105" i="2"/>
  <c r="CZ103" i="2"/>
  <c r="CZ102" i="2"/>
  <c r="CZ101" i="2"/>
  <c r="CZ100" i="2"/>
  <c r="CZ99" i="2"/>
  <c r="CZ98" i="2"/>
  <c r="CZ97" i="2"/>
  <c r="CZ96" i="2"/>
  <c r="CZ95" i="2"/>
  <c r="CZ94" i="2"/>
  <c r="CZ93" i="2"/>
  <c r="CZ92" i="2"/>
  <c r="CZ91" i="2"/>
  <c r="CZ90" i="2"/>
  <c r="CZ89" i="2"/>
  <c r="CZ88" i="2"/>
  <c r="CZ87" i="2"/>
  <c r="CZ86" i="2"/>
  <c r="CZ85" i="2"/>
  <c r="CZ84" i="2"/>
  <c r="CZ83" i="2"/>
  <c r="CZ82" i="2"/>
  <c r="CZ81" i="2"/>
  <c r="CZ80" i="2"/>
  <c r="CZ79" i="2"/>
  <c r="CZ78" i="2"/>
  <c r="CZ77" i="2"/>
  <c r="CZ76" i="2"/>
  <c r="CZ75" i="2"/>
  <c r="CZ74" i="2"/>
  <c r="CZ73" i="2"/>
  <c r="CZ72" i="2"/>
  <c r="CZ71" i="2"/>
  <c r="CZ70" i="2"/>
  <c r="CZ69" i="2"/>
  <c r="CZ68" i="2"/>
  <c r="CZ67" i="2"/>
  <c r="CZ66" i="2"/>
  <c r="CZ65" i="2"/>
  <c r="CZ64" i="2"/>
  <c r="CZ63" i="2"/>
  <c r="CZ62" i="2"/>
  <c r="CZ61" i="2"/>
  <c r="CZ60" i="2"/>
  <c r="CZ59" i="2"/>
  <c r="CZ58" i="2"/>
  <c r="CZ57" i="2"/>
  <c r="CZ56" i="2"/>
  <c r="CZ55" i="2"/>
  <c r="CZ54" i="2"/>
  <c r="CZ53" i="2"/>
  <c r="CZ52" i="2"/>
  <c r="CZ51" i="2"/>
  <c r="CZ50" i="2"/>
  <c r="CZ49" i="2"/>
  <c r="CZ48" i="2"/>
  <c r="CZ47" i="2"/>
  <c r="CZ46" i="2"/>
  <c r="CZ45" i="2"/>
  <c r="CZ44" i="2"/>
  <c r="CZ43" i="2"/>
  <c r="CZ42" i="2"/>
  <c r="CZ41" i="2"/>
  <c r="CZ40" i="2"/>
  <c r="CZ39" i="2"/>
  <c r="CZ38" i="2"/>
  <c r="CZ37" i="2"/>
  <c r="CZ36" i="2"/>
  <c r="CZ35" i="2"/>
  <c r="CZ34" i="2"/>
  <c r="CZ33" i="2"/>
  <c r="CZ32" i="2"/>
  <c r="CZ31" i="2"/>
  <c r="CZ30" i="2"/>
  <c r="CZ29" i="2"/>
  <c r="CZ28" i="2"/>
  <c r="CZ27" i="2"/>
  <c r="CZ26" i="2"/>
  <c r="CZ25" i="2"/>
  <c r="CZ24" i="2"/>
  <c r="CZ23" i="2"/>
  <c r="CZ22" i="2"/>
  <c r="CZ21" i="2"/>
  <c r="CZ20" i="2"/>
  <c r="CZ19" i="2"/>
  <c r="CZ18" i="2"/>
  <c r="CZ17" i="2"/>
  <c r="CZ16" i="2"/>
  <c r="CZ15" i="2"/>
  <c r="CZ14" i="2"/>
  <c r="CZ13" i="2"/>
  <c r="CZ12" i="2"/>
  <c r="CZ11" i="2"/>
  <c r="CZ10" i="2"/>
  <c r="CZ9" i="2"/>
  <c r="CZ8" i="2"/>
  <c r="CZ7" i="2"/>
  <c r="CZ6" i="2"/>
  <c r="CZ5" i="2"/>
  <c r="CZ4" i="2"/>
  <c r="CZ3" i="2"/>
  <c r="B96" i="9"/>
  <c r="B99" i="9" s="1"/>
  <c r="C95" i="9"/>
  <c r="E93" i="9"/>
  <c r="H93" i="9" s="1"/>
  <c r="K93" i="9" s="1"/>
  <c r="N93" i="9" s="1"/>
  <c r="F92" i="9"/>
  <c r="I92" i="9" s="1"/>
  <c r="L92" i="9" s="1"/>
  <c r="O92" i="9" s="1"/>
  <c r="B78" i="9"/>
  <c r="C77" i="9"/>
  <c r="E75" i="9"/>
  <c r="H75" i="9" s="1"/>
  <c r="K75" i="9" s="1"/>
  <c r="N75" i="9" s="1"/>
  <c r="F74" i="9"/>
  <c r="I74" i="9" s="1"/>
  <c r="L74" i="9" s="1"/>
  <c r="O74" i="9" s="1"/>
  <c r="B60" i="9"/>
  <c r="C59" i="9"/>
  <c r="E57" i="9"/>
  <c r="H57" i="9" s="1"/>
  <c r="K57" i="9" s="1"/>
  <c r="N57" i="9" s="1"/>
  <c r="F56" i="9"/>
  <c r="I56" i="9" s="1"/>
  <c r="L56" i="9" s="1"/>
  <c r="O56" i="9" s="1"/>
  <c r="C41" i="9"/>
  <c r="F38" i="9"/>
  <c r="I38" i="9" s="1"/>
  <c r="L38" i="9" s="1"/>
  <c r="O38" i="9" s="1"/>
  <c r="B24" i="9"/>
  <c r="E24" i="9" s="1"/>
  <c r="H24" i="9" s="1"/>
  <c r="K24" i="9" s="1"/>
  <c r="N24" i="9" s="1"/>
  <c r="C23" i="9"/>
  <c r="F23" i="9" s="1"/>
  <c r="I23" i="9" s="1"/>
  <c r="L23" i="9" s="1"/>
  <c r="O23" i="9" s="1"/>
  <c r="E21" i="9"/>
  <c r="H21" i="9" s="1"/>
  <c r="K21" i="9" s="1"/>
  <c r="N21" i="9" s="1"/>
  <c r="F20" i="9"/>
  <c r="I20" i="9" s="1"/>
  <c r="L20" i="9" s="1"/>
  <c r="O20" i="9" s="1"/>
  <c r="B6" i="9"/>
  <c r="C5" i="9"/>
  <c r="E3" i="9"/>
  <c r="H3" i="9" s="1"/>
  <c r="K3" i="9" s="1"/>
  <c r="N3" i="9" s="1"/>
  <c r="F2" i="9"/>
  <c r="I2" i="9" s="1"/>
  <c r="L2" i="9" s="1"/>
  <c r="O2" i="9" s="1"/>
  <c r="N8" i="10"/>
  <c r="B13" i="88"/>
  <c r="B12" i="88"/>
  <c r="H6" i="88"/>
  <c r="G6" i="88"/>
  <c r="F6" i="88"/>
  <c r="B6" i="88"/>
  <c r="M5" i="88"/>
  <c r="H5" i="88"/>
  <c r="G5" i="88"/>
  <c r="F5" i="88"/>
  <c r="H4" i="88"/>
  <c r="G4" i="88"/>
  <c r="F4" i="88"/>
  <c r="D19" i="98"/>
  <c r="BW18" i="98"/>
  <c r="X18" i="98"/>
  <c r="C18" i="98"/>
  <c r="D18" i="98" s="1"/>
  <c r="BW17" i="98"/>
  <c r="W17" i="98"/>
  <c r="X17" i="98" s="1"/>
  <c r="C17" i="98"/>
  <c r="D17" i="98" s="1"/>
  <c r="BW16" i="98"/>
  <c r="W16" i="98"/>
  <c r="X16" i="98" s="1"/>
  <c r="C16" i="98"/>
  <c r="D16" i="98" s="1"/>
  <c r="BW15" i="98"/>
  <c r="W15" i="98"/>
  <c r="X15" i="98" s="1"/>
  <c r="C15" i="98"/>
  <c r="D15" i="98" s="1"/>
  <c r="BW14" i="98"/>
  <c r="W14" i="98"/>
  <c r="X14" i="98" s="1"/>
  <c r="C14" i="98"/>
  <c r="BW13" i="98"/>
  <c r="W13" i="98"/>
  <c r="X13" i="98" s="1"/>
  <c r="CF13" i="98" s="1"/>
  <c r="C13" i="98"/>
  <c r="D13" i="98" s="1"/>
  <c r="BW12" i="98"/>
  <c r="W12" i="98"/>
  <c r="X12" i="98" s="1"/>
  <c r="C12" i="98"/>
  <c r="D12" i="98" s="1"/>
  <c r="BW11" i="98"/>
  <c r="W11" i="98"/>
  <c r="C11" i="98"/>
  <c r="D11" i="98" s="1"/>
  <c r="W10" i="98"/>
  <c r="C10" i="98"/>
  <c r="D10" i="98" s="1"/>
  <c r="Y4" i="98"/>
  <c r="Y2" i="98"/>
  <c r="E2" i="98"/>
  <c r="D12" i="109"/>
  <c r="BV11" i="109"/>
  <c r="X11" i="109"/>
  <c r="C11" i="109"/>
  <c r="D11" i="109" s="1"/>
  <c r="BV10" i="109"/>
  <c r="W10" i="109"/>
  <c r="C10" i="109"/>
  <c r="D10" i="109" s="1"/>
  <c r="Y4" i="109"/>
  <c r="Y2" i="109"/>
  <c r="E2" i="109"/>
  <c r="D16" i="41"/>
  <c r="D15" i="41"/>
  <c r="D14" i="41"/>
  <c r="D13" i="41"/>
  <c r="D12" i="41"/>
  <c r="G8" i="41"/>
  <c r="H8" i="41" s="1"/>
  <c r="D7" i="41"/>
  <c r="E7" i="41" s="1"/>
  <c r="F7" i="41" s="1"/>
  <c r="G7" i="41" s="1"/>
  <c r="D6" i="41"/>
  <c r="E6" i="41" s="1"/>
  <c r="F6" i="41" s="1"/>
  <c r="G6" i="41" s="1"/>
  <c r="E2" i="41"/>
  <c r="G1001" i="112"/>
  <c r="C1001" i="112"/>
  <c r="G1000" i="112"/>
  <c r="C1000" i="112"/>
  <c r="G999" i="112"/>
  <c r="C999" i="112"/>
  <c r="G998" i="112"/>
  <c r="C998" i="112"/>
  <c r="G997" i="112"/>
  <c r="C997" i="112"/>
  <c r="G996" i="112"/>
  <c r="C996" i="112"/>
  <c r="G995" i="112"/>
  <c r="C995" i="112"/>
  <c r="G994" i="112"/>
  <c r="C994" i="112"/>
  <c r="G993" i="112"/>
  <c r="C993" i="112"/>
  <c r="G992" i="112"/>
  <c r="C992" i="112"/>
  <c r="G991" i="112"/>
  <c r="C991" i="112"/>
  <c r="G990" i="112"/>
  <c r="C990" i="112"/>
  <c r="G989" i="112"/>
  <c r="C989" i="112"/>
  <c r="G988" i="112"/>
  <c r="C988" i="112"/>
  <c r="G987" i="112"/>
  <c r="C987" i="112"/>
  <c r="G986" i="112"/>
  <c r="C986" i="112"/>
  <c r="G985" i="112"/>
  <c r="C985" i="112"/>
  <c r="G984" i="112"/>
  <c r="C984" i="112"/>
  <c r="G983" i="112"/>
  <c r="C983" i="112"/>
  <c r="G982" i="112"/>
  <c r="C982" i="112"/>
  <c r="G981" i="112"/>
  <c r="C981" i="112"/>
  <c r="G980" i="112"/>
  <c r="C980" i="112"/>
  <c r="G979" i="112"/>
  <c r="C979" i="112"/>
  <c r="G978" i="112"/>
  <c r="C978" i="112"/>
  <c r="G977" i="112"/>
  <c r="C977" i="112"/>
  <c r="G976" i="112"/>
  <c r="C976" i="112"/>
  <c r="G975" i="112"/>
  <c r="C975" i="112"/>
  <c r="G974" i="112"/>
  <c r="C974" i="112"/>
  <c r="G973" i="112"/>
  <c r="C973" i="112"/>
  <c r="G972" i="112"/>
  <c r="C972" i="112"/>
  <c r="G971" i="112"/>
  <c r="C971" i="112"/>
  <c r="G970" i="112"/>
  <c r="C970" i="112"/>
  <c r="G969" i="112"/>
  <c r="C969" i="112"/>
  <c r="G968" i="112"/>
  <c r="C968" i="112"/>
  <c r="G967" i="112"/>
  <c r="C967" i="112"/>
  <c r="G966" i="112"/>
  <c r="C966" i="112"/>
  <c r="G965" i="112"/>
  <c r="C965" i="112"/>
  <c r="G964" i="112"/>
  <c r="C964" i="112"/>
  <c r="G963" i="112"/>
  <c r="C963" i="112"/>
  <c r="G962" i="112"/>
  <c r="C962" i="112"/>
  <c r="G961" i="112"/>
  <c r="C961" i="112"/>
  <c r="G960" i="112"/>
  <c r="C960" i="112"/>
  <c r="G959" i="112"/>
  <c r="C959" i="112"/>
  <c r="G958" i="112"/>
  <c r="C958" i="112"/>
  <c r="G957" i="112"/>
  <c r="C957" i="112"/>
  <c r="G956" i="112"/>
  <c r="C956" i="112"/>
  <c r="G955" i="112"/>
  <c r="C955" i="112"/>
  <c r="G954" i="112"/>
  <c r="C954" i="112"/>
  <c r="G953" i="112"/>
  <c r="C953" i="112"/>
  <c r="G952" i="112"/>
  <c r="C952" i="112"/>
  <c r="G951" i="112"/>
  <c r="C951" i="112"/>
  <c r="G950" i="112"/>
  <c r="C950" i="112"/>
  <c r="G949" i="112"/>
  <c r="C949" i="112"/>
  <c r="G948" i="112"/>
  <c r="C948" i="112"/>
  <c r="G947" i="112"/>
  <c r="C947" i="112"/>
  <c r="G946" i="112"/>
  <c r="C946" i="112"/>
  <c r="G945" i="112"/>
  <c r="C945" i="112"/>
  <c r="G944" i="112"/>
  <c r="C944" i="112"/>
  <c r="G943" i="112"/>
  <c r="C943" i="112"/>
  <c r="G942" i="112"/>
  <c r="C942" i="112"/>
  <c r="G941" i="112"/>
  <c r="C941" i="112"/>
  <c r="G940" i="112"/>
  <c r="C940" i="112"/>
  <c r="G939" i="112"/>
  <c r="C939" i="112"/>
  <c r="G938" i="112"/>
  <c r="C938" i="112"/>
  <c r="G937" i="112"/>
  <c r="C937" i="112"/>
  <c r="G936" i="112"/>
  <c r="C936" i="112"/>
  <c r="G935" i="112"/>
  <c r="C935" i="112"/>
  <c r="G934" i="112"/>
  <c r="C934" i="112"/>
  <c r="G933" i="112"/>
  <c r="C933" i="112"/>
  <c r="G932" i="112"/>
  <c r="C932" i="112"/>
  <c r="G931" i="112"/>
  <c r="C931" i="112"/>
  <c r="G930" i="112"/>
  <c r="C930" i="112"/>
  <c r="G929" i="112"/>
  <c r="C929" i="112"/>
  <c r="G928" i="112"/>
  <c r="C928" i="112"/>
  <c r="G927" i="112"/>
  <c r="C927" i="112"/>
  <c r="G926" i="112"/>
  <c r="C926" i="112"/>
  <c r="G925" i="112"/>
  <c r="C925" i="112"/>
  <c r="G924" i="112"/>
  <c r="C924" i="112"/>
  <c r="G923" i="112"/>
  <c r="C923" i="112"/>
  <c r="G922" i="112"/>
  <c r="C922" i="112"/>
  <c r="G921" i="112"/>
  <c r="C921" i="112"/>
  <c r="G920" i="112"/>
  <c r="C920" i="112"/>
  <c r="G919" i="112"/>
  <c r="C919" i="112"/>
  <c r="G918" i="112"/>
  <c r="C918" i="112"/>
  <c r="G917" i="112"/>
  <c r="C917" i="112"/>
  <c r="G916" i="112"/>
  <c r="C916" i="112"/>
  <c r="G915" i="112"/>
  <c r="C915" i="112"/>
  <c r="G914" i="112"/>
  <c r="C914" i="112"/>
  <c r="G913" i="112"/>
  <c r="C913" i="112"/>
  <c r="G912" i="112"/>
  <c r="C912" i="112"/>
  <c r="G911" i="112"/>
  <c r="C911" i="112"/>
  <c r="G910" i="112"/>
  <c r="C910" i="112"/>
  <c r="G909" i="112"/>
  <c r="C909" i="112"/>
  <c r="G908" i="112"/>
  <c r="C908" i="112"/>
  <c r="G907" i="112"/>
  <c r="C907" i="112"/>
  <c r="G906" i="112"/>
  <c r="C906" i="112"/>
  <c r="G905" i="112"/>
  <c r="C905" i="112"/>
  <c r="G904" i="112"/>
  <c r="C904" i="112"/>
  <c r="G903" i="112"/>
  <c r="C903" i="112"/>
  <c r="G902" i="112"/>
  <c r="C902" i="112"/>
  <c r="G901" i="112"/>
  <c r="C901" i="112"/>
  <c r="G900" i="112"/>
  <c r="C900" i="112"/>
  <c r="G899" i="112"/>
  <c r="C899" i="112"/>
  <c r="G898" i="112"/>
  <c r="C898" i="112"/>
  <c r="G897" i="112"/>
  <c r="C897" i="112"/>
  <c r="G896" i="112"/>
  <c r="C896" i="112"/>
  <c r="G895" i="112"/>
  <c r="C895" i="112"/>
  <c r="G894" i="112"/>
  <c r="C894" i="112"/>
  <c r="G893" i="112"/>
  <c r="C893" i="112"/>
  <c r="G892" i="112"/>
  <c r="C892" i="112"/>
  <c r="G891" i="112"/>
  <c r="C891" i="112"/>
  <c r="G890" i="112"/>
  <c r="C890" i="112"/>
  <c r="G889" i="112"/>
  <c r="C889" i="112"/>
  <c r="G888" i="112"/>
  <c r="C888" i="112"/>
  <c r="G887" i="112"/>
  <c r="C887" i="112"/>
  <c r="G886" i="112"/>
  <c r="C886" i="112"/>
  <c r="G885" i="112"/>
  <c r="C885" i="112"/>
  <c r="G884" i="112"/>
  <c r="C884" i="112"/>
  <c r="G883" i="112"/>
  <c r="C883" i="112"/>
  <c r="G882" i="112"/>
  <c r="C882" i="112"/>
  <c r="G881" i="112"/>
  <c r="C881" i="112"/>
  <c r="G880" i="112"/>
  <c r="C880" i="112"/>
  <c r="G879" i="112"/>
  <c r="C879" i="112"/>
  <c r="G878" i="112"/>
  <c r="C878" i="112"/>
  <c r="G877" i="112"/>
  <c r="C877" i="112"/>
  <c r="G876" i="112"/>
  <c r="C876" i="112"/>
  <c r="G875" i="112"/>
  <c r="C875" i="112"/>
  <c r="G874" i="112"/>
  <c r="C874" i="112"/>
  <c r="G873" i="112"/>
  <c r="C873" i="112"/>
  <c r="G872" i="112"/>
  <c r="C872" i="112"/>
  <c r="G871" i="112"/>
  <c r="C871" i="112"/>
  <c r="G870" i="112"/>
  <c r="C870" i="112"/>
  <c r="G869" i="112"/>
  <c r="C869" i="112"/>
  <c r="G868" i="112"/>
  <c r="C868" i="112"/>
  <c r="G867" i="112"/>
  <c r="C867" i="112"/>
  <c r="G866" i="112"/>
  <c r="C866" i="112"/>
  <c r="G865" i="112"/>
  <c r="C865" i="112"/>
  <c r="G864" i="112"/>
  <c r="C864" i="112"/>
  <c r="G863" i="112"/>
  <c r="C863" i="112"/>
  <c r="G862" i="112"/>
  <c r="C862" i="112"/>
  <c r="G861" i="112"/>
  <c r="C861" i="112"/>
  <c r="G860" i="112"/>
  <c r="C860" i="112"/>
  <c r="G859" i="112"/>
  <c r="C859" i="112"/>
  <c r="G858" i="112"/>
  <c r="C858" i="112"/>
  <c r="G857" i="112"/>
  <c r="C857" i="112"/>
  <c r="G856" i="112"/>
  <c r="C856" i="112"/>
  <c r="G855" i="112"/>
  <c r="C855" i="112"/>
  <c r="G854" i="112"/>
  <c r="C854" i="112"/>
  <c r="G853" i="112"/>
  <c r="C853" i="112"/>
  <c r="G852" i="112"/>
  <c r="C852" i="112"/>
  <c r="G851" i="112"/>
  <c r="C851" i="112"/>
  <c r="G850" i="112"/>
  <c r="C850" i="112"/>
  <c r="G849" i="112"/>
  <c r="C849" i="112"/>
  <c r="G848" i="112"/>
  <c r="C848" i="112"/>
  <c r="G847" i="112"/>
  <c r="C847" i="112"/>
  <c r="G846" i="112"/>
  <c r="C846" i="112"/>
  <c r="G845" i="112"/>
  <c r="C845" i="112"/>
  <c r="G844" i="112"/>
  <c r="C844" i="112"/>
  <c r="G843" i="112"/>
  <c r="C843" i="112"/>
  <c r="G842" i="112"/>
  <c r="C842" i="112"/>
  <c r="G841" i="112"/>
  <c r="C841" i="112"/>
  <c r="G840" i="112"/>
  <c r="C840" i="112"/>
  <c r="G839" i="112"/>
  <c r="C839" i="112"/>
  <c r="G838" i="112"/>
  <c r="C838" i="112"/>
  <c r="G837" i="112"/>
  <c r="C837" i="112"/>
  <c r="G836" i="112"/>
  <c r="C836" i="112"/>
  <c r="G835" i="112"/>
  <c r="C835" i="112"/>
  <c r="G834" i="112"/>
  <c r="C834" i="112"/>
  <c r="G833" i="112"/>
  <c r="C833" i="112"/>
  <c r="G832" i="112"/>
  <c r="C832" i="112"/>
  <c r="G831" i="112"/>
  <c r="C831" i="112"/>
  <c r="G830" i="112"/>
  <c r="C830" i="112"/>
  <c r="G829" i="112"/>
  <c r="C829" i="112"/>
  <c r="G828" i="112"/>
  <c r="C828" i="112"/>
  <c r="G827" i="112"/>
  <c r="C827" i="112"/>
  <c r="G826" i="112"/>
  <c r="C826" i="112"/>
  <c r="G825" i="112"/>
  <c r="C825" i="112"/>
  <c r="G824" i="112"/>
  <c r="C824" i="112"/>
  <c r="G823" i="112"/>
  <c r="C823" i="112"/>
  <c r="G822" i="112"/>
  <c r="C822" i="112"/>
  <c r="G821" i="112"/>
  <c r="C821" i="112"/>
  <c r="G820" i="112"/>
  <c r="C820" i="112"/>
  <c r="G819" i="112"/>
  <c r="C819" i="112"/>
  <c r="G818" i="112"/>
  <c r="C818" i="112"/>
  <c r="G817" i="112"/>
  <c r="C817" i="112"/>
  <c r="G816" i="112"/>
  <c r="C816" i="112"/>
  <c r="G815" i="112"/>
  <c r="C815" i="112"/>
  <c r="G814" i="112"/>
  <c r="C814" i="112"/>
  <c r="G813" i="112"/>
  <c r="C813" i="112"/>
  <c r="G812" i="112"/>
  <c r="C812" i="112"/>
  <c r="G811" i="112"/>
  <c r="C811" i="112"/>
  <c r="G810" i="112"/>
  <c r="C810" i="112"/>
  <c r="G809" i="112"/>
  <c r="C809" i="112"/>
  <c r="G808" i="112"/>
  <c r="C808" i="112"/>
  <c r="G807" i="112"/>
  <c r="C807" i="112"/>
  <c r="G806" i="112"/>
  <c r="C806" i="112"/>
  <c r="G805" i="112"/>
  <c r="C805" i="112"/>
  <c r="G804" i="112"/>
  <c r="C804" i="112"/>
  <c r="G803" i="112"/>
  <c r="C803" i="112"/>
  <c r="G802" i="112"/>
  <c r="C802" i="112"/>
  <c r="G801" i="112"/>
  <c r="C801" i="112"/>
  <c r="G800" i="112"/>
  <c r="C800" i="112"/>
  <c r="G799" i="112"/>
  <c r="C799" i="112"/>
  <c r="G798" i="112"/>
  <c r="C798" i="112"/>
  <c r="G797" i="112"/>
  <c r="C797" i="112"/>
  <c r="G796" i="112"/>
  <c r="C796" i="112"/>
  <c r="G795" i="112"/>
  <c r="C795" i="112"/>
  <c r="G794" i="112"/>
  <c r="C794" i="112"/>
  <c r="G793" i="112"/>
  <c r="C793" i="112"/>
  <c r="G792" i="112"/>
  <c r="C792" i="112"/>
  <c r="G791" i="112"/>
  <c r="C791" i="112"/>
  <c r="G790" i="112"/>
  <c r="C790" i="112"/>
  <c r="G789" i="112"/>
  <c r="C789" i="112"/>
  <c r="G788" i="112"/>
  <c r="C788" i="112"/>
  <c r="G787" i="112"/>
  <c r="C787" i="112"/>
  <c r="G786" i="112"/>
  <c r="C786" i="112"/>
  <c r="G785" i="112"/>
  <c r="C785" i="112"/>
  <c r="G784" i="112"/>
  <c r="C784" i="112"/>
  <c r="G783" i="112"/>
  <c r="C783" i="112"/>
  <c r="G782" i="112"/>
  <c r="C782" i="112"/>
  <c r="G781" i="112"/>
  <c r="C781" i="112"/>
  <c r="G780" i="112"/>
  <c r="C780" i="112"/>
  <c r="G779" i="112"/>
  <c r="C779" i="112"/>
  <c r="G778" i="112"/>
  <c r="C778" i="112"/>
  <c r="G777" i="112"/>
  <c r="C777" i="112"/>
  <c r="G776" i="112"/>
  <c r="C776" i="112"/>
  <c r="G775" i="112"/>
  <c r="C775" i="112"/>
  <c r="G774" i="112"/>
  <c r="C774" i="112"/>
  <c r="G773" i="112"/>
  <c r="C773" i="112"/>
  <c r="G772" i="112"/>
  <c r="C772" i="112"/>
  <c r="G771" i="112"/>
  <c r="C771" i="112"/>
  <c r="G770" i="112"/>
  <c r="C770" i="112"/>
  <c r="G769" i="112"/>
  <c r="C769" i="112"/>
  <c r="G768" i="112"/>
  <c r="C768" i="112"/>
  <c r="G767" i="112"/>
  <c r="C767" i="112"/>
  <c r="G766" i="112"/>
  <c r="C766" i="112"/>
  <c r="G765" i="112"/>
  <c r="C765" i="112"/>
  <c r="G764" i="112"/>
  <c r="C764" i="112"/>
  <c r="G763" i="112"/>
  <c r="C763" i="112"/>
  <c r="G762" i="112"/>
  <c r="C762" i="112"/>
  <c r="G761" i="112"/>
  <c r="C761" i="112"/>
  <c r="G760" i="112"/>
  <c r="C760" i="112"/>
  <c r="G759" i="112"/>
  <c r="C759" i="112"/>
  <c r="G758" i="112"/>
  <c r="C758" i="112"/>
  <c r="G757" i="112"/>
  <c r="C757" i="112"/>
  <c r="G756" i="112"/>
  <c r="C756" i="112"/>
  <c r="G755" i="112"/>
  <c r="C755" i="112"/>
  <c r="G754" i="112"/>
  <c r="C754" i="112"/>
  <c r="G753" i="112"/>
  <c r="C753" i="112"/>
  <c r="G752" i="112"/>
  <c r="C752" i="112"/>
  <c r="G751" i="112"/>
  <c r="C751" i="112"/>
  <c r="G750" i="112"/>
  <c r="C750" i="112"/>
  <c r="G749" i="112"/>
  <c r="C749" i="112"/>
  <c r="G748" i="112"/>
  <c r="C748" i="112"/>
  <c r="G747" i="112"/>
  <c r="C747" i="112"/>
  <c r="G746" i="112"/>
  <c r="C746" i="112"/>
  <c r="G745" i="112"/>
  <c r="C745" i="112"/>
  <c r="G744" i="112"/>
  <c r="C744" i="112"/>
  <c r="G743" i="112"/>
  <c r="C743" i="112"/>
  <c r="G742" i="112"/>
  <c r="C742" i="112"/>
  <c r="G741" i="112"/>
  <c r="C741" i="112"/>
  <c r="G740" i="112"/>
  <c r="C740" i="112"/>
  <c r="G739" i="112"/>
  <c r="C739" i="112"/>
  <c r="G738" i="112"/>
  <c r="C738" i="112"/>
  <c r="G737" i="112"/>
  <c r="C737" i="112"/>
  <c r="G736" i="112"/>
  <c r="C736" i="112"/>
  <c r="G735" i="112"/>
  <c r="C735" i="112"/>
  <c r="G734" i="112"/>
  <c r="C734" i="112"/>
  <c r="G733" i="112"/>
  <c r="C733" i="112"/>
  <c r="G732" i="112"/>
  <c r="C732" i="112"/>
  <c r="G731" i="112"/>
  <c r="C731" i="112"/>
  <c r="G730" i="112"/>
  <c r="C730" i="112"/>
  <c r="G729" i="112"/>
  <c r="C729" i="112"/>
  <c r="G728" i="112"/>
  <c r="C728" i="112"/>
  <c r="G727" i="112"/>
  <c r="C727" i="112"/>
  <c r="G726" i="112"/>
  <c r="C726" i="112"/>
  <c r="G725" i="112"/>
  <c r="C725" i="112"/>
  <c r="G724" i="112"/>
  <c r="C724" i="112"/>
  <c r="G723" i="112"/>
  <c r="C723" i="112"/>
  <c r="G722" i="112"/>
  <c r="C722" i="112"/>
  <c r="G721" i="112"/>
  <c r="C721" i="112"/>
  <c r="G720" i="112"/>
  <c r="C720" i="112"/>
  <c r="G719" i="112"/>
  <c r="C719" i="112"/>
  <c r="G718" i="112"/>
  <c r="C718" i="112"/>
  <c r="G717" i="112"/>
  <c r="C717" i="112"/>
  <c r="G716" i="112"/>
  <c r="C716" i="112"/>
  <c r="G715" i="112"/>
  <c r="C715" i="112"/>
  <c r="G714" i="112"/>
  <c r="C714" i="112"/>
  <c r="G713" i="112"/>
  <c r="C713" i="112"/>
  <c r="G712" i="112"/>
  <c r="C712" i="112"/>
  <c r="G711" i="112"/>
  <c r="C711" i="112"/>
  <c r="G710" i="112"/>
  <c r="C710" i="112"/>
  <c r="G709" i="112"/>
  <c r="C709" i="112"/>
  <c r="G708" i="112"/>
  <c r="C708" i="112"/>
  <c r="G707" i="112"/>
  <c r="C707" i="112"/>
  <c r="G706" i="112"/>
  <c r="C706" i="112"/>
  <c r="G705" i="112"/>
  <c r="C705" i="112"/>
  <c r="G704" i="112"/>
  <c r="C704" i="112"/>
  <c r="G703" i="112"/>
  <c r="C703" i="112"/>
  <c r="G702" i="112"/>
  <c r="C702" i="112"/>
  <c r="G701" i="112"/>
  <c r="C701" i="112"/>
  <c r="G700" i="112"/>
  <c r="C700" i="112"/>
  <c r="G699" i="112"/>
  <c r="C699" i="112"/>
  <c r="G698" i="112"/>
  <c r="C698" i="112"/>
  <c r="G697" i="112"/>
  <c r="C697" i="112"/>
  <c r="G696" i="112"/>
  <c r="C696" i="112"/>
  <c r="G695" i="112"/>
  <c r="C695" i="112"/>
  <c r="G694" i="112"/>
  <c r="C694" i="112"/>
  <c r="G693" i="112"/>
  <c r="C693" i="112"/>
  <c r="G692" i="112"/>
  <c r="C692" i="112"/>
  <c r="G691" i="112"/>
  <c r="C691" i="112"/>
  <c r="G690" i="112"/>
  <c r="C690" i="112"/>
  <c r="G689" i="112"/>
  <c r="C689" i="112"/>
  <c r="G688" i="112"/>
  <c r="C688" i="112"/>
  <c r="G687" i="112"/>
  <c r="C687" i="112"/>
  <c r="G686" i="112"/>
  <c r="C686" i="112"/>
  <c r="G685" i="112"/>
  <c r="C685" i="112"/>
  <c r="G684" i="112"/>
  <c r="C684" i="112"/>
  <c r="G683" i="112"/>
  <c r="C683" i="112"/>
  <c r="G682" i="112"/>
  <c r="C682" i="112"/>
  <c r="G681" i="112"/>
  <c r="C681" i="112"/>
  <c r="G680" i="112"/>
  <c r="C680" i="112"/>
  <c r="G679" i="112"/>
  <c r="C679" i="112"/>
  <c r="G678" i="112"/>
  <c r="C678" i="112"/>
  <c r="G677" i="112"/>
  <c r="C677" i="112"/>
  <c r="G676" i="112"/>
  <c r="C676" i="112"/>
  <c r="G675" i="112"/>
  <c r="C675" i="112"/>
  <c r="G674" i="112"/>
  <c r="C674" i="112"/>
  <c r="G673" i="112"/>
  <c r="C673" i="112"/>
  <c r="G672" i="112"/>
  <c r="C672" i="112"/>
  <c r="G671" i="112"/>
  <c r="C671" i="112"/>
  <c r="G670" i="112"/>
  <c r="C670" i="112"/>
  <c r="G669" i="112"/>
  <c r="C669" i="112"/>
  <c r="G668" i="112"/>
  <c r="C668" i="112"/>
  <c r="G667" i="112"/>
  <c r="C667" i="112"/>
  <c r="G666" i="112"/>
  <c r="C666" i="112"/>
  <c r="G665" i="112"/>
  <c r="C665" i="112"/>
  <c r="G664" i="112"/>
  <c r="C664" i="112"/>
  <c r="G663" i="112"/>
  <c r="C663" i="112"/>
  <c r="G662" i="112"/>
  <c r="C662" i="112"/>
  <c r="G661" i="112"/>
  <c r="C661" i="112"/>
  <c r="G660" i="112"/>
  <c r="C660" i="112"/>
  <c r="G659" i="112"/>
  <c r="C659" i="112"/>
  <c r="G658" i="112"/>
  <c r="C658" i="112"/>
  <c r="G657" i="112"/>
  <c r="C657" i="112"/>
  <c r="G656" i="112"/>
  <c r="C656" i="112"/>
  <c r="G655" i="112"/>
  <c r="C655" i="112"/>
  <c r="G654" i="112"/>
  <c r="C654" i="112"/>
  <c r="G653" i="112"/>
  <c r="C653" i="112"/>
  <c r="G652" i="112"/>
  <c r="C652" i="112"/>
  <c r="G651" i="112"/>
  <c r="C651" i="112"/>
  <c r="G650" i="112"/>
  <c r="C650" i="112"/>
  <c r="G649" i="112"/>
  <c r="C649" i="112"/>
  <c r="G648" i="112"/>
  <c r="C648" i="112"/>
  <c r="G647" i="112"/>
  <c r="C647" i="112"/>
  <c r="G646" i="112"/>
  <c r="C646" i="112"/>
  <c r="G645" i="112"/>
  <c r="C645" i="112"/>
  <c r="G644" i="112"/>
  <c r="C644" i="112"/>
  <c r="G643" i="112"/>
  <c r="C643" i="112"/>
  <c r="G642" i="112"/>
  <c r="C642" i="112"/>
  <c r="G641" i="112"/>
  <c r="C641" i="112"/>
  <c r="G640" i="112"/>
  <c r="C640" i="112"/>
  <c r="G639" i="112"/>
  <c r="C639" i="112"/>
  <c r="G638" i="112"/>
  <c r="C638" i="112"/>
  <c r="G637" i="112"/>
  <c r="C637" i="112"/>
  <c r="G636" i="112"/>
  <c r="C636" i="112"/>
  <c r="G635" i="112"/>
  <c r="C635" i="112"/>
  <c r="G634" i="112"/>
  <c r="C634" i="112"/>
  <c r="G633" i="112"/>
  <c r="C633" i="112"/>
  <c r="G632" i="112"/>
  <c r="C632" i="112"/>
  <c r="G631" i="112"/>
  <c r="C631" i="112"/>
  <c r="G630" i="112"/>
  <c r="C630" i="112"/>
  <c r="G629" i="112"/>
  <c r="C629" i="112"/>
  <c r="G628" i="112"/>
  <c r="C628" i="112"/>
  <c r="G627" i="112"/>
  <c r="C627" i="112"/>
  <c r="G626" i="112"/>
  <c r="C626" i="112"/>
  <c r="G625" i="112"/>
  <c r="C625" i="112"/>
  <c r="G624" i="112"/>
  <c r="C624" i="112"/>
  <c r="G623" i="112"/>
  <c r="C623" i="112"/>
  <c r="G622" i="112"/>
  <c r="C622" i="112"/>
  <c r="G621" i="112"/>
  <c r="C621" i="112"/>
  <c r="G620" i="112"/>
  <c r="C620" i="112"/>
  <c r="G619" i="112"/>
  <c r="C619" i="112"/>
  <c r="G618" i="112"/>
  <c r="C618" i="112"/>
  <c r="G617" i="112"/>
  <c r="C617" i="112"/>
  <c r="G616" i="112"/>
  <c r="C616" i="112"/>
  <c r="G615" i="112"/>
  <c r="C615" i="112"/>
  <c r="G614" i="112"/>
  <c r="C614" i="112"/>
  <c r="G613" i="112"/>
  <c r="C613" i="112"/>
  <c r="G612" i="112"/>
  <c r="C612" i="112"/>
  <c r="G611" i="112"/>
  <c r="C611" i="112"/>
  <c r="G610" i="112"/>
  <c r="C610" i="112"/>
  <c r="G609" i="112"/>
  <c r="C609" i="112"/>
  <c r="G608" i="112"/>
  <c r="C608" i="112"/>
  <c r="G607" i="112"/>
  <c r="C607" i="112"/>
  <c r="G606" i="112"/>
  <c r="C606" i="112"/>
  <c r="G605" i="112"/>
  <c r="C605" i="112"/>
  <c r="G604" i="112"/>
  <c r="C604" i="112"/>
  <c r="G603" i="112"/>
  <c r="C603" i="112"/>
  <c r="G602" i="112"/>
  <c r="C602" i="112"/>
  <c r="G601" i="112"/>
  <c r="C601" i="112"/>
  <c r="G600" i="112"/>
  <c r="C600" i="112"/>
  <c r="G599" i="112"/>
  <c r="C599" i="112"/>
  <c r="G598" i="112"/>
  <c r="C598" i="112"/>
  <c r="G597" i="112"/>
  <c r="C597" i="112"/>
  <c r="G596" i="112"/>
  <c r="C596" i="112"/>
  <c r="G595" i="112"/>
  <c r="C595" i="112"/>
  <c r="G594" i="112"/>
  <c r="C594" i="112"/>
  <c r="G593" i="112"/>
  <c r="C593" i="112"/>
  <c r="G592" i="112"/>
  <c r="C592" i="112"/>
  <c r="G591" i="112"/>
  <c r="C591" i="112"/>
  <c r="G590" i="112"/>
  <c r="C590" i="112"/>
  <c r="G589" i="112"/>
  <c r="C589" i="112"/>
  <c r="G588" i="112"/>
  <c r="C588" i="112"/>
  <c r="G587" i="112"/>
  <c r="C587" i="112"/>
  <c r="G586" i="112"/>
  <c r="C586" i="112"/>
  <c r="G585" i="112"/>
  <c r="C585" i="112"/>
  <c r="G584" i="112"/>
  <c r="C584" i="112"/>
  <c r="G583" i="112"/>
  <c r="C583" i="112"/>
  <c r="G582" i="112"/>
  <c r="C582" i="112"/>
  <c r="G581" i="112"/>
  <c r="C581" i="112"/>
  <c r="G580" i="112"/>
  <c r="C580" i="112"/>
  <c r="G579" i="112"/>
  <c r="C579" i="112"/>
  <c r="G578" i="112"/>
  <c r="C578" i="112"/>
  <c r="G577" i="112"/>
  <c r="C577" i="112"/>
  <c r="G576" i="112"/>
  <c r="C576" i="112"/>
  <c r="G575" i="112"/>
  <c r="C575" i="112"/>
  <c r="G574" i="112"/>
  <c r="C574" i="112"/>
  <c r="G573" i="112"/>
  <c r="C573" i="112"/>
  <c r="G572" i="112"/>
  <c r="C572" i="112"/>
  <c r="G571" i="112"/>
  <c r="C571" i="112"/>
  <c r="G570" i="112"/>
  <c r="C570" i="112"/>
  <c r="G569" i="112"/>
  <c r="C569" i="112"/>
  <c r="G568" i="112"/>
  <c r="C568" i="112"/>
  <c r="G567" i="112"/>
  <c r="C567" i="112"/>
  <c r="G566" i="112"/>
  <c r="C566" i="112"/>
  <c r="G565" i="112"/>
  <c r="C565" i="112"/>
  <c r="G564" i="112"/>
  <c r="C564" i="112"/>
  <c r="G563" i="112"/>
  <c r="C563" i="112"/>
  <c r="G562" i="112"/>
  <c r="C562" i="112"/>
  <c r="G561" i="112"/>
  <c r="C561" i="112"/>
  <c r="G560" i="112"/>
  <c r="C560" i="112"/>
  <c r="G559" i="112"/>
  <c r="C559" i="112"/>
  <c r="G558" i="112"/>
  <c r="C558" i="112"/>
  <c r="G557" i="112"/>
  <c r="C557" i="112"/>
  <c r="G556" i="112"/>
  <c r="C556" i="112"/>
  <c r="G555" i="112"/>
  <c r="C555" i="112"/>
  <c r="G554" i="112"/>
  <c r="C554" i="112"/>
  <c r="G553" i="112"/>
  <c r="C553" i="112"/>
  <c r="G552" i="112"/>
  <c r="C552" i="112"/>
  <c r="G551" i="112"/>
  <c r="C551" i="112"/>
  <c r="G550" i="112"/>
  <c r="C550" i="112"/>
  <c r="G549" i="112"/>
  <c r="C549" i="112"/>
  <c r="G548" i="112"/>
  <c r="C548" i="112"/>
  <c r="G547" i="112"/>
  <c r="C547" i="112"/>
  <c r="G546" i="112"/>
  <c r="C546" i="112"/>
  <c r="G545" i="112"/>
  <c r="C545" i="112"/>
  <c r="G544" i="112"/>
  <c r="C544" i="112"/>
  <c r="G543" i="112"/>
  <c r="C543" i="112"/>
  <c r="G542" i="112"/>
  <c r="C542" i="112"/>
  <c r="G541" i="112"/>
  <c r="C541" i="112"/>
  <c r="G540" i="112"/>
  <c r="C540" i="112"/>
  <c r="G539" i="112"/>
  <c r="C539" i="112"/>
  <c r="G538" i="112"/>
  <c r="C538" i="112"/>
  <c r="G537" i="112"/>
  <c r="C537" i="112"/>
  <c r="G536" i="112"/>
  <c r="C536" i="112"/>
  <c r="G535" i="112"/>
  <c r="C535" i="112"/>
  <c r="G534" i="112"/>
  <c r="C534" i="112"/>
  <c r="G533" i="112"/>
  <c r="C533" i="112"/>
  <c r="G532" i="112"/>
  <c r="C532" i="112"/>
  <c r="G531" i="112"/>
  <c r="C531" i="112"/>
  <c r="G530" i="112"/>
  <c r="C530" i="112"/>
  <c r="G529" i="112"/>
  <c r="C529" i="112"/>
  <c r="G528" i="112"/>
  <c r="C528" i="112"/>
  <c r="G527" i="112"/>
  <c r="C527" i="112"/>
  <c r="G526" i="112"/>
  <c r="C526" i="112"/>
  <c r="G525" i="112"/>
  <c r="C525" i="112"/>
  <c r="G524" i="112"/>
  <c r="C524" i="112"/>
  <c r="G523" i="112"/>
  <c r="C523" i="112"/>
  <c r="G522" i="112"/>
  <c r="C522" i="112"/>
  <c r="G521" i="112"/>
  <c r="C521" i="112"/>
  <c r="G520" i="112"/>
  <c r="C520" i="112"/>
  <c r="G519" i="112"/>
  <c r="C519" i="112"/>
  <c r="G518" i="112"/>
  <c r="C518" i="112"/>
  <c r="G517" i="112"/>
  <c r="C517" i="112"/>
  <c r="G516" i="112"/>
  <c r="C516" i="112"/>
  <c r="G515" i="112"/>
  <c r="C515" i="112"/>
  <c r="G514" i="112"/>
  <c r="C514" i="112"/>
  <c r="G513" i="112"/>
  <c r="C513" i="112"/>
  <c r="G512" i="112"/>
  <c r="C512" i="112"/>
  <c r="G511" i="112"/>
  <c r="C511" i="112"/>
  <c r="G510" i="112"/>
  <c r="C510" i="112"/>
  <c r="G509" i="112"/>
  <c r="C509" i="112"/>
  <c r="G508" i="112"/>
  <c r="C508" i="112"/>
  <c r="G507" i="112"/>
  <c r="C507" i="112"/>
  <c r="G506" i="112"/>
  <c r="C506" i="112"/>
  <c r="G505" i="112"/>
  <c r="C505" i="112"/>
  <c r="G504" i="112"/>
  <c r="C504" i="112"/>
  <c r="G503" i="112"/>
  <c r="C503" i="112"/>
  <c r="G502" i="112"/>
  <c r="C502" i="112"/>
  <c r="G501" i="112"/>
  <c r="C501" i="112"/>
  <c r="G500" i="112"/>
  <c r="C500" i="112"/>
  <c r="G499" i="112"/>
  <c r="C499" i="112"/>
  <c r="G498" i="112"/>
  <c r="C498" i="112"/>
  <c r="G497" i="112"/>
  <c r="C497" i="112"/>
  <c r="G496" i="112"/>
  <c r="C496" i="112"/>
  <c r="G495" i="112"/>
  <c r="C495" i="112"/>
  <c r="G494" i="112"/>
  <c r="C494" i="112"/>
  <c r="G493" i="112"/>
  <c r="C493" i="112"/>
  <c r="G492" i="112"/>
  <c r="C492" i="112"/>
  <c r="G491" i="112"/>
  <c r="C491" i="112"/>
  <c r="G490" i="112"/>
  <c r="C490" i="112"/>
  <c r="G489" i="112"/>
  <c r="C489" i="112"/>
  <c r="G488" i="112"/>
  <c r="C488" i="112"/>
  <c r="G487" i="112"/>
  <c r="C487" i="112"/>
  <c r="G486" i="112"/>
  <c r="C486" i="112"/>
  <c r="G485" i="112"/>
  <c r="C485" i="112"/>
  <c r="G484" i="112"/>
  <c r="C484" i="112"/>
  <c r="G483" i="112"/>
  <c r="C483" i="112"/>
  <c r="G482" i="112"/>
  <c r="C482" i="112"/>
  <c r="G481" i="112"/>
  <c r="C481" i="112"/>
  <c r="G480" i="112"/>
  <c r="C480" i="112"/>
  <c r="G479" i="112"/>
  <c r="C479" i="112"/>
  <c r="G478" i="112"/>
  <c r="C478" i="112"/>
  <c r="G477" i="112"/>
  <c r="C477" i="112"/>
  <c r="G476" i="112"/>
  <c r="C476" i="112"/>
  <c r="G475" i="112"/>
  <c r="C475" i="112"/>
  <c r="G474" i="112"/>
  <c r="C474" i="112"/>
  <c r="G473" i="112"/>
  <c r="C473" i="112"/>
  <c r="G472" i="112"/>
  <c r="C472" i="112"/>
  <c r="G471" i="112"/>
  <c r="C471" i="112"/>
  <c r="G470" i="112"/>
  <c r="C470" i="112"/>
  <c r="G469" i="112"/>
  <c r="C469" i="112"/>
  <c r="G468" i="112"/>
  <c r="C468" i="112"/>
  <c r="G467" i="112"/>
  <c r="C467" i="112"/>
  <c r="G466" i="112"/>
  <c r="C466" i="112"/>
  <c r="G465" i="112"/>
  <c r="C465" i="112"/>
  <c r="G464" i="112"/>
  <c r="C464" i="112"/>
  <c r="G463" i="112"/>
  <c r="C463" i="112"/>
  <c r="G462" i="112"/>
  <c r="C462" i="112"/>
  <c r="G461" i="112"/>
  <c r="C461" i="112"/>
  <c r="G460" i="112"/>
  <c r="C460" i="112"/>
  <c r="G459" i="112"/>
  <c r="C459" i="112"/>
  <c r="G458" i="112"/>
  <c r="C458" i="112"/>
  <c r="G457" i="112"/>
  <c r="C457" i="112"/>
  <c r="G456" i="112"/>
  <c r="C456" i="112"/>
  <c r="G455" i="112"/>
  <c r="C455" i="112"/>
  <c r="G454" i="112"/>
  <c r="C454" i="112"/>
  <c r="G453" i="112"/>
  <c r="C453" i="112"/>
  <c r="G452" i="112"/>
  <c r="C452" i="112"/>
  <c r="G451" i="112"/>
  <c r="C451" i="112"/>
  <c r="G450" i="112"/>
  <c r="C450" i="112"/>
  <c r="G449" i="112"/>
  <c r="C449" i="112"/>
  <c r="G448" i="112"/>
  <c r="C448" i="112"/>
  <c r="G447" i="112"/>
  <c r="C447" i="112"/>
  <c r="G446" i="112"/>
  <c r="C446" i="112"/>
  <c r="G445" i="112"/>
  <c r="C445" i="112"/>
  <c r="G444" i="112"/>
  <c r="C444" i="112"/>
  <c r="G443" i="112"/>
  <c r="C443" i="112"/>
  <c r="G442" i="112"/>
  <c r="C442" i="112"/>
  <c r="G441" i="112"/>
  <c r="C441" i="112"/>
  <c r="G440" i="112"/>
  <c r="C440" i="112"/>
  <c r="G439" i="112"/>
  <c r="C439" i="112"/>
  <c r="G438" i="112"/>
  <c r="C438" i="112"/>
  <c r="G437" i="112"/>
  <c r="C437" i="112"/>
  <c r="G436" i="112"/>
  <c r="C436" i="112"/>
  <c r="G435" i="112"/>
  <c r="C435" i="112"/>
  <c r="G434" i="112"/>
  <c r="C434" i="112"/>
  <c r="G433" i="112"/>
  <c r="C433" i="112"/>
  <c r="G432" i="112"/>
  <c r="C432" i="112"/>
  <c r="G431" i="112"/>
  <c r="C431" i="112"/>
  <c r="G430" i="112"/>
  <c r="C430" i="112"/>
  <c r="G429" i="112"/>
  <c r="C429" i="112"/>
  <c r="G428" i="112"/>
  <c r="C428" i="112"/>
  <c r="G427" i="112"/>
  <c r="C427" i="112"/>
  <c r="G426" i="112"/>
  <c r="C426" i="112"/>
  <c r="G425" i="112"/>
  <c r="C425" i="112"/>
  <c r="G424" i="112"/>
  <c r="C424" i="112"/>
  <c r="G423" i="112"/>
  <c r="C423" i="112"/>
  <c r="G422" i="112"/>
  <c r="C422" i="112"/>
  <c r="G421" i="112"/>
  <c r="C421" i="112"/>
  <c r="G420" i="112"/>
  <c r="C420" i="112"/>
  <c r="G419" i="112"/>
  <c r="C419" i="112"/>
  <c r="G418" i="112"/>
  <c r="C418" i="112"/>
  <c r="G417" i="112"/>
  <c r="C417" i="112"/>
  <c r="G416" i="112"/>
  <c r="C416" i="112"/>
  <c r="G415" i="112"/>
  <c r="C415" i="112"/>
  <c r="G414" i="112"/>
  <c r="C414" i="112"/>
  <c r="G413" i="112"/>
  <c r="C413" i="112"/>
  <c r="G412" i="112"/>
  <c r="C412" i="112"/>
  <c r="G411" i="112"/>
  <c r="C411" i="112"/>
  <c r="G410" i="112"/>
  <c r="C410" i="112"/>
  <c r="G409" i="112"/>
  <c r="C409" i="112"/>
  <c r="G408" i="112"/>
  <c r="C408" i="112"/>
  <c r="G407" i="112"/>
  <c r="C407" i="112"/>
  <c r="G406" i="112"/>
  <c r="C406" i="112"/>
  <c r="G405" i="112"/>
  <c r="C405" i="112"/>
  <c r="G404" i="112"/>
  <c r="C404" i="112"/>
  <c r="G403" i="112"/>
  <c r="C403" i="112"/>
  <c r="G402" i="112"/>
  <c r="C402" i="112"/>
  <c r="G401" i="112"/>
  <c r="C401" i="112"/>
  <c r="G400" i="112"/>
  <c r="C400" i="112"/>
  <c r="G399" i="112"/>
  <c r="C399" i="112"/>
  <c r="G398" i="112"/>
  <c r="C398" i="112"/>
  <c r="G397" i="112"/>
  <c r="C397" i="112"/>
  <c r="G396" i="112"/>
  <c r="C396" i="112"/>
  <c r="G395" i="112"/>
  <c r="C395" i="112"/>
  <c r="G394" i="112"/>
  <c r="C394" i="112"/>
  <c r="G393" i="112"/>
  <c r="C393" i="112"/>
  <c r="G392" i="112"/>
  <c r="C392" i="112"/>
  <c r="G391" i="112"/>
  <c r="C391" i="112"/>
  <c r="G390" i="112"/>
  <c r="C390" i="112"/>
  <c r="G389" i="112"/>
  <c r="C389" i="112"/>
  <c r="G388" i="112"/>
  <c r="C388" i="112"/>
  <c r="G387" i="112"/>
  <c r="C387" i="112"/>
  <c r="G386" i="112"/>
  <c r="C386" i="112"/>
  <c r="G385" i="112"/>
  <c r="C385" i="112"/>
  <c r="G384" i="112"/>
  <c r="C384" i="112"/>
  <c r="G383" i="112"/>
  <c r="C383" i="112"/>
  <c r="G382" i="112"/>
  <c r="C382" i="112"/>
  <c r="G381" i="112"/>
  <c r="C381" i="112"/>
  <c r="G380" i="112"/>
  <c r="C380" i="112"/>
  <c r="G379" i="112"/>
  <c r="C379" i="112"/>
  <c r="G378" i="112"/>
  <c r="C378" i="112"/>
  <c r="G377" i="112"/>
  <c r="C377" i="112"/>
  <c r="G376" i="112"/>
  <c r="C376" i="112"/>
  <c r="G375" i="112"/>
  <c r="C375" i="112"/>
  <c r="G374" i="112"/>
  <c r="C374" i="112"/>
  <c r="G373" i="112"/>
  <c r="C373" i="112"/>
  <c r="G372" i="112"/>
  <c r="C372" i="112"/>
  <c r="G371" i="112"/>
  <c r="C371" i="112"/>
  <c r="G370" i="112"/>
  <c r="C370" i="112"/>
  <c r="G369" i="112"/>
  <c r="C369" i="112"/>
  <c r="G368" i="112"/>
  <c r="C368" i="112"/>
  <c r="G367" i="112"/>
  <c r="C367" i="112"/>
  <c r="G366" i="112"/>
  <c r="C366" i="112"/>
  <c r="G365" i="112"/>
  <c r="C365" i="112"/>
  <c r="G364" i="112"/>
  <c r="C364" i="112"/>
  <c r="G363" i="112"/>
  <c r="C363" i="112"/>
  <c r="G362" i="112"/>
  <c r="C362" i="112"/>
  <c r="G361" i="112"/>
  <c r="C361" i="112"/>
  <c r="G360" i="112"/>
  <c r="C360" i="112"/>
  <c r="G359" i="112"/>
  <c r="C359" i="112"/>
  <c r="G358" i="112"/>
  <c r="C358" i="112"/>
  <c r="G357" i="112"/>
  <c r="C357" i="112"/>
  <c r="G356" i="112"/>
  <c r="C356" i="112"/>
  <c r="G355" i="112"/>
  <c r="C355" i="112"/>
  <c r="G354" i="112"/>
  <c r="C354" i="112"/>
  <c r="G353" i="112"/>
  <c r="C353" i="112"/>
  <c r="G352" i="112"/>
  <c r="C352" i="112"/>
  <c r="G351" i="112"/>
  <c r="C351" i="112"/>
  <c r="G350" i="112"/>
  <c r="C350" i="112"/>
  <c r="G349" i="112"/>
  <c r="C349" i="112"/>
  <c r="G348" i="112"/>
  <c r="C348" i="112"/>
  <c r="G347" i="112"/>
  <c r="C347" i="112"/>
  <c r="G346" i="112"/>
  <c r="C346" i="112"/>
  <c r="G345" i="112"/>
  <c r="C345" i="112"/>
  <c r="G344" i="112"/>
  <c r="C344" i="112"/>
  <c r="G343" i="112"/>
  <c r="C343" i="112"/>
  <c r="G342" i="112"/>
  <c r="C342" i="112"/>
  <c r="G341" i="112"/>
  <c r="C341" i="112"/>
  <c r="G340" i="112"/>
  <c r="C340" i="112"/>
  <c r="G339" i="112"/>
  <c r="C339" i="112"/>
  <c r="G338" i="112"/>
  <c r="C338" i="112"/>
  <c r="G337" i="112"/>
  <c r="C337" i="112"/>
  <c r="G336" i="112"/>
  <c r="C336" i="112"/>
  <c r="G335" i="112"/>
  <c r="C335" i="112"/>
  <c r="G334" i="112"/>
  <c r="C334" i="112"/>
  <c r="G333" i="112"/>
  <c r="C333" i="112"/>
  <c r="G332" i="112"/>
  <c r="C332" i="112"/>
  <c r="G331" i="112"/>
  <c r="C331" i="112"/>
  <c r="G330" i="112"/>
  <c r="C330" i="112"/>
  <c r="G329" i="112"/>
  <c r="C329" i="112"/>
  <c r="G328" i="112"/>
  <c r="C328" i="112"/>
  <c r="G327" i="112"/>
  <c r="C327" i="112"/>
  <c r="G326" i="112"/>
  <c r="C326" i="112"/>
  <c r="G325" i="112"/>
  <c r="C325" i="112"/>
  <c r="G324" i="112"/>
  <c r="C324" i="112"/>
  <c r="G323" i="112"/>
  <c r="C323" i="112"/>
  <c r="G322" i="112"/>
  <c r="C322" i="112"/>
  <c r="G321" i="112"/>
  <c r="C321" i="112"/>
  <c r="G320" i="112"/>
  <c r="C320" i="112"/>
  <c r="G319" i="112"/>
  <c r="C319" i="112"/>
  <c r="G318" i="112"/>
  <c r="C318" i="112"/>
  <c r="G317" i="112"/>
  <c r="C317" i="112"/>
  <c r="G316" i="112"/>
  <c r="C316" i="112"/>
  <c r="G315" i="112"/>
  <c r="C315" i="112"/>
  <c r="G314" i="112"/>
  <c r="C314" i="112"/>
  <c r="G313" i="112"/>
  <c r="C313" i="112"/>
  <c r="G312" i="112"/>
  <c r="C312" i="112"/>
  <c r="G311" i="112"/>
  <c r="C311" i="112"/>
  <c r="G310" i="112"/>
  <c r="C310" i="112"/>
  <c r="G309" i="112"/>
  <c r="C309" i="112"/>
  <c r="G308" i="112"/>
  <c r="C308" i="112"/>
  <c r="G307" i="112"/>
  <c r="C307" i="112"/>
  <c r="G306" i="112"/>
  <c r="C306" i="112"/>
  <c r="G305" i="112"/>
  <c r="C305" i="112"/>
  <c r="G304" i="112"/>
  <c r="C304" i="112"/>
  <c r="G303" i="112"/>
  <c r="C303" i="112"/>
  <c r="G302" i="112"/>
  <c r="C302" i="112"/>
  <c r="G301" i="112"/>
  <c r="C301" i="112"/>
  <c r="G300" i="112"/>
  <c r="C300" i="112"/>
  <c r="G299" i="112"/>
  <c r="C299" i="112"/>
  <c r="G298" i="112"/>
  <c r="C298" i="112"/>
  <c r="G297" i="112"/>
  <c r="C297" i="112"/>
  <c r="G296" i="112"/>
  <c r="C296" i="112"/>
  <c r="G295" i="112"/>
  <c r="C295" i="112"/>
  <c r="G294" i="112"/>
  <c r="C294" i="112"/>
  <c r="G293" i="112"/>
  <c r="C293" i="112"/>
  <c r="G292" i="112"/>
  <c r="C292" i="112"/>
  <c r="G291" i="112"/>
  <c r="C291" i="112"/>
  <c r="G290" i="112"/>
  <c r="C290" i="112"/>
  <c r="G289" i="112"/>
  <c r="C289" i="112"/>
  <c r="G288" i="112"/>
  <c r="C288" i="112"/>
  <c r="G287" i="112"/>
  <c r="C287" i="112"/>
  <c r="G286" i="112"/>
  <c r="C286" i="112"/>
  <c r="G285" i="112"/>
  <c r="C285" i="112"/>
  <c r="G284" i="112"/>
  <c r="C284" i="112"/>
  <c r="G283" i="112"/>
  <c r="C283" i="112"/>
  <c r="G282" i="112"/>
  <c r="C282" i="112"/>
  <c r="G281" i="112"/>
  <c r="C281" i="112"/>
  <c r="G280" i="112"/>
  <c r="C280" i="112"/>
  <c r="G279" i="112"/>
  <c r="C279" i="112"/>
  <c r="G278" i="112"/>
  <c r="C278" i="112"/>
  <c r="G277" i="112"/>
  <c r="C277" i="112"/>
  <c r="G276" i="112"/>
  <c r="C276" i="112"/>
  <c r="G275" i="112"/>
  <c r="C275" i="112"/>
  <c r="G274" i="112"/>
  <c r="C274" i="112"/>
  <c r="G273" i="112"/>
  <c r="C273" i="112"/>
  <c r="G272" i="112"/>
  <c r="C272" i="112"/>
  <c r="G271" i="112"/>
  <c r="C271" i="112"/>
  <c r="G270" i="112"/>
  <c r="C270" i="112"/>
  <c r="G269" i="112"/>
  <c r="C269" i="112"/>
  <c r="G268" i="112"/>
  <c r="C268" i="112"/>
  <c r="G267" i="112"/>
  <c r="C267" i="112"/>
  <c r="G266" i="112"/>
  <c r="C266" i="112"/>
  <c r="G265" i="112"/>
  <c r="C265" i="112"/>
  <c r="G264" i="112"/>
  <c r="C264" i="112"/>
  <c r="G263" i="112"/>
  <c r="C263" i="112"/>
  <c r="G262" i="112"/>
  <c r="C262" i="112"/>
  <c r="G261" i="112"/>
  <c r="C261" i="112"/>
  <c r="G260" i="112"/>
  <c r="C260" i="112"/>
  <c r="G259" i="112"/>
  <c r="C259" i="112"/>
  <c r="G258" i="112"/>
  <c r="C258" i="112"/>
  <c r="G257" i="112"/>
  <c r="C257" i="112"/>
  <c r="G256" i="112"/>
  <c r="C256" i="112"/>
  <c r="G255" i="112"/>
  <c r="C255" i="112"/>
  <c r="G254" i="112"/>
  <c r="C254" i="112"/>
  <c r="G253" i="112"/>
  <c r="C253" i="112"/>
  <c r="G252" i="112"/>
  <c r="C252" i="112"/>
  <c r="G251" i="112"/>
  <c r="C251" i="112"/>
  <c r="G250" i="112"/>
  <c r="C250" i="112"/>
  <c r="G249" i="112"/>
  <c r="C249" i="112"/>
  <c r="G248" i="112"/>
  <c r="C248" i="112"/>
  <c r="G247" i="112"/>
  <c r="C247" i="112"/>
  <c r="G246" i="112"/>
  <c r="C246" i="112"/>
  <c r="G245" i="112"/>
  <c r="C245" i="112"/>
  <c r="G244" i="112"/>
  <c r="C244" i="112"/>
  <c r="G243" i="112"/>
  <c r="C243" i="112"/>
  <c r="G242" i="112"/>
  <c r="C242" i="112"/>
  <c r="G241" i="112"/>
  <c r="C241" i="112"/>
  <c r="G240" i="112"/>
  <c r="C240" i="112"/>
  <c r="G239" i="112"/>
  <c r="C239" i="112"/>
  <c r="G238" i="112"/>
  <c r="C238" i="112"/>
  <c r="G237" i="112"/>
  <c r="C237" i="112"/>
  <c r="G236" i="112"/>
  <c r="C236" i="112"/>
  <c r="G235" i="112"/>
  <c r="C235" i="112"/>
  <c r="G234" i="112"/>
  <c r="C234" i="112"/>
  <c r="G233" i="112"/>
  <c r="C233" i="112"/>
  <c r="G232" i="112"/>
  <c r="C232" i="112"/>
  <c r="G231" i="112"/>
  <c r="C231" i="112"/>
  <c r="G230" i="112"/>
  <c r="C230" i="112"/>
  <c r="G229" i="112"/>
  <c r="C229" i="112"/>
  <c r="G228" i="112"/>
  <c r="C228" i="112"/>
  <c r="G227" i="112"/>
  <c r="C227" i="112"/>
  <c r="G226" i="112"/>
  <c r="C226" i="112"/>
  <c r="G225" i="112"/>
  <c r="C225" i="112"/>
  <c r="G224" i="112"/>
  <c r="C224" i="112"/>
  <c r="G223" i="112"/>
  <c r="C223" i="112"/>
  <c r="G222" i="112"/>
  <c r="C222" i="112"/>
  <c r="G221" i="112"/>
  <c r="C221" i="112"/>
  <c r="G220" i="112"/>
  <c r="C220" i="112"/>
  <c r="G219" i="112"/>
  <c r="C219" i="112"/>
  <c r="G218" i="112"/>
  <c r="C218" i="112"/>
  <c r="G217" i="112"/>
  <c r="C217" i="112"/>
  <c r="G216" i="112"/>
  <c r="C216" i="112"/>
  <c r="G215" i="112"/>
  <c r="C215" i="112"/>
  <c r="G214" i="112"/>
  <c r="C214" i="112"/>
  <c r="G213" i="112"/>
  <c r="C213" i="112"/>
  <c r="G212" i="112"/>
  <c r="C212" i="112"/>
  <c r="G211" i="112"/>
  <c r="C211" i="112"/>
  <c r="G210" i="112"/>
  <c r="C210" i="112"/>
  <c r="G209" i="112"/>
  <c r="C209" i="112"/>
  <c r="G208" i="112"/>
  <c r="C208" i="112"/>
  <c r="G207" i="112"/>
  <c r="C207" i="112"/>
  <c r="G206" i="112"/>
  <c r="C206" i="112"/>
  <c r="G205" i="112"/>
  <c r="C205" i="112"/>
  <c r="G204" i="112"/>
  <c r="C204" i="112"/>
  <c r="G203" i="112"/>
  <c r="C203" i="112"/>
  <c r="G202" i="112"/>
  <c r="C202" i="112"/>
  <c r="G201" i="112"/>
  <c r="C201" i="112"/>
  <c r="G200" i="112"/>
  <c r="C200" i="112"/>
  <c r="G199" i="112"/>
  <c r="C199" i="112"/>
  <c r="G198" i="112"/>
  <c r="C198" i="112"/>
  <c r="G197" i="112"/>
  <c r="C197" i="112"/>
  <c r="G196" i="112"/>
  <c r="C196" i="112"/>
  <c r="G195" i="112"/>
  <c r="C195" i="112"/>
  <c r="G194" i="112"/>
  <c r="C194" i="112"/>
  <c r="G193" i="112"/>
  <c r="C193" i="112"/>
  <c r="G192" i="112"/>
  <c r="C192" i="112"/>
  <c r="G191" i="112"/>
  <c r="C191" i="112"/>
  <c r="G190" i="112"/>
  <c r="C190" i="112"/>
  <c r="G189" i="112"/>
  <c r="C189" i="112"/>
  <c r="G188" i="112"/>
  <c r="C188" i="112"/>
  <c r="G187" i="112"/>
  <c r="C187" i="112"/>
  <c r="G186" i="112"/>
  <c r="C186" i="112"/>
  <c r="G185" i="112"/>
  <c r="C185" i="112"/>
  <c r="G184" i="112"/>
  <c r="C184" i="112"/>
  <c r="G183" i="112"/>
  <c r="C183" i="112"/>
  <c r="G182" i="112"/>
  <c r="C182" i="112"/>
  <c r="G181" i="112"/>
  <c r="C181" i="112"/>
  <c r="G180" i="112"/>
  <c r="C180" i="112"/>
  <c r="G179" i="112"/>
  <c r="C179" i="112"/>
  <c r="G178" i="112"/>
  <c r="C178" i="112"/>
  <c r="G177" i="112"/>
  <c r="C177" i="112"/>
  <c r="G176" i="112"/>
  <c r="C176" i="112"/>
  <c r="G175" i="112"/>
  <c r="C175" i="112"/>
  <c r="G174" i="112"/>
  <c r="C174" i="112"/>
  <c r="G173" i="112"/>
  <c r="C173" i="112"/>
  <c r="G172" i="112"/>
  <c r="C172" i="112"/>
  <c r="G171" i="112"/>
  <c r="C171" i="112"/>
  <c r="G170" i="112"/>
  <c r="C170" i="112"/>
  <c r="G169" i="112"/>
  <c r="C169" i="112"/>
  <c r="G168" i="112"/>
  <c r="C168" i="112"/>
  <c r="G167" i="112"/>
  <c r="C167" i="112"/>
  <c r="G166" i="112"/>
  <c r="C166" i="112"/>
  <c r="G165" i="112"/>
  <c r="C165" i="112"/>
  <c r="G164" i="112"/>
  <c r="C164" i="112"/>
  <c r="G163" i="112"/>
  <c r="C163" i="112"/>
  <c r="G162" i="112"/>
  <c r="C162" i="112"/>
  <c r="G161" i="112"/>
  <c r="C161" i="112"/>
  <c r="G160" i="112"/>
  <c r="C160" i="112"/>
  <c r="G159" i="112"/>
  <c r="C159" i="112"/>
  <c r="G158" i="112"/>
  <c r="C158" i="112"/>
  <c r="G157" i="112"/>
  <c r="C157" i="112"/>
  <c r="G156" i="112"/>
  <c r="C156" i="112"/>
  <c r="G155" i="112"/>
  <c r="C155" i="112"/>
  <c r="G154" i="112"/>
  <c r="C154" i="112"/>
  <c r="G153" i="112"/>
  <c r="C153" i="112"/>
  <c r="G152" i="112"/>
  <c r="C152" i="112"/>
  <c r="G151" i="112"/>
  <c r="C151" i="112"/>
  <c r="G150" i="112"/>
  <c r="C150" i="112"/>
  <c r="G149" i="112"/>
  <c r="C149" i="112"/>
  <c r="G148" i="112"/>
  <c r="C148" i="112"/>
  <c r="G147" i="112"/>
  <c r="C147" i="112"/>
  <c r="G146" i="112"/>
  <c r="C146" i="112"/>
  <c r="G145" i="112"/>
  <c r="C145" i="112"/>
  <c r="G144" i="112"/>
  <c r="C144" i="112"/>
  <c r="G143" i="112"/>
  <c r="C143" i="112"/>
  <c r="G142" i="112"/>
  <c r="C142" i="112"/>
  <c r="G141" i="112"/>
  <c r="C141" i="112"/>
  <c r="G140" i="112"/>
  <c r="C140" i="112"/>
  <c r="G139" i="112"/>
  <c r="C139" i="112"/>
  <c r="G138" i="112"/>
  <c r="C138" i="112"/>
  <c r="G137" i="112"/>
  <c r="C137" i="112"/>
  <c r="G136" i="112"/>
  <c r="C136" i="112"/>
  <c r="G135" i="112"/>
  <c r="C135" i="112"/>
  <c r="G134" i="112"/>
  <c r="C134" i="112"/>
  <c r="G133" i="112"/>
  <c r="C133" i="112"/>
  <c r="G132" i="112"/>
  <c r="C132" i="112"/>
  <c r="G131" i="112"/>
  <c r="C131" i="112"/>
  <c r="G130" i="112"/>
  <c r="C130" i="112"/>
  <c r="G129" i="112"/>
  <c r="C129" i="112"/>
  <c r="G128" i="112"/>
  <c r="C128" i="112"/>
  <c r="G127" i="112"/>
  <c r="C127" i="112"/>
  <c r="G126" i="112"/>
  <c r="C126" i="112"/>
  <c r="G125" i="112"/>
  <c r="C125" i="112"/>
  <c r="G124" i="112"/>
  <c r="C124" i="112"/>
  <c r="G123" i="112"/>
  <c r="C123" i="112"/>
  <c r="G122" i="112"/>
  <c r="C122" i="112"/>
  <c r="G121" i="112"/>
  <c r="C121" i="112"/>
  <c r="G120" i="112"/>
  <c r="C120" i="112"/>
  <c r="G119" i="112"/>
  <c r="C119" i="112"/>
  <c r="G118" i="112"/>
  <c r="C118" i="112"/>
  <c r="G117" i="112"/>
  <c r="C117" i="112"/>
  <c r="G116" i="112"/>
  <c r="C116" i="112"/>
  <c r="G115" i="112"/>
  <c r="C115" i="112"/>
  <c r="G114" i="112"/>
  <c r="C114" i="112"/>
  <c r="G113" i="112"/>
  <c r="C113" i="112"/>
  <c r="G112" i="112"/>
  <c r="C112" i="112"/>
  <c r="G111" i="112"/>
  <c r="C111" i="112"/>
  <c r="G110" i="112"/>
  <c r="C110" i="112"/>
  <c r="G109" i="112"/>
  <c r="C109" i="112"/>
  <c r="G108" i="112"/>
  <c r="C108" i="112"/>
  <c r="G107" i="112"/>
  <c r="C107" i="112"/>
  <c r="G106" i="112"/>
  <c r="C106" i="112"/>
  <c r="G105" i="112"/>
  <c r="C105" i="112"/>
  <c r="G104" i="112"/>
  <c r="C104" i="112"/>
  <c r="G103" i="112"/>
  <c r="C103" i="112"/>
  <c r="G102" i="112"/>
  <c r="C102" i="112"/>
  <c r="G101" i="112"/>
  <c r="C101" i="112"/>
  <c r="G100" i="112"/>
  <c r="C100" i="112"/>
  <c r="G99" i="112"/>
  <c r="C99" i="112"/>
  <c r="G98" i="112"/>
  <c r="C98" i="112"/>
  <c r="G97" i="112"/>
  <c r="C97" i="112"/>
  <c r="G96" i="112"/>
  <c r="C96" i="112"/>
  <c r="G95" i="112"/>
  <c r="C95" i="112"/>
  <c r="G94" i="112"/>
  <c r="C94" i="112"/>
  <c r="G93" i="112"/>
  <c r="C93" i="112"/>
  <c r="G92" i="112"/>
  <c r="C92" i="112"/>
  <c r="G91" i="112"/>
  <c r="C91" i="112"/>
  <c r="G90" i="112"/>
  <c r="C90" i="112"/>
  <c r="G89" i="112"/>
  <c r="C89" i="112"/>
  <c r="G88" i="112"/>
  <c r="C88" i="112"/>
  <c r="G87" i="112"/>
  <c r="C87" i="112"/>
  <c r="G86" i="112"/>
  <c r="C86" i="112"/>
  <c r="G85" i="112"/>
  <c r="C85" i="112"/>
  <c r="G84" i="112"/>
  <c r="C84" i="112"/>
  <c r="G83" i="112"/>
  <c r="C83" i="112"/>
  <c r="G82" i="112"/>
  <c r="C82" i="112"/>
  <c r="G81" i="112"/>
  <c r="C81" i="112"/>
  <c r="G80" i="112"/>
  <c r="C80" i="112"/>
  <c r="G79" i="112"/>
  <c r="C79" i="112"/>
  <c r="G78" i="112"/>
  <c r="C78" i="112"/>
  <c r="G77" i="112"/>
  <c r="C77" i="112"/>
  <c r="G76" i="112"/>
  <c r="C76" i="112"/>
  <c r="G75" i="112"/>
  <c r="C75" i="112"/>
  <c r="G74" i="112"/>
  <c r="C74" i="112"/>
  <c r="G73" i="112"/>
  <c r="C73" i="112"/>
  <c r="G72" i="112"/>
  <c r="C72" i="112"/>
  <c r="G71" i="112"/>
  <c r="C71" i="112"/>
  <c r="G70" i="112"/>
  <c r="C70" i="112"/>
  <c r="G69" i="112"/>
  <c r="C69" i="112"/>
  <c r="G68" i="112"/>
  <c r="C68" i="112"/>
  <c r="G67" i="112"/>
  <c r="C67" i="112"/>
  <c r="G66" i="112"/>
  <c r="C66" i="112"/>
  <c r="G65" i="112"/>
  <c r="C65" i="112"/>
  <c r="G64" i="112"/>
  <c r="C64" i="112"/>
  <c r="G63" i="112"/>
  <c r="C63" i="112"/>
  <c r="G62" i="112"/>
  <c r="C62" i="112"/>
  <c r="G61" i="112"/>
  <c r="C61" i="112"/>
  <c r="G60" i="112"/>
  <c r="C60" i="112"/>
  <c r="G59" i="112"/>
  <c r="C59" i="112"/>
  <c r="G58" i="112"/>
  <c r="C58" i="112"/>
  <c r="G57" i="112"/>
  <c r="C57" i="112"/>
  <c r="G56" i="112"/>
  <c r="C56" i="112"/>
  <c r="G55" i="112"/>
  <c r="C55" i="112"/>
  <c r="G54" i="112"/>
  <c r="C54" i="112"/>
  <c r="G53" i="112"/>
  <c r="C53" i="112"/>
  <c r="G52" i="112"/>
  <c r="C52" i="112"/>
  <c r="G51" i="112"/>
  <c r="C51" i="112"/>
  <c r="G50" i="112"/>
  <c r="C50" i="112"/>
  <c r="G49" i="112"/>
  <c r="C49" i="112"/>
  <c r="G48" i="112"/>
  <c r="C48" i="112"/>
  <c r="G47" i="112"/>
  <c r="C47" i="112"/>
  <c r="G46" i="112"/>
  <c r="C46" i="112"/>
  <c r="G45" i="112"/>
  <c r="C45" i="112"/>
  <c r="G44" i="112"/>
  <c r="C44" i="112"/>
  <c r="G43" i="112"/>
  <c r="C43" i="112"/>
  <c r="G42" i="112"/>
  <c r="C42" i="112"/>
  <c r="G41" i="112"/>
  <c r="C41" i="112"/>
  <c r="G40" i="112"/>
  <c r="C40" i="112"/>
  <c r="G39" i="112"/>
  <c r="C39" i="112"/>
  <c r="G38" i="112"/>
  <c r="C38" i="112"/>
  <c r="G37" i="112"/>
  <c r="C37" i="112"/>
  <c r="G36" i="112"/>
  <c r="C36" i="112"/>
  <c r="G35" i="112"/>
  <c r="C35" i="112"/>
  <c r="G34" i="112"/>
  <c r="C34" i="112"/>
  <c r="G33" i="112"/>
  <c r="C33" i="112"/>
  <c r="G32" i="112"/>
  <c r="C32" i="112"/>
  <c r="G31" i="112"/>
  <c r="C31" i="112"/>
  <c r="G30" i="112"/>
  <c r="C30" i="112"/>
  <c r="G29" i="112"/>
  <c r="C29" i="112"/>
  <c r="G28" i="112"/>
  <c r="C28" i="112"/>
  <c r="G27" i="112"/>
  <c r="C27" i="112"/>
  <c r="G26" i="112"/>
  <c r="C26" i="112"/>
  <c r="G25" i="112"/>
  <c r="C25" i="112"/>
  <c r="G24" i="112"/>
  <c r="C24" i="112"/>
  <c r="G23" i="112"/>
  <c r="C23" i="112"/>
  <c r="G22" i="112"/>
  <c r="C22" i="112"/>
  <c r="G21" i="112"/>
  <c r="C21" i="112"/>
  <c r="G20" i="112"/>
  <c r="C20" i="112"/>
  <c r="G19" i="112"/>
  <c r="C19" i="112"/>
  <c r="G18" i="112"/>
  <c r="C18" i="112"/>
  <c r="G17" i="112"/>
  <c r="C17" i="112"/>
  <c r="G16" i="112"/>
  <c r="C16" i="112"/>
  <c r="G15" i="112"/>
  <c r="C15" i="112"/>
  <c r="G14" i="112"/>
  <c r="C14" i="112"/>
  <c r="G13" i="112"/>
  <c r="C13" i="112"/>
  <c r="G12" i="112"/>
  <c r="C12" i="112"/>
  <c r="G11" i="112"/>
  <c r="C11" i="112"/>
  <c r="G10" i="112"/>
  <c r="C10" i="112"/>
  <c r="G9" i="112"/>
  <c r="C9" i="112"/>
  <c r="G8" i="112"/>
  <c r="C8" i="112"/>
  <c r="G7" i="112"/>
  <c r="C7" i="112"/>
  <c r="G6" i="112"/>
  <c r="C6" i="112"/>
  <c r="G5" i="112"/>
  <c r="C5" i="112"/>
  <c r="G4" i="112"/>
  <c r="C4" i="112"/>
  <c r="G3" i="112"/>
  <c r="C3" i="112"/>
  <c r="G2" i="112"/>
  <c r="C2" i="112"/>
  <c r="CC654" i="8"/>
  <c r="CB654" i="8"/>
  <c r="CA654" i="8"/>
  <c r="CC653" i="8"/>
  <c r="CB653" i="8"/>
  <c r="CA653" i="8"/>
  <c r="CC652" i="8"/>
  <c r="CB652" i="8"/>
  <c r="CA652" i="8"/>
  <c r="CC644" i="8"/>
  <c r="CB644" i="8"/>
  <c r="CA644" i="8"/>
  <c r="CC643" i="8"/>
  <c r="CB643" i="8"/>
  <c r="CA643" i="8"/>
  <c r="CC642" i="8"/>
  <c r="CB642" i="8"/>
  <c r="CA642" i="8"/>
  <c r="CC634" i="8"/>
  <c r="CB634" i="8"/>
  <c r="CA634" i="8"/>
  <c r="CC633" i="8"/>
  <c r="CB633" i="8"/>
  <c r="CA633" i="8"/>
  <c r="CC632" i="8"/>
  <c r="CB632" i="8"/>
  <c r="CA632" i="8"/>
  <c r="CC624" i="8"/>
  <c r="CB624" i="8"/>
  <c r="CA624" i="8"/>
  <c r="CC623" i="8"/>
  <c r="CB623" i="8"/>
  <c r="CA623" i="8"/>
  <c r="CC622" i="8"/>
  <c r="CB622" i="8"/>
  <c r="CA622" i="8"/>
  <c r="CC614" i="8"/>
  <c r="CB614" i="8"/>
  <c r="CA614" i="8"/>
  <c r="CC613" i="8"/>
  <c r="CB613" i="8"/>
  <c r="CA613" i="8"/>
  <c r="CC612" i="8"/>
  <c r="CB612" i="8"/>
  <c r="CA612" i="8"/>
  <c r="CC604" i="8"/>
  <c r="CB604" i="8"/>
  <c r="CA604" i="8"/>
  <c r="CC603" i="8"/>
  <c r="CB603" i="8"/>
  <c r="CA603" i="8"/>
  <c r="CC602" i="8"/>
  <c r="CB602" i="8"/>
  <c r="CA602" i="8"/>
  <c r="CC594" i="8"/>
  <c r="CB594" i="8"/>
  <c r="CA594" i="8"/>
  <c r="CC593" i="8"/>
  <c r="CB593" i="8"/>
  <c r="CA593" i="8"/>
  <c r="CC592" i="8"/>
  <c r="CB592" i="8"/>
  <c r="CA592" i="8"/>
  <c r="CC584" i="8"/>
  <c r="CB584" i="8"/>
  <c r="CA584" i="8"/>
  <c r="CC583" i="8"/>
  <c r="CB583" i="8"/>
  <c r="CA583" i="8"/>
  <c r="CC582" i="8"/>
  <c r="CB582" i="8"/>
  <c r="CA582" i="8"/>
  <c r="CC574" i="8"/>
  <c r="CB574" i="8"/>
  <c r="CA574" i="8"/>
  <c r="CC573" i="8"/>
  <c r="CB573" i="8"/>
  <c r="CA573" i="8"/>
  <c r="CC572" i="8"/>
  <c r="CB572" i="8"/>
  <c r="CA572" i="8"/>
  <c r="CC564" i="8"/>
  <c r="CB564" i="8"/>
  <c r="CA564" i="8"/>
  <c r="CC563" i="8"/>
  <c r="CB563" i="8"/>
  <c r="CA563" i="8"/>
  <c r="CC562" i="8"/>
  <c r="CB562" i="8"/>
  <c r="CA562" i="8"/>
  <c r="CC554" i="8"/>
  <c r="CB554" i="8"/>
  <c r="CA554" i="8"/>
  <c r="CC553" i="8"/>
  <c r="CB553" i="8"/>
  <c r="CA553" i="8"/>
  <c r="CC552" i="8"/>
  <c r="CB552" i="8"/>
  <c r="CA552" i="8"/>
  <c r="CC544" i="8"/>
  <c r="CB544" i="8"/>
  <c r="CA544" i="8"/>
  <c r="CC543" i="8"/>
  <c r="CB543" i="8"/>
  <c r="CA543" i="8"/>
  <c r="CC542" i="8"/>
  <c r="CB542" i="8"/>
  <c r="CA542" i="8"/>
  <c r="CC534" i="8"/>
  <c r="CB534" i="8"/>
  <c r="CA534" i="8"/>
  <c r="CC533" i="8"/>
  <c r="CB533" i="8"/>
  <c r="CA533" i="8"/>
  <c r="CC532" i="8"/>
  <c r="CB532" i="8"/>
  <c r="CA532" i="8"/>
  <c r="CC524" i="8"/>
  <c r="CB524" i="8"/>
  <c r="CA524" i="8"/>
  <c r="CC523" i="8"/>
  <c r="CB523" i="8"/>
  <c r="CA523" i="8"/>
  <c r="CC522" i="8"/>
  <c r="CB522" i="8"/>
  <c r="CA522" i="8"/>
  <c r="CC514" i="8"/>
  <c r="CB514" i="8"/>
  <c r="CA514" i="8"/>
  <c r="CC513" i="8"/>
  <c r="CB513" i="8"/>
  <c r="CA513" i="8"/>
  <c r="CC512" i="8"/>
  <c r="CB512" i="8"/>
  <c r="CA512" i="8"/>
  <c r="CC504" i="8"/>
  <c r="CB504" i="8"/>
  <c r="CA504" i="8"/>
  <c r="CC503" i="8"/>
  <c r="CB503" i="8"/>
  <c r="CA503" i="8"/>
  <c r="CC502" i="8"/>
  <c r="CB502" i="8"/>
  <c r="CA502" i="8"/>
  <c r="CC494" i="8"/>
  <c r="CB494" i="8"/>
  <c r="CA494" i="8"/>
  <c r="CC493" i="8"/>
  <c r="CB493" i="8"/>
  <c r="CA493" i="8"/>
  <c r="CC492" i="8"/>
  <c r="CB492" i="8"/>
  <c r="CA492" i="8"/>
  <c r="CC484" i="8"/>
  <c r="CB484" i="8"/>
  <c r="CA484" i="8"/>
  <c r="CC483" i="8"/>
  <c r="CB483" i="8"/>
  <c r="CA483" i="8"/>
  <c r="CC482" i="8"/>
  <c r="CB482" i="8"/>
  <c r="CA482" i="8"/>
  <c r="CC474" i="8"/>
  <c r="CB474" i="8"/>
  <c r="CA474" i="8"/>
  <c r="CC473" i="8"/>
  <c r="CB473" i="8"/>
  <c r="CA473" i="8"/>
  <c r="CC472" i="8"/>
  <c r="CB472" i="8"/>
  <c r="CA472" i="8"/>
  <c r="CC464" i="8"/>
  <c r="CB464" i="8"/>
  <c r="CA464" i="8"/>
  <c r="CC463" i="8"/>
  <c r="CB463" i="8"/>
  <c r="CA463" i="8"/>
  <c r="CC462" i="8"/>
  <c r="CB462" i="8"/>
  <c r="CA462" i="8"/>
  <c r="CC454" i="8"/>
  <c r="CB454" i="8"/>
  <c r="CA454" i="8"/>
  <c r="CC453" i="8"/>
  <c r="CB453" i="8"/>
  <c r="CA453" i="8"/>
  <c r="CC452" i="8"/>
  <c r="CB452" i="8"/>
  <c r="CA452" i="8"/>
  <c r="CC444" i="8"/>
  <c r="CB444" i="8"/>
  <c r="CA444" i="8"/>
  <c r="CC443" i="8"/>
  <c r="CB443" i="8"/>
  <c r="CA443" i="8"/>
  <c r="CC442" i="8"/>
  <c r="CB442" i="8"/>
  <c r="CA442" i="8"/>
  <c r="CC434" i="8"/>
  <c r="CB434" i="8"/>
  <c r="CA434" i="8"/>
  <c r="CC433" i="8"/>
  <c r="CB433" i="8"/>
  <c r="CA433" i="8"/>
  <c r="CC432" i="8"/>
  <c r="CB432" i="8"/>
  <c r="CA432" i="8"/>
  <c r="CC424" i="8"/>
  <c r="CB424" i="8"/>
  <c r="CA424" i="8"/>
  <c r="CC423" i="8"/>
  <c r="CB423" i="8"/>
  <c r="CA423" i="8"/>
  <c r="CC422" i="8"/>
  <c r="CB422" i="8"/>
  <c r="CA422" i="8"/>
  <c r="CC414" i="8"/>
  <c r="CB414" i="8"/>
  <c r="CA414" i="8"/>
  <c r="CC413" i="8"/>
  <c r="CB413" i="8"/>
  <c r="CA413" i="8"/>
  <c r="CC412" i="8"/>
  <c r="CB412" i="8"/>
  <c r="CA412" i="8"/>
  <c r="CC404" i="8"/>
  <c r="CB404" i="8"/>
  <c r="CA404" i="8"/>
  <c r="CC403" i="8"/>
  <c r="CB403" i="8"/>
  <c r="CA403" i="8"/>
  <c r="CC402" i="8"/>
  <c r="CB402" i="8"/>
  <c r="CA402" i="8"/>
  <c r="CC394" i="8"/>
  <c r="CB394" i="8"/>
  <c r="CA394" i="8"/>
  <c r="CC393" i="8"/>
  <c r="CB393" i="8"/>
  <c r="CA393" i="8"/>
  <c r="CC392" i="8"/>
  <c r="CB392" i="8"/>
  <c r="CA392" i="8"/>
  <c r="CC384" i="8"/>
  <c r="CB384" i="8"/>
  <c r="CA384" i="8"/>
  <c r="CC383" i="8"/>
  <c r="CB383" i="8"/>
  <c r="CA383" i="8"/>
  <c r="CC382" i="8"/>
  <c r="CB382" i="8"/>
  <c r="CA382" i="8"/>
  <c r="CC374" i="8"/>
  <c r="CB374" i="8"/>
  <c r="CA374" i="8"/>
  <c r="CC373" i="8"/>
  <c r="CB373" i="8"/>
  <c r="CA373" i="8"/>
  <c r="CC372" i="8"/>
  <c r="CB372" i="8"/>
  <c r="CA372" i="8"/>
  <c r="CC364" i="8"/>
  <c r="CB364" i="8"/>
  <c r="CA364" i="8"/>
  <c r="CC363" i="8"/>
  <c r="CB363" i="8"/>
  <c r="CA363" i="8"/>
  <c r="CC362" i="8"/>
  <c r="CB362" i="8"/>
  <c r="CA362" i="8"/>
  <c r="CC354" i="8"/>
  <c r="CB354" i="8"/>
  <c r="CA354" i="8"/>
  <c r="CC353" i="8"/>
  <c r="CB353" i="8"/>
  <c r="CA353" i="8"/>
  <c r="CC352" i="8"/>
  <c r="CB352" i="8"/>
  <c r="CA352" i="8"/>
  <c r="CC344" i="8"/>
  <c r="CB344" i="8"/>
  <c r="CA344" i="8"/>
  <c r="CC343" i="8"/>
  <c r="CB343" i="8"/>
  <c r="CA343" i="8"/>
  <c r="CC342" i="8"/>
  <c r="CB342" i="8"/>
  <c r="CA342" i="8"/>
  <c r="CC334" i="8"/>
  <c r="CB334" i="8"/>
  <c r="CA334" i="8"/>
  <c r="CC333" i="8"/>
  <c r="CB333" i="8"/>
  <c r="CA333" i="8"/>
  <c r="CC332" i="8"/>
  <c r="CB332" i="8"/>
  <c r="CA332" i="8"/>
  <c r="CC324" i="8"/>
  <c r="CB324" i="8"/>
  <c r="CA324" i="8"/>
  <c r="CC323" i="8"/>
  <c r="CB323" i="8"/>
  <c r="CA323" i="8"/>
  <c r="CC322" i="8"/>
  <c r="CB322" i="8"/>
  <c r="CA322" i="8"/>
  <c r="CC314" i="8"/>
  <c r="CB314" i="8"/>
  <c r="CA314" i="8"/>
  <c r="CC313" i="8"/>
  <c r="CB313" i="8"/>
  <c r="CA313" i="8"/>
  <c r="CC312" i="8"/>
  <c r="CB312" i="8"/>
  <c r="CA312" i="8"/>
  <c r="CC304" i="8"/>
  <c r="CB304" i="8"/>
  <c r="CA304" i="8"/>
  <c r="CC303" i="8"/>
  <c r="CB303" i="8"/>
  <c r="CA303" i="8"/>
  <c r="CC302" i="8"/>
  <c r="CB302" i="8"/>
  <c r="CA302" i="8"/>
  <c r="CC294" i="8"/>
  <c r="CB294" i="8"/>
  <c r="CA294" i="8"/>
  <c r="CC293" i="8"/>
  <c r="CB293" i="8"/>
  <c r="CA293" i="8"/>
  <c r="CC292" i="8"/>
  <c r="CB292" i="8"/>
  <c r="CA292" i="8"/>
  <c r="CC284" i="8"/>
  <c r="CB284" i="8"/>
  <c r="CA284" i="8"/>
  <c r="CC283" i="8"/>
  <c r="CB283" i="8"/>
  <c r="CA283" i="8"/>
  <c r="CC282" i="8"/>
  <c r="CB282" i="8"/>
  <c r="CA282" i="8"/>
  <c r="CC274" i="8"/>
  <c r="CB274" i="8"/>
  <c r="CA274" i="8"/>
  <c r="CC273" i="8"/>
  <c r="CB273" i="8"/>
  <c r="CA273" i="8"/>
  <c r="CC272" i="8"/>
  <c r="CB272" i="8"/>
  <c r="CA272" i="8"/>
  <c r="CC264" i="8"/>
  <c r="CB264" i="8"/>
  <c r="CA264" i="8"/>
  <c r="CC263" i="8"/>
  <c r="CB263" i="8"/>
  <c r="CA263" i="8"/>
  <c r="CC262" i="8"/>
  <c r="CB262" i="8"/>
  <c r="CA262" i="8"/>
  <c r="CC254" i="8"/>
  <c r="CB254" i="8"/>
  <c r="CA254" i="8"/>
  <c r="CC253" i="8"/>
  <c r="CB253" i="8"/>
  <c r="CA253" i="8"/>
  <c r="CC252" i="8"/>
  <c r="CB252" i="8"/>
  <c r="CA252" i="8"/>
  <c r="CC244" i="8"/>
  <c r="CB244" i="8"/>
  <c r="CA244" i="8"/>
  <c r="CC243" i="8"/>
  <c r="CB243" i="8"/>
  <c r="CA243" i="8"/>
  <c r="CC242" i="8"/>
  <c r="CB242" i="8"/>
  <c r="CA242" i="8"/>
  <c r="CC234" i="8"/>
  <c r="CB234" i="8"/>
  <c r="CA234" i="8"/>
  <c r="CC233" i="8"/>
  <c r="CB233" i="8"/>
  <c r="CA233" i="8"/>
  <c r="CC232" i="8"/>
  <c r="CB232" i="8"/>
  <c r="CA232" i="8"/>
  <c r="CC224" i="8"/>
  <c r="CB224" i="8"/>
  <c r="CA224" i="8"/>
  <c r="CC223" i="8"/>
  <c r="CB223" i="8"/>
  <c r="CA223" i="8"/>
  <c r="CC222" i="8"/>
  <c r="CB222" i="8"/>
  <c r="CA222" i="8"/>
  <c r="CC214" i="8"/>
  <c r="CB214" i="8"/>
  <c r="CA214" i="8"/>
  <c r="CC213" i="8"/>
  <c r="CB213" i="8"/>
  <c r="CA213" i="8"/>
  <c r="CC212" i="8"/>
  <c r="CB212" i="8"/>
  <c r="CA212" i="8"/>
  <c r="CC204" i="8"/>
  <c r="CB204" i="8"/>
  <c r="CA204" i="8"/>
  <c r="CC203" i="8"/>
  <c r="CB203" i="8"/>
  <c r="CA203" i="8"/>
  <c r="CC202" i="8"/>
  <c r="CB202" i="8"/>
  <c r="CA202" i="8"/>
  <c r="CC194" i="8"/>
  <c r="CB194" i="8"/>
  <c r="CA194" i="8"/>
  <c r="CC193" i="8"/>
  <c r="CB193" i="8"/>
  <c r="CA193" i="8"/>
  <c r="CC192" i="8"/>
  <c r="CB192" i="8"/>
  <c r="CA192" i="8"/>
  <c r="CC184" i="8"/>
  <c r="CB184" i="8"/>
  <c r="CA184" i="8"/>
  <c r="CC183" i="8"/>
  <c r="CB183" i="8"/>
  <c r="CA183" i="8"/>
  <c r="CC182" i="8"/>
  <c r="CB182" i="8"/>
  <c r="CA182" i="8"/>
  <c r="CC174" i="8"/>
  <c r="CB174" i="8"/>
  <c r="CA174" i="8"/>
  <c r="CC173" i="8"/>
  <c r="CB173" i="8"/>
  <c r="CA173" i="8"/>
  <c r="CC172" i="8"/>
  <c r="CB172" i="8"/>
  <c r="CA172" i="8"/>
  <c r="CC164" i="8"/>
  <c r="CB164" i="8"/>
  <c r="CA164" i="8"/>
  <c r="CC163" i="8"/>
  <c r="CB163" i="8"/>
  <c r="CA163" i="8"/>
  <c r="CC162" i="8"/>
  <c r="CB162" i="8"/>
  <c r="CA162" i="8"/>
  <c r="CC154" i="8"/>
  <c r="CB154" i="8"/>
  <c r="CA154" i="8"/>
  <c r="CC153" i="8"/>
  <c r="CB153" i="8"/>
  <c r="CA153" i="8"/>
  <c r="CC152" i="8"/>
  <c r="CB152" i="8"/>
  <c r="CA152" i="8"/>
  <c r="CC144" i="8"/>
  <c r="CB144" i="8"/>
  <c r="CA144" i="8"/>
  <c r="CC143" i="8"/>
  <c r="CB143" i="8"/>
  <c r="CA143" i="8"/>
  <c r="CC142" i="8"/>
  <c r="CB142" i="8"/>
  <c r="CA142" i="8"/>
  <c r="CC134" i="8"/>
  <c r="CB134" i="8"/>
  <c r="CA134" i="8"/>
  <c r="CC133" i="8"/>
  <c r="CB133" i="8"/>
  <c r="CA133" i="8"/>
  <c r="CC132" i="8"/>
  <c r="CB132" i="8"/>
  <c r="CA132" i="8"/>
  <c r="CC124" i="8"/>
  <c r="CB124" i="8"/>
  <c r="CA124" i="8"/>
  <c r="CC123" i="8"/>
  <c r="CB123" i="8"/>
  <c r="CA123" i="8"/>
  <c r="CC122" i="8"/>
  <c r="CB122" i="8"/>
  <c r="CA122" i="8"/>
  <c r="CA116" i="8"/>
  <c r="CA126" i="8" s="1"/>
  <c r="CA136" i="8" s="1"/>
  <c r="CA146" i="8" s="1"/>
  <c r="CA156" i="8" s="1"/>
  <c r="CA166" i="8" s="1"/>
  <c r="CA176" i="8" s="1"/>
  <c r="CA186" i="8" s="1"/>
  <c r="CA196" i="8" s="1"/>
  <c r="CA206" i="8" s="1"/>
  <c r="CA216" i="8" s="1"/>
  <c r="CA226" i="8" s="1"/>
  <c r="CA236" i="8" s="1"/>
  <c r="CA246" i="8" s="1"/>
  <c r="CA256" i="8" s="1"/>
  <c r="CA266" i="8" s="1"/>
  <c r="CA276" i="8" s="1"/>
  <c r="CA286" i="8" s="1"/>
  <c r="CA296" i="8" s="1"/>
  <c r="CA306" i="8" s="1"/>
  <c r="CA316" i="8" s="1"/>
  <c r="CA326" i="8" s="1"/>
  <c r="CA336" i="8" s="1"/>
  <c r="CA346" i="8" s="1"/>
  <c r="CA356" i="8" s="1"/>
  <c r="CA366" i="8" s="1"/>
  <c r="CA376" i="8" s="1"/>
  <c r="CA386" i="8" s="1"/>
  <c r="CA396" i="8" s="1"/>
  <c r="CA406" i="8" s="1"/>
  <c r="CA416" i="8" s="1"/>
  <c r="CA426" i="8" s="1"/>
  <c r="CA436" i="8" s="1"/>
  <c r="CA446" i="8" s="1"/>
  <c r="CA456" i="8" s="1"/>
  <c r="CA466" i="8" s="1"/>
  <c r="CA476" i="8" s="1"/>
  <c r="CA486" i="8" s="1"/>
  <c r="CA496" i="8" s="1"/>
  <c r="CA506" i="8" s="1"/>
  <c r="CA516" i="8" s="1"/>
  <c r="CA526" i="8" s="1"/>
  <c r="CA536" i="8" s="1"/>
  <c r="CA546" i="8" s="1"/>
  <c r="CA556" i="8" s="1"/>
  <c r="CA566" i="8" s="1"/>
  <c r="CA576" i="8" s="1"/>
  <c r="CA586" i="8" s="1"/>
  <c r="CA596" i="8" s="1"/>
  <c r="CA606" i="8" s="1"/>
  <c r="CA616" i="8" s="1"/>
  <c r="CA626" i="8" s="1"/>
  <c r="CA636" i="8" s="1"/>
  <c r="CA646" i="8" s="1"/>
  <c r="CA656" i="8" s="1"/>
  <c r="BU116" i="8"/>
  <c r="BU126" i="8" s="1"/>
  <c r="BU136" i="8" s="1"/>
  <c r="BU146" i="8" s="1"/>
  <c r="BU156" i="8" s="1"/>
  <c r="BU166" i="8" s="1"/>
  <c r="BU176" i="8" s="1"/>
  <c r="BU186" i="8" s="1"/>
  <c r="BU196" i="8" s="1"/>
  <c r="BU206" i="8" s="1"/>
  <c r="BU216" i="8" s="1"/>
  <c r="BU226" i="8" s="1"/>
  <c r="BU236" i="8" s="1"/>
  <c r="BU246" i="8" s="1"/>
  <c r="BU256" i="8" s="1"/>
  <c r="BU266" i="8" s="1"/>
  <c r="BU276" i="8" s="1"/>
  <c r="BU286" i="8" s="1"/>
  <c r="BU296" i="8" s="1"/>
  <c r="BU306" i="8" s="1"/>
  <c r="BU316" i="8" s="1"/>
  <c r="BU326" i="8" s="1"/>
  <c r="BU336" i="8" s="1"/>
  <c r="BU346" i="8" s="1"/>
  <c r="BU356" i="8" s="1"/>
  <c r="BU366" i="8" s="1"/>
  <c r="BU376" i="8" s="1"/>
  <c r="BU386" i="8" s="1"/>
  <c r="BU396" i="8" s="1"/>
  <c r="BU406" i="8" s="1"/>
  <c r="BU416" i="8" s="1"/>
  <c r="BU426" i="8" s="1"/>
  <c r="BU436" i="8" s="1"/>
  <c r="BU446" i="8" s="1"/>
  <c r="BU456" i="8" s="1"/>
  <c r="BU466" i="8" s="1"/>
  <c r="BU476" i="8" s="1"/>
  <c r="BU486" i="8" s="1"/>
  <c r="BU496" i="8" s="1"/>
  <c r="BU506" i="8" s="1"/>
  <c r="BU516" i="8" s="1"/>
  <c r="BU526" i="8" s="1"/>
  <c r="BU536" i="8" s="1"/>
  <c r="BU546" i="8" s="1"/>
  <c r="BU556" i="8" s="1"/>
  <c r="BU566" i="8" s="1"/>
  <c r="BU576" i="8" s="1"/>
  <c r="BU586" i="8" s="1"/>
  <c r="BU596" i="8" s="1"/>
  <c r="BU606" i="8" s="1"/>
  <c r="BU616" i="8" s="1"/>
  <c r="BU626" i="8" s="1"/>
  <c r="BU636" i="8" s="1"/>
  <c r="BU646" i="8" s="1"/>
  <c r="BU656" i="8" s="1"/>
  <c r="CC114" i="8"/>
  <c r="CB114" i="8"/>
  <c r="CA114" i="8"/>
  <c r="CC113" i="8"/>
  <c r="CB113" i="8"/>
  <c r="CA113" i="8"/>
  <c r="CC112" i="8"/>
  <c r="CB112" i="8"/>
  <c r="CA112" i="8"/>
  <c r="BW111" i="8"/>
  <c r="BV119" i="8" s="1"/>
  <c r="BW109" i="8"/>
  <c r="BV109" i="8"/>
  <c r="BU109" i="8"/>
  <c r="CC104" i="8"/>
  <c r="CB104" i="8"/>
  <c r="CA104" i="8"/>
  <c r="CC103" i="8"/>
  <c r="CB103" i="8"/>
  <c r="CA103" i="8"/>
  <c r="CC102" i="8"/>
  <c r="CB102" i="8"/>
  <c r="CA102" i="8"/>
  <c r="DH78" i="8"/>
  <c r="DG78" i="8"/>
  <c r="DF78" i="8"/>
  <c r="CF78" i="8"/>
  <c r="CE78" i="8"/>
  <c r="CD78" i="8"/>
  <c r="DH77" i="8"/>
  <c r="DG77" i="8"/>
  <c r="DF77" i="8"/>
  <c r="CF77" i="8"/>
  <c r="CE77" i="8"/>
  <c r="CD77" i="8"/>
  <c r="DH76" i="8"/>
  <c r="DG76" i="8"/>
  <c r="DF76" i="8"/>
  <c r="CF76" i="8"/>
  <c r="CE76" i="8"/>
  <c r="CD76" i="8"/>
  <c r="N73" i="8"/>
  <c r="M73" i="8"/>
  <c r="L73" i="8"/>
  <c r="N72" i="8"/>
  <c r="M72" i="8"/>
  <c r="L72" i="8"/>
  <c r="N71" i="8"/>
  <c r="M71" i="8"/>
  <c r="L71" i="8"/>
  <c r="DJ68" i="8"/>
  <c r="DI68" i="8"/>
  <c r="DH68" i="8"/>
  <c r="CA68" i="8"/>
  <c r="BZ68" i="8"/>
  <c r="BY68" i="8"/>
  <c r="DJ67" i="8"/>
  <c r="DI67" i="8"/>
  <c r="DH67" i="8"/>
  <c r="CA67" i="8"/>
  <c r="BZ67" i="8"/>
  <c r="BY67" i="8"/>
  <c r="AW67" i="8"/>
  <c r="AV67" i="8"/>
  <c r="AU67" i="8"/>
  <c r="DJ66" i="8"/>
  <c r="DI66" i="8"/>
  <c r="DH66" i="8"/>
  <c r="CA66" i="8"/>
  <c r="BZ66" i="8"/>
  <c r="BY66" i="8"/>
  <c r="AW66" i="8"/>
  <c r="AV66" i="8"/>
  <c r="AU66" i="8"/>
  <c r="AW65" i="8"/>
  <c r="AV65" i="8"/>
  <c r="AU65" i="8"/>
  <c r="AQ61" i="8"/>
  <c r="AP61" i="8"/>
  <c r="AO61" i="8"/>
  <c r="AQ60" i="8"/>
  <c r="AP60" i="8"/>
  <c r="AO60" i="8"/>
  <c r="AQ59" i="8"/>
  <c r="AP59" i="8"/>
  <c r="AO59" i="8"/>
  <c r="DM58" i="8"/>
  <c r="DL58" i="8"/>
  <c r="DK58" i="8"/>
  <c r="BW58" i="8"/>
  <c r="BV58" i="8"/>
  <c r="BU58" i="8"/>
  <c r="DM57" i="8"/>
  <c r="DL57" i="8"/>
  <c r="DK57" i="8"/>
  <c r="BW57" i="8"/>
  <c r="BV57" i="8"/>
  <c r="BU57" i="8"/>
  <c r="DM56" i="8"/>
  <c r="DL56" i="8"/>
  <c r="DK56" i="8"/>
  <c r="BW56" i="8"/>
  <c r="BV56" i="8"/>
  <c r="BU56" i="8"/>
  <c r="S54" i="8"/>
  <c r="R54" i="8"/>
  <c r="Q54" i="8"/>
  <c r="S53" i="8"/>
  <c r="R53" i="8"/>
  <c r="Q53" i="8"/>
  <c r="S52" i="8"/>
  <c r="R52" i="8"/>
  <c r="Q52" i="8"/>
  <c r="DP48" i="8"/>
  <c r="DO48" i="8"/>
  <c r="DN48" i="8"/>
  <c r="BQ48" i="8"/>
  <c r="BP48" i="8"/>
  <c r="BO48" i="8"/>
  <c r="DP47" i="8"/>
  <c r="DO47" i="8"/>
  <c r="DN47" i="8"/>
  <c r="BQ47" i="8"/>
  <c r="BP47" i="8"/>
  <c r="BO47" i="8"/>
  <c r="DP46" i="8"/>
  <c r="DO46" i="8"/>
  <c r="DN46" i="8"/>
  <c r="BQ46" i="8"/>
  <c r="BP46" i="8"/>
  <c r="BO46" i="8"/>
  <c r="L43" i="8"/>
  <c r="DT38" i="8"/>
  <c r="DS38" i="8"/>
  <c r="DR38" i="8"/>
  <c r="BL38" i="8"/>
  <c r="BK38" i="8"/>
  <c r="BJ38" i="8"/>
  <c r="DT37" i="8"/>
  <c r="DS37" i="8"/>
  <c r="DR37" i="8"/>
  <c r="BL37" i="8"/>
  <c r="BK37" i="8"/>
  <c r="BJ37" i="8"/>
  <c r="R37" i="8"/>
  <c r="DT36" i="8"/>
  <c r="DS36" i="8"/>
  <c r="DR36" i="8"/>
  <c r="BL36" i="8"/>
  <c r="BK36" i="8"/>
  <c r="BJ36" i="8"/>
  <c r="R36" i="8"/>
  <c r="R35" i="8"/>
  <c r="R34" i="8"/>
  <c r="N34" i="8"/>
  <c r="M34" i="8"/>
  <c r="L34" i="8"/>
  <c r="R33" i="8"/>
  <c r="N33" i="8"/>
  <c r="M33" i="8"/>
  <c r="L33" i="8"/>
  <c r="N32" i="8"/>
  <c r="M32" i="8"/>
  <c r="L32" i="8"/>
  <c r="T28" i="8"/>
  <c r="R28" i="8"/>
  <c r="N28" i="8"/>
  <c r="M28" i="8"/>
  <c r="L28" i="8"/>
  <c r="EI27" i="8"/>
  <c r="EH27" i="8"/>
  <c r="EG27" i="8"/>
  <c r="EA27" i="8"/>
  <c r="DZ27" i="8"/>
  <c r="DY27" i="8"/>
  <c r="BE27" i="8"/>
  <c r="BD27" i="8"/>
  <c r="BC27" i="8"/>
  <c r="AR27" i="8"/>
  <c r="AQ27" i="8"/>
  <c r="AP27" i="8"/>
  <c r="T27" i="8"/>
  <c r="R27" i="8"/>
  <c r="N27" i="8"/>
  <c r="M27" i="8"/>
  <c r="L27" i="8"/>
  <c r="EI26" i="8"/>
  <c r="EH26" i="8"/>
  <c r="EG26" i="8"/>
  <c r="EA26" i="8"/>
  <c r="DZ26" i="8"/>
  <c r="DY26" i="8"/>
  <c r="BE26" i="8"/>
  <c r="BD26" i="8"/>
  <c r="BC26" i="8"/>
  <c r="AR26" i="8"/>
  <c r="AQ26" i="8"/>
  <c r="AP26" i="8"/>
  <c r="N26" i="8"/>
  <c r="M26" i="8"/>
  <c r="L26" i="8"/>
  <c r="EI25" i="8"/>
  <c r="EH25" i="8"/>
  <c r="EG25" i="8"/>
  <c r="EA25" i="8"/>
  <c r="DZ25" i="8"/>
  <c r="DY25" i="8"/>
  <c r="BE25" i="8"/>
  <c r="BD25" i="8"/>
  <c r="BC25" i="8"/>
  <c r="AR25" i="8"/>
  <c r="AQ25" i="8"/>
  <c r="AP25" i="8"/>
  <c r="P22" i="8"/>
  <c r="N22" i="8"/>
  <c r="F22" i="8"/>
  <c r="D22" i="8"/>
  <c r="EE16" i="8"/>
  <c r="ED16" i="8"/>
  <c r="EC16" i="8"/>
  <c r="AX16" i="8"/>
  <c r="AW16" i="8"/>
  <c r="AV16" i="8"/>
  <c r="EE15" i="8"/>
  <c r="ED15" i="8"/>
  <c r="EC15" i="8"/>
  <c r="CF15" i="8"/>
  <c r="CE15" i="8"/>
  <c r="CD15" i="8"/>
  <c r="AX15" i="8"/>
  <c r="AW15" i="8"/>
  <c r="AV15" i="8"/>
  <c r="EE14" i="8"/>
  <c r="ED14" i="8"/>
  <c r="EC14" i="8"/>
  <c r="CF14" i="8"/>
  <c r="CE14" i="8"/>
  <c r="CD14" i="8"/>
  <c r="AX14" i="8"/>
  <c r="AW14" i="8"/>
  <c r="AV14" i="8"/>
  <c r="CF13" i="8"/>
  <c r="CE13" i="8"/>
  <c r="CD13" i="8"/>
  <c r="Q10" i="8"/>
  <c r="P10" i="8"/>
  <c r="O9" i="13" s="1"/>
  <c r="O10" i="8"/>
  <c r="Q9" i="8"/>
  <c r="P9" i="8"/>
  <c r="O9" i="8"/>
  <c r="Q8" i="8"/>
  <c r="P8" i="8"/>
  <c r="O8" i="8"/>
  <c r="BA7" i="8"/>
  <c r="AR13" i="8" s="1"/>
  <c r="AQ18" i="8" s="1"/>
  <c r="AL24" i="8" s="1"/>
  <c r="AJ29" i="8" s="1"/>
  <c r="AO29" i="8" s="1"/>
  <c r="AV18" i="8" s="1"/>
  <c r="AY24" i="8" s="1"/>
  <c r="AW29" i="8" s="1"/>
  <c r="BC29" i="8" s="1"/>
  <c r="BF35" i="8" s="1"/>
  <c r="BD40" i="8" s="1"/>
  <c r="BI40" i="8" s="1"/>
  <c r="BK45" i="8" s="1"/>
  <c r="BI50" i="8" s="1"/>
  <c r="BN50" i="8" s="1"/>
  <c r="DU7" i="8" s="1"/>
  <c r="DY13" i="8" s="1"/>
  <c r="DX18" i="8" s="1"/>
  <c r="DU24" i="8" s="1"/>
  <c r="DR29" i="8" s="1"/>
  <c r="DN35" i="8" s="1"/>
  <c r="DN40" i="8" s="1"/>
  <c r="DJ45" i="8" s="1"/>
  <c r="DJ50" i="8" s="1"/>
  <c r="DO50" i="8" s="1"/>
  <c r="DS40" i="8" s="1"/>
  <c r="DX29" i="8" s="1"/>
  <c r="EE18" i="8" s="1"/>
  <c r="EC24" i="8" s="1"/>
  <c r="EC29" i="8" s="1"/>
  <c r="EH29" i="8" s="1"/>
  <c r="CL5" i="8"/>
  <c r="CK5" i="8"/>
  <c r="CJ5" i="8"/>
  <c r="U5" i="8"/>
  <c r="T5" i="8"/>
  <c r="S5" i="8"/>
  <c r="CL4" i="8"/>
  <c r="CK4" i="8"/>
  <c r="CJ4" i="8"/>
  <c r="U4" i="8"/>
  <c r="T4" i="8"/>
  <c r="S4" i="8"/>
  <c r="CL3" i="8"/>
  <c r="CK3" i="8"/>
  <c r="CJ3" i="8"/>
  <c r="U3" i="8"/>
  <c r="T3" i="8"/>
  <c r="S3" i="8"/>
  <c r="AM1009" i="15"/>
  <c r="AG1009" i="15" s="1"/>
  <c r="AM1008" i="15"/>
  <c r="AG1008" i="15" s="1"/>
  <c r="AM1007" i="15"/>
  <c r="AG1007" i="15" s="1"/>
  <c r="AM1006" i="15"/>
  <c r="AG1006" i="15" s="1"/>
  <c r="AM1005" i="15"/>
  <c r="AG1005" i="15" s="1"/>
  <c r="AM1004" i="15"/>
  <c r="AG1004" i="15" s="1"/>
  <c r="AM1003" i="15"/>
  <c r="AG1003" i="15" s="1"/>
  <c r="AM1002" i="15"/>
  <c r="AG1002" i="15" s="1"/>
  <c r="AM1001" i="15"/>
  <c r="AG1001" i="15" s="1"/>
  <c r="AM1000" i="15"/>
  <c r="AG1000" i="15" s="1"/>
  <c r="AM999" i="15"/>
  <c r="AG999" i="15" s="1"/>
  <c r="AM998" i="15"/>
  <c r="AG998" i="15" s="1"/>
  <c r="AM997" i="15"/>
  <c r="AG997" i="15" s="1"/>
  <c r="AM996" i="15"/>
  <c r="AG996" i="15" s="1"/>
  <c r="AM995" i="15"/>
  <c r="AG995" i="15" s="1"/>
  <c r="AM994" i="15"/>
  <c r="AG994" i="15" s="1"/>
  <c r="AM993" i="15"/>
  <c r="AG993" i="15" s="1"/>
  <c r="AM992" i="15"/>
  <c r="AG992" i="15" s="1"/>
  <c r="AM991" i="15"/>
  <c r="AG991" i="15" s="1"/>
  <c r="AM990" i="15"/>
  <c r="AG990" i="15" s="1"/>
  <c r="AM989" i="15"/>
  <c r="AG989" i="15" s="1"/>
  <c r="AM988" i="15"/>
  <c r="AG988" i="15" s="1"/>
  <c r="AM987" i="15"/>
  <c r="AG987" i="15" s="1"/>
  <c r="AM986" i="15"/>
  <c r="AG986" i="15" s="1"/>
  <c r="AM985" i="15"/>
  <c r="AG985" i="15" s="1"/>
  <c r="AM984" i="15"/>
  <c r="AG984" i="15" s="1"/>
  <c r="AM983" i="15"/>
  <c r="AG983" i="15" s="1"/>
  <c r="AM982" i="15"/>
  <c r="AG982" i="15" s="1"/>
  <c r="AM981" i="15"/>
  <c r="AG981" i="15" s="1"/>
  <c r="AM980" i="15"/>
  <c r="AG980" i="15" s="1"/>
  <c r="AM979" i="15"/>
  <c r="AG979" i="15" s="1"/>
  <c r="AM978" i="15"/>
  <c r="AG978" i="15" s="1"/>
  <c r="AM977" i="15"/>
  <c r="AG977" i="15" s="1"/>
  <c r="AM976" i="15"/>
  <c r="AG976" i="15" s="1"/>
  <c r="AM975" i="15"/>
  <c r="AG975" i="15" s="1"/>
  <c r="AM974" i="15"/>
  <c r="AG974" i="15" s="1"/>
  <c r="AM973" i="15"/>
  <c r="AG973" i="15" s="1"/>
  <c r="AM972" i="15"/>
  <c r="AG972" i="15" s="1"/>
  <c r="AM971" i="15"/>
  <c r="AG971" i="15" s="1"/>
  <c r="AM970" i="15"/>
  <c r="AG970" i="15" s="1"/>
  <c r="AM969" i="15"/>
  <c r="AG969" i="15" s="1"/>
  <c r="AM968" i="15"/>
  <c r="AG968" i="15" s="1"/>
  <c r="AM967" i="15"/>
  <c r="AG967" i="15" s="1"/>
  <c r="AM966" i="15"/>
  <c r="AG966" i="15" s="1"/>
  <c r="AM965" i="15"/>
  <c r="AG965" i="15" s="1"/>
  <c r="AM964" i="15"/>
  <c r="AG964" i="15" s="1"/>
  <c r="AM963" i="15"/>
  <c r="AG963" i="15" s="1"/>
  <c r="AM962" i="15"/>
  <c r="AG962" i="15" s="1"/>
  <c r="AM961" i="15"/>
  <c r="AG961" i="15" s="1"/>
  <c r="AM960" i="15"/>
  <c r="AG960" i="15" s="1"/>
  <c r="AM959" i="15"/>
  <c r="AG959" i="15" s="1"/>
  <c r="AM958" i="15"/>
  <c r="AG958" i="15" s="1"/>
  <c r="AM957" i="15"/>
  <c r="AG957" i="15" s="1"/>
  <c r="AM956" i="15"/>
  <c r="AG956" i="15" s="1"/>
  <c r="AM955" i="15"/>
  <c r="AG955" i="15" s="1"/>
  <c r="AM954" i="15"/>
  <c r="AG954" i="15" s="1"/>
  <c r="AM953" i="15"/>
  <c r="AG953" i="15" s="1"/>
  <c r="AM952" i="15"/>
  <c r="AG952" i="15" s="1"/>
  <c r="AM951" i="15"/>
  <c r="AG951" i="15" s="1"/>
  <c r="AM950" i="15"/>
  <c r="AG950" i="15" s="1"/>
  <c r="AM949" i="15"/>
  <c r="AG949" i="15" s="1"/>
  <c r="AM948" i="15"/>
  <c r="AG948" i="15" s="1"/>
  <c r="AM947" i="15"/>
  <c r="AG947" i="15" s="1"/>
  <c r="AM946" i="15"/>
  <c r="AG946" i="15" s="1"/>
  <c r="AM945" i="15"/>
  <c r="AG945" i="15" s="1"/>
  <c r="AM944" i="15"/>
  <c r="AG944" i="15" s="1"/>
  <c r="AM943" i="15"/>
  <c r="AG943" i="15" s="1"/>
  <c r="AM942" i="15"/>
  <c r="AG942" i="15" s="1"/>
  <c r="AM941" i="15"/>
  <c r="AG941" i="15" s="1"/>
  <c r="AM940" i="15"/>
  <c r="AG940" i="15" s="1"/>
  <c r="AM939" i="15"/>
  <c r="AG939" i="15" s="1"/>
  <c r="AM938" i="15"/>
  <c r="AG938" i="15" s="1"/>
  <c r="AM937" i="15"/>
  <c r="AG937" i="15" s="1"/>
  <c r="AM936" i="15"/>
  <c r="AG936" i="15" s="1"/>
  <c r="AM935" i="15"/>
  <c r="AG935" i="15" s="1"/>
  <c r="AM934" i="15"/>
  <c r="AG934" i="15" s="1"/>
  <c r="AM933" i="15"/>
  <c r="AG933" i="15" s="1"/>
  <c r="AM932" i="15"/>
  <c r="AG932" i="15" s="1"/>
  <c r="AM931" i="15"/>
  <c r="AG931" i="15" s="1"/>
  <c r="AM930" i="15"/>
  <c r="AG930" i="15" s="1"/>
  <c r="AM929" i="15"/>
  <c r="AG929" i="15" s="1"/>
  <c r="AM928" i="15"/>
  <c r="AG928" i="15" s="1"/>
  <c r="AM927" i="15"/>
  <c r="AG927" i="15" s="1"/>
  <c r="AM926" i="15"/>
  <c r="AG926" i="15" s="1"/>
  <c r="AM925" i="15"/>
  <c r="AG925" i="15" s="1"/>
  <c r="AM924" i="15"/>
  <c r="AG924" i="15" s="1"/>
  <c r="AM923" i="15"/>
  <c r="AG923" i="15" s="1"/>
  <c r="AM922" i="15"/>
  <c r="AG922" i="15" s="1"/>
  <c r="AM921" i="15"/>
  <c r="AG921" i="15" s="1"/>
  <c r="AM920" i="15"/>
  <c r="AG920" i="15" s="1"/>
  <c r="AM919" i="15"/>
  <c r="AG919" i="15" s="1"/>
  <c r="AM918" i="15"/>
  <c r="AG918" i="15" s="1"/>
  <c r="AM917" i="15"/>
  <c r="AG917" i="15" s="1"/>
  <c r="AM916" i="15"/>
  <c r="AG916" i="15" s="1"/>
  <c r="AM915" i="15"/>
  <c r="AG915" i="15" s="1"/>
  <c r="AM914" i="15"/>
  <c r="AG914" i="15" s="1"/>
  <c r="AM913" i="15"/>
  <c r="AG913" i="15" s="1"/>
  <c r="AM912" i="15"/>
  <c r="AG912" i="15" s="1"/>
  <c r="AM911" i="15"/>
  <c r="AG911" i="15" s="1"/>
  <c r="AM910" i="15"/>
  <c r="AG910" i="15" s="1"/>
  <c r="AM909" i="15"/>
  <c r="AG909" i="15" s="1"/>
  <c r="AM908" i="15"/>
  <c r="AG908" i="15" s="1"/>
  <c r="AM907" i="15"/>
  <c r="AG907" i="15" s="1"/>
  <c r="AM906" i="15"/>
  <c r="AG906" i="15" s="1"/>
  <c r="AM905" i="15"/>
  <c r="AG905" i="15" s="1"/>
  <c r="AM904" i="15"/>
  <c r="AG904" i="15" s="1"/>
  <c r="AM903" i="15"/>
  <c r="AG903" i="15" s="1"/>
  <c r="AM902" i="15"/>
  <c r="AG902" i="15" s="1"/>
  <c r="AM901" i="15"/>
  <c r="AG901" i="15" s="1"/>
  <c r="AM900" i="15"/>
  <c r="AG900" i="15" s="1"/>
  <c r="AM899" i="15"/>
  <c r="AG899" i="15" s="1"/>
  <c r="AM898" i="15"/>
  <c r="AG898" i="15" s="1"/>
  <c r="AM897" i="15"/>
  <c r="AG897" i="15" s="1"/>
  <c r="AM896" i="15"/>
  <c r="AG896" i="15" s="1"/>
  <c r="AM895" i="15"/>
  <c r="AG895" i="15" s="1"/>
  <c r="AM894" i="15"/>
  <c r="AG894" i="15" s="1"/>
  <c r="AM893" i="15"/>
  <c r="AG893" i="15" s="1"/>
  <c r="AM892" i="15"/>
  <c r="AG892" i="15" s="1"/>
  <c r="AM891" i="15"/>
  <c r="AG891" i="15" s="1"/>
  <c r="AM890" i="15"/>
  <c r="AG890" i="15" s="1"/>
  <c r="AM889" i="15"/>
  <c r="AG889" i="15" s="1"/>
  <c r="AM888" i="15"/>
  <c r="AG888" i="15" s="1"/>
  <c r="AM887" i="15"/>
  <c r="AG887" i="15" s="1"/>
  <c r="AM886" i="15"/>
  <c r="AG886" i="15" s="1"/>
  <c r="AM885" i="15"/>
  <c r="AG885" i="15" s="1"/>
  <c r="AM884" i="15"/>
  <c r="AG884" i="15" s="1"/>
  <c r="AM883" i="15"/>
  <c r="AG883" i="15" s="1"/>
  <c r="AM882" i="15"/>
  <c r="AG882" i="15" s="1"/>
  <c r="AM881" i="15"/>
  <c r="AG881" i="15" s="1"/>
  <c r="AM880" i="15"/>
  <c r="AG880" i="15" s="1"/>
  <c r="AM879" i="15"/>
  <c r="AG879" i="15" s="1"/>
  <c r="AM878" i="15"/>
  <c r="AG878" i="15" s="1"/>
  <c r="AM877" i="15"/>
  <c r="AG877" i="15" s="1"/>
  <c r="AM876" i="15"/>
  <c r="AG876" i="15" s="1"/>
  <c r="AM875" i="15"/>
  <c r="AG875" i="15" s="1"/>
  <c r="AM874" i="15"/>
  <c r="AG874" i="15" s="1"/>
  <c r="AM873" i="15"/>
  <c r="AG873" i="15" s="1"/>
  <c r="AM872" i="15"/>
  <c r="AG872" i="15" s="1"/>
  <c r="AM871" i="15"/>
  <c r="AG871" i="15" s="1"/>
  <c r="AM870" i="15"/>
  <c r="AG870" i="15" s="1"/>
  <c r="AM869" i="15"/>
  <c r="AG869" i="15" s="1"/>
  <c r="AM868" i="15"/>
  <c r="AG868" i="15" s="1"/>
  <c r="AM867" i="15"/>
  <c r="AG867" i="15" s="1"/>
  <c r="AM866" i="15"/>
  <c r="AG866" i="15" s="1"/>
  <c r="AM865" i="15"/>
  <c r="AG865" i="15" s="1"/>
  <c r="AM864" i="15"/>
  <c r="AG864" i="15" s="1"/>
  <c r="AM863" i="15"/>
  <c r="AG863" i="15" s="1"/>
  <c r="AM862" i="15"/>
  <c r="AG862" i="15" s="1"/>
  <c r="AM861" i="15"/>
  <c r="AG861" i="15" s="1"/>
  <c r="AM860" i="15"/>
  <c r="AG860" i="15" s="1"/>
  <c r="AM859" i="15"/>
  <c r="AG859" i="15" s="1"/>
  <c r="AM858" i="15"/>
  <c r="AG858" i="15" s="1"/>
  <c r="AM857" i="15"/>
  <c r="AG857" i="15" s="1"/>
  <c r="AM856" i="15"/>
  <c r="AG856" i="15" s="1"/>
  <c r="AM855" i="15"/>
  <c r="AG855" i="15" s="1"/>
  <c r="AM854" i="15"/>
  <c r="AG854" i="15" s="1"/>
  <c r="AM853" i="15"/>
  <c r="AG853" i="15" s="1"/>
  <c r="AM852" i="15"/>
  <c r="AG852" i="15" s="1"/>
  <c r="AM851" i="15"/>
  <c r="AG851" i="15" s="1"/>
  <c r="AM850" i="15"/>
  <c r="AG850" i="15" s="1"/>
  <c r="AM849" i="15"/>
  <c r="AG849" i="15" s="1"/>
  <c r="AM848" i="15"/>
  <c r="AG848" i="15" s="1"/>
  <c r="AM847" i="15"/>
  <c r="AG847" i="15" s="1"/>
  <c r="AM846" i="15"/>
  <c r="AG846" i="15" s="1"/>
  <c r="AM845" i="15"/>
  <c r="AG845" i="15" s="1"/>
  <c r="AM844" i="15"/>
  <c r="AG844" i="15" s="1"/>
  <c r="AM843" i="15"/>
  <c r="AG843" i="15" s="1"/>
  <c r="AM842" i="15"/>
  <c r="AG842" i="15" s="1"/>
  <c r="AM841" i="15"/>
  <c r="AG841" i="15" s="1"/>
  <c r="AM840" i="15"/>
  <c r="AG840" i="15" s="1"/>
  <c r="AM839" i="15"/>
  <c r="AG839" i="15" s="1"/>
  <c r="AM838" i="15"/>
  <c r="AG838" i="15" s="1"/>
  <c r="AM837" i="15"/>
  <c r="AG837" i="15" s="1"/>
  <c r="AM836" i="15"/>
  <c r="AG836" i="15" s="1"/>
  <c r="AM835" i="15"/>
  <c r="AG835" i="15" s="1"/>
  <c r="AM834" i="15"/>
  <c r="AG834" i="15" s="1"/>
  <c r="AM833" i="15"/>
  <c r="AG833" i="15" s="1"/>
  <c r="AM832" i="15"/>
  <c r="AG832" i="15" s="1"/>
  <c r="AM831" i="15"/>
  <c r="AG831" i="15" s="1"/>
  <c r="AM830" i="15"/>
  <c r="AG830" i="15" s="1"/>
  <c r="AM829" i="15"/>
  <c r="AG829" i="15" s="1"/>
  <c r="AM828" i="15"/>
  <c r="AG828" i="15" s="1"/>
  <c r="AM827" i="15"/>
  <c r="AG827" i="15" s="1"/>
  <c r="AM826" i="15"/>
  <c r="AG826" i="15" s="1"/>
  <c r="AM825" i="15"/>
  <c r="AG825" i="15" s="1"/>
  <c r="AM824" i="15"/>
  <c r="AG824" i="15" s="1"/>
  <c r="AM823" i="15"/>
  <c r="AG823" i="15" s="1"/>
  <c r="AM822" i="15"/>
  <c r="AG822" i="15" s="1"/>
  <c r="AM821" i="15"/>
  <c r="AG821" i="15" s="1"/>
  <c r="AM820" i="15"/>
  <c r="AG820" i="15" s="1"/>
  <c r="AM819" i="15"/>
  <c r="AG819" i="15" s="1"/>
  <c r="AM818" i="15"/>
  <c r="AG818" i="15" s="1"/>
  <c r="AM817" i="15"/>
  <c r="AG817" i="15" s="1"/>
  <c r="AM816" i="15"/>
  <c r="AG816" i="15" s="1"/>
  <c r="AM815" i="15"/>
  <c r="AG815" i="15" s="1"/>
  <c r="AM814" i="15"/>
  <c r="AG814" i="15" s="1"/>
  <c r="AM813" i="15"/>
  <c r="AG813" i="15" s="1"/>
  <c r="AM812" i="15"/>
  <c r="AG812" i="15" s="1"/>
  <c r="AM811" i="15"/>
  <c r="AG811" i="15" s="1"/>
  <c r="AM810" i="15"/>
  <c r="AG810" i="15" s="1"/>
  <c r="AM809" i="15"/>
  <c r="AG809" i="15" s="1"/>
  <c r="AM808" i="15"/>
  <c r="AG808" i="15" s="1"/>
  <c r="AM807" i="15"/>
  <c r="AG807" i="15" s="1"/>
  <c r="AM806" i="15"/>
  <c r="AG806" i="15" s="1"/>
  <c r="AM805" i="15"/>
  <c r="AG805" i="15" s="1"/>
  <c r="AM804" i="15"/>
  <c r="AG804" i="15" s="1"/>
  <c r="AM803" i="15"/>
  <c r="AG803" i="15" s="1"/>
  <c r="AM802" i="15"/>
  <c r="AG802" i="15" s="1"/>
  <c r="AM801" i="15"/>
  <c r="AG801" i="15" s="1"/>
  <c r="AM800" i="15"/>
  <c r="AG800" i="15" s="1"/>
  <c r="AM799" i="15"/>
  <c r="AG799" i="15" s="1"/>
  <c r="AM798" i="15"/>
  <c r="AG798" i="15" s="1"/>
  <c r="AM797" i="15"/>
  <c r="AG797" i="15" s="1"/>
  <c r="AM796" i="15"/>
  <c r="AG796" i="15" s="1"/>
  <c r="AM795" i="15"/>
  <c r="AG795" i="15" s="1"/>
  <c r="AM794" i="15"/>
  <c r="AG794" i="15" s="1"/>
  <c r="AM793" i="15"/>
  <c r="AG793" i="15" s="1"/>
  <c r="AM792" i="15"/>
  <c r="AG792" i="15" s="1"/>
  <c r="AM791" i="15"/>
  <c r="AG791" i="15" s="1"/>
  <c r="AM790" i="15"/>
  <c r="AG790" i="15" s="1"/>
  <c r="AM789" i="15"/>
  <c r="AG789" i="15" s="1"/>
  <c r="AM788" i="15"/>
  <c r="AG788" i="15" s="1"/>
  <c r="AM787" i="15"/>
  <c r="AG787" i="15" s="1"/>
  <c r="AM786" i="15"/>
  <c r="AG786" i="15" s="1"/>
  <c r="AM785" i="15"/>
  <c r="AG785" i="15" s="1"/>
  <c r="AM784" i="15"/>
  <c r="AG784" i="15" s="1"/>
  <c r="AM783" i="15"/>
  <c r="AG783" i="15" s="1"/>
  <c r="AM782" i="15"/>
  <c r="AG782" i="15" s="1"/>
  <c r="AM781" i="15"/>
  <c r="AG781" i="15" s="1"/>
  <c r="AM780" i="15"/>
  <c r="AG780" i="15" s="1"/>
  <c r="AM779" i="15"/>
  <c r="AG779" i="15" s="1"/>
  <c r="AM778" i="15"/>
  <c r="AG778" i="15" s="1"/>
  <c r="AM777" i="15"/>
  <c r="AG777" i="15" s="1"/>
  <c r="AM776" i="15"/>
  <c r="AG776" i="15" s="1"/>
  <c r="AM775" i="15"/>
  <c r="AG775" i="15" s="1"/>
  <c r="AM774" i="15"/>
  <c r="AG774" i="15" s="1"/>
  <c r="AM773" i="15"/>
  <c r="AG773" i="15" s="1"/>
  <c r="AM772" i="15"/>
  <c r="AG772" i="15" s="1"/>
  <c r="AM771" i="15"/>
  <c r="AG771" i="15" s="1"/>
  <c r="AM770" i="15"/>
  <c r="AG770" i="15" s="1"/>
  <c r="AM769" i="15"/>
  <c r="AG769" i="15" s="1"/>
  <c r="AM768" i="15"/>
  <c r="AG768" i="15" s="1"/>
  <c r="AM767" i="15"/>
  <c r="AG767" i="15" s="1"/>
  <c r="AM766" i="15"/>
  <c r="AG766" i="15" s="1"/>
  <c r="AM765" i="15"/>
  <c r="AG765" i="15" s="1"/>
  <c r="AM764" i="15"/>
  <c r="AG764" i="15" s="1"/>
  <c r="AM763" i="15"/>
  <c r="AG763" i="15" s="1"/>
  <c r="AM762" i="15"/>
  <c r="AG762" i="15" s="1"/>
  <c r="AM761" i="15"/>
  <c r="AG761" i="15" s="1"/>
  <c r="AM760" i="15"/>
  <c r="AG760" i="15" s="1"/>
  <c r="AM759" i="15"/>
  <c r="AG759" i="15" s="1"/>
  <c r="AM758" i="15"/>
  <c r="AG758" i="15" s="1"/>
  <c r="AM757" i="15"/>
  <c r="AG757" i="15" s="1"/>
  <c r="AM756" i="15"/>
  <c r="AG756" i="15" s="1"/>
  <c r="AM755" i="15"/>
  <c r="AG755" i="15" s="1"/>
  <c r="AM754" i="15"/>
  <c r="AG754" i="15" s="1"/>
  <c r="AM753" i="15"/>
  <c r="AG753" i="15" s="1"/>
  <c r="AM752" i="15"/>
  <c r="AG752" i="15" s="1"/>
  <c r="AM751" i="15"/>
  <c r="AG751" i="15" s="1"/>
  <c r="AM750" i="15"/>
  <c r="AG750" i="15" s="1"/>
  <c r="AM749" i="15"/>
  <c r="AG749" i="15" s="1"/>
  <c r="AM748" i="15"/>
  <c r="AG748" i="15" s="1"/>
  <c r="AM747" i="15"/>
  <c r="AG747" i="15" s="1"/>
  <c r="AM746" i="15"/>
  <c r="AG746" i="15" s="1"/>
  <c r="AM745" i="15"/>
  <c r="AG745" i="15" s="1"/>
  <c r="AM744" i="15"/>
  <c r="AG744" i="15" s="1"/>
  <c r="AM743" i="15"/>
  <c r="AG743" i="15" s="1"/>
  <c r="AM742" i="15"/>
  <c r="AG742" i="15" s="1"/>
  <c r="AM741" i="15"/>
  <c r="AG741" i="15" s="1"/>
  <c r="AM740" i="15"/>
  <c r="AG740" i="15" s="1"/>
  <c r="AM739" i="15"/>
  <c r="AG739" i="15" s="1"/>
  <c r="AM738" i="15"/>
  <c r="AG738" i="15" s="1"/>
  <c r="AM737" i="15"/>
  <c r="AG737" i="15" s="1"/>
  <c r="AM736" i="15"/>
  <c r="AG736" i="15" s="1"/>
  <c r="AM735" i="15"/>
  <c r="AG735" i="15" s="1"/>
  <c r="AM734" i="15"/>
  <c r="AG734" i="15" s="1"/>
  <c r="AM733" i="15"/>
  <c r="AG733" i="15" s="1"/>
  <c r="AM732" i="15"/>
  <c r="AG732" i="15" s="1"/>
  <c r="AM731" i="15"/>
  <c r="AG731" i="15" s="1"/>
  <c r="AM730" i="15"/>
  <c r="AG730" i="15" s="1"/>
  <c r="AM729" i="15"/>
  <c r="AG729" i="15" s="1"/>
  <c r="AM728" i="15"/>
  <c r="AG728" i="15" s="1"/>
  <c r="AM727" i="15"/>
  <c r="AG727" i="15" s="1"/>
  <c r="AM726" i="15"/>
  <c r="AG726" i="15" s="1"/>
  <c r="AM725" i="15"/>
  <c r="AG725" i="15" s="1"/>
  <c r="AM724" i="15"/>
  <c r="AG724" i="15" s="1"/>
  <c r="AM723" i="15"/>
  <c r="AG723" i="15" s="1"/>
  <c r="AM722" i="15"/>
  <c r="AG722" i="15" s="1"/>
  <c r="AM721" i="15"/>
  <c r="AG721" i="15" s="1"/>
  <c r="AM720" i="15"/>
  <c r="AG720" i="15" s="1"/>
  <c r="AM719" i="15"/>
  <c r="AG719" i="15" s="1"/>
  <c r="AM718" i="15"/>
  <c r="AG718" i="15" s="1"/>
  <c r="AM717" i="15"/>
  <c r="AG717" i="15" s="1"/>
  <c r="AM716" i="15"/>
  <c r="AG716" i="15" s="1"/>
  <c r="AM715" i="15"/>
  <c r="AG715" i="15" s="1"/>
  <c r="AM714" i="15"/>
  <c r="AG714" i="15" s="1"/>
  <c r="AM713" i="15"/>
  <c r="AG713" i="15" s="1"/>
  <c r="AM712" i="15"/>
  <c r="AG712" i="15" s="1"/>
  <c r="AM711" i="15"/>
  <c r="AG711" i="15" s="1"/>
  <c r="AM710" i="15"/>
  <c r="AG710" i="15" s="1"/>
  <c r="AM709" i="15"/>
  <c r="AG709" i="15" s="1"/>
  <c r="AM708" i="15"/>
  <c r="AG708" i="15" s="1"/>
  <c r="AM707" i="15"/>
  <c r="AG707" i="15" s="1"/>
  <c r="AM706" i="15"/>
  <c r="AG706" i="15" s="1"/>
  <c r="AM705" i="15"/>
  <c r="AG705" i="15" s="1"/>
  <c r="AM704" i="15"/>
  <c r="AG704" i="15" s="1"/>
  <c r="AM703" i="15"/>
  <c r="AG703" i="15" s="1"/>
  <c r="AM702" i="15"/>
  <c r="AG702" i="15" s="1"/>
  <c r="AM701" i="15"/>
  <c r="AG701" i="15" s="1"/>
  <c r="AM700" i="15"/>
  <c r="AG700" i="15" s="1"/>
  <c r="AM699" i="15"/>
  <c r="AG699" i="15" s="1"/>
  <c r="AM698" i="15"/>
  <c r="AG698" i="15" s="1"/>
  <c r="AM697" i="15"/>
  <c r="AG697" i="15" s="1"/>
  <c r="AM696" i="15"/>
  <c r="AG696" i="15" s="1"/>
  <c r="AM695" i="15"/>
  <c r="AG695" i="15" s="1"/>
  <c r="AM694" i="15"/>
  <c r="AG694" i="15" s="1"/>
  <c r="AM693" i="15"/>
  <c r="AG693" i="15" s="1"/>
  <c r="AM692" i="15"/>
  <c r="AG692" i="15" s="1"/>
  <c r="AM691" i="15"/>
  <c r="AG691" i="15" s="1"/>
  <c r="AM690" i="15"/>
  <c r="AG690" i="15" s="1"/>
  <c r="AM689" i="15"/>
  <c r="AG689" i="15" s="1"/>
  <c r="AM688" i="15"/>
  <c r="AG688" i="15" s="1"/>
  <c r="AM687" i="15"/>
  <c r="AG687" i="15" s="1"/>
  <c r="AM686" i="15"/>
  <c r="AG686" i="15" s="1"/>
  <c r="AM685" i="15"/>
  <c r="AG685" i="15" s="1"/>
  <c r="AM684" i="15"/>
  <c r="AG684" i="15" s="1"/>
  <c r="AM683" i="15"/>
  <c r="AG683" i="15" s="1"/>
  <c r="AM682" i="15"/>
  <c r="AG682" i="15" s="1"/>
  <c r="AM681" i="15"/>
  <c r="AG681" i="15" s="1"/>
  <c r="AM680" i="15"/>
  <c r="AG680" i="15" s="1"/>
  <c r="AM679" i="15"/>
  <c r="AG679" i="15" s="1"/>
  <c r="AM678" i="15"/>
  <c r="AG678" i="15" s="1"/>
  <c r="AM677" i="15"/>
  <c r="AG677" i="15" s="1"/>
  <c r="AM676" i="15"/>
  <c r="AG676" i="15" s="1"/>
  <c r="AM675" i="15"/>
  <c r="AG675" i="15" s="1"/>
  <c r="AM674" i="15"/>
  <c r="AG674" i="15" s="1"/>
  <c r="AM673" i="15"/>
  <c r="AG673" i="15" s="1"/>
  <c r="AM672" i="15"/>
  <c r="AG672" i="15" s="1"/>
  <c r="AM671" i="15"/>
  <c r="AG671" i="15" s="1"/>
  <c r="AM670" i="15"/>
  <c r="AG670" i="15" s="1"/>
  <c r="AM669" i="15"/>
  <c r="AG669" i="15" s="1"/>
  <c r="AM668" i="15"/>
  <c r="AG668" i="15" s="1"/>
  <c r="AM667" i="15"/>
  <c r="AG667" i="15" s="1"/>
  <c r="AM666" i="15"/>
  <c r="AG666" i="15" s="1"/>
  <c r="AM665" i="15"/>
  <c r="AG665" i="15" s="1"/>
  <c r="AM664" i="15"/>
  <c r="AG664" i="15" s="1"/>
  <c r="AM663" i="15"/>
  <c r="AG663" i="15" s="1"/>
  <c r="AM662" i="15"/>
  <c r="AG662" i="15" s="1"/>
  <c r="AM661" i="15"/>
  <c r="AG661" i="15" s="1"/>
  <c r="AM660" i="15"/>
  <c r="AG660" i="15" s="1"/>
  <c r="AM659" i="15"/>
  <c r="AG659" i="15" s="1"/>
  <c r="AM658" i="15"/>
  <c r="AG658" i="15" s="1"/>
  <c r="AM657" i="15"/>
  <c r="AG657" i="15" s="1"/>
  <c r="AM656" i="15"/>
  <c r="AG656" i="15" s="1"/>
  <c r="AM655" i="15"/>
  <c r="AG655" i="15" s="1"/>
  <c r="AM654" i="15"/>
  <c r="AG654" i="15" s="1"/>
  <c r="AM653" i="15"/>
  <c r="AG653" i="15" s="1"/>
  <c r="AM652" i="15"/>
  <c r="AG652" i="15" s="1"/>
  <c r="AM651" i="15"/>
  <c r="AG651" i="15" s="1"/>
  <c r="AM650" i="15"/>
  <c r="AG650" i="15" s="1"/>
  <c r="AM649" i="15"/>
  <c r="AG649" i="15" s="1"/>
  <c r="AM648" i="15"/>
  <c r="AG648" i="15" s="1"/>
  <c r="AM647" i="15"/>
  <c r="AG647" i="15" s="1"/>
  <c r="AM646" i="15"/>
  <c r="AG646" i="15" s="1"/>
  <c r="AM645" i="15"/>
  <c r="AG645" i="15" s="1"/>
  <c r="AM644" i="15"/>
  <c r="AG644" i="15" s="1"/>
  <c r="AM643" i="15"/>
  <c r="AG643" i="15" s="1"/>
  <c r="AM642" i="15"/>
  <c r="AG642" i="15" s="1"/>
  <c r="AM641" i="15"/>
  <c r="AG641" i="15" s="1"/>
  <c r="AM640" i="15"/>
  <c r="AG640" i="15" s="1"/>
  <c r="AM639" i="15"/>
  <c r="AG639" i="15" s="1"/>
  <c r="AM638" i="15"/>
  <c r="AG638" i="15" s="1"/>
  <c r="AM637" i="15"/>
  <c r="AG637" i="15" s="1"/>
  <c r="AM636" i="15"/>
  <c r="AG636" i="15" s="1"/>
  <c r="AM635" i="15"/>
  <c r="AG635" i="15" s="1"/>
  <c r="AM634" i="15"/>
  <c r="AG634" i="15" s="1"/>
  <c r="AM633" i="15"/>
  <c r="AG633" i="15" s="1"/>
  <c r="AM632" i="15"/>
  <c r="AG632" i="15" s="1"/>
  <c r="AM631" i="15"/>
  <c r="AG631" i="15" s="1"/>
  <c r="AM630" i="15"/>
  <c r="AG630" i="15" s="1"/>
  <c r="AM629" i="15"/>
  <c r="AG629" i="15" s="1"/>
  <c r="AM628" i="15"/>
  <c r="AG628" i="15" s="1"/>
  <c r="AM627" i="15"/>
  <c r="AG627" i="15" s="1"/>
  <c r="AM626" i="15"/>
  <c r="AG626" i="15" s="1"/>
  <c r="AM625" i="15"/>
  <c r="AG625" i="15" s="1"/>
  <c r="AM624" i="15"/>
  <c r="AG624" i="15" s="1"/>
  <c r="AM623" i="15"/>
  <c r="AG623" i="15" s="1"/>
  <c r="AM622" i="15"/>
  <c r="AG622" i="15" s="1"/>
  <c r="AM621" i="15"/>
  <c r="AG621" i="15" s="1"/>
  <c r="AM620" i="15"/>
  <c r="AG620" i="15" s="1"/>
  <c r="AM619" i="15"/>
  <c r="AG619" i="15" s="1"/>
  <c r="AM618" i="15"/>
  <c r="AG618" i="15" s="1"/>
  <c r="AM617" i="15"/>
  <c r="AG617" i="15" s="1"/>
  <c r="AM616" i="15"/>
  <c r="AG616" i="15" s="1"/>
  <c r="AM615" i="15"/>
  <c r="AG615" i="15" s="1"/>
  <c r="AM614" i="15"/>
  <c r="AG614" i="15" s="1"/>
  <c r="AM613" i="15"/>
  <c r="AG613" i="15" s="1"/>
  <c r="AM612" i="15"/>
  <c r="AG612" i="15" s="1"/>
  <c r="AM611" i="15"/>
  <c r="AG611" i="15" s="1"/>
  <c r="AM610" i="15"/>
  <c r="AG610" i="15" s="1"/>
  <c r="AM609" i="15"/>
  <c r="AG609" i="15" s="1"/>
  <c r="AM608" i="15"/>
  <c r="AG608" i="15" s="1"/>
  <c r="AM607" i="15"/>
  <c r="AG607" i="15" s="1"/>
  <c r="AM606" i="15"/>
  <c r="AG606" i="15" s="1"/>
  <c r="AM605" i="15"/>
  <c r="AG605" i="15" s="1"/>
  <c r="AM604" i="15"/>
  <c r="AG604" i="15" s="1"/>
  <c r="AM603" i="15"/>
  <c r="AG603" i="15" s="1"/>
  <c r="AM602" i="15"/>
  <c r="AG602" i="15" s="1"/>
  <c r="AM601" i="15"/>
  <c r="AG601" i="15" s="1"/>
  <c r="AM600" i="15"/>
  <c r="AG600" i="15" s="1"/>
  <c r="AM599" i="15"/>
  <c r="AG599" i="15" s="1"/>
  <c r="AM598" i="15"/>
  <c r="AG598" i="15" s="1"/>
  <c r="AM597" i="15"/>
  <c r="AG597" i="15" s="1"/>
  <c r="AM596" i="15"/>
  <c r="AG596" i="15" s="1"/>
  <c r="AM595" i="15"/>
  <c r="AG595" i="15" s="1"/>
  <c r="AM594" i="15"/>
  <c r="AG594" i="15" s="1"/>
  <c r="AM593" i="15"/>
  <c r="AG593" i="15" s="1"/>
  <c r="AM592" i="15"/>
  <c r="AG592" i="15" s="1"/>
  <c r="AM591" i="15"/>
  <c r="AG591" i="15" s="1"/>
  <c r="AM590" i="15"/>
  <c r="AG590" i="15" s="1"/>
  <c r="AM589" i="15"/>
  <c r="AG589" i="15" s="1"/>
  <c r="AM588" i="15"/>
  <c r="AG588" i="15" s="1"/>
  <c r="AM587" i="15"/>
  <c r="AG587" i="15" s="1"/>
  <c r="AM586" i="15"/>
  <c r="AG586" i="15" s="1"/>
  <c r="AM585" i="15"/>
  <c r="AG585" i="15" s="1"/>
  <c r="AM584" i="15"/>
  <c r="AG584" i="15" s="1"/>
  <c r="AM583" i="15"/>
  <c r="AG583" i="15" s="1"/>
  <c r="AM582" i="15"/>
  <c r="AG582" i="15" s="1"/>
  <c r="AM581" i="15"/>
  <c r="AG581" i="15" s="1"/>
  <c r="AM580" i="15"/>
  <c r="AG580" i="15" s="1"/>
  <c r="AM579" i="15"/>
  <c r="AG579" i="15" s="1"/>
  <c r="AM578" i="15"/>
  <c r="AG578" i="15" s="1"/>
  <c r="AM577" i="15"/>
  <c r="AG577" i="15" s="1"/>
  <c r="AM576" i="15"/>
  <c r="AG576" i="15" s="1"/>
  <c r="AM575" i="15"/>
  <c r="AG575" i="15" s="1"/>
  <c r="AM574" i="15"/>
  <c r="AG574" i="15" s="1"/>
  <c r="AM573" i="15"/>
  <c r="AG573" i="15" s="1"/>
  <c r="AM572" i="15"/>
  <c r="AG572" i="15" s="1"/>
  <c r="AM571" i="15"/>
  <c r="AG571" i="15" s="1"/>
  <c r="AM570" i="15"/>
  <c r="AG570" i="15" s="1"/>
  <c r="AM569" i="15"/>
  <c r="AG569" i="15" s="1"/>
  <c r="AM568" i="15"/>
  <c r="AG568" i="15" s="1"/>
  <c r="AM567" i="15"/>
  <c r="AG567" i="15" s="1"/>
  <c r="AM566" i="15"/>
  <c r="AG566" i="15" s="1"/>
  <c r="AM565" i="15"/>
  <c r="AG565" i="15" s="1"/>
  <c r="AM564" i="15"/>
  <c r="AG564" i="15" s="1"/>
  <c r="AM563" i="15"/>
  <c r="AG563" i="15" s="1"/>
  <c r="AM562" i="15"/>
  <c r="AG562" i="15" s="1"/>
  <c r="AM561" i="15"/>
  <c r="AG561" i="15" s="1"/>
  <c r="AM560" i="15"/>
  <c r="AG560" i="15" s="1"/>
  <c r="AM559" i="15"/>
  <c r="AG559" i="15" s="1"/>
  <c r="AM558" i="15"/>
  <c r="AG558" i="15" s="1"/>
  <c r="AM557" i="15"/>
  <c r="AG557" i="15" s="1"/>
  <c r="AM556" i="15"/>
  <c r="AG556" i="15" s="1"/>
  <c r="AM555" i="15"/>
  <c r="AG555" i="15" s="1"/>
  <c r="AM554" i="15"/>
  <c r="AG554" i="15" s="1"/>
  <c r="AM553" i="15"/>
  <c r="AG553" i="15" s="1"/>
  <c r="AM552" i="15"/>
  <c r="AG552" i="15" s="1"/>
  <c r="AM551" i="15"/>
  <c r="AG551" i="15" s="1"/>
  <c r="AM550" i="15"/>
  <c r="AG550" i="15" s="1"/>
  <c r="AM549" i="15"/>
  <c r="AG549" i="15" s="1"/>
  <c r="AM548" i="15"/>
  <c r="AG548" i="15" s="1"/>
  <c r="AM547" i="15"/>
  <c r="AG547" i="15" s="1"/>
  <c r="AM546" i="15"/>
  <c r="AG546" i="15" s="1"/>
  <c r="AM545" i="15"/>
  <c r="AG545" i="15" s="1"/>
  <c r="AM544" i="15"/>
  <c r="AG544" i="15" s="1"/>
  <c r="AM543" i="15"/>
  <c r="AG543" i="15" s="1"/>
  <c r="AM542" i="15"/>
  <c r="AG542" i="15" s="1"/>
  <c r="AM541" i="15"/>
  <c r="AG541" i="15" s="1"/>
  <c r="AM540" i="15"/>
  <c r="AG540" i="15" s="1"/>
  <c r="AM539" i="15"/>
  <c r="AG539" i="15" s="1"/>
  <c r="AM538" i="15"/>
  <c r="AG538" i="15" s="1"/>
  <c r="AM537" i="15"/>
  <c r="AG537" i="15" s="1"/>
  <c r="AM536" i="15"/>
  <c r="AG536" i="15" s="1"/>
  <c r="AM535" i="15"/>
  <c r="AG535" i="15" s="1"/>
  <c r="AM534" i="15"/>
  <c r="AG534" i="15" s="1"/>
  <c r="AM533" i="15"/>
  <c r="AG533" i="15" s="1"/>
  <c r="AM532" i="15"/>
  <c r="AG532" i="15" s="1"/>
  <c r="AM531" i="15"/>
  <c r="AG531" i="15" s="1"/>
  <c r="AM530" i="15"/>
  <c r="AG530" i="15" s="1"/>
  <c r="AM529" i="15"/>
  <c r="AG529" i="15" s="1"/>
  <c r="AM528" i="15"/>
  <c r="AG528" i="15" s="1"/>
  <c r="AM527" i="15"/>
  <c r="AG527" i="15" s="1"/>
  <c r="AM526" i="15"/>
  <c r="AG526" i="15" s="1"/>
  <c r="AM525" i="15"/>
  <c r="AG525" i="15" s="1"/>
  <c r="AM524" i="15"/>
  <c r="AG524" i="15" s="1"/>
  <c r="AM523" i="15"/>
  <c r="AG523" i="15" s="1"/>
  <c r="AM522" i="15"/>
  <c r="AG522" i="15" s="1"/>
  <c r="AM521" i="15"/>
  <c r="AG521" i="15" s="1"/>
  <c r="AM520" i="15"/>
  <c r="AG520" i="15" s="1"/>
  <c r="AM519" i="15"/>
  <c r="AG519" i="15" s="1"/>
  <c r="AM518" i="15"/>
  <c r="AG518" i="15" s="1"/>
  <c r="AM517" i="15"/>
  <c r="AG517" i="15" s="1"/>
  <c r="AM516" i="15"/>
  <c r="AG516" i="15" s="1"/>
  <c r="AM515" i="15"/>
  <c r="AG515" i="15" s="1"/>
  <c r="AM514" i="15"/>
  <c r="AG514" i="15" s="1"/>
  <c r="AM513" i="15"/>
  <c r="AG513" i="15" s="1"/>
  <c r="AM512" i="15"/>
  <c r="AG512" i="15" s="1"/>
  <c r="AM511" i="15"/>
  <c r="AG511" i="15" s="1"/>
  <c r="AM510" i="15"/>
  <c r="AG510" i="15" s="1"/>
  <c r="AM509" i="15"/>
  <c r="AG509" i="15" s="1"/>
  <c r="AM508" i="15"/>
  <c r="AG508" i="15" s="1"/>
  <c r="AM507" i="15"/>
  <c r="AG507" i="15" s="1"/>
  <c r="AM506" i="15"/>
  <c r="AG506" i="15" s="1"/>
  <c r="AM505" i="15"/>
  <c r="AG505" i="15" s="1"/>
  <c r="AM504" i="15"/>
  <c r="AG504" i="15" s="1"/>
  <c r="AM503" i="15"/>
  <c r="AG503" i="15" s="1"/>
  <c r="AM502" i="15"/>
  <c r="AG502" i="15" s="1"/>
  <c r="AM501" i="15"/>
  <c r="AG501" i="15" s="1"/>
  <c r="AM500" i="15"/>
  <c r="AG500" i="15" s="1"/>
  <c r="AM499" i="15"/>
  <c r="AG499" i="15" s="1"/>
  <c r="AM498" i="15"/>
  <c r="AG498" i="15" s="1"/>
  <c r="AM497" i="15"/>
  <c r="AG497" i="15" s="1"/>
  <c r="AM496" i="15"/>
  <c r="AG496" i="15" s="1"/>
  <c r="AM495" i="15"/>
  <c r="AG495" i="15" s="1"/>
  <c r="AM494" i="15"/>
  <c r="AG494" i="15" s="1"/>
  <c r="AM493" i="15"/>
  <c r="AG493" i="15" s="1"/>
  <c r="AM492" i="15"/>
  <c r="AG492" i="15" s="1"/>
  <c r="AM491" i="15"/>
  <c r="AG491" i="15" s="1"/>
  <c r="AM490" i="15"/>
  <c r="AG490" i="15" s="1"/>
  <c r="AM489" i="15"/>
  <c r="AG489" i="15" s="1"/>
  <c r="AM488" i="15"/>
  <c r="AG488" i="15" s="1"/>
  <c r="AM487" i="15"/>
  <c r="AG487" i="15" s="1"/>
  <c r="AM486" i="15"/>
  <c r="AG486" i="15" s="1"/>
  <c r="AM485" i="15"/>
  <c r="AG485" i="15" s="1"/>
  <c r="AM484" i="15"/>
  <c r="AG484" i="15" s="1"/>
  <c r="AM483" i="15"/>
  <c r="AG483" i="15" s="1"/>
  <c r="AM482" i="15"/>
  <c r="AG482" i="15" s="1"/>
  <c r="AM481" i="15"/>
  <c r="AG481" i="15" s="1"/>
  <c r="AM480" i="15"/>
  <c r="AG480" i="15" s="1"/>
  <c r="AM479" i="15"/>
  <c r="AG479" i="15" s="1"/>
  <c r="AM478" i="15"/>
  <c r="AG478" i="15" s="1"/>
  <c r="AM477" i="15"/>
  <c r="AG477" i="15" s="1"/>
  <c r="AM476" i="15"/>
  <c r="AG476" i="15" s="1"/>
  <c r="AM475" i="15"/>
  <c r="AG475" i="15" s="1"/>
  <c r="AM474" i="15"/>
  <c r="AG474" i="15" s="1"/>
  <c r="AM473" i="15"/>
  <c r="AG473" i="15" s="1"/>
  <c r="AM472" i="15"/>
  <c r="AG472" i="15" s="1"/>
  <c r="AM471" i="15"/>
  <c r="AG471" i="15" s="1"/>
  <c r="AM470" i="15"/>
  <c r="AG470" i="15" s="1"/>
  <c r="AM469" i="15"/>
  <c r="AG469" i="15" s="1"/>
  <c r="AM468" i="15"/>
  <c r="AG468" i="15" s="1"/>
  <c r="AM467" i="15"/>
  <c r="AG467" i="15" s="1"/>
  <c r="AM466" i="15"/>
  <c r="AG466" i="15" s="1"/>
  <c r="AM465" i="15"/>
  <c r="AG465" i="15" s="1"/>
  <c r="AM464" i="15"/>
  <c r="AG464" i="15" s="1"/>
  <c r="AM463" i="15"/>
  <c r="AG463" i="15" s="1"/>
  <c r="AM462" i="15"/>
  <c r="AG462" i="15" s="1"/>
  <c r="AM461" i="15"/>
  <c r="AG461" i="15" s="1"/>
  <c r="AM460" i="15"/>
  <c r="AG460" i="15" s="1"/>
  <c r="AM459" i="15"/>
  <c r="AG459" i="15" s="1"/>
  <c r="AM458" i="15"/>
  <c r="AG458" i="15" s="1"/>
  <c r="AM457" i="15"/>
  <c r="AG457" i="15" s="1"/>
  <c r="AM456" i="15"/>
  <c r="AG456" i="15" s="1"/>
  <c r="AM455" i="15"/>
  <c r="AG455" i="15" s="1"/>
  <c r="AM454" i="15"/>
  <c r="AG454" i="15" s="1"/>
  <c r="AM453" i="15"/>
  <c r="AG453" i="15" s="1"/>
  <c r="AM452" i="15"/>
  <c r="AG452" i="15" s="1"/>
  <c r="AM451" i="15"/>
  <c r="AG451" i="15" s="1"/>
  <c r="AM450" i="15"/>
  <c r="AG450" i="15" s="1"/>
  <c r="AM449" i="15"/>
  <c r="AG449" i="15" s="1"/>
  <c r="AM448" i="15"/>
  <c r="AG448" i="15" s="1"/>
  <c r="AM447" i="15"/>
  <c r="AG447" i="15" s="1"/>
  <c r="AM446" i="15"/>
  <c r="AG446" i="15" s="1"/>
  <c r="AM445" i="15"/>
  <c r="AG445" i="15" s="1"/>
  <c r="AM444" i="15"/>
  <c r="AG444" i="15" s="1"/>
  <c r="AM443" i="15"/>
  <c r="AG443" i="15" s="1"/>
  <c r="AM442" i="15"/>
  <c r="AG442" i="15" s="1"/>
  <c r="AM441" i="15"/>
  <c r="AG441" i="15" s="1"/>
  <c r="AM440" i="15"/>
  <c r="AG440" i="15" s="1"/>
  <c r="AM439" i="15"/>
  <c r="AG439" i="15" s="1"/>
  <c r="AM438" i="15"/>
  <c r="AG438" i="15" s="1"/>
  <c r="AM437" i="15"/>
  <c r="AG437" i="15" s="1"/>
  <c r="AM436" i="15"/>
  <c r="AG436" i="15" s="1"/>
  <c r="AM435" i="15"/>
  <c r="AG435" i="15" s="1"/>
  <c r="AM434" i="15"/>
  <c r="AG434" i="15" s="1"/>
  <c r="AM433" i="15"/>
  <c r="AG433" i="15" s="1"/>
  <c r="AM432" i="15"/>
  <c r="AG432" i="15" s="1"/>
  <c r="AM431" i="15"/>
  <c r="AG431" i="15" s="1"/>
  <c r="AM430" i="15"/>
  <c r="AG430" i="15" s="1"/>
  <c r="AM429" i="15"/>
  <c r="AG429" i="15" s="1"/>
  <c r="AM428" i="15"/>
  <c r="AG428" i="15" s="1"/>
  <c r="AM427" i="15"/>
  <c r="AG427" i="15" s="1"/>
  <c r="AM426" i="15"/>
  <c r="AG426" i="15" s="1"/>
  <c r="AM425" i="15"/>
  <c r="AG425" i="15" s="1"/>
  <c r="AM424" i="15"/>
  <c r="AG424" i="15" s="1"/>
  <c r="AM423" i="15"/>
  <c r="AG423" i="15" s="1"/>
  <c r="AM422" i="15"/>
  <c r="AG422" i="15" s="1"/>
  <c r="AM421" i="15"/>
  <c r="AG421" i="15" s="1"/>
  <c r="AM420" i="15"/>
  <c r="AG420" i="15" s="1"/>
  <c r="AM419" i="15"/>
  <c r="AG419" i="15" s="1"/>
  <c r="AM418" i="15"/>
  <c r="AG418" i="15" s="1"/>
  <c r="AM417" i="15"/>
  <c r="AG417" i="15" s="1"/>
  <c r="AM416" i="15"/>
  <c r="AG416" i="15" s="1"/>
  <c r="AM415" i="15"/>
  <c r="AG415" i="15" s="1"/>
  <c r="AM414" i="15"/>
  <c r="AG414" i="15" s="1"/>
  <c r="AM413" i="15"/>
  <c r="AG413" i="15" s="1"/>
  <c r="AM412" i="15"/>
  <c r="AG412" i="15" s="1"/>
  <c r="AM411" i="15"/>
  <c r="AG411" i="15" s="1"/>
  <c r="AM410" i="15"/>
  <c r="AG410" i="15" s="1"/>
  <c r="AM409" i="15"/>
  <c r="AG409" i="15" s="1"/>
  <c r="AM408" i="15"/>
  <c r="AG408" i="15" s="1"/>
  <c r="AM407" i="15"/>
  <c r="AG407" i="15" s="1"/>
  <c r="AM406" i="15"/>
  <c r="AG406" i="15" s="1"/>
  <c r="AM405" i="15"/>
  <c r="AG405" i="15" s="1"/>
  <c r="AM404" i="15"/>
  <c r="AG404" i="15" s="1"/>
  <c r="AM403" i="15"/>
  <c r="AG403" i="15" s="1"/>
  <c r="AM402" i="15"/>
  <c r="AG402" i="15" s="1"/>
  <c r="AM401" i="15"/>
  <c r="AG401" i="15" s="1"/>
  <c r="AM400" i="15"/>
  <c r="AG400" i="15" s="1"/>
  <c r="AM399" i="15"/>
  <c r="AG399" i="15" s="1"/>
  <c r="AM398" i="15"/>
  <c r="AG398" i="15" s="1"/>
  <c r="AM397" i="15"/>
  <c r="AG397" i="15" s="1"/>
  <c r="AM396" i="15"/>
  <c r="AG396" i="15" s="1"/>
  <c r="AM395" i="15"/>
  <c r="AG395" i="15" s="1"/>
  <c r="AM394" i="15"/>
  <c r="AG394" i="15" s="1"/>
  <c r="AM393" i="15"/>
  <c r="AG393" i="15" s="1"/>
  <c r="AM392" i="15"/>
  <c r="AG392" i="15" s="1"/>
  <c r="AM391" i="15"/>
  <c r="AG391" i="15" s="1"/>
  <c r="AM390" i="15"/>
  <c r="AG390" i="15" s="1"/>
  <c r="AM389" i="15"/>
  <c r="AG389" i="15" s="1"/>
  <c r="AM388" i="15"/>
  <c r="AG388" i="15" s="1"/>
  <c r="AM387" i="15"/>
  <c r="AG387" i="15" s="1"/>
  <c r="AM386" i="15"/>
  <c r="AG386" i="15" s="1"/>
  <c r="AM385" i="15"/>
  <c r="AG385" i="15" s="1"/>
  <c r="AM384" i="15"/>
  <c r="AG384" i="15" s="1"/>
  <c r="AM383" i="15"/>
  <c r="AG383" i="15" s="1"/>
  <c r="AM382" i="15"/>
  <c r="AG382" i="15" s="1"/>
  <c r="AM381" i="15"/>
  <c r="AG381" i="15" s="1"/>
  <c r="AM380" i="15"/>
  <c r="AG380" i="15" s="1"/>
  <c r="AL380" i="15"/>
  <c r="AJ380" i="15"/>
  <c r="AM379" i="15"/>
  <c r="AG379" i="15" s="1"/>
  <c r="AL379" i="15"/>
  <c r="AJ379" i="15"/>
  <c r="AM378" i="15"/>
  <c r="AG378" i="15" s="1"/>
  <c r="AL378" i="15"/>
  <c r="AJ378" i="15"/>
  <c r="AM377" i="15"/>
  <c r="AG377" i="15" s="1"/>
  <c r="AL377" i="15"/>
  <c r="AJ377" i="15"/>
  <c r="AM376" i="15"/>
  <c r="AG376" i="15" s="1"/>
  <c r="AL376" i="15"/>
  <c r="AJ376" i="15"/>
  <c r="AM375" i="15"/>
  <c r="AG375" i="15" s="1"/>
  <c r="AL375" i="15"/>
  <c r="AJ375" i="15"/>
  <c r="AM374" i="15"/>
  <c r="AG374" i="15" s="1"/>
  <c r="AL374" i="15"/>
  <c r="AJ374" i="15"/>
  <c r="AM373" i="15"/>
  <c r="AG373" i="15" s="1"/>
  <c r="AL373" i="15"/>
  <c r="AJ373" i="15"/>
  <c r="AM372" i="15"/>
  <c r="AG372" i="15" s="1"/>
  <c r="AL372" i="15"/>
  <c r="AJ372" i="15"/>
  <c r="AM371" i="15"/>
  <c r="AG371" i="15" s="1"/>
  <c r="AL371" i="15"/>
  <c r="AJ371" i="15"/>
  <c r="AM370" i="15"/>
  <c r="AG370" i="15" s="1"/>
  <c r="AL370" i="15"/>
  <c r="AJ370" i="15"/>
  <c r="AM369" i="15"/>
  <c r="AG369" i="15" s="1"/>
  <c r="AL369" i="15"/>
  <c r="AJ369" i="15"/>
  <c r="AM368" i="15"/>
  <c r="AG368" i="15" s="1"/>
  <c r="AL368" i="15"/>
  <c r="AJ368" i="15"/>
  <c r="AM367" i="15"/>
  <c r="AG367" i="15" s="1"/>
  <c r="AL367" i="15"/>
  <c r="AJ367" i="15"/>
  <c r="AM366" i="15"/>
  <c r="AG366" i="15" s="1"/>
  <c r="AL366" i="15"/>
  <c r="AJ366" i="15"/>
  <c r="AM365" i="15"/>
  <c r="AG365" i="15" s="1"/>
  <c r="AL365" i="15"/>
  <c r="AJ365" i="15"/>
  <c r="AM364" i="15"/>
  <c r="AG364" i="15" s="1"/>
  <c r="AL364" i="15"/>
  <c r="AJ364" i="15"/>
  <c r="AM363" i="15"/>
  <c r="AG363" i="15" s="1"/>
  <c r="AL363" i="15"/>
  <c r="AJ363" i="15"/>
  <c r="AM362" i="15"/>
  <c r="AG362" i="15" s="1"/>
  <c r="AL362" i="15"/>
  <c r="AJ362" i="15"/>
  <c r="AM361" i="15"/>
  <c r="AG361" i="15" s="1"/>
  <c r="AL361" i="15"/>
  <c r="AJ361" i="15"/>
  <c r="AM360" i="15"/>
  <c r="AG360" i="15" s="1"/>
  <c r="AL360" i="15"/>
  <c r="AJ360" i="15"/>
  <c r="AM359" i="15"/>
  <c r="AG359" i="15" s="1"/>
  <c r="AL359" i="15"/>
  <c r="AJ359" i="15"/>
  <c r="AM358" i="15"/>
  <c r="AG358" i="15" s="1"/>
  <c r="AL358" i="15"/>
  <c r="AJ358" i="15"/>
  <c r="AM357" i="15"/>
  <c r="AG357" i="15" s="1"/>
  <c r="AL357" i="15"/>
  <c r="AJ357" i="15"/>
  <c r="AM356" i="15"/>
  <c r="AG356" i="15" s="1"/>
  <c r="AL356" i="15"/>
  <c r="AJ356" i="15"/>
  <c r="AM355" i="15"/>
  <c r="AG355" i="15" s="1"/>
  <c r="AL355" i="15"/>
  <c r="AJ355" i="15"/>
  <c r="AM354" i="15"/>
  <c r="AG354" i="15" s="1"/>
  <c r="AL354" i="15"/>
  <c r="AJ354" i="15"/>
  <c r="AM353" i="15"/>
  <c r="AG353" i="15" s="1"/>
  <c r="AL353" i="15"/>
  <c r="AJ353" i="15"/>
  <c r="AM352" i="15"/>
  <c r="AG352" i="15" s="1"/>
  <c r="AL352" i="15"/>
  <c r="AJ352" i="15"/>
  <c r="AM351" i="15"/>
  <c r="AG351" i="15" s="1"/>
  <c r="AL351" i="15"/>
  <c r="AJ351" i="15"/>
  <c r="AM350" i="15"/>
  <c r="AG350" i="15" s="1"/>
  <c r="AL350" i="15"/>
  <c r="AJ350" i="15"/>
  <c r="AM349" i="15"/>
  <c r="AG349" i="15" s="1"/>
  <c r="AL349" i="15"/>
  <c r="AJ349" i="15"/>
  <c r="AM348" i="15"/>
  <c r="AG348" i="15" s="1"/>
  <c r="AL348" i="15"/>
  <c r="AJ348" i="15"/>
  <c r="AM347" i="15"/>
  <c r="AG347" i="15" s="1"/>
  <c r="AL347" i="15"/>
  <c r="AJ347" i="15"/>
  <c r="AM346" i="15"/>
  <c r="AG346" i="15" s="1"/>
  <c r="AL346" i="15"/>
  <c r="AJ346" i="15"/>
  <c r="AM345" i="15"/>
  <c r="AG345" i="15" s="1"/>
  <c r="AL345" i="15"/>
  <c r="AJ345" i="15"/>
  <c r="AM344" i="15"/>
  <c r="AG344" i="15" s="1"/>
  <c r="AL344" i="15"/>
  <c r="AJ344" i="15"/>
  <c r="AM343" i="15"/>
  <c r="AG343" i="15" s="1"/>
  <c r="AL343" i="15"/>
  <c r="AJ343" i="15"/>
  <c r="AM342" i="15"/>
  <c r="AG342" i="15" s="1"/>
  <c r="AL342" i="15"/>
  <c r="AJ342" i="15"/>
  <c r="AM341" i="15"/>
  <c r="AG341" i="15" s="1"/>
  <c r="AL341" i="15"/>
  <c r="AJ341" i="15"/>
  <c r="AM340" i="15"/>
  <c r="AG340" i="15" s="1"/>
  <c r="AL340" i="15"/>
  <c r="AJ340" i="15"/>
  <c r="AM339" i="15"/>
  <c r="AG339" i="15" s="1"/>
  <c r="AL339" i="15"/>
  <c r="AJ339" i="15"/>
  <c r="AM338" i="15"/>
  <c r="AG338" i="15" s="1"/>
  <c r="AL338" i="15"/>
  <c r="AJ338" i="15"/>
  <c r="AM337" i="15"/>
  <c r="AG337" i="15" s="1"/>
  <c r="AL337" i="15"/>
  <c r="AJ337" i="15"/>
  <c r="AM336" i="15"/>
  <c r="AG336" i="15" s="1"/>
  <c r="AL336" i="15"/>
  <c r="AJ336" i="15"/>
  <c r="AM335" i="15"/>
  <c r="AG335" i="15" s="1"/>
  <c r="AL335" i="15"/>
  <c r="AJ335" i="15"/>
  <c r="AM334" i="15"/>
  <c r="AG334" i="15" s="1"/>
  <c r="AL334" i="15"/>
  <c r="AJ334" i="15"/>
  <c r="AM333" i="15"/>
  <c r="AG333" i="15" s="1"/>
  <c r="AL333" i="15"/>
  <c r="AJ333" i="15"/>
  <c r="AM332" i="15"/>
  <c r="AG332" i="15" s="1"/>
  <c r="AL332" i="15"/>
  <c r="AJ332" i="15"/>
  <c r="AM331" i="15"/>
  <c r="AG331" i="15" s="1"/>
  <c r="AL331" i="15"/>
  <c r="AJ331" i="15"/>
  <c r="AM330" i="15"/>
  <c r="AG330" i="15" s="1"/>
  <c r="AL330" i="15"/>
  <c r="AJ330" i="15"/>
  <c r="AM329" i="15"/>
  <c r="AG329" i="15" s="1"/>
  <c r="AL329" i="15"/>
  <c r="AJ329" i="15"/>
  <c r="AM328" i="15"/>
  <c r="AG328" i="15" s="1"/>
  <c r="AL328" i="15"/>
  <c r="AJ328" i="15"/>
  <c r="AM327" i="15"/>
  <c r="AG327" i="15" s="1"/>
  <c r="AL327" i="15"/>
  <c r="AJ327" i="15"/>
  <c r="AM326" i="15"/>
  <c r="AG326" i="15" s="1"/>
  <c r="AL326" i="15"/>
  <c r="AJ326" i="15"/>
  <c r="AM325" i="15"/>
  <c r="AG325" i="15" s="1"/>
  <c r="AL325" i="15"/>
  <c r="AJ325" i="15"/>
  <c r="AM324" i="15"/>
  <c r="AG324" i="15" s="1"/>
  <c r="AL324" i="15"/>
  <c r="AJ324" i="15"/>
  <c r="AM323" i="15"/>
  <c r="AG323" i="15" s="1"/>
  <c r="AL323" i="15"/>
  <c r="AJ323" i="15"/>
  <c r="AM322" i="15"/>
  <c r="AG322" i="15" s="1"/>
  <c r="AL322" i="15"/>
  <c r="AJ322" i="15"/>
  <c r="AM321" i="15"/>
  <c r="AG321" i="15" s="1"/>
  <c r="AL321" i="15"/>
  <c r="AJ321" i="15"/>
  <c r="AM320" i="15"/>
  <c r="AG320" i="15" s="1"/>
  <c r="AL320" i="15"/>
  <c r="AJ320" i="15"/>
  <c r="AM319" i="15"/>
  <c r="AG319" i="15" s="1"/>
  <c r="AL319" i="15"/>
  <c r="AJ319" i="15"/>
  <c r="AM318" i="15"/>
  <c r="AG318" i="15" s="1"/>
  <c r="AL318" i="15"/>
  <c r="AJ318" i="15"/>
  <c r="AM317" i="15"/>
  <c r="AG317" i="15" s="1"/>
  <c r="AL317" i="15"/>
  <c r="AJ317" i="15"/>
  <c r="AM316" i="15"/>
  <c r="AG316" i="15" s="1"/>
  <c r="AL316" i="15"/>
  <c r="AJ316" i="15"/>
  <c r="AM315" i="15"/>
  <c r="AG315" i="15" s="1"/>
  <c r="AL315" i="15"/>
  <c r="AJ315" i="15"/>
  <c r="AM314" i="15"/>
  <c r="AG314" i="15" s="1"/>
  <c r="AL314" i="15"/>
  <c r="AJ314" i="15"/>
  <c r="AM313" i="15"/>
  <c r="AG313" i="15" s="1"/>
  <c r="AL313" i="15"/>
  <c r="AJ313" i="15"/>
  <c r="AM312" i="15"/>
  <c r="AG312" i="15" s="1"/>
  <c r="AL312" i="15"/>
  <c r="AJ312" i="15"/>
  <c r="AM311" i="15"/>
  <c r="AG311" i="15" s="1"/>
  <c r="AL311" i="15"/>
  <c r="AJ311" i="15"/>
  <c r="AM310" i="15"/>
  <c r="AG310" i="15" s="1"/>
  <c r="AL310" i="15"/>
  <c r="AJ310" i="15"/>
  <c r="AM309" i="15"/>
  <c r="AG309" i="15" s="1"/>
  <c r="AL309" i="15"/>
  <c r="AJ309" i="15"/>
  <c r="AM308" i="15"/>
  <c r="AG308" i="15" s="1"/>
  <c r="AL308" i="15"/>
  <c r="AJ308" i="15"/>
  <c r="AM307" i="15"/>
  <c r="AG307" i="15" s="1"/>
  <c r="AL307" i="15"/>
  <c r="AJ307" i="15"/>
  <c r="AM306" i="15"/>
  <c r="AG306" i="15" s="1"/>
  <c r="AL306" i="15"/>
  <c r="AJ306" i="15"/>
  <c r="AM305" i="15"/>
  <c r="AG305" i="15" s="1"/>
  <c r="AL305" i="15"/>
  <c r="AJ305" i="15"/>
  <c r="AM304" i="15"/>
  <c r="AG304" i="15" s="1"/>
  <c r="AL304" i="15"/>
  <c r="AJ304" i="15"/>
  <c r="AM303" i="15"/>
  <c r="AG303" i="15" s="1"/>
  <c r="AL303" i="15"/>
  <c r="AJ303" i="15"/>
  <c r="AM302" i="15"/>
  <c r="AG302" i="15" s="1"/>
  <c r="AL302" i="15"/>
  <c r="AJ302" i="15"/>
  <c r="AM301" i="15"/>
  <c r="AG301" i="15" s="1"/>
  <c r="AL301" i="15"/>
  <c r="AJ301" i="15"/>
  <c r="AM300" i="15"/>
  <c r="AG300" i="15" s="1"/>
  <c r="AL300" i="15"/>
  <c r="AJ300" i="15"/>
  <c r="AM299" i="15"/>
  <c r="AG299" i="15" s="1"/>
  <c r="AL299" i="15"/>
  <c r="AJ299" i="15"/>
  <c r="AM298" i="15"/>
  <c r="AG298" i="15" s="1"/>
  <c r="AL298" i="15"/>
  <c r="AJ298" i="15"/>
  <c r="AM297" i="15"/>
  <c r="AG297" i="15" s="1"/>
  <c r="AL297" i="15"/>
  <c r="AJ297" i="15"/>
  <c r="AM296" i="15"/>
  <c r="AG296" i="15" s="1"/>
  <c r="AL296" i="15"/>
  <c r="AJ296" i="15"/>
  <c r="AM295" i="15"/>
  <c r="AG295" i="15" s="1"/>
  <c r="AL295" i="15"/>
  <c r="AJ295" i="15"/>
  <c r="AM294" i="15"/>
  <c r="AG294" i="15" s="1"/>
  <c r="AL294" i="15"/>
  <c r="AJ294" i="15"/>
  <c r="AM293" i="15"/>
  <c r="AG293" i="15" s="1"/>
  <c r="AL293" i="15"/>
  <c r="AJ293" i="15"/>
  <c r="AM292" i="15"/>
  <c r="AG292" i="15" s="1"/>
  <c r="AL292" i="15"/>
  <c r="AJ292" i="15"/>
  <c r="AM291" i="15"/>
  <c r="AG291" i="15" s="1"/>
  <c r="AL291" i="15"/>
  <c r="AJ291" i="15"/>
  <c r="AM290" i="15"/>
  <c r="AG290" i="15" s="1"/>
  <c r="AL290" i="15"/>
  <c r="AJ290" i="15"/>
  <c r="AM289" i="15"/>
  <c r="AG289" i="15" s="1"/>
  <c r="AL289" i="15"/>
  <c r="AJ289" i="15"/>
  <c r="AM288" i="15"/>
  <c r="AG288" i="15" s="1"/>
  <c r="AL288" i="15"/>
  <c r="AJ288" i="15"/>
  <c r="AM287" i="15"/>
  <c r="AG287" i="15" s="1"/>
  <c r="AL287" i="15"/>
  <c r="AJ287" i="15"/>
  <c r="AM286" i="15"/>
  <c r="AG286" i="15" s="1"/>
  <c r="AL286" i="15"/>
  <c r="AJ286" i="15"/>
  <c r="AM285" i="15"/>
  <c r="AG285" i="15" s="1"/>
  <c r="AL285" i="15"/>
  <c r="AJ285" i="15"/>
  <c r="AM284" i="15"/>
  <c r="AG284" i="15" s="1"/>
  <c r="AL284" i="15"/>
  <c r="AJ284" i="15"/>
  <c r="AM283" i="15"/>
  <c r="AG283" i="15" s="1"/>
  <c r="AL283" i="15"/>
  <c r="AJ283" i="15"/>
  <c r="AM282" i="15"/>
  <c r="AG282" i="15" s="1"/>
  <c r="AL282" i="15"/>
  <c r="AJ282" i="15"/>
  <c r="AM281" i="15"/>
  <c r="AG281" i="15" s="1"/>
  <c r="AL281" i="15"/>
  <c r="AJ281" i="15"/>
  <c r="AM280" i="15"/>
  <c r="AG280" i="15" s="1"/>
  <c r="AL280" i="15"/>
  <c r="AJ280" i="15"/>
  <c r="AM279" i="15"/>
  <c r="AG279" i="15" s="1"/>
  <c r="AL279" i="15"/>
  <c r="AJ279" i="15"/>
  <c r="AM278" i="15"/>
  <c r="AG278" i="15" s="1"/>
  <c r="AL278" i="15"/>
  <c r="AJ278" i="15"/>
  <c r="AM277" i="15"/>
  <c r="AG277" i="15" s="1"/>
  <c r="AL277" i="15"/>
  <c r="AJ277" i="15"/>
  <c r="AM276" i="15"/>
  <c r="AG276" i="15" s="1"/>
  <c r="AL276" i="15"/>
  <c r="AJ276" i="15"/>
  <c r="AM275" i="15"/>
  <c r="AG275" i="15" s="1"/>
  <c r="AL275" i="15"/>
  <c r="AJ275" i="15"/>
  <c r="AM274" i="15"/>
  <c r="AG274" i="15" s="1"/>
  <c r="AL274" i="15"/>
  <c r="AJ274" i="15"/>
  <c r="AM273" i="15"/>
  <c r="AG273" i="15" s="1"/>
  <c r="AL273" i="15"/>
  <c r="AJ273" i="15"/>
  <c r="AM272" i="15"/>
  <c r="AG272" i="15" s="1"/>
  <c r="AL272" i="15"/>
  <c r="AJ272" i="15"/>
  <c r="AM271" i="15"/>
  <c r="AG271" i="15" s="1"/>
  <c r="AL271" i="15"/>
  <c r="AJ271" i="15"/>
  <c r="AM270" i="15"/>
  <c r="AG270" i="15" s="1"/>
  <c r="AL270" i="15"/>
  <c r="AJ270" i="15"/>
  <c r="AM269" i="15"/>
  <c r="AG269" i="15" s="1"/>
  <c r="AL269" i="15"/>
  <c r="AJ269" i="15"/>
  <c r="AM268" i="15"/>
  <c r="AG268" i="15" s="1"/>
  <c r="AL268" i="15"/>
  <c r="AJ268" i="15"/>
  <c r="AM267" i="15"/>
  <c r="AG267" i="15" s="1"/>
  <c r="AL267" i="15"/>
  <c r="AJ267" i="15"/>
  <c r="AM266" i="15"/>
  <c r="AG266" i="15" s="1"/>
  <c r="AL266" i="15"/>
  <c r="AJ266" i="15"/>
  <c r="AM265" i="15"/>
  <c r="AG265" i="15" s="1"/>
  <c r="AL265" i="15"/>
  <c r="AJ265" i="15"/>
  <c r="AM264" i="15"/>
  <c r="AG264" i="15" s="1"/>
  <c r="AL264" i="15"/>
  <c r="AJ264" i="15"/>
  <c r="AM263" i="15"/>
  <c r="AG263" i="15" s="1"/>
  <c r="AL263" i="15"/>
  <c r="AJ263" i="15"/>
  <c r="AM262" i="15"/>
  <c r="AG262" i="15" s="1"/>
  <c r="AL262" i="15"/>
  <c r="AJ262" i="15"/>
  <c r="AM261" i="15"/>
  <c r="AG261" i="15" s="1"/>
  <c r="AL261" i="15"/>
  <c r="AJ261" i="15"/>
  <c r="AM260" i="15"/>
  <c r="AG260" i="15" s="1"/>
  <c r="AL260" i="15"/>
  <c r="AJ260" i="15"/>
  <c r="AM259" i="15"/>
  <c r="AG259" i="15" s="1"/>
  <c r="AL259" i="15"/>
  <c r="AJ259" i="15"/>
  <c r="AM258" i="15"/>
  <c r="AG258" i="15" s="1"/>
  <c r="AL258" i="15"/>
  <c r="AJ258" i="15"/>
  <c r="AM257" i="15"/>
  <c r="AG257" i="15" s="1"/>
  <c r="AL257" i="15"/>
  <c r="AJ257" i="15"/>
  <c r="AM256" i="15"/>
  <c r="AG256" i="15" s="1"/>
  <c r="AL256" i="15"/>
  <c r="AJ256" i="15"/>
  <c r="AM255" i="15"/>
  <c r="AG255" i="15" s="1"/>
  <c r="AL255" i="15"/>
  <c r="AJ255" i="15"/>
  <c r="AM254" i="15"/>
  <c r="AG254" i="15" s="1"/>
  <c r="AL254" i="15"/>
  <c r="AJ254" i="15"/>
  <c r="AM253" i="15"/>
  <c r="AG253" i="15" s="1"/>
  <c r="AL253" i="15"/>
  <c r="AJ253" i="15"/>
  <c r="AM252" i="15"/>
  <c r="AG252" i="15" s="1"/>
  <c r="AL252" i="15"/>
  <c r="AJ252" i="15"/>
  <c r="AM251" i="15"/>
  <c r="AG251" i="15" s="1"/>
  <c r="AL251" i="15"/>
  <c r="AJ251" i="15"/>
  <c r="AM250" i="15"/>
  <c r="AG250" i="15" s="1"/>
  <c r="AL250" i="15"/>
  <c r="AJ250" i="15"/>
  <c r="AM249" i="15"/>
  <c r="AG249" i="15" s="1"/>
  <c r="AL249" i="15"/>
  <c r="AJ249" i="15"/>
  <c r="AM248" i="15"/>
  <c r="AG248" i="15" s="1"/>
  <c r="AL248" i="15"/>
  <c r="AJ248" i="15"/>
  <c r="AM247" i="15"/>
  <c r="AG247" i="15" s="1"/>
  <c r="AL247" i="15"/>
  <c r="AJ247" i="15"/>
  <c r="AM246" i="15"/>
  <c r="AG246" i="15" s="1"/>
  <c r="AL246" i="15"/>
  <c r="AJ246" i="15"/>
  <c r="AM245" i="15"/>
  <c r="AG245" i="15" s="1"/>
  <c r="AL245" i="15"/>
  <c r="AJ245" i="15"/>
  <c r="AM244" i="15"/>
  <c r="AG244" i="15" s="1"/>
  <c r="AL244" i="15"/>
  <c r="AJ244" i="15"/>
  <c r="AM243" i="15"/>
  <c r="AG243" i="15" s="1"/>
  <c r="AL243" i="15"/>
  <c r="AJ243" i="15"/>
  <c r="AM242" i="15"/>
  <c r="AG242" i="15" s="1"/>
  <c r="AL242" i="15"/>
  <c r="AJ242" i="15"/>
  <c r="AM241" i="15"/>
  <c r="AG241" i="15" s="1"/>
  <c r="AL241" i="15"/>
  <c r="AJ241" i="15"/>
  <c r="AM240" i="15"/>
  <c r="AG240" i="15" s="1"/>
  <c r="AL240" i="15"/>
  <c r="AJ240" i="15"/>
  <c r="AM239" i="15"/>
  <c r="AG239" i="15" s="1"/>
  <c r="AL239" i="15"/>
  <c r="AJ239" i="15"/>
  <c r="AM238" i="15"/>
  <c r="AG238" i="15" s="1"/>
  <c r="AL238" i="15"/>
  <c r="AJ238" i="15"/>
  <c r="AM237" i="15"/>
  <c r="AG237" i="15" s="1"/>
  <c r="AL237" i="15"/>
  <c r="AJ237" i="15"/>
  <c r="AM236" i="15"/>
  <c r="AG236" i="15" s="1"/>
  <c r="AL236" i="15"/>
  <c r="AJ236" i="15"/>
  <c r="AM235" i="15"/>
  <c r="AG235" i="15" s="1"/>
  <c r="AL235" i="15"/>
  <c r="AJ235" i="15"/>
  <c r="AM234" i="15"/>
  <c r="AG234" i="15" s="1"/>
  <c r="AL234" i="15"/>
  <c r="AJ234" i="15"/>
  <c r="AM233" i="15"/>
  <c r="AG233" i="15" s="1"/>
  <c r="AL233" i="15"/>
  <c r="AJ233" i="15"/>
  <c r="AM232" i="15"/>
  <c r="AG232" i="15" s="1"/>
  <c r="AL232" i="15"/>
  <c r="AJ232" i="15"/>
  <c r="AM231" i="15"/>
  <c r="AG231" i="15" s="1"/>
  <c r="AL231" i="15"/>
  <c r="AJ231" i="15"/>
  <c r="AM230" i="15"/>
  <c r="AG230" i="15" s="1"/>
  <c r="AL230" i="15"/>
  <c r="AJ230" i="15"/>
  <c r="AM229" i="15"/>
  <c r="AG229" i="15" s="1"/>
  <c r="AL229" i="15"/>
  <c r="AJ229" i="15"/>
  <c r="AM228" i="15"/>
  <c r="AG228" i="15" s="1"/>
  <c r="AL228" i="15"/>
  <c r="AJ228" i="15"/>
  <c r="AM227" i="15"/>
  <c r="AG227" i="15" s="1"/>
  <c r="AL227" i="15"/>
  <c r="AJ227" i="15"/>
  <c r="AM226" i="15"/>
  <c r="AG226" i="15" s="1"/>
  <c r="AL226" i="15"/>
  <c r="AJ226" i="15"/>
  <c r="AM225" i="15"/>
  <c r="AG225" i="15" s="1"/>
  <c r="AL225" i="15"/>
  <c r="AJ225" i="15"/>
  <c r="AM224" i="15"/>
  <c r="AG224" i="15" s="1"/>
  <c r="AL224" i="15"/>
  <c r="AJ224" i="15"/>
  <c r="AM223" i="15"/>
  <c r="AG223" i="15" s="1"/>
  <c r="AL223" i="15"/>
  <c r="AJ223" i="15"/>
  <c r="AM222" i="15"/>
  <c r="AG222" i="15" s="1"/>
  <c r="AL222" i="15"/>
  <c r="AJ222" i="15"/>
  <c r="AM221" i="15"/>
  <c r="AG221" i="15" s="1"/>
  <c r="AL221" i="15"/>
  <c r="AJ221" i="15"/>
  <c r="AM220" i="15"/>
  <c r="AG220" i="15" s="1"/>
  <c r="AL220" i="15"/>
  <c r="AJ220" i="15"/>
  <c r="AM219" i="15"/>
  <c r="AG219" i="15" s="1"/>
  <c r="AL219" i="15"/>
  <c r="AJ219" i="15"/>
  <c r="AM218" i="15"/>
  <c r="AG218" i="15" s="1"/>
  <c r="AL218" i="15"/>
  <c r="AJ218" i="15"/>
  <c r="AM217" i="15"/>
  <c r="AG217" i="15" s="1"/>
  <c r="AL217" i="15"/>
  <c r="AJ217" i="15"/>
  <c r="AM216" i="15"/>
  <c r="AG216" i="15" s="1"/>
  <c r="AL216" i="15"/>
  <c r="AJ216" i="15"/>
  <c r="AM215" i="15"/>
  <c r="AG215" i="15" s="1"/>
  <c r="AL215" i="15"/>
  <c r="AJ215" i="15"/>
  <c r="AM214" i="15"/>
  <c r="AG214" i="15" s="1"/>
  <c r="AL214" i="15"/>
  <c r="AJ214" i="15"/>
  <c r="AM213" i="15"/>
  <c r="AG213" i="15" s="1"/>
  <c r="AL213" i="15"/>
  <c r="AJ213" i="15"/>
  <c r="AM212" i="15"/>
  <c r="AG212" i="15" s="1"/>
  <c r="AL212" i="15"/>
  <c r="AJ212" i="15"/>
  <c r="AM211" i="15"/>
  <c r="AG211" i="15" s="1"/>
  <c r="AL211" i="15"/>
  <c r="AJ211" i="15"/>
  <c r="AM210" i="15"/>
  <c r="AG210" i="15" s="1"/>
  <c r="AL210" i="15"/>
  <c r="AJ210" i="15"/>
  <c r="AM209" i="15"/>
  <c r="AG209" i="15" s="1"/>
  <c r="AL209" i="15"/>
  <c r="AJ209" i="15"/>
  <c r="AM208" i="15"/>
  <c r="AG208" i="15" s="1"/>
  <c r="AL208" i="15"/>
  <c r="AJ208" i="15"/>
  <c r="AM207" i="15"/>
  <c r="AG207" i="15" s="1"/>
  <c r="AL207" i="15"/>
  <c r="AJ207" i="15"/>
  <c r="AM206" i="15"/>
  <c r="AG206" i="15" s="1"/>
  <c r="AL206" i="15"/>
  <c r="AJ206" i="15"/>
  <c r="AM205" i="15"/>
  <c r="AG205" i="15" s="1"/>
  <c r="AL205" i="15"/>
  <c r="AJ205" i="15"/>
  <c r="AM204" i="15"/>
  <c r="AG204" i="15" s="1"/>
  <c r="AL204" i="15"/>
  <c r="AJ204" i="15"/>
  <c r="AM203" i="15"/>
  <c r="AG203" i="15" s="1"/>
  <c r="AL203" i="15"/>
  <c r="AJ203" i="15"/>
  <c r="AM202" i="15"/>
  <c r="AG202" i="15" s="1"/>
  <c r="AL202" i="15"/>
  <c r="AJ202" i="15"/>
  <c r="AM201" i="15"/>
  <c r="AG201" i="15" s="1"/>
  <c r="AL201" i="15"/>
  <c r="AJ201" i="15"/>
  <c r="AM200" i="15"/>
  <c r="AG200" i="15" s="1"/>
  <c r="AL200" i="15"/>
  <c r="AJ200" i="15"/>
  <c r="AM199" i="15"/>
  <c r="AG199" i="15" s="1"/>
  <c r="AL199" i="15"/>
  <c r="AJ199" i="15"/>
  <c r="AM198" i="15"/>
  <c r="AG198" i="15" s="1"/>
  <c r="AL198" i="15"/>
  <c r="AJ198" i="15"/>
  <c r="AM197" i="15"/>
  <c r="AG197" i="15" s="1"/>
  <c r="AL197" i="15"/>
  <c r="AJ197" i="15"/>
  <c r="AM196" i="15"/>
  <c r="AG196" i="15" s="1"/>
  <c r="AL196" i="15"/>
  <c r="AJ196" i="15"/>
  <c r="AM195" i="15"/>
  <c r="AG195" i="15" s="1"/>
  <c r="AL195" i="15"/>
  <c r="AJ195" i="15"/>
  <c r="AM194" i="15"/>
  <c r="AG194" i="15" s="1"/>
  <c r="AL194" i="15"/>
  <c r="AJ194" i="15"/>
  <c r="AM193" i="15"/>
  <c r="AG193" i="15" s="1"/>
  <c r="AL193" i="15"/>
  <c r="AJ193" i="15"/>
  <c r="AM192" i="15"/>
  <c r="AG192" i="15" s="1"/>
  <c r="AL192" i="15"/>
  <c r="AJ192" i="15"/>
  <c r="AM191" i="15"/>
  <c r="AG191" i="15" s="1"/>
  <c r="AL191" i="15"/>
  <c r="AJ191" i="15"/>
  <c r="AM190" i="15"/>
  <c r="AG190" i="15" s="1"/>
  <c r="AL190" i="15"/>
  <c r="AJ190" i="15"/>
  <c r="AM189" i="15"/>
  <c r="AG189" i="15" s="1"/>
  <c r="AL189" i="15"/>
  <c r="AJ189" i="15"/>
  <c r="AM188" i="15"/>
  <c r="AG188" i="15" s="1"/>
  <c r="AL188" i="15"/>
  <c r="AJ188" i="15"/>
  <c r="AM187" i="15"/>
  <c r="AG187" i="15" s="1"/>
  <c r="AL187" i="15"/>
  <c r="AJ187" i="15"/>
  <c r="AM186" i="15"/>
  <c r="AG186" i="15" s="1"/>
  <c r="AL186" i="15"/>
  <c r="AJ186" i="15"/>
  <c r="AM185" i="15"/>
  <c r="AG185" i="15" s="1"/>
  <c r="AL185" i="15"/>
  <c r="AJ185" i="15"/>
  <c r="AM184" i="15"/>
  <c r="AG184" i="15" s="1"/>
  <c r="AL184" i="15"/>
  <c r="AJ184" i="15"/>
  <c r="AM183" i="15"/>
  <c r="AG183" i="15" s="1"/>
  <c r="AL183" i="15"/>
  <c r="AJ183" i="15"/>
  <c r="AM182" i="15"/>
  <c r="AG182" i="15" s="1"/>
  <c r="AL182" i="15"/>
  <c r="AJ182" i="15"/>
  <c r="AM181" i="15"/>
  <c r="AG181" i="15" s="1"/>
  <c r="AL181" i="15"/>
  <c r="AJ181" i="15"/>
  <c r="AM180" i="15"/>
  <c r="AG180" i="15" s="1"/>
  <c r="AL180" i="15"/>
  <c r="AJ180" i="15"/>
  <c r="AM179" i="15"/>
  <c r="AG179" i="15" s="1"/>
  <c r="AL179" i="15"/>
  <c r="AJ179" i="15"/>
  <c r="AM178" i="15"/>
  <c r="AG178" i="15" s="1"/>
  <c r="AL178" i="15"/>
  <c r="AJ178" i="15"/>
  <c r="AM177" i="15"/>
  <c r="AG177" i="15" s="1"/>
  <c r="AL177" i="15"/>
  <c r="AJ177" i="15"/>
  <c r="AM176" i="15"/>
  <c r="AG176" i="15" s="1"/>
  <c r="AL176" i="15"/>
  <c r="AJ176" i="15"/>
  <c r="AM175" i="15"/>
  <c r="AG175" i="15" s="1"/>
  <c r="AL175" i="15"/>
  <c r="AJ175" i="15"/>
  <c r="AM174" i="15"/>
  <c r="AG174" i="15" s="1"/>
  <c r="AL174" i="15"/>
  <c r="AJ174" i="15"/>
  <c r="AM173" i="15"/>
  <c r="AG173" i="15" s="1"/>
  <c r="AL173" i="15"/>
  <c r="AJ173" i="15"/>
  <c r="AM172" i="15"/>
  <c r="AG172" i="15" s="1"/>
  <c r="AL172" i="15"/>
  <c r="AJ172" i="15"/>
  <c r="AM171" i="15"/>
  <c r="AG171" i="15" s="1"/>
  <c r="AL171" i="15"/>
  <c r="AJ171" i="15"/>
  <c r="AM170" i="15"/>
  <c r="AG170" i="15" s="1"/>
  <c r="AL170" i="15"/>
  <c r="AJ170" i="15"/>
  <c r="AM169" i="15"/>
  <c r="AG169" i="15" s="1"/>
  <c r="AL169" i="15"/>
  <c r="AJ169" i="15"/>
  <c r="AM168" i="15"/>
  <c r="AG168" i="15" s="1"/>
  <c r="AL168" i="15"/>
  <c r="AJ168" i="15"/>
  <c r="AM167" i="15"/>
  <c r="AG167" i="15" s="1"/>
  <c r="AL167" i="15"/>
  <c r="AJ167" i="15"/>
  <c r="AM166" i="15"/>
  <c r="AG166" i="15" s="1"/>
  <c r="AL166" i="15"/>
  <c r="AJ166" i="15"/>
  <c r="AM165" i="15"/>
  <c r="AG165" i="15" s="1"/>
  <c r="AL165" i="15"/>
  <c r="AJ165" i="15"/>
  <c r="AM164" i="15"/>
  <c r="AG164" i="15" s="1"/>
  <c r="AL164" i="15"/>
  <c r="AJ164" i="15"/>
  <c r="AM163" i="15"/>
  <c r="AG163" i="15" s="1"/>
  <c r="AL163" i="15"/>
  <c r="AJ163" i="15"/>
  <c r="AM162" i="15"/>
  <c r="AG162" i="15" s="1"/>
  <c r="AL162" i="15"/>
  <c r="AJ162" i="15"/>
  <c r="AM161" i="15"/>
  <c r="AG161" i="15" s="1"/>
  <c r="AL161" i="15"/>
  <c r="AJ161" i="15"/>
  <c r="AM160" i="15"/>
  <c r="AG160" i="15" s="1"/>
  <c r="AL160" i="15"/>
  <c r="AJ160" i="15"/>
  <c r="AM159" i="15"/>
  <c r="AG159" i="15" s="1"/>
  <c r="AL159" i="15"/>
  <c r="AJ159" i="15"/>
  <c r="AM158" i="15"/>
  <c r="AG158" i="15" s="1"/>
  <c r="AL158" i="15"/>
  <c r="AJ158" i="15"/>
  <c r="AM157" i="15"/>
  <c r="AG157" i="15" s="1"/>
  <c r="AL157" i="15"/>
  <c r="AJ157" i="15"/>
  <c r="AM156" i="15"/>
  <c r="AG156" i="15" s="1"/>
  <c r="AL156" i="15"/>
  <c r="AJ156" i="15"/>
  <c r="AM155" i="15"/>
  <c r="AG155" i="15" s="1"/>
  <c r="AL155" i="15"/>
  <c r="AJ155" i="15"/>
  <c r="AM154" i="15"/>
  <c r="AG154" i="15" s="1"/>
  <c r="AL154" i="15"/>
  <c r="AJ154" i="15"/>
  <c r="AM153" i="15"/>
  <c r="AG153" i="15" s="1"/>
  <c r="AL153" i="15"/>
  <c r="AJ153" i="15"/>
  <c r="AM152" i="15"/>
  <c r="AG152" i="15" s="1"/>
  <c r="AL152" i="15"/>
  <c r="AJ152" i="15"/>
  <c r="AM151" i="15"/>
  <c r="AG151" i="15" s="1"/>
  <c r="AL151" i="15"/>
  <c r="AJ151" i="15"/>
  <c r="AM150" i="15"/>
  <c r="AG150" i="15" s="1"/>
  <c r="AL150" i="15"/>
  <c r="AJ150" i="15"/>
  <c r="AM149" i="15"/>
  <c r="AG149" i="15" s="1"/>
  <c r="AL149" i="15"/>
  <c r="AJ149" i="15"/>
  <c r="AM148" i="15"/>
  <c r="AG148" i="15" s="1"/>
  <c r="AL148" i="15"/>
  <c r="AJ148" i="15"/>
  <c r="AM147" i="15"/>
  <c r="AG147" i="15" s="1"/>
  <c r="AL147" i="15"/>
  <c r="AJ147" i="15"/>
  <c r="AM146" i="15"/>
  <c r="AG146" i="15" s="1"/>
  <c r="AL146" i="15"/>
  <c r="AJ146" i="15"/>
  <c r="AM145" i="15"/>
  <c r="AG145" i="15" s="1"/>
  <c r="AL145" i="15"/>
  <c r="AJ145" i="15"/>
  <c r="AM144" i="15"/>
  <c r="AG144" i="15" s="1"/>
  <c r="AL144" i="15"/>
  <c r="AJ144" i="15"/>
  <c r="AM143" i="15"/>
  <c r="AG143" i="15" s="1"/>
  <c r="AL143" i="15"/>
  <c r="AJ143" i="15"/>
  <c r="AM142" i="15"/>
  <c r="AG142" i="15" s="1"/>
  <c r="AL142" i="15"/>
  <c r="AJ142" i="15"/>
  <c r="AM141" i="15"/>
  <c r="AG141" i="15" s="1"/>
  <c r="AL141" i="15"/>
  <c r="AJ141" i="15"/>
  <c r="AM140" i="15"/>
  <c r="AG140" i="15" s="1"/>
  <c r="AL140" i="15"/>
  <c r="AJ140" i="15"/>
  <c r="AM139" i="15"/>
  <c r="AG139" i="15" s="1"/>
  <c r="AL139" i="15"/>
  <c r="AJ139" i="15"/>
  <c r="AM138" i="15"/>
  <c r="AG138" i="15" s="1"/>
  <c r="AL138" i="15"/>
  <c r="AJ138" i="15"/>
  <c r="AM137" i="15"/>
  <c r="AG137" i="15" s="1"/>
  <c r="AL137" i="15"/>
  <c r="AJ137" i="15"/>
  <c r="AM136" i="15"/>
  <c r="AG136" i="15" s="1"/>
  <c r="AL136" i="15"/>
  <c r="AJ136" i="15"/>
  <c r="AM135" i="15"/>
  <c r="AG135" i="15" s="1"/>
  <c r="AL135" i="15"/>
  <c r="AJ135" i="15"/>
  <c r="AM134" i="15"/>
  <c r="AG134" i="15" s="1"/>
  <c r="AL134" i="15"/>
  <c r="AJ134" i="15"/>
  <c r="AM133" i="15"/>
  <c r="AG133" i="15" s="1"/>
  <c r="AL133" i="15"/>
  <c r="AJ133" i="15"/>
  <c r="AM132" i="15"/>
  <c r="AG132" i="15" s="1"/>
  <c r="AL132" i="15"/>
  <c r="AJ132" i="15"/>
  <c r="AM131" i="15"/>
  <c r="AG131" i="15" s="1"/>
  <c r="AL131" i="15"/>
  <c r="AJ131" i="15"/>
  <c r="AM130" i="15"/>
  <c r="AG130" i="15" s="1"/>
  <c r="AL130" i="15"/>
  <c r="AJ130" i="15"/>
  <c r="AM129" i="15"/>
  <c r="AG129" i="15" s="1"/>
  <c r="AL129" i="15"/>
  <c r="AJ129" i="15"/>
  <c r="AM128" i="15"/>
  <c r="AG128" i="15" s="1"/>
  <c r="AL128" i="15"/>
  <c r="AJ128" i="15"/>
  <c r="AM127" i="15"/>
  <c r="AG127" i="15" s="1"/>
  <c r="AL127" i="15"/>
  <c r="AJ127" i="15"/>
  <c r="AM126" i="15"/>
  <c r="AG126" i="15" s="1"/>
  <c r="AL126" i="15"/>
  <c r="AJ126" i="15"/>
  <c r="AM125" i="15"/>
  <c r="AG125" i="15" s="1"/>
  <c r="AL125" i="15"/>
  <c r="AJ125" i="15"/>
  <c r="AM124" i="15"/>
  <c r="AG124" i="15" s="1"/>
  <c r="AL124" i="15"/>
  <c r="AJ124" i="15"/>
  <c r="AM123" i="15"/>
  <c r="AG123" i="15" s="1"/>
  <c r="AL123" i="15"/>
  <c r="AJ123" i="15"/>
  <c r="D123" i="15"/>
  <c r="AM122" i="15"/>
  <c r="AG122" i="15" s="1"/>
  <c r="AL122" i="15"/>
  <c r="AJ122" i="15"/>
  <c r="D122" i="15"/>
  <c r="AM121" i="15"/>
  <c r="AG121" i="15" s="1"/>
  <c r="AL121" i="15"/>
  <c r="AJ121" i="15"/>
  <c r="D121" i="15"/>
  <c r="AM120" i="15"/>
  <c r="AG120" i="15" s="1"/>
  <c r="AL120" i="15"/>
  <c r="AJ120" i="15"/>
  <c r="D120" i="15"/>
  <c r="AM119" i="15"/>
  <c r="AG119" i="15" s="1"/>
  <c r="AL119" i="15"/>
  <c r="AJ119" i="15"/>
  <c r="D119" i="15"/>
  <c r="AM118" i="15"/>
  <c r="AG118" i="15" s="1"/>
  <c r="AL118" i="15"/>
  <c r="AJ118" i="15"/>
  <c r="D118" i="15"/>
  <c r="AM117" i="15"/>
  <c r="AG117" i="15" s="1"/>
  <c r="AL117" i="15"/>
  <c r="AJ117" i="15"/>
  <c r="D117" i="15"/>
  <c r="AM116" i="15"/>
  <c r="AG116" i="15" s="1"/>
  <c r="AL116" i="15"/>
  <c r="AJ116" i="15"/>
  <c r="D116" i="15"/>
  <c r="AM115" i="15"/>
  <c r="AG115" i="15" s="1"/>
  <c r="AL115" i="15"/>
  <c r="AJ115" i="15"/>
  <c r="D115" i="15"/>
  <c r="AM114" i="15"/>
  <c r="AG114" i="15" s="1"/>
  <c r="AL114" i="15"/>
  <c r="AJ114" i="15"/>
  <c r="D114" i="15"/>
  <c r="AM113" i="15"/>
  <c r="AG113" i="15" s="1"/>
  <c r="AL113" i="15"/>
  <c r="AJ113" i="15"/>
  <c r="D113" i="15"/>
  <c r="AM112" i="15"/>
  <c r="AG112" i="15" s="1"/>
  <c r="AL112" i="15"/>
  <c r="AJ112" i="15"/>
  <c r="D112" i="15"/>
  <c r="AM111" i="15"/>
  <c r="AG111" i="15" s="1"/>
  <c r="AL111" i="15"/>
  <c r="AJ111" i="15"/>
  <c r="D111" i="15"/>
  <c r="AM110" i="15"/>
  <c r="AG110" i="15" s="1"/>
  <c r="AL110" i="15"/>
  <c r="AJ110" i="15"/>
  <c r="D110" i="15"/>
  <c r="AM109" i="15"/>
  <c r="AG109" i="15" s="1"/>
  <c r="AL109" i="15"/>
  <c r="AJ109" i="15"/>
  <c r="D109" i="15"/>
  <c r="AM108" i="15"/>
  <c r="AG108" i="15" s="1"/>
  <c r="AL108" i="15"/>
  <c r="AJ108" i="15"/>
  <c r="D108" i="15"/>
  <c r="AM107" i="15"/>
  <c r="AG107" i="15" s="1"/>
  <c r="AL107" i="15"/>
  <c r="AJ107" i="15"/>
  <c r="D107" i="15"/>
  <c r="AM106" i="15"/>
  <c r="AG106" i="15" s="1"/>
  <c r="AL106" i="15"/>
  <c r="AJ106" i="15"/>
  <c r="D106" i="15"/>
  <c r="AM105" i="15"/>
  <c r="AG105" i="15" s="1"/>
  <c r="AL105" i="15"/>
  <c r="AJ105" i="15"/>
  <c r="D105" i="15"/>
  <c r="AM104" i="15"/>
  <c r="AG104" i="15" s="1"/>
  <c r="AL104" i="15"/>
  <c r="AJ104" i="15"/>
  <c r="D104" i="15"/>
  <c r="AM103" i="15"/>
  <c r="AG103" i="15" s="1"/>
  <c r="AL103" i="15"/>
  <c r="AJ103" i="15"/>
  <c r="D103" i="15"/>
  <c r="AM102" i="15"/>
  <c r="AG102" i="15" s="1"/>
  <c r="AL102" i="15"/>
  <c r="AJ102" i="15"/>
  <c r="D102" i="15"/>
  <c r="AM101" i="15"/>
  <c r="AG101" i="15" s="1"/>
  <c r="AL101" i="15"/>
  <c r="AJ101" i="15"/>
  <c r="D101" i="15"/>
  <c r="AM100" i="15"/>
  <c r="AG100" i="15" s="1"/>
  <c r="AL100" i="15"/>
  <c r="AJ100" i="15"/>
  <c r="D100" i="15"/>
  <c r="AM99" i="15"/>
  <c r="AG99" i="15" s="1"/>
  <c r="AL99" i="15"/>
  <c r="AJ99" i="15"/>
  <c r="D99" i="15"/>
  <c r="AM98" i="15"/>
  <c r="AG98" i="15" s="1"/>
  <c r="AL98" i="15"/>
  <c r="AJ98" i="15"/>
  <c r="D98" i="15"/>
  <c r="AM97" i="15"/>
  <c r="AG97" i="15" s="1"/>
  <c r="AL97" i="15"/>
  <c r="AJ97" i="15"/>
  <c r="D97" i="15"/>
  <c r="AM96" i="15"/>
  <c r="AG96" i="15" s="1"/>
  <c r="AL96" i="15"/>
  <c r="AJ96" i="15"/>
  <c r="D96" i="15"/>
  <c r="AM95" i="15"/>
  <c r="AG95" i="15" s="1"/>
  <c r="AL95" i="15"/>
  <c r="AJ95" i="15"/>
  <c r="D95" i="15"/>
  <c r="AM94" i="15"/>
  <c r="AG94" i="15" s="1"/>
  <c r="AL94" i="15"/>
  <c r="AJ94" i="15"/>
  <c r="D94" i="15"/>
  <c r="AM93" i="15"/>
  <c r="AG93" i="15" s="1"/>
  <c r="AL93" i="15"/>
  <c r="AJ93" i="15"/>
  <c r="D93" i="15"/>
  <c r="AM92" i="15"/>
  <c r="AG92" i="15" s="1"/>
  <c r="AL92" i="15"/>
  <c r="AJ92" i="15"/>
  <c r="D92" i="15"/>
  <c r="AM91" i="15"/>
  <c r="AG91" i="15" s="1"/>
  <c r="AL91" i="15"/>
  <c r="AJ91" i="15"/>
  <c r="D91" i="15"/>
  <c r="AM90" i="15"/>
  <c r="AG90" i="15" s="1"/>
  <c r="AL90" i="15"/>
  <c r="AJ90" i="15"/>
  <c r="D90" i="15"/>
  <c r="AM89" i="15"/>
  <c r="AG89" i="15" s="1"/>
  <c r="AL89" i="15"/>
  <c r="AJ89" i="15"/>
  <c r="D89" i="15"/>
  <c r="AM88" i="15"/>
  <c r="AG88" i="15" s="1"/>
  <c r="AL88" i="15"/>
  <c r="AJ88" i="15"/>
  <c r="D88" i="15"/>
  <c r="AM87" i="15"/>
  <c r="AG87" i="15" s="1"/>
  <c r="AL87" i="15"/>
  <c r="AJ87" i="15"/>
  <c r="D87" i="15"/>
  <c r="AM86" i="15"/>
  <c r="AG86" i="15" s="1"/>
  <c r="AL86" i="15"/>
  <c r="AJ86" i="15"/>
  <c r="D86" i="15"/>
  <c r="AM85" i="15"/>
  <c r="AG85" i="15" s="1"/>
  <c r="AL85" i="15"/>
  <c r="AJ85" i="15"/>
  <c r="D85" i="15"/>
  <c r="AM84" i="15"/>
  <c r="AG84" i="15" s="1"/>
  <c r="AL84" i="15"/>
  <c r="AJ84" i="15"/>
  <c r="D84" i="15"/>
  <c r="AM83" i="15"/>
  <c r="AG83" i="15" s="1"/>
  <c r="AL83" i="15"/>
  <c r="AJ83" i="15"/>
  <c r="D83" i="15"/>
  <c r="AM82" i="15"/>
  <c r="AG82" i="15" s="1"/>
  <c r="AL82" i="15"/>
  <c r="AJ82" i="15"/>
  <c r="D82" i="15"/>
  <c r="AM81" i="15"/>
  <c r="AG81" i="15" s="1"/>
  <c r="AL81" i="15"/>
  <c r="AJ81" i="15"/>
  <c r="D81" i="15"/>
  <c r="AM80" i="15"/>
  <c r="AG80" i="15" s="1"/>
  <c r="AL80" i="15"/>
  <c r="AJ80" i="15"/>
  <c r="D80" i="15"/>
  <c r="AM79" i="15"/>
  <c r="AG79" i="15" s="1"/>
  <c r="AL79" i="15"/>
  <c r="AJ79" i="15"/>
  <c r="D79" i="15"/>
  <c r="AM78" i="15"/>
  <c r="AG78" i="15" s="1"/>
  <c r="AL78" i="15"/>
  <c r="AJ78" i="15"/>
  <c r="D78" i="15"/>
  <c r="AM77" i="15"/>
  <c r="AG77" i="15" s="1"/>
  <c r="AL77" i="15"/>
  <c r="AJ77" i="15"/>
  <c r="D77" i="15"/>
  <c r="AM76" i="15"/>
  <c r="AG76" i="15" s="1"/>
  <c r="AL76" i="15"/>
  <c r="AJ76" i="15"/>
  <c r="D76" i="15"/>
  <c r="AM75" i="15"/>
  <c r="AG75" i="15" s="1"/>
  <c r="AL75" i="15"/>
  <c r="AJ75" i="15"/>
  <c r="D75" i="15"/>
  <c r="AM74" i="15"/>
  <c r="AG74" i="15" s="1"/>
  <c r="AL74" i="15"/>
  <c r="AJ74" i="15"/>
  <c r="D74" i="15"/>
  <c r="AM73" i="15"/>
  <c r="AG73" i="15" s="1"/>
  <c r="AL73" i="15"/>
  <c r="AJ73" i="15"/>
  <c r="D73" i="15"/>
  <c r="AM72" i="15"/>
  <c r="AG72" i="15" s="1"/>
  <c r="AL72" i="15"/>
  <c r="AJ72" i="15"/>
  <c r="D72" i="15"/>
  <c r="AM71" i="15"/>
  <c r="AG71" i="15" s="1"/>
  <c r="AL71" i="15"/>
  <c r="AJ71" i="15"/>
  <c r="D71" i="15"/>
  <c r="AM70" i="15"/>
  <c r="AG70" i="15" s="1"/>
  <c r="AL70" i="15"/>
  <c r="AJ70" i="15"/>
  <c r="D70" i="15"/>
  <c r="AM69" i="15"/>
  <c r="AG69" i="15" s="1"/>
  <c r="AL69" i="15"/>
  <c r="AJ69" i="15"/>
  <c r="D69" i="15"/>
  <c r="AM68" i="15"/>
  <c r="AG68" i="15" s="1"/>
  <c r="AL68" i="15"/>
  <c r="AJ68" i="15"/>
  <c r="D68" i="15"/>
  <c r="AM67" i="15"/>
  <c r="AG67" i="15" s="1"/>
  <c r="AL67" i="15"/>
  <c r="AJ67" i="15"/>
  <c r="D67" i="15"/>
  <c r="AM66" i="15"/>
  <c r="AG66" i="15" s="1"/>
  <c r="AL66" i="15"/>
  <c r="AJ66" i="15"/>
  <c r="W66" i="15"/>
  <c r="D66" i="15"/>
  <c r="AM65" i="15"/>
  <c r="AG65" i="15" s="1"/>
  <c r="AL65" i="15"/>
  <c r="AJ65" i="15"/>
  <c r="W65" i="15"/>
  <c r="D65" i="15"/>
  <c r="AM64" i="15"/>
  <c r="AG64" i="15" s="1"/>
  <c r="AL64" i="15"/>
  <c r="AJ64" i="15"/>
  <c r="W64" i="15"/>
  <c r="D64" i="15"/>
  <c r="AM63" i="15"/>
  <c r="AG63" i="15" s="1"/>
  <c r="AL63" i="15"/>
  <c r="AJ63" i="15"/>
  <c r="W63" i="15"/>
  <c r="D63" i="15"/>
  <c r="AM62" i="15"/>
  <c r="AG62" i="15" s="1"/>
  <c r="AL62" i="15"/>
  <c r="AJ62" i="15"/>
  <c r="W62" i="15"/>
  <c r="D62" i="15"/>
  <c r="AM61" i="15"/>
  <c r="AG61" i="15" s="1"/>
  <c r="AL61" i="15"/>
  <c r="AJ61" i="15"/>
  <c r="W61" i="15"/>
  <c r="D61" i="15"/>
  <c r="AM60" i="15"/>
  <c r="AG60" i="15" s="1"/>
  <c r="AL60" i="15"/>
  <c r="AJ60" i="15"/>
  <c r="W60" i="15"/>
  <c r="D60" i="15"/>
  <c r="AM59" i="15"/>
  <c r="AG59" i="15" s="1"/>
  <c r="AL59" i="15"/>
  <c r="AJ59" i="15"/>
  <c r="W59" i="15"/>
  <c r="D59" i="15"/>
  <c r="AM58" i="15"/>
  <c r="AG58" i="15" s="1"/>
  <c r="AL58" i="15"/>
  <c r="AJ58" i="15"/>
  <c r="W58" i="15"/>
  <c r="D58" i="15"/>
  <c r="AM57" i="15"/>
  <c r="AG57" i="15" s="1"/>
  <c r="AL57" i="15"/>
  <c r="AJ57" i="15"/>
  <c r="W57" i="15"/>
  <c r="D57" i="15"/>
  <c r="AM56" i="15"/>
  <c r="AG56" i="15" s="1"/>
  <c r="AL56" i="15"/>
  <c r="AJ56" i="15"/>
  <c r="W56" i="15"/>
  <c r="D56" i="15"/>
  <c r="AM55" i="15"/>
  <c r="AG55" i="15" s="1"/>
  <c r="AL55" i="15"/>
  <c r="AJ55" i="15"/>
  <c r="W55" i="15"/>
  <c r="D55" i="15"/>
  <c r="AM54" i="15"/>
  <c r="AG54" i="15" s="1"/>
  <c r="AL54" i="15"/>
  <c r="AJ54" i="15"/>
  <c r="W54" i="15"/>
  <c r="D54" i="15"/>
  <c r="AM53" i="15"/>
  <c r="AG53" i="15" s="1"/>
  <c r="AL53" i="15"/>
  <c r="AJ53" i="15"/>
  <c r="W53" i="15"/>
  <c r="D53" i="15"/>
  <c r="AM52" i="15"/>
  <c r="AG52" i="15" s="1"/>
  <c r="AL52" i="15"/>
  <c r="AJ52" i="15"/>
  <c r="W52" i="15"/>
  <c r="D52" i="15"/>
  <c r="AM51" i="15"/>
  <c r="AG51" i="15" s="1"/>
  <c r="AL51" i="15"/>
  <c r="AJ51" i="15"/>
  <c r="W51" i="15"/>
  <c r="D51" i="15"/>
  <c r="AM50" i="15"/>
  <c r="AG50" i="15" s="1"/>
  <c r="AL50" i="15"/>
  <c r="AJ50" i="15"/>
  <c r="W50" i="15"/>
  <c r="D50" i="15"/>
  <c r="AM49" i="15"/>
  <c r="AG49" i="15" s="1"/>
  <c r="AL49" i="15"/>
  <c r="AJ49" i="15"/>
  <c r="W49" i="15"/>
  <c r="D49" i="15"/>
  <c r="AM48" i="15"/>
  <c r="AG48" i="15" s="1"/>
  <c r="AL48" i="15"/>
  <c r="AJ48" i="15"/>
  <c r="W48" i="15"/>
  <c r="D48" i="15"/>
  <c r="AM47" i="15"/>
  <c r="AG47" i="15" s="1"/>
  <c r="AL47" i="15"/>
  <c r="AJ47" i="15"/>
  <c r="W47" i="15"/>
  <c r="D47" i="15"/>
  <c r="AM46" i="15"/>
  <c r="AG46" i="15" s="1"/>
  <c r="AL46" i="15"/>
  <c r="AJ46" i="15"/>
  <c r="W46" i="15"/>
  <c r="D46" i="15"/>
  <c r="AM45" i="15"/>
  <c r="AG45" i="15" s="1"/>
  <c r="AL45" i="15"/>
  <c r="AJ45" i="15"/>
  <c r="W45" i="15"/>
  <c r="D45" i="15"/>
  <c r="AM44" i="15"/>
  <c r="AG44" i="15" s="1"/>
  <c r="AL44" i="15"/>
  <c r="AJ44" i="15"/>
  <c r="W44" i="15"/>
  <c r="D44" i="15"/>
  <c r="AM43" i="15"/>
  <c r="AG43" i="15" s="1"/>
  <c r="AL43" i="15"/>
  <c r="AJ43" i="15"/>
  <c r="W43" i="15"/>
  <c r="D43" i="15"/>
  <c r="AM42" i="15"/>
  <c r="AG42" i="15" s="1"/>
  <c r="AL42" i="15"/>
  <c r="AJ42" i="15"/>
  <c r="W42" i="15"/>
  <c r="D42" i="15"/>
  <c r="AM41" i="15"/>
  <c r="AG41" i="15" s="1"/>
  <c r="AL41" i="15"/>
  <c r="AJ41" i="15"/>
  <c r="W41" i="15"/>
  <c r="D41" i="15"/>
  <c r="AM40" i="15"/>
  <c r="AG40" i="15" s="1"/>
  <c r="AL40" i="15"/>
  <c r="AJ40" i="15"/>
  <c r="W40" i="15"/>
  <c r="D40" i="15"/>
  <c r="AM39" i="15"/>
  <c r="AG39" i="15" s="1"/>
  <c r="AL39" i="15"/>
  <c r="AJ39" i="15"/>
  <c r="W39" i="15"/>
  <c r="D39" i="15"/>
  <c r="AM38" i="15"/>
  <c r="AG38" i="15" s="1"/>
  <c r="AL38" i="15"/>
  <c r="AJ38" i="15"/>
  <c r="W38" i="15"/>
  <c r="D38" i="15"/>
  <c r="AM37" i="15"/>
  <c r="AG37" i="15" s="1"/>
  <c r="AL37" i="15"/>
  <c r="AJ37" i="15"/>
  <c r="W37" i="15"/>
  <c r="D37" i="15"/>
  <c r="AM36" i="15"/>
  <c r="AG36" i="15" s="1"/>
  <c r="AL36" i="15"/>
  <c r="AJ36" i="15"/>
  <c r="W36" i="15"/>
  <c r="D36" i="15"/>
  <c r="AM35" i="15"/>
  <c r="AG35" i="15" s="1"/>
  <c r="AL35" i="15"/>
  <c r="AJ35" i="15"/>
  <c r="W35" i="15"/>
  <c r="D35" i="15"/>
  <c r="AM34" i="15"/>
  <c r="AG34" i="15" s="1"/>
  <c r="AL34" i="15"/>
  <c r="AJ34" i="15"/>
  <c r="W34" i="15"/>
  <c r="D34" i="15"/>
  <c r="AM33" i="15"/>
  <c r="AG33" i="15" s="1"/>
  <c r="AL33" i="15"/>
  <c r="AJ33" i="15"/>
  <c r="W33" i="15"/>
  <c r="D33" i="15"/>
  <c r="AM32" i="15"/>
  <c r="AG32" i="15" s="1"/>
  <c r="AL32" i="15"/>
  <c r="AJ32" i="15"/>
  <c r="W32" i="15"/>
  <c r="D32" i="15"/>
  <c r="AM31" i="15"/>
  <c r="AG31" i="15" s="1"/>
  <c r="AL31" i="15"/>
  <c r="AJ31" i="15"/>
  <c r="W31" i="15"/>
  <c r="D31" i="15"/>
  <c r="AM30" i="15"/>
  <c r="AG30" i="15" s="1"/>
  <c r="AL30" i="15"/>
  <c r="AJ30" i="15"/>
  <c r="W30" i="15"/>
  <c r="D30" i="15"/>
  <c r="AM29" i="15"/>
  <c r="AG29" i="15" s="1"/>
  <c r="AL29" i="15"/>
  <c r="AJ29" i="15"/>
  <c r="W29" i="15"/>
  <c r="D29" i="15"/>
  <c r="AM28" i="15"/>
  <c r="AG28" i="15" s="1"/>
  <c r="AL28" i="15"/>
  <c r="AJ28" i="15"/>
  <c r="W28" i="15"/>
  <c r="D28" i="15"/>
  <c r="AM27" i="15"/>
  <c r="AG27" i="15" s="1"/>
  <c r="AL27" i="15"/>
  <c r="AJ27" i="15"/>
  <c r="W27" i="15"/>
  <c r="D27" i="15"/>
  <c r="AM26" i="15"/>
  <c r="AG26" i="15" s="1"/>
  <c r="AL26" i="15"/>
  <c r="AJ26" i="15"/>
  <c r="W26" i="15"/>
  <c r="D26" i="15"/>
  <c r="AM25" i="15"/>
  <c r="AG25" i="15" s="1"/>
  <c r="AL25" i="15"/>
  <c r="AJ25" i="15"/>
  <c r="W25" i="15"/>
  <c r="D25" i="15"/>
  <c r="AM24" i="15"/>
  <c r="AG24" i="15" s="1"/>
  <c r="AL24" i="15"/>
  <c r="AJ24" i="15"/>
  <c r="D24" i="15"/>
  <c r="AM23" i="15"/>
  <c r="AG23" i="15" s="1"/>
  <c r="AL23" i="15"/>
  <c r="AJ23" i="15"/>
  <c r="W23" i="15"/>
  <c r="D23" i="15"/>
  <c r="AM22" i="15"/>
  <c r="AG22" i="15" s="1"/>
  <c r="AL22" i="15"/>
  <c r="AJ22" i="15"/>
  <c r="W22" i="15"/>
  <c r="D22" i="15"/>
  <c r="AM21" i="15"/>
  <c r="AG21" i="15" s="1"/>
  <c r="AL21" i="15"/>
  <c r="AJ21" i="15"/>
  <c r="W21" i="15"/>
  <c r="D21" i="15"/>
  <c r="AM20" i="15"/>
  <c r="AG20" i="15" s="1"/>
  <c r="AL20" i="15"/>
  <c r="AJ20" i="15"/>
  <c r="W20" i="15"/>
  <c r="D20" i="15"/>
  <c r="AM19" i="15"/>
  <c r="AG19" i="15" s="1"/>
  <c r="AL19" i="15"/>
  <c r="AJ19" i="15"/>
  <c r="W19" i="15"/>
  <c r="D19" i="15"/>
  <c r="AM18" i="15"/>
  <c r="AG18" i="15" s="1"/>
  <c r="AL18" i="15"/>
  <c r="AJ18" i="15"/>
  <c r="W18" i="15"/>
  <c r="D18" i="15"/>
  <c r="AM17" i="15"/>
  <c r="AG17" i="15" s="1"/>
  <c r="AL17" i="15"/>
  <c r="AJ17" i="15"/>
  <c r="W17" i="15"/>
  <c r="D17" i="15"/>
  <c r="AM16" i="15"/>
  <c r="AG16" i="15" s="1"/>
  <c r="AL16" i="15"/>
  <c r="AJ16" i="15"/>
  <c r="W16" i="15"/>
  <c r="D16" i="15"/>
  <c r="AM15" i="15"/>
  <c r="AG15" i="15" s="1"/>
  <c r="AL15" i="15"/>
  <c r="AJ15" i="15"/>
  <c r="W15" i="15"/>
  <c r="D15" i="15"/>
  <c r="AM14" i="15"/>
  <c r="AG14" i="15" s="1"/>
  <c r="AL14" i="15"/>
  <c r="AJ14" i="15"/>
  <c r="AM13" i="15"/>
  <c r="AG13" i="15" s="1"/>
  <c r="AL13" i="15"/>
  <c r="AJ13" i="15"/>
  <c r="W13" i="15"/>
  <c r="AM12" i="15"/>
  <c r="AG12" i="15" s="1"/>
  <c r="AL12" i="15"/>
  <c r="AJ12" i="15"/>
  <c r="W12" i="15"/>
  <c r="AM11" i="15"/>
  <c r="AL11" i="15"/>
  <c r="AJ11" i="15"/>
  <c r="AM10" i="15"/>
  <c r="AL10" i="15"/>
  <c r="AJ10" i="15"/>
  <c r="W8" i="15"/>
  <c r="X8" i="15" s="1"/>
  <c r="Y8" i="15" s="1"/>
  <c r="Z8" i="15" s="1"/>
  <c r="AA8" i="15" s="1"/>
  <c r="W7" i="15"/>
  <c r="X7" i="15" s="1"/>
  <c r="Y7" i="15" s="1"/>
  <c r="Z7" i="15" s="1"/>
  <c r="W6" i="15"/>
  <c r="X6" i="15" s="1"/>
  <c r="Y6" i="15" s="1"/>
  <c r="Z6" i="15" s="1"/>
  <c r="AM3" i="15"/>
  <c r="AK3" i="15"/>
  <c r="X2" i="15"/>
  <c r="E2" i="15"/>
  <c r="B21" i="89"/>
  <c r="C21" i="89" s="1"/>
  <c r="B20" i="89"/>
  <c r="C20" i="89" s="1"/>
  <c r="B19" i="89"/>
  <c r="C19" i="89" s="1"/>
  <c r="V18" i="89"/>
  <c r="B18" i="89"/>
  <c r="U17" i="89"/>
  <c r="B17" i="89"/>
  <c r="C17" i="89" s="1"/>
  <c r="U16" i="89"/>
  <c r="V16" i="89" s="1"/>
  <c r="B16" i="89"/>
  <c r="C16" i="89" s="1"/>
  <c r="U15" i="89"/>
  <c r="V15" i="89" s="1"/>
  <c r="B15" i="89"/>
  <c r="C15" i="89" s="1"/>
  <c r="U14" i="89"/>
  <c r="V14" i="89" s="1"/>
  <c r="B14" i="89"/>
  <c r="C14" i="89" s="1"/>
  <c r="U13" i="89"/>
  <c r="V13" i="89" s="1"/>
  <c r="B13" i="89"/>
  <c r="C13" i="89" s="1"/>
  <c r="U12" i="89"/>
  <c r="V12" i="89" s="1"/>
  <c r="B12" i="89"/>
  <c r="C12" i="89" s="1"/>
  <c r="BN11" i="89"/>
  <c r="BM11" i="89"/>
  <c r="BK11" i="89"/>
  <c r="BI11" i="89"/>
  <c r="U11" i="89"/>
  <c r="V11" i="89" s="1"/>
  <c r="B11" i="89"/>
  <c r="BN10" i="89"/>
  <c r="BM10" i="89"/>
  <c r="BK10" i="89"/>
  <c r="BI10" i="89"/>
  <c r="U10" i="89"/>
  <c r="V10" i="89" s="1"/>
  <c r="B10" i="89"/>
  <c r="C10" i="89" s="1"/>
  <c r="BF2" i="89"/>
  <c r="W2" i="89"/>
  <c r="D2" i="89"/>
  <c r="P19" i="13"/>
  <c r="B19" i="13"/>
  <c r="P18" i="13"/>
  <c r="B18" i="13"/>
  <c r="P17" i="13"/>
  <c r="B17" i="13"/>
  <c r="P16" i="13"/>
  <c r="B16" i="13"/>
  <c r="P15" i="13"/>
  <c r="B15" i="13"/>
  <c r="P14" i="13"/>
  <c r="B14" i="13"/>
  <c r="P13" i="13"/>
  <c r="B13" i="13"/>
  <c r="X12" i="13"/>
  <c r="P12" i="13"/>
  <c r="B12" i="13"/>
  <c r="P11" i="13"/>
  <c r="B11" i="13"/>
  <c r="P10" i="13"/>
  <c r="B10" i="13"/>
  <c r="A9" i="13"/>
  <c r="B9" i="13" s="1"/>
  <c r="P6" i="13"/>
  <c r="Q6" i="13" s="1"/>
  <c r="R6" i="13" s="1"/>
  <c r="S6" i="13" s="1"/>
  <c r="T6" i="13" s="1"/>
  <c r="B6" i="13"/>
  <c r="C6" i="13" s="1"/>
  <c r="D6" i="13" s="1"/>
  <c r="E6" i="13" s="1"/>
  <c r="F6" i="13" s="1"/>
  <c r="G6" i="13" s="1"/>
  <c r="H6" i="13" s="1"/>
  <c r="I6" i="13" s="1"/>
  <c r="J6" i="13" s="1"/>
  <c r="K6" i="13" s="1"/>
  <c r="L6" i="13" s="1"/>
  <c r="M6" i="13" s="1"/>
  <c r="N6" i="13" s="1"/>
  <c r="C1" i="13"/>
  <c r="BN17" i="111"/>
  <c r="BC17" i="111" s="1"/>
  <c r="BM17" i="111"/>
  <c r="BK17" i="111"/>
  <c r="BI17" i="111"/>
  <c r="BN16" i="111"/>
  <c r="BC16" i="111" s="1"/>
  <c r="BM16" i="111"/>
  <c r="BK16" i="111"/>
  <c r="BI16" i="111"/>
  <c r="BN15" i="111"/>
  <c r="BC15" i="111" s="1"/>
  <c r="BM15" i="111"/>
  <c r="BK15" i="111"/>
  <c r="BI15" i="111"/>
  <c r="C15" i="111"/>
  <c r="BN14" i="111"/>
  <c r="BC14" i="111" s="1"/>
  <c r="BM14" i="111"/>
  <c r="BK14" i="111"/>
  <c r="BI14" i="111"/>
  <c r="C14" i="111"/>
  <c r="BN13" i="111"/>
  <c r="BC13" i="111" s="1"/>
  <c r="BM13" i="111"/>
  <c r="BK13" i="111"/>
  <c r="BI13" i="111"/>
  <c r="V13" i="111"/>
  <c r="C13" i="111"/>
  <c r="BN12" i="111"/>
  <c r="BM12" i="111"/>
  <c r="BK12" i="111"/>
  <c r="BI12" i="111"/>
  <c r="V12" i="111"/>
  <c r="BN11" i="111"/>
  <c r="BC11" i="111" s="1"/>
  <c r="BM11" i="111"/>
  <c r="BK11" i="111"/>
  <c r="BI11" i="111"/>
  <c r="V11" i="111"/>
  <c r="BN10" i="111"/>
  <c r="BC10" i="111" s="1"/>
  <c r="BM10" i="111"/>
  <c r="BK10" i="111"/>
  <c r="BI10" i="111"/>
  <c r="BF2" i="111"/>
  <c r="W2" i="111"/>
  <c r="D2" i="111"/>
  <c r="G17" i="98"/>
  <c r="P12" i="109"/>
  <c r="AB11" i="89"/>
  <c r="P66" i="15"/>
  <c r="N15" i="15"/>
  <c r="AA59" i="15"/>
  <c r="AW18" i="89"/>
  <c r="K122" i="15"/>
  <c r="K101" i="15"/>
  <c r="P91" i="15"/>
  <c r="P120" i="15"/>
  <c r="AB16" i="89"/>
  <c r="P22" i="15"/>
  <c r="P102" i="15"/>
  <c r="N52" i="15"/>
  <c r="P116" i="15"/>
  <c r="AA31" i="15"/>
  <c r="P113" i="15"/>
  <c r="P86" i="15"/>
  <c r="AA66" i="15"/>
  <c r="AA40" i="15"/>
  <c r="O19" i="89"/>
  <c r="M13" i="89"/>
  <c r="N44" i="15"/>
  <c r="G77" i="15"/>
  <c r="I63" i="15"/>
  <c r="N118" i="15"/>
  <c r="P112" i="15"/>
  <c r="P104" i="15"/>
  <c r="K103" i="15"/>
  <c r="K95" i="15"/>
  <c r="N94" i="15"/>
  <c r="I93" i="15"/>
  <c r="P87" i="15"/>
  <c r="P83" i="15"/>
  <c r="P79" i="15"/>
  <c r="I59" i="15"/>
  <c r="I51" i="15"/>
  <c r="I43" i="15"/>
  <c r="I35" i="15"/>
  <c r="AA47" i="15"/>
  <c r="AA63" i="15"/>
  <c r="K13" i="98"/>
  <c r="G74" i="15"/>
  <c r="AA27" i="15"/>
  <c r="P100" i="15"/>
  <c r="AA51" i="15"/>
  <c r="AA36" i="15"/>
  <c r="AA28" i="15"/>
  <c r="AA13" i="15"/>
  <c r="F17" i="89"/>
  <c r="H14" i="111"/>
  <c r="P46" i="15"/>
  <c r="G97" i="15"/>
  <c r="AA49" i="15"/>
  <c r="N92" i="15"/>
  <c r="P109" i="15"/>
  <c r="AT16" i="98"/>
  <c r="I15" i="98"/>
  <c r="AA65" i="15"/>
  <c r="AA61" i="15"/>
  <c r="P58" i="15"/>
  <c r="AA57" i="15"/>
  <c r="AA53" i="15"/>
  <c r="AA45" i="15"/>
  <c r="P30" i="15"/>
  <c r="AA29" i="15"/>
  <c r="P26" i="15"/>
  <c r="P21" i="15"/>
  <c r="P17" i="15"/>
  <c r="AH15" i="89"/>
  <c r="AF12" i="89"/>
  <c r="AN14" i="89"/>
  <c r="G90" i="15"/>
  <c r="AA55" i="15"/>
  <c r="AA39" i="15"/>
  <c r="I19" i="15"/>
  <c r="N70" i="15"/>
  <c r="AA43" i="15"/>
  <c r="N56" i="15"/>
  <c r="P110" i="15"/>
  <c r="P99" i="15"/>
  <c r="N71" i="15"/>
  <c r="K10" i="98"/>
  <c r="N19" i="98"/>
  <c r="P65" i="15"/>
  <c r="P61" i="15"/>
  <c r="AA52" i="15"/>
  <c r="P41" i="15"/>
  <c r="P33" i="15"/>
  <c r="AA12" i="15"/>
  <c r="M15" i="89"/>
  <c r="I16" i="98"/>
  <c r="N47" i="15"/>
  <c r="J16" i="13"/>
  <c r="J9" i="13"/>
  <c r="P106" i="15"/>
  <c r="N28" i="15"/>
  <c r="H12" i="41"/>
  <c r="P11" i="109"/>
  <c r="AA32" i="15"/>
  <c r="I27" i="15"/>
  <c r="BW138" i="8"/>
  <c r="AQ72" i="8"/>
  <c r="CC398" i="8"/>
  <c r="CC82" i="8"/>
  <c r="CA308" i="8"/>
  <c r="BW398" i="8"/>
  <c r="CC408" i="8"/>
  <c r="EH31" i="8"/>
  <c r="CC638" i="8"/>
  <c r="CA378" i="8"/>
  <c r="BW368" i="8"/>
  <c r="CC548" i="8"/>
  <c r="AZ72" i="8"/>
  <c r="AE72" i="8"/>
  <c r="BU208" i="8"/>
  <c r="CC228" i="8"/>
  <c r="DL62" i="8"/>
  <c r="BW148" i="8"/>
  <c r="BP52" i="8"/>
  <c r="BU188" i="8"/>
  <c r="BK42" i="8"/>
  <c r="DJ52" i="8"/>
  <c r="BW418" i="8"/>
  <c r="AC66" i="8"/>
  <c r="CA528" i="8"/>
  <c r="DN42" i="8"/>
  <c r="AE66" i="8"/>
  <c r="BW118" i="8"/>
  <c r="BU518" i="8"/>
  <c r="AE85" i="8"/>
  <c r="CA458" i="8"/>
  <c r="EC31" i="8"/>
  <c r="CC218" i="8"/>
  <c r="CQ19" i="8"/>
  <c r="DG82" i="8"/>
  <c r="BW128" i="8"/>
  <c r="CS19" i="8"/>
  <c r="AE79" i="8"/>
  <c r="CC558" i="8"/>
  <c r="P11" i="111"/>
  <c r="P13" i="111"/>
  <c r="BW268" i="8"/>
  <c r="CC348" i="8"/>
  <c r="BX72" i="8"/>
  <c r="CA648" i="8"/>
  <c r="BW388" i="8"/>
  <c r="U9" i="8"/>
  <c r="CA158" i="8"/>
  <c r="CC598" i="8"/>
  <c r="CC478" i="8"/>
  <c r="BU388" i="8"/>
  <c r="CA598" i="8"/>
  <c r="CA108" i="8"/>
  <c r="P15" i="111"/>
  <c r="CA128" i="8"/>
  <c r="AC79" i="8"/>
  <c r="BD42" i="8"/>
  <c r="J14" i="8"/>
  <c r="BW648" i="8"/>
  <c r="CA138" i="8"/>
  <c r="Q14" i="8"/>
  <c r="BU348" i="8"/>
  <c r="BW228" i="8"/>
  <c r="BW318" i="8"/>
  <c r="BS72" i="8"/>
  <c r="DF72" i="8"/>
  <c r="CA338" i="8"/>
  <c r="BO62" i="8"/>
  <c r="Y14" i="98"/>
  <c r="BW528" i="8"/>
  <c r="BW208" i="8"/>
  <c r="EJ31" i="8"/>
  <c r="AQ78" i="8"/>
  <c r="DL52" i="8"/>
  <c r="BW168" i="8"/>
  <c r="BU398" i="8"/>
  <c r="BU238" i="8"/>
  <c r="CD9" i="8"/>
  <c r="P12" i="111"/>
  <c r="BW328" i="8"/>
  <c r="CA628" i="8"/>
  <c r="S59" i="8"/>
  <c r="CI18" i="98"/>
  <c r="BU268" i="8"/>
  <c r="CA658" i="8"/>
  <c r="CA408" i="8"/>
  <c r="BA9" i="8"/>
  <c r="BU448" i="8"/>
  <c r="DT31" i="8"/>
  <c r="P14" i="111"/>
  <c r="CC238" i="8"/>
  <c r="BK52" i="8"/>
  <c r="L5" i="88"/>
  <c r="BU598" i="8"/>
  <c r="AQ20" i="8"/>
  <c r="G79" i="8"/>
  <c r="C12" i="88"/>
  <c r="CA328" i="8"/>
  <c r="CC168" i="8"/>
  <c r="BC9" i="8"/>
  <c r="DG62" i="8"/>
  <c r="CC608" i="8"/>
  <c r="BW638" i="8"/>
  <c r="CC328" i="8"/>
  <c r="CA588" i="8"/>
  <c r="CA208" i="8"/>
  <c r="CA198" i="8"/>
  <c r="BW628" i="8"/>
  <c r="BU608" i="8"/>
  <c r="BW298" i="8"/>
  <c r="CC19" i="8"/>
  <c r="DB82" i="8"/>
  <c r="BC31" i="8"/>
  <c r="CA368" i="8"/>
  <c r="CA608" i="8"/>
  <c r="AO78" i="8"/>
  <c r="CA558" i="8"/>
  <c r="CC338" i="8"/>
  <c r="BW248" i="8"/>
  <c r="CC248" i="8"/>
  <c r="AY31" i="8"/>
  <c r="BZ72" i="8"/>
  <c r="AJ31" i="8"/>
  <c r="CA278" i="8"/>
  <c r="BW458" i="8"/>
  <c r="BU508" i="8"/>
  <c r="CA178" i="8"/>
  <c r="BU248" i="8"/>
  <c r="CL19" i="8"/>
  <c r="BU528" i="8"/>
  <c r="BU358" i="8"/>
  <c r="L60" i="15"/>
  <c r="CE82" i="8"/>
  <c r="BW448" i="8"/>
  <c r="CA448" i="8"/>
  <c r="BU198" i="8"/>
  <c r="J5" i="88"/>
  <c r="Q12" i="13"/>
  <c r="J59" i="8"/>
  <c r="BU288" i="8"/>
  <c r="BW188" i="8"/>
  <c r="BU228" i="8"/>
  <c r="L32" i="15"/>
  <c r="DS42" i="8"/>
  <c r="CA118" i="8"/>
  <c r="DP42" i="8"/>
  <c r="CC148" i="8"/>
  <c r="DD82" i="8"/>
  <c r="CA568" i="8"/>
  <c r="BW158" i="8"/>
  <c r="BV62" i="8"/>
  <c r="BW608" i="8"/>
  <c r="CC588" i="8"/>
  <c r="DO52" i="8"/>
  <c r="DK72" i="8"/>
  <c r="BZ82" i="8"/>
  <c r="CA578" i="8"/>
  <c r="BU658" i="8"/>
  <c r="BW278" i="8"/>
  <c r="CA268" i="8"/>
  <c r="CA518" i="8"/>
  <c r="BW378" i="8"/>
  <c r="BW598" i="8"/>
  <c r="BW178" i="8"/>
  <c r="CC298" i="8"/>
  <c r="BU408" i="8"/>
  <c r="BU588" i="8"/>
  <c r="BW568" i="8"/>
  <c r="BW658" i="8"/>
  <c r="CA438" i="8"/>
  <c r="AC85" i="8"/>
  <c r="BU328" i="8"/>
  <c r="BX19" i="8"/>
  <c r="CA418" i="8"/>
  <c r="CC178" i="8"/>
  <c r="AC72" i="8"/>
  <c r="CA428" i="8"/>
  <c r="CA248" i="8"/>
  <c r="BU488" i="8"/>
  <c r="L40" i="15"/>
  <c r="EE20" i="8"/>
  <c r="Q17" i="13"/>
  <c r="L88" i="15"/>
  <c r="BU308" i="8"/>
  <c r="BW488" i="8"/>
  <c r="BW408" i="8"/>
  <c r="AS20" i="8"/>
  <c r="BW498" i="8"/>
  <c r="BW218" i="8"/>
  <c r="CA258" i="8"/>
  <c r="CA618" i="8"/>
  <c r="BU458" i="8"/>
  <c r="CC468" i="8"/>
  <c r="L59" i="8"/>
  <c r="S9" i="8"/>
  <c r="CC128" i="8"/>
  <c r="DU9" i="8"/>
  <c r="BW438" i="8"/>
  <c r="CA488" i="8"/>
  <c r="CF9" i="8"/>
  <c r="CC108" i="8"/>
  <c r="CC138" i="8"/>
  <c r="CA298" i="8"/>
  <c r="BW468" i="8"/>
  <c r="CC368" i="8"/>
  <c r="CJ19" i="8"/>
  <c r="BW308" i="8"/>
  <c r="CC198" i="8"/>
  <c r="BU318" i="8"/>
  <c r="DX20" i="8"/>
  <c r="CC488" i="8"/>
  <c r="Q19" i="13"/>
  <c r="BW578" i="8"/>
  <c r="CE19" i="8"/>
  <c r="CC318" i="8"/>
  <c r="AX20" i="8"/>
  <c r="CC538" i="8"/>
  <c r="DD72" i="8"/>
  <c r="BU478" i="8"/>
  <c r="AL31" i="8"/>
  <c r="P79" i="8"/>
  <c r="CA358" i="8"/>
  <c r="CC358" i="8"/>
  <c r="BU578" i="8"/>
  <c r="CC518" i="8"/>
  <c r="DI82" i="8"/>
  <c r="S33" i="8"/>
  <c r="CC628" i="8"/>
  <c r="CA218" i="8"/>
  <c r="BU548" i="8"/>
  <c r="BI42" i="8"/>
  <c r="BU468" i="8"/>
  <c r="BU558" i="8"/>
  <c r="L66" i="8"/>
  <c r="CA398" i="8"/>
  <c r="BU138" i="8"/>
  <c r="BU128" i="8"/>
  <c r="CA168" i="8"/>
  <c r="L14" i="8"/>
  <c r="BU108" i="8"/>
  <c r="CC578" i="8"/>
  <c r="CC428" i="8"/>
  <c r="CC418" i="8"/>
  <c r="DQ52" i="8"/>
  <c r="Q15" i="13"/>
  <c r="BW428" i="8"/>
  <c r="BW478" i="8"/>
  <c r="BW258" i="8"/>
  <c r="CA148" i="8"/>
  <c r="Q13" i="13"/>
  <c r="EE31" i="8"/>
  <c r="P10" i="111"/>
  <c r="BU538" i="8"/>
  <c r="BW108" i="8"/>
  <c r="CA188" i="8"/>
  <c r="CA228" i="8"/>
  <c r="BW238" i="8"/>
  <c r="CC258" i="8"/>
  <c r="DW9" i="8"/>
  <c r="EG20" i="8"/>
  <c r="BW288" i="8"/>
  <c r="CA478" i="8"/>
  <c r="BU618" i="8"/>
  <c r="E16" i="41"/>
  <c r="H17" i="13"/>
  <c r="K15" i="111"/>
  <c r="CC268" i="8"/>
  <c r="BU278" i="8"/>
  <c r="DN62" i="8"/>
  <c r="BV19" i="8"/>
  <c r="O14" i="8"/>
  <c r="CC208" i="8"/>
  <c r="CA388" i="8"/>
  <c r="CA548" i="8"/>
  <c r="AQ31" i="8"/>
  <c r="BU568" i="8"/>
  <c r="BU498" i="8"/>
  <c r="BU148" i="8"/>
  <c r="CC508" i="8"/>
  <c r="BW588" i="8"/>
  <c r="CC448" i="8"/>
  <c r="CC618" i="8"/>
  <c r="CC528" i="8"/>
  <c r="CC288" i="8"/>
  <c r="BW198" i="8"/>
  <c r="BU368" i="8"/>
  <c r="Y17" i="98"/>
  <c r="BU118" i="8"/>
  <c r="CC158" i="8"/>
  <c r="AX72" i="8"/>
  <c r="BW618" i="8"/>
  <c r="L89" i="15"/>
  <c r="L82" i="15"/>
  <c r="CA508" i="8"/>
  <c r="AS72" i="8"/>
  <c r="DI72" i="8"/>
  <c r="BQ62" i="8"/>
  <c r="BU438" i="8"/>
  <c r="J66" i="8"/>
  <c r="BF42" i="8"/>
  <c r="CC438" i="8"/>
  <c r="CC388" i="8"/>
  <c r="BU218" i="8"/>
  <c r="BU628" i="8"/>
  <c r="CA468" i="8"/>
  <c r="BN52" i="8"/>
  <c r="DX31" i="8"/>
  <c r="CA348" i="8"/>
  <c r="CA638" i="8"/>
  <c r="BX82" i="8"/>
  <c r="CC658" i="8"/>
  <c r="AW31" i="8"/>
  <c r="CC568" i="8"/>
  <c r="CA498" i="8"/>
  <c r="BW508" i="8"/>
  <c r="N79" i="8"/>
  <c r="BU378" i="8"/>
  <c r="BW548" i="8"/>
  <c r="CA538" i="8"/>
  <c r="BU298" i="8"/>
  <c r="BT62" i="8"/>
  <c r="BU72" i="8"/>
  <c r="CA238" i="8"/>
  <c r="CC118" i="8"/>
  <c r="BU168" i="8"/>
  <c r="DU42" i="8"/>
  <c r="H13" i="13"/>
  <c r="I79" i="8"/>
  <c r="BU638" i="8"/>
  <c r="BW538" i="8"/>
  <c r="BW358" i="8"/>
  <c r="BW348" i="8"/>
  <c r="CC648" i="8"/>
  <c r="BU258" i="8"/>
  <c r="BW558" i="8"/>
  <c r="DZ20" i="8"/>
  <c r="BI52" i="8"/>
  <c r="Q59" i="8"/>
  <c r="BU158" i="8"/>
  <c r="BW518" i="8"/>
  <c r="CC498" i="8"/>
  <c r="Q14" i="13"/>
  <c r="CC378" i="8"/>
  <c r="CC278" i="8"/>
  <c r="AO31" i="8"/>
  <c r="DI62" i="8"/>
  <c r="CC458" i="8"/>
  <c r="L45" i="15"/>
  <c r="Q18" i="13"/>
  <c r="DZ31" i="8"/>
  <c r="CC308" i="8"/>
  <c r="CA318" i="8"/>
  <c r="BW338" i="8"/>
  <c r="BU428" i="8"/>
  <c r="BU338" i="8"/>
  <c r="BU418" i="8"/>
  <c r="CK9" i="8"/>
  <c r="CM9" i="8"/>
  <c r="AV20" i="8"/>
  <c r="DR31" i="8"/>
  <c r="BE31" i="8"/>
  <c r="CC188" i="8"/>
  <c r="CA288" i="8"/>
  <c r="BU178" i="8"/>
  <c r="L48" i="15"/>
  <c r="BU648" i="8"/>
  <c r="Q10" i="13"/>
  <c r="Q16" i="13"/>
  <c r="H15" i="13"/>
  <c r="Q11" i="13"/>
  <c r="AC2" i="122" l="1"/>
  <c r="M350" i="122"/>
  <c r="M346" i="122"/>
  <c r="M342" i="122"/>
  <c r="M338" i="122"/>
  <c r="M334" i="122"/>
  <c r="M275" i="122"/>
  <c r="M247" i="122"/>
  <c r="M211" i="122"/>
  <c r="M183" i="122"/>
  <c r="M147" i="122"/>
  <c r="M119" i="122"/>
  <c r="M111" i="122"/>
  <c r="W348" i="122"/>
  <c r="W340" i="122"/>
  <c r="W332" i="122"/>
  <c r="W316" i="122"/>
  <c r="W308" i="122"/>
  <c r="W300" i="122"/>
  <c r="M347" i="122"/>
  <c r="M343" i="122"/>
  <c r="M339" i="122"/>
  <c r="M335" i="122"/>
  <c r="M331" i="122"/>
  <c r="M327" i="122"/>
  <c r="M323" i="122"/>
  <c r="M319" i="122"/>
  <c r="M315" i="122"/>
  <c r="M311" i="122"/>
  <c r="M307" i="122"/>
  <c r="M303" i="122"/>
  <c r="M299" i="122"/>
  <c r="M295" i="122"/>
  <c r="M291" i="122"/>
  <c r="M287" i="122"/>
  <c r="M283" i="122"/>
  <c r="M279" i="122"/>
  <c r="M271" i="122"/>
  <c r="M263" i="122"/>
  <c r="M259" i="122"/>
  <c r="M255" i="122"/>
  <c r="M251" i="122"/>
  <c r="M243" i="122"/>
  <c r="M235" i="122"/>
  <c r="M231" i="122"/>
  <c r="M227" i="122"/>
  <c r="M223" i="122"/>
  <c r="M219" i="122"/>
  <c r="M215" i="122"/>
  <c r="M207" i="122"/>
  <c r="M199" i="122"/>
  <c r="M195" i="122"/>
  <c r="M191" i="122"/>
  <c r="M187" i="122"/>
  <c r="M179" i="122"/>
  <c r="M171" i="122"/>
  <c r="M167" i="122"/>
  <c r="M163" i="122"/>
  <c r="M159" i="122"/>
  <c r="M155" i="122"/>
  <c r="M151" i="122"/>
  <c r="M143" i="122"/>
  <c r="M135" i="122"/>
  <c r="M131" i="122"/>
  <c r="M127" i="122"/>
  <c r="M123" i="122"/>
  <c r="M115" i="122"/>
  <c r="M107" i="122"/>
  <c r="M103" i="122"/>
  <c r="M99" i="122"/>
  <c r="M95" i="122"/>
  <c r="M91" i="122"/>
  <c r="M330" i="122"/>
  <c r="M326" i="122"/>
  <c r="M322" i="122"/>
  <c r="M318" i="122"/>
  <c r="M314" i="122"/>
  <c r="M310" i="122"/>
  <c r="M306" i="122"/>
  <c r="M302" i="122"/>
  <c r="M298" i="122"/>
  <c r="M294" i="122"/>
  <c r="M290" i="122"/>
  <c r="M286" i="122"/>
  <c r="M282" i="122"/>
  <c r="M278" i="122"/>
  <c r="M274" i="122"/>
  <c r="M270" i="122"/>
  <c r="M266" i="122"/>
  <c r="M262" i="122"/>
  <c r="M258" i="122"/>
  <c r="M254" i="122"/>
  <c r="M250" i="122"/>
  <c r="M246" i="122"/>
  <c r="M242" i="122"/>
  <c r="M238" i="122"/>
  <c r="M234" i="122"/>
  <c r="M230" i="122"/>
  <c r="M226" i="122"/>
  <c r="M222" i="122"/>
  <c r="M218" i="122"/>
  <c r="M214" i="122"/>
  <c r="M210" i="122"/>
  <c r="M206" i="122"/>
  <c r="M202" i="122"/>
  <c r="M198" i="122"/>
  <c r="M194" i="122"/>
  <c r="M190" i="122"/>
  <c r="M186" i="122"/>
  <c r="M182" i="122"/>
  <c r="W284" i="122"/>
  <c r="W276" i="122"/>
  <c r="W268" i="122"/>
  <c r="W252" i="122"/>
  <c r="W244" i="122"/>
  <c r="W220" i="122"/>
  <c r="W212" i="122"/>
  <c r="W188" i="122"/>
  <c r="W180" i="122"/>
  <c r="W156" i="122"/>
  <c r="W148" i="122"/>
  <c r="W124" i="122"/>
  <c r="W116" i="122"/>
  <c r="W235" i="122"/>
  <c r="W223" i="122"/>
  <c r="W203" i="122"/>
  <c r="W171" i="122"/>
  <c r="W159" i="122"/>
  <c r="W139" i="122"/>
  <c r="W127" i="122"/>
  <c r="W107" i="122"/>
  <c r="M296" i="122"/>
  <c r="M136" i="122"/>
  <c r="W349" i="122"/>
  <c r="W345" i="122"/>
  <c r="W341" i="122"/>
  <c r="W337" i="122"/>
  <c r="W333" i="122"/>
  <c r="W329" i="122"/>
  <c r="W325" i="122"/>
  <c r="W321" i="122"/>
  <c r="W317" i="122"/>
  <c r="W313" i="122"/>
  <c r="W309" i="122"/>
  <c r="W305" i="122"/>
  <c r="W301" i="122"/>
  <c r="W297" i="122"/>
  <c r="W293" i="122"/>
  <c r="W289" i="122"/>
  <c r="W285" i="122"/>
  <c r="W281" i="122"/>
  <c r="W277" i="122"/>
  <c r="W273" i="122"/>
  <c r="W269" i="122"/>
  <c r="W265" i="122"/>
  <c r="W261" i="122"/>
  <c r="W257" i="122"/>
  <c r="W253" i="122"/>
  <c r="W249" i="122"/>
  <c r="W245" i="122"/>
  <c r="W241" i="122"/>
  <c r="W237" i="122"/>
  <c r="W233" i="122"/>
  <c r="W229" i="122"/>
  <c r="W225" i="122"/>
  <c r="W221" i="122"/>
  <c r="W217" i="122"/>
  <c r="W213" i="122"/>
  <c r="W209" i="122"/>
  <c r="W205" i="122"/>
  <c r="W201" i="122"/>
  <c r="W197" i="122"/>
  <c r="W193" i="122"/>
  <c r="W189" i="122"/>
  <c r="W185" i="122"/>
  <c r="W181" i="122"/>
  <c r="W177" i="122"/>
  <c r="W173" i="122"/>
  <c r="W169" i="122"/>
  <c r="W165" i="122"/>
  <c r="W161" i="122"/>
  <c r="W157" i="122"/>
  <c r="W153" i="122"/>
  <c r="W149" i="122"/>
  <c r="W145" i="122"/>
  <c r="W141" i="122"/>
  <c r="W137" i="122"/>
  <c r="W133" i="122"/>
  <c r="W129" i="122"/>
  <c r="W125" i="122"/>
  <c r="W121" i="122"/>
  <c r="W117" i="122"/>
  <c r="W113" i="122"/>
  <c r="W109" i="122"/>
  <c r="W105" i="122"/>
  <c r="W101" i="122"/>
  <c r="W97" i="122"/>
  <c r="W93" i="122"/>
  <c r="W89" i="122"/>
  <c r="M178" i="122"/>
  <c r="M174" i="122"/>
  <c r="M170" i="122"/>
  <c r="M166" i="122"/>
  <c r="M162" i="122"/>
  <c r="M158" i="122"/>
  <c r="M154" i="122"/>
  <c r="M150" i="122"/>
  <c r="M146" i="122"/>
  <c r="M142" i="122"/>
  <c r="M138" i="122"/>
  <c r="M134" i="122"/>
  <c r="M130" i="122"/>
  <c r="M126" i="122"/>
  <c r="M122" i="122"/>
  <c r="M118" i="122"/>
  <c r="M114" i="122"/>
  <c r="M110" i="122"/>
  <c r="M106" i="122"/>
  <c r="M102" i="122"/>
  <c r="M98" i="122"/>
  <c r="M94" i="122"/>
  <c r="M90" i="122"/>
  <c r="M348" i="122"/>
  <c r="M344" i="122"/>
  <c r="M340" i="122"/>
  <c r="M336" i="122"/>
  <c r="M332" i="122"/>
  <c r="M328" i="122"/>
  <c r="M324" i="122"/>
  <c r="M320" i="122"/>
  <c r="M316" i="122"/>
  <c r="M312" i="122"/>
  <c r="M308" i="122"/>
  <c r="M304" i="122"/>
  <c r="M300" i="122"/>
  <c r="M292" i="122"/>
  <c r="M288" i="122"/>
  <c r="M284" i="122"/>
  <c r="M280" i="122"/>
  <c r="M276" i="122"/>
  <c r="M272" i="122"/>
  <c r="M268" i="122"/>
  <c r="M264" i="122"/>
  <c r="M260" i="122"/>
  <c r="M256" i="122"/>
  <c r="M252" i="122"/>
  <c r="M248" i="122"/>
  <c r="M244" i="122"/>
  <c r="M240" i="122"/>
  <c r="M236" i="122"/>
  <c r="M232" i="122"/>
  <c r="M228" i="122"/>
  <c r="M224" i="122"/>
  <c r="M220" i="122"/>
  <c r="M216" i="122"/>
  <c r="M212" i="122"/>
  <c r="M208" i="122"/>
  <c r="M204" i="122"/>
  <c r="M200" i="122"/>
  <c r="M196" i="122"/>
  <c r="M192" i="122"/>
  <c r="M188" i="122"/>
  <c r="M184" i="122"/>
  <c r="M180" i="122"/>
  <c r="M176" i="122"/>
  <c r="M172" i="122"/>
  <c r="M168" i="122"/>
  <c r="M164" i="122"/>
  <c r="M160" i="122"/>
  <c r="M156" i="122"/>
  <c r="M152" i="122"/>
  <c r="M148" i="122"/>
  <c r="M144" i="122"/>
  <c r="M140" i="122"/>
  <c r="M132" i="122"/>
  <c r="M128" i="122"/>
  <c r="M124" i="122"/>
  <c r="M120" i="122"/>
  <c r="M116" i="122"/>
  <c r="M112" i="122"/>
  <c r="M108" i="122"/>
  <c r="M104" i="122"/>
  <c r="M100" i="122"/>
  <c r="M96" i="122"/>
  <c r="W324" i="122"/>
  <c r="W292" i="122"/>
  <c r="W260" i="122"/>
  <c r="W92" i="122"/>
  <c r="W347" i="122"/>
  <c r="W339" i="122"/>
  <c r="W331" i="122"/>
  <c r="W323" i="122"/>
  <c r="W315" i="122"/>
  <c r="W307" i="122"/>
  <c r="W299" i="122"/>
  <c r="W291" i="122"/>
  <c r="W283" i="122"/>
  <c r="W275" i="122"/>
  <c r="W267" i="122"/>
  <c r="W259" i="122"/>
  <c r="W251" i="122"/>
  <c r="W243" i="122"/>
  <c r="W239" i="122"/>
  <c r="W231" i="122"/>
  <c r="W219" i="122"/>
  <c r="W211" i="122"/>
  <c r="W207" i="122"/>
  <c r="W199" i="122"/>
  <c r="W187" i="122"/>
  <c r="W179" i="122"/>
  <c r="W175" i="122"/>
  <c r="W167" i="122"/>
  <c r="W155" i="122"/>
  <c r="W147" i="122"/>
  <c r="W143" i="122"/>
  <c r="W135" i="122"/>
  <c r="W123" i="122"/>
  <c r="W115" i="122"/>
  <c r="W111" i="122"/>
  <c r="W103" i="122"/>
  <c r="W91" i="122"/>
  <c r="M349" i="122"/>
  <c r="M337" i="122"/>
  <c r="M329" i="122"/>
  <c r="M321" i="122"/>
  <c r="M313" i="122"/>
  <c r="M309" i="122"/>
  <c r="M301" i="122"/>
  <c r="M293" i="122"/>
  <c r="M285" i="122"/>
  <c r="M273" i="122"/>
  <c r="M265" i="122"/>
  <c r="M257" i="122"/>
  <c r="M249" i="122"/>
  <c r="M245" i="122"/>
  <c r="M237" i="122"/>
  <c r="M229" i="122"/>
  <c r="M221" i="122"/>
  <c r="M209" i="122"/>
  <c r="M201" i="122"/>
  <c r="M193" i="122"/>
  <c r="M185" i="122"/>
  <c r="M181" i="122"/>
  <c r="M173" i="122"/>
  <c r="M165" i="122"/>
  <c r="M157" i="122"/>
  <c r="M145" i="122"/>
  <c r="M137" i="122"/>
  <c r="M129" i="122"/>
  <c r="M121" i="122"/>
  <c r="M117" i="122"/>
  <c r="M109" i="122"/>
  <c r="M101" i="122"/>
  <c r="M93" i="122"/>
  <c r="M92" i="122"/>
  <c r="W236" i="122"/>
  <c r="W228" i="122"/>
  <c r="W204" i="122"/>
  <c r="W196" i="122"/>
  <c r="W172" i="122"/>
  <c r="W164" i="122"/>
  <c r="W160" i="122"/>
  <c r="W152" i="122"/>
  <c r="W144" i="122"/>
  <c r="W140" i="122"/>
  <c r="W136" i="122"/>
  <c r="W132" i="122"/>
  <c r="W128" i="122"/>
  <c r="W120" i="122"/>
  <c r="W112" i="122"/>
  <c r="W108" i="122"/>
  <c r="W104" i="122"/>
  <c r="W100" i="122"/>
  <c r="W96" i="122"/>
  <c r="W346" i="122"/>
  <c r="W338" i="122"/>
  <c r="W330" i="122"/>
  <c r="W322" i="122"/>
  <c r="W314" i="122"/>
  <c r="W306" i="122"/>
  <c r="W298" i="122"/>
  <c r="W290" i="122"/>
  <c r="W282" i="122"/>
  <c r="W274" i="122"/>
  <c r="W266" i="122"/>
  <c r="W258" i="122"/>
  <c r="W250" i="122"/>
  <c r="W242" i="122"/>
  <c r="W234" i="122"/>
  <c r="W226" i="122"/>
  <c r="W218" i="122"/>
  <c r="W210" i="122"/>
  <c r="W202" i="122"/>
  <c r="W194" i="122"/>
  <c r="W186" i="122"/>
  <c r="W178" i="122"/>
  <c r="W170" i="122"/>
  <c r="W343" i="122"/>
  <c r="W335" i="122"/>
  <c r="W327" i="122"/>
  <c r="W319" i="122"/>
  <c r="W311" i="122"/>
  <c r="W303" i="122"/>
  <c r="W295" i="122"/>
  <c r="W287" i="122"/>
  <c r="W279" i="122"/>
  <c r="W271" i="122"/>
  <c r="W263" i="122"/>
  <c r="W255" i="122"/>
  <c r="W247" i="122"/>
  <c r="W227" i="122"/>
  <c r="W215" i="122"/>
  <c r="W195" i="122"/>
  <c r="W183" i="122"/>
  <c r="W163" i="122"/>
  <c r="W151" i="122"/>
  <c r="W131" i="122"/>
  <c r="W119" i="122"/>
  <c r="W99" i="122"/>
  <c r="W350" i="122"/>
  <c r="W342" i="122"/>
  <c r="W334" i="122"/>
  <c r="W326" i="122"/>
  <c r="W318" i="122"/>
  <c r="W310" i="122"/>
  <c r="W302" i="122"/>
  <c r="W294" i="122"/>
  <c r="W286" i="122"/>
  <c r="W278" i="122"/>
  <c r="W270" i="122"/>
  <c r="W262" i="122"/>
  <c r="W254" i="122"/>
  <c r="W246" i="122"/>
  <c r="W238" i="122"/>
  <c r="W230" i="122"/>
  <c r="W222" i="122"/>
  <c r="W214" i="122"/>
  <c r="W206" i="122"/>
  <c r="W198" i="122"/>
  <c r="W190" i="122"/>
  <c r="W182" i="122"/>
  <c r="W174" i="122"/>
  <c r="W166" i="122"/>
  <c r="W162" i="122"/>
  <c r="W158" i="122"/>
  <c r="W154" i="122"/>
  <c r="W150" i="122"/>
  <c r="W146" i="122"/>
  <c r="W142" i="122"/>
  <c r="W138" i="122"/>
  <c r="W134" i="122"/>
  <c r="W130" i="122"/>
  <c r="W126" i="122"/>
  <c r="W122" i="122"/>
  <c r="W118" i="122"/>
  <c r="W114" i="122"/>
  <c r="W110" i="122"/>
  <c r="W106" i="122"/>
  <c r="W102" i="122"/>
  <c r="W98" i="122"/>
  <c r="W94" i="122"/>
  <c r="W90" i="122"/>
  <c r="W344" i="122"/>
  <c r="W336" i="122"/>
  <c r="W328" i="122"/>
  <c r="W320" i="122"/>
  <c r="W312" i="122"/>
  <c r="W304" i="122"/>
  <c r="W296" i="122"/>
  <c r="W288" i="122"/>
  <c r="W280" i="122"/>
  <c r="W272" i="122"/>
  <c r="W264" i="122"/>
  <c r="W256" i="122"/>
  <c r="W248" i="122"/>
  <c r="W240" i="122"/>
  <c r="W232" i="122"/>
  <c r="W224" i="122"/>
  <c r="W216" i="122"/>
  <c r="W208" i="122"/>
  <c r="W200" i="122"/>
  <c r="W192" i="122"/>
  <c r="W184" i="122"/>
  <c r="W176" i="122"/>
  <c r="W168" i="122"/>
  <c r="M88" i="122"/>
  <c r="M87" i="122"/>
  <c r="W88" i="122"/>
  <c r="W87" i="122"/>
  <c r="W83" i="122"/>
  <c r="W79" i="122"/>
  <c r="W75" i="122"/>
  <c r="W71" i="122"/>
  <c r="W67" i="122"/>
  <c r="W63" i="122"/>
  <c r="W59" i="122"/>
  <c r="W55" i="122"/>
  <c r="W51" i="122"/>
  <c r="W47" i="122"/>
  <c r="W43" i="122"/>
  <c r="W39" i="122"/>
  <c r="W35" i="122"/>
  <c r="W31" i="122"/>
  <c r="W27" i="122"/>
  <c r="W23" i="122"/>
  <c r="W19" i="122"/>
  <c r="W15" i="122"/>
  <c r="W11" i="122"/>
  <c r="W7" i="122"/>
  <c r="W3" i="122"/>
  <c r="W86" i="122"/>
  <c r="W82" i="122"/>
  <c r="W78" i="122"/>
  <c r="W74" i="122"/>
  <c r="W70" i="122"/>
  <c r="W66" i="122"/>
  <c r="W62" i="122"/>
  <c r="W58" i="122"/>
  <c r="W54" i="122"/>
  <c r="W50" i="122"/>
  <c r="W46" i="122"/>
  <c r="W42" i="122"/>
  <c r="W38" i="122"/>
  <c r="W34" i="122"/>
  <c r="W30" i="122"/>
  <c r="W26" i="122"/>
  <c r="W22" i="122"/>
  <c r="W18" i="122"/>
  <c r="W14" i="122"/>
  <c r="W10" i="122"/>
  <c r="W6" i="122"/>
  <c r="W2" i="122"/>
  <c r="W85" i="122"/>
  <c r="W81" i="122"/>
  <c r="W77" i="122"/>
  <c r="W73" i="122"/>
  <c r="W69" i="122"/>
  <c r="W65" i="122"/>
  <c r="W61" i="122"/>
  <c r="W57" i="122"/>
  <c r="W53" i="122"/>
  <c r="W49" i="122"/>
  <c r="W45" i="122"/>
  <c r="W41" i="122"/>
  <c r="W37" i="122"/>
  <c r="W33" i="122"/>
  <c r="W29" i="122"/>
  <c r="W25" i="122"/>
  <c r="W21" i="122"/>
  <c r="W17" i="122"/>
  <c r="W13" i="122"/>
  <c r="W9" i="122"/>
  <c r="W5" i="122"/>
  <c r="W84" i="122"/>
  <c r="W80" i="122"/>
  <c r="W76" i="122"/>
  <c r="W72" i="122"/>
  <c r="W68" i="122"/>
  <c r="W64" i="122"/>
  <c r="W60" i="122"/>
  <c r="W56" i="122"/>
  <c r="W52" i="122"/>
  <c r="W48" i="122"/>
  <c r="W44" i="122"/>
  <c r="W40" i="122"/>
  <c r="W36" i="122"/>
  <c r="W32" i="122"/>
  <c r="W28" i="122"/>
  <c r="W24" i="122"/>
  <c r="W20" i="122"/>
  <c r="W16" i="122"/>
  <c r="W12" i="122"/>
  <c r="W8" i="122"/>
  <c r="W4" i="122"/>
  <c r="M83" i="122"/>
  <c r="M79" i="122"/>
  <c r="M75" i="122"/>
  <c r="M71" i="122"/>
  <c r="M67" i="122"/>
  <c r="M63" i="122"/>
  <c r="M59" i="122"/>
  <c r="M55" i="122"/>
  <c r="M51" i="122"/>
  <c r="M47" i="122"/>
  <c r="M43" i="122"/>
  <c r="M39" i="122"/>
  <c r="M35" i="122"/>
  <c r="M31" i="122"/>
  <c r="M27" i="122"/>
  <c r="M23" i="122"/>
  <c r="M19" i="122"/>
  <c r="M15" i="122"/>
  <c r="M11" i="122"/>
  <c r="M7" i="122"/>
  <c r="M3" i="122"/>
  <c r="M84" i="122"/>
  <c r="M80" i="122"/>
  <c r="M76" i="122"/>
  <c r="M72" i="122"/>
  <c r="M68" i="122"/>
  <c r="M64" i="122"/>
  <c r="M60" i="122"/>
  <c r="M56" i="122"/>
  <c r="M52" i="122"/>
  <c r="M48" i="122"/>
  <c r="M44" i="122"/>
  <c r="M40" i="122"/>
  <c r="M36" i="122"/>
  <c r="M32" i="122"/>
  <c r="M28" i="122"/>
  <c r="M24" i="122"/>
  <c r="M20" i="122"/>
  <c r="M16" i="122"/>
  <c r="M12" i="122"/>
  <c r="M8" i="122"/>
  <c r="M4" i="122"/>
  <c r="M86" i="122"/>
  <c r="M82" i="122"/>
  <c r="M78" i="122"/>
  <c r="M74" i="122"/>
  <c r="M70" i="122"/>
  <c r="M66" i="122"/>
  <c r="M62" i="122"/>
  <c r="M58" i="122"/>
  <c r="M54" i="122"/>
  <c r="M50" i="122"/>
  <c r="M46" i="122"/>
  <c r="M42" i="122"/>
  <c r="M38" i="122"/>
  <c r="M34" i="122"/>
  <c r="M30" i="122"/>
  <c r="M26" i="122"/>
  <c r="M22" i="122"/>
  <c r="M18" i="122"/>
  <c r="M14" i="122"/>
  <c r="M10" i="122"/>
  <c r="M6" i="122"/>
  <c r="M2" i="122"/>
  <c r="M85" i="122"/>
  <c r="M81" i="122"/>
  <c r="M77" i="122"/>
  <c r="M73" i="122"/>
  <c r="M69" i="122"/>
  <c r="M65" i="122"/>
  <c r="M61" i="122"/>
  <c r="M57" i="122"/>
  <c r="M53" i="122"/>
  <c r="M49" i="122"/>
  <c r="M45" i="122"/>
  <c r="M41" i="122"/>
  <c r="M37" i="122"/>
  <c r="M33" i="122"/>
  <c r="M29" i="122"/>
  <c r="M25" i="122"/>
  <c r="M21" i="122"/>
  <c r="M17" i="122"/>
  <c r="M13" i="122"/>
  <c r="M9" i="122"/>
  <c r="M5" i="122"/>
  <c r="CT19" i="8"/>
  <c r="CM19" i="8"/>
  <c r="CH11" i="109"/>
  <c r="S27" i="8"/>
  <c r="AG10" i="15"/>
  <c r="BC10" i="89"/>
  <c r="E96" i="9"/>
  <c r="H96" i="9" s="1"/>
  <c r="K96" i="9" s="1"/>
  <c r="N96" i="9" s="1"/>
  <c r="X10" i="109"/>
  <c r="CF10" i="109" s="1"/>
  <c r="Y3" i="109"/>
  <c r="CZ105" i="7"/>
  <c r="O41" i="8"/>
  <c r="O39" i="8"/>
  <c r="O42" i="8"/>
  <c r="O38" i="8"/>
  <c r="C98" i="9"/>
  <c r="C101" i="9" s="1"/>
  <c r="F95" i="9"/>
  <c r="I95" i="9" s="1"/>
  <c r="L95" i="9" s="1"/>
  <c r="O95" i="9" s="1"/>
  <c r="O40" i="8"/>
  <c r="S31" i="8"/>
  <c r="CZ105" i="3"/>
  <c r="P9" i="13"/>
  <c r="O2" i="13"/>
  <c r="C44" i="9"/>
  <c r="F44" i="9" s="1"/>
  <c r="I44" i="9" s="1"/>
  <c r="L44" i="9" s="1"/>
  <c r="O44" i="9" s="1"/>
  <c r="F41" i="9"/>
  <c r="I41" i="9" s="1"/>
  <c r="L41" i="9" s="1"/>
  <c r="O41" i="9" s="1"/>
  <c r="C14" i="88"/>
  <c r="CZ105" i="5"/>
  <c r="CZ105" i="4"/>
  <c r="U27" i="8"/>
  <c r="CZ105" i="6"/>
  <c r="X11" i="98"/>
  <c r="CF11" i="98" s="1"/>
  <c r="Y3" i="98"/>
  <c r="C3" i="13"/>
  <c r="C2" i="13"/>
  <c r="AK2" i="15"/>
  <c r="BC12" i="111"/>
  <c r="BF4" i="111"/>
  <c r="C62" i="9"/>
  <c r="F59" i="9"/>
  <c r="I59" i="9" s="1"/>
  <c r="L59" i="9" s="1"/>
  <c r="O59" i="9" s="1"/>
  <c r="CH17" i="98"/>
  <c r="B63" i="9"/>
  <c r="E63" i="9" s="1"/>
  <c r="H63" i="9" s="1"/>
  <c r="K63" i="9" s="1"/>
  <c r="N63" i="9" s="1"/>
  <c r="E60" i="9"/>
  <c r="H60" i="9" s="1"/>
  <c r="K60" i="9" s="1"/>
  <c r="N60" i="9" s="1"/>
  <c r="BF4" i="89"/>
  <c r="CG13" i="98"/>
  <c r="C26" i="9"/>
  <c r="B27" i="9"/>
  <c r="B30" i="9" s="1"/>
  <c r="C80" i="9"/>
  <c r="C83" i="9" s="1"/>
  <c r="F77" i="9"/>
  <c r="I77" i="9" s="1"/>
  <c r="L77" i="9" s="1"/>
  <c r="O77" i="9" s="1"/>
  <c r="S38" i="8"/>
  <c r="CF11" i="109"/>
  <c r="F5" i="9"/>
  <c r="I5" i="9" s="1"/>
  <c r="L5" i="9" s="1"/>
  <c r="O5" i="9" s="1"/>
  <c r="C8" i="9"/>
  <c r="C10" i="88"/>
  <c r="CG11" i="109"/>
  <c r="CE14" i="98"/>
  <c r="CH15" i="98"/>
  <c r="CE18" i="98"/>
  <c r="CG16" i="98"/>
  <c r="CG17" i="98"/>
  <c r="CE11" i="109"/>
  <c r="E88" i="15"/>
  <c r="S88" i="15" s="1"/>
  <c r="B88" i="15" s="1"/>
  <c r="R10" i="13"/>
  <c r="R13" i="13"/>
  <c r="R17" i="13"/>
  <c r="DL72" i="8"/>
  <c r="DD67" i="8" s="1"/>
  <c r="CD268" i="8"/>
  <c r="BW263" i="8" s="1"/>
  <c r="CD658" i="8"/>
  <c r="BW653" i="8" s="1"/>
  <c r="C13" i="13"/>
  <c r="R14" i="13"/>
  <c r="C17" i="13"/>
  <c r="R18" i="13"/>
  <c r="R12" i="13"/>
  <c r="R15" i="13"/>
  <c r="R19" i="13"/>
  <c r="CD578" i="8"/>
  <c r="BW573" i="8" s="1"/>
  <c r="E45" i="15"/>
  <c r="S45" i="15" s="1"/>
  <c r="B45" i="15" s="1"/>
  <c r="E60" i="15"/>
  <c r="S60" i="15" s="1"/>
  <c r="B60" i="15" s="1"/>
  <c r="BY19" i="8"/>
  <c r="AR31" i="8"/>
  <c r="AL26" i="8" s="1"/>
  <c r="C15" i="13"/>
  <c r="R16" i="13"/>
  <c r="E32" i="15"/>
  <c r="S32" i="15" s="1"/>
  <c r="B32" i="15" s="1"/>
  <c r="E40" i="15"/>
  <c r="S40" i="15" s="1"/>
  <c r="B40" i="15" s="1"/>
  <c r="E48" i="15"/>
  <c r="S48" i="15" s="1"/>
  <c r="B48" i="15" s="1"/>
  <c r="E82" i="15"/>
  <c r="S82" i="15" s="1"/>
  <c r="B82" i="15" s="1"/>
  <c r="EF31" i="8"/>
  <c r="EC25" i="8" s="1"/>
  <c r="EK31" i="8"/>
  <c r="EC26" i="8" s="1"/>
  <c r="R11" i="13"/>
  <c r="E89" i="15"/>
  <c r="S89" i="15" s="1"/>
  <c r="B89" i="15" s="1"/>
  <c r="M14" i="8"/>
  <c r="K8" i="8" s="1"/>
  <c r="AM31" i="8"/>
  <c r="AL25" i="8" s="1"/>
  <c r="BA72" i="8"/>
  <c r="AQ66" i="8" s="1"/>
  <c r="CD638" i="8"/>
  <c r="BW633" i="8" s="1"/>
  <c r="CF19" i="8"/>
  <c r="D15" i="111"/>
  <c r="R15" i="111" s="1"/>
  <c r="A15" i="111" s="1"/>
  <c r="R14" i="8"/>
  <c r="K9" i="8" s="1"/>
  <c r="CD198" i="8"/>
  <c r="BW193" i="8" s="1"/>
  <c r="CD458" i="8"/>
  <c r="BW453" i="8" s="1"/>
  <c r="AZ31" i="8"/>
  <c r="AY25" i="8" s="1"/>
  <c r="EA31" i="8"/>
  <c r="DU26" i="8" s="1"/>
  <c r="BG42" i="8"/>
  <c r="BF36" i="8" s="1"/>
  <c r="CD178" i="8"/>
  <c r="BW173" i="8" s="1"/>
  <c r="CD288" i="8"/>
  <c r="BW283" i="8" s="1"/>
  <c r="CD368" i="8"/>
  <c r="BW363" i="8" s="1"/>
  <c r="DV42" i="8"/>
  <c r="DN37" i="8" s="1"/>
  <c r="DR52" i="8"/>
  <c r="DJ47" i="8" s="1"/>
  <c r="CD118" i="8"/>
  <c r="BW113" i="8" s="1"/>
  <c r="CD388" i="8"/>
  <c r="BW383" i="8" s="1"/>
  <c r="CD478" i="8"/>
  <c r="BW473" i="8" s="1"/>
  <c r="CD558" i="8"/>
  <c r="BW553" i="8" s="1"/>
  <c r="BQ52" i="8"/>
  <c r="BK47" i="8" s="1"/>
  <c r="T59" i="8"/>
  <c r="M53" i="8" s="1"/>
  <c r="CD138" i="8"/>
  <c r="BW133" i="8" s="1"/>
  <c r="CD218" i="8"/>
  <c r="BW213" i="8" s="1"/>
  <c r="CD308" i="8"/>
  <c r="BW303" i="8" s="1"/>
  <c r="CD408" i="8"/>
  <c r="BW403" i="8" s="1"/>
  <c r="CD498" i="8"/>
  <c r="BW493" i="8" s="1"/>
  <c r="CD518" i="8"/>
  <c r="BW513" i="8" s="1"/>
  <c r="CD598" i="8"/>
  <c r="BW593" i="8" s="1"/>
  <c r="DM52" i="8"/>
  <c r="DJ46" i="8" s="1"/>
  <c r="AT72" i="8"/>
  <c r="AQ65" i="8" s="1"/>
  <c r="CD158" i="8"/>
  <c r="BW153" i="8" s="1"/>
  <c r="CD238" i="8"/>
  <c r="BW233" i="8" s="1"/>
  <c r="CD328" i="8"/>
  <c r="BW323" i="8" s="1"/>
  <c r="CD348" i="8"/>
  <c r="BW343" i="8" s="1"/>
  <c r="CD438" i="8"/>
  <c r="BW433" i="8" s="1"/>
  <c r="CD538" i="8"/>
  <c r="BW533" i="8" s="1"/>
  <c r="CD618" i="8"/>
  <c r="BW613" i="8" s="1"/>
  <c r="DO62" i="8"/>
  <c r="DG57" i="8" s="1"/>
  <c r="AR78" i="8"/>
  <c r="J79" i="8"/>
  <c r="H71" i="8" s="1"/>
  <c r="Q79" i="8"/>
  <c r="H72" i="8" s="1"/>
  <c r="AF79" i="8"/>
  <c r="CF82" i="8"/>
  <c r="BZ77" i="8" s="1"/>
  <c r="DE82" i="8"/>
  <c r="DB76" i="8" s="1"/>
  <c r="DJ82" i="8"/>
  <c r="DB77" i="8" s="1"/>
  <c r="AF85" i="8"/>
  <c r="CD108" i="8"/>
  <c r="BW103" i="8" s="1"/>
  <c r="CD128" i="8"/>
  <c r="BW123" i="8" s="1"/>
  <c r="CD148" i="8"/>
  <c r="BW143" i="8" s="1"/>
  <c r="CD168" i="8"/>
  <c r="BW163" i="8" s="1"/>
  <c r="CD188" i="8"/>
  <c r="BW183" i="8" s="1"/>
  <c r="CD208" i="8"/>
  <c r="BW203" i="8" s="1"/>
  <c r="CD228" i="8"/>
  <c r="BW223" i="8" s="1"/>
  <c r="CD248" i="8"/>
  <c r="BW243" i="8" s="1"/>
  <c r="CD338" i="8"/>
  <c r="BW333" i="8" s="1"/>
  <c r="CD358" i="8"/>
  <c r="BW353" i="8" s="1"/>
  <c r="CD378" i="8"/>
  <c r="BW373" i="8" s="1"/>
  <c r="CD398" i="8"/>
  <c r="BW393" i="8" s="1"/>
  <c r="CD418" i="8"/>
  <c r="BW413" i="8" s="1"/>
  <c r="CD508" i="8"/>
  <c r="BW503" i="8" s="1"/>
  <c r="CD528" i="8"/>
  <c r="BW523" i="8" s="1"/>
  <c r="CD548" i="8"/>
  <c r="BW543" i="8" s="1"/>
  <c r="CD568" i="8"/>
  <c r="BW563" i="8" s="1"/>
  <c r="CD588" i="8"/>
  <c r="BW583" i="8" s="1"/>
  <c r="CD608" i="8"/>
  <c r="BW603" i="8" s="1"/>
  <c r="CD628" i="8"/>
  <c r="BW623" i="8" s="1"/>
  <c r="CD648" i="8"/>
  <c r="BW643" i="8" s="1"/>
  <c r="CD258" i="8"/>
  <c r="BW253" i="8" s="1"/>
  <c r="CD278" i="8"/>
  <c r="BW273" i="8" s="1"/>
  <c r="CD298" i="8"/>
  <c r="BW293" i="8" s="1"/>
  <c r="CD318" i="8"/>
  <c r="BW313" i="8" s="1"/>
  <c r="CD428" i="8"/>
  <c r="BW423" i="8" s="1"/>
  <c r="CD448" i="8"/>
  <c r="BW443" i="8" s="1"/>
  <c r="CD468" i="8"/>
  <c r="BW463" i="8" s="1"/>
  <c r="CD488" i="8"/>
  <c r="BW483" i="8" s="1"/>
  <c r="Z14" i="98"/>
  <c r="F16" i="41"/>
  <c r="J16" i="41" s="1"/>
  <c r="B16" i="41" s="1"/>
  <c r="Z17" i="98"/>
  <c r="AG11" i="15"/>
  <c r="BC11" i="89"/>
  <c r="V17" i="89"/>
  <c r="CZ105" i="2"/>
  <c r="W3" i="89"/>
  <c r="AM4" i="15"/>
  <c r="AK4" i="15"/>
  <c r="G22" i="8"/>
  <c r="E22" i="8"/>
  <c r="C11" i="89"/>
  <c r="C18" i="89"/>
  <c r="O3" i="13"/>
  <c r="D3" i="89"/>
  <c r="CG12" i="98"/>
  <c r="CH12" i="98"/>
  <c r="CF12" i="98"/>
  <c r="CE12" i="98"/>
  <c r="D14" i="98"/>
  <c r="Q22" i="8"/>
  <c r="O22" i="8"/>
  <c r="BW121" i="8"/>
  <c r="BU119" i="8"/>
  <c r="BW119" i="8"/>
  <c r="X10" i="98"/>
  <c r="E3" i="109"/>
  <c r="E3" i="98"/>
  <c r="CH13" i="98"/>
  <c r="CE13" i="98"/>
  <c r="E99" i="9"/>
  <c r="H99" i="9" s="1"/>
  <c r="K99" i="9" s="1"/>
  <c r="N99" i="9" s="1"/>
  <c r="B102" i="9"/>
  <c r="CF14" i="98"/>
  <c r="CH14" i="98"/>
  <c r="CG15" i="98"/>
  <c r="CF15" i="98"/>
  <c r="CH16" i="98"/>
  <c r="CF16" i="98"/>
  <c r="B9" i="9"/>
  <c r="E6" i="9"/>
  <c r="H6" i="9" s="1"/>
  <c r="K6" i="9" s="1"/>
  <c r="N6" i="9" s="1"/>
  <c r="CG14" i="98"/>
  <c r="CE15" i="98"/>
  <c r="CE16" i="98"/>
  <c r="CG18" i="98"/>
  <c r="CH18" i="98"/>
  <c r="CF18" i="98"/>
  <c r="E78" i="9"/>
  <c r="H78" i="9" s="1"/>
  <c r="K78" i="9" s="1"/>
  <c r="N78" i="9" s="1"/>
  <c r="B81" i="9"/>
  <c r="CF17" i="98"/>
  <c r="CE17" i="98"/>
  <c r="W14" i="15"/>
  <c r="W24" i="15"/>
  <c r="P62" i="15"/>
  <c r="CB15" i="98"/>
  <c r="AA17" i="15"/>
  <c r="AA15" i="15"/>
  <c r="H16" i="41"/>
  <c r="CB18" i="98"/>
  <c r="AA23" i="15"/>
  <c r="AA37" i="15"/>
  <c r="P25" i="15"/>
  <c r="AA35" i="15"/>
  <c r="AA25" i="15"/>
  <c r="X51" i="15"/>
  <c r="X35" i="15"/>
  <c r="L25" i="15"/>
  <c r="X43" i="15"/>
  <c r="X55" i="15"/>
  <c r="X59" i="15"/>
  <c r="DE72" i="8"/>
  <c r="CI15" i="98"/>
  <c r="CK19" i="8"/>
  <c r="CJ11" i="109"/>
  <c r="X47" i="15"/>
  <c r="X17" i="15"/>
  <c r="W11" i="89"/>
  <c r="L26" i="15"/>
  <c r="X37" i="15"/>
  <c r="DY20" i="8"/>
  <c r="X23" i="15"/>
  <c r="X49" i="15"/>
  <c r="X31" i="15"/>
  <c r="CR19" i="8"/>
  <c r="X25" i="15"/>
  <c r="X63" i="15"/>
  <c r="X27" i="15"/>
  <c r="L62" i="15"/>
  <c r="X39" i="15"/>
  <c r="CB298" i="8"/>
  <c r="X15" i="15"/>
  <c r="L17" i="98"/>
  <c r="AP78" i="8"/>
  <c r="CI11" i="109"/>
  <c r="AK31" i="8"/>
  <c r="BZ13" i="8" l="1"/>
  <c r="BZ14" i="8"/>
  <c r="CN13" i="8"/>
  <c r="CN14" i="8"/>
  <c r="X11" i="89"/>
  <c r="Y39" i="15"/>
  <c r="AB39" i="15" s="1"/>
  <c r="U39" i="15" s="1"/>
  <c r="E25" i="15"/>
  <c r="S25" i="15" s="1"/>
  <c r="B25" i="15" s="1"/>
  <c r="E27" i="9"/>
  <c r="H27" i="9" s="1"/>
  <c r="K27" i="9" s="1"/>
  <c r="N27" i="9" s="1"/>
  <c r="Y35" i="15"/>
  <c r="AB35" i="15" s="1"/>
  <c r="U35" i="15" s="1"/>
  <c r="Y55" i="15"/>
  <c r="AB55" i="15" s="1"/>
  <c r="U55" i="15" s="1"/>
  <c r="Y47" i="15"/>
  <c r="AB47" i="15" s="1"/>
  <c r="U47" i="15" s="1"/>
  <c r="Y23" i="15"/>
  <c r="AB23" i="15" s="1"/>
  <c r="U23" i="15" s="1"/>
  <c r="B66" i="9"/>
  <c r="E66" i="9" s="1"/>
  <c r="H66" i="9" s="1"/>
  <c r="K66" i="9" s="1"/>
  <c r="N66" i="9" s="1"/>
  <c r="Y15" i="15"/>
  <c r="AB15" i="15" s="1"/>
  <c r="U15" i="15" s="1"/>
  <c r="Y51" i="15"/>
  <c r="AB51" i="15" s="1"/>
  <c r="U51" i="15" s="1"/>
  <c r="Y31" i="15"/>
  <c r="AB31" i="15" s="1"/>
  <c r="U31" i="15" s="1"/>
  <c r="Y59" i="15"/>
  <c r="AB59" i="15" s="1"/>
  <c r="U59" i="15" s="1"/>
  <c r="F98" i="9"/>
  <c r="I98" i="9" s="1"/>
  <c r="L98" i="9" s="1"/>
  <c r="O98" i="9" s="1"/>
  <c r="Y27" i="15"/>
  <c r="AB27" i="15" s="1"/>
  <c r="U27" i="15" s="1"/>
  <c r="Y49" i="15"/>
  <c r="AB49" i="15" s="1"/>
  <c r="U49" i="15" s="1"/>
  <c r="Y43" i="15"/>
  <c r="AB43" i="15" s="1"/>
  <c r="U43" i="15" s="1"/>
  <c r="E26" i="15"/>
  <c r="S26" i="15" s="1"/>
  <c r="B26" i="15" s="1"/>
  <c r="Y63" i="15"/>
  <c r="AB63" i="15" s="1"/>
  <c r="U63" i="15" s="1"/>
  <c r="Y37" i="15"/>
  <c r="AB37" i="15" s="1"/>
  <c r="U37" i="15" s="1"/>
  <c r="E62" i="15"/>
  <c r="S62" i="15" s="1"/>
  <c r="B62" i="15" s="1"/>
  <c r="Y17" i="15"/>
  <c r="AB17" i="15" s="1"/>
  <c r="U17" i="15" s="1"/>
  <c r="Y25" i="15"/>
  <c r="AB25" i="15" s="1"/>
  <c r="U25" i="15" s="1"/>
  <c r="C47" i="9"/>
  <c r="C50" i="9" s="1"/>
  <c r="C53" i="9" s="1"/>
  <c r="F53" i="9" s="1"/>
  <c r="I53" i="9" s="1"/>
  <c r="L53" i="9" s="1"/>
  <c r="O53" i="9" s="1"/>
  <c r="E17" i="98"/>
  <c r="S17" i="98" s="1"/>
  <c r="B17" i="98" s="1"/>
  <c r="CH10" i="109"/>
  <c r="CE10" i="109"/>
  <c r="H33" i="8"/>
  <c r="B12" i="111"/>
  <c r="F8" i="9"/>
  <c r="I8" i="9" s="1"/>
  <c r="L8" i="9" s="1"/>
  <c r="O8" i="9" s="1"/>
  <c r="C11" i="9"/>
  <c r="F11" i="9" s="1"/>
  <c r="I11" i="9" s="1"/>
  <c r="L11" i="9" s="1"/>
  <c r="O11" i="9" s="1"/>
  <c r="F26" i="9"/>
  <c r="I26" i="9" s="1"/>
  <c r="L26" i="9" s="1"/>
  <c r="O26" i="9" s="1"/>
  <c r="C29" i="9"/>
  <c r="C32" i="9" s="1"/>
  <c r="CG10" i="109"/>
  <c r="S13" i="13"/>
  <c r="T13" i="13" s="1"/>
  <c r="CH11" i="98"/>
  <c r="S17" i="13"/>
  <c r="T17" i="13" s="1"/>
  <c r="CG11" i="98"/>
  <c r="AL27" i="8"/>
  <c r="AT21" i="8" s="1"/>
  <c r="AT20" i="8" s="1"/>
  <c r="AR14" i="8" s="1"/>
  <c r="F80" i="9"/>
  <c r="I80" i="9" s="1"/>
  <c r="L80" i="9" s="1"/>
  <c r="O80" i="9" s="1"/>
  <c r="AQ67" i="8"/>
  <c r="AK60" i="8" s="1"/>
  <c r="S15" i="13"/>
  <c r="T15" i="13" s="1"/>
  <c r="CE11" i="98"/>
  <c r="C86" i="9"/>
  <c r="F83" i="9"/>
  <c r="I83" i="9" s="1"/>
  <c r="L83" i="9" s="1"/>
  <c r="O83" i="9" s="1"/>
  <c r="C65" i="9"/>
  <c r="F62" i="9"/>
  <c r="I62" i="9" s="1"/>
  <c r="L62" i="9" s="1"/>
  <c r="O62" i="9" s="1"/>
  <c r="F101" i="9"/>
  <c r="I101" i="9" s="1"/>
  <c r="L101" i="9" s="1"/>
  <c r="O101" i="9" s="1"/>
  <c r="C104" i="9"/>
  <c r="DJ48" i="8"/>
  <c r="DQ43" i="8" s="1"/>
  <c r="DQ42" i="8" s="1"/>
  <c r="DN36" i="8" s="1"/>
  <c r="DN38" i="8" s="1"/>
  <c r="DU32" i="8" s="1"/>
  <c r="DU31" i="8" s="1"/>
  <c r="DU25" i="8" s="1"/>
  <c r="DU27" i="8" s="1"/>
  <c r="EA21" i="8" s="1"/>
  <c r="EA20" i="8" s="1"/>
  <c r="DY14" i="8" s="1"/>
  <c r="B12" i="9"/>
  <c r="E9" i="9"/>
  <c r="H9" i="9" s="1"/>
  <c r="K9" i="9" s="1"/>
  <c r="N9" i="9" s="1"/>
  <c r="F29" i="9"/>
  <c r="I29" i="9" s="1"/>
  <c r="L29" i="9" s="1"/>
  <c r="O29" i="9" s="1"/>
  <c r="BV129" i="8"/>
  <c r="BW129" i="8"/>
  <c r="BW131" i="8"/>
  <c r="BU129" i="8"/>
  <c r="B69" i="9"/>
  <c r="B84" i="9"/>
  <c r="E81" i="9"/>
  <c r="H81" i="9" s="1"/>
  <c r="K81" i="9" s="1"/>
  <c r="N81" i="9" s="1"/>
  <c r="CE10" i="98"/>
  <c r="CF10" i="98"/>
  <c r="CG10" i="98"/>
  <c r="CH10" i="98"/>
  <c r="H26" i="8"/>
  <c r="B10" i="111"/>
  <c r="E30" i="9"/>
  <c r="H30" i="9" s="1"/>
  <c r="K30" i="9" s="1"/>
  <c r="N30" i="9" s="1"/>
  <c r="B33" i="9"/>
  <c r="E102" i="9"/>
  <c r="H102" i="9" s="1"/>
  <c r="K102" i="9" s="1"/>
  <c r="N102" i="9" s="1"/>
  <c r="B105" i="9"/>
  <c r="H27" i="8"/>
  <c r="B11" i="111"/>
  <c r="DB78" i="8"/>
  <c r="DG73" i="8" s="1"/>
  <c r="DG72" i="8" s="1"/>
  <c r="DD66" i="8" s="1"/>
  <c r="DD68" i="8" s="1"/>
  <c r="DJ63" i="8" s="1"/>
  <c r="DJ62" i="8" s="1"/>
  <c r="DG56" i="8" s="1"/>
  <c r="DG58" i="8" s="1"/>
  <c r="H73" i="8"/>
  <c r="K10" i="8"/>
  <c r="O3" i="8" s="1"/>
  <c r="EC27" i="8"/>
  <c r="EH21" i="8" s="1"/>
  <c r="EH20" i="8" s="1"/>
  <c r="DY15" i="8" s="1"/>
  <c r="D14" i="15"/>
  <c r="D13" i="15"/>
  <c r="CN15" i="8" l="1"/>
  <c r="F50" i="9"/>
  <c r="I50" i="9" s="1"/>
  <c r="L50" i="9" s="1"/>
  <c r="O50" i="9" s="1"/>
  <c r="C14" i="9"/>
  <c r="C17" i="9" s="1"/>
  <c r="F17" i="9" s="1"/>
  <c r="I17" i="9" s="1"/>
  <c r="L17" i="9" s="1"/>
  <c r="O17" i="9" s="1"/>
  <c r="F47" i="9"/>
  <c r="I47" i="9" s="1"/>
  <c r="L47" i="9" s="1"/>
  <c r="O47" i="9" s="1"/>
  <c r="BZ15" i="8"/>
  <c r="DY16" i="8"/>
  <c r="DX10" i="8" s="1"/>
  <c r="DX9" i="8" s="1"/>
  <c r="C68" i="9"/>
  <c r="F65" i="9"/>
  <c r="I65" i="9" s="1"/>
  <c r="L65" i="9" s="1"/>
  <c r="O65" i="9" s="1"/>
  <c r="C107" i="9"/>
  <c r="F107" i="9" s="1"/>
  <c r="I107" i="9" s="1"/>
  <c r="L107" i="9" s="1"/>
  <c r="O107" i="9" s="1"/>
  <c r="F104" i="9"/>
  <c r="I104" i="9" s="1"/>
  <c r="L104" i="9" s="1"/>
  <c r="O104" i="9" s="1"/>
  <c r="C89" i="9"/>
  <c r="F89" i="9" s="1"/>
  <c r="I89" i="9" s="1"/>
  <c r="L89" i="9" s="1"/>
  <c r="O89" i="9" s="1"/>
  <c r="F86" i="9"/>
  <c r="I86" i="9" s="1"/>
  <c r="L86" i="9" s="1"/>
  <c r="O86" i="9" s="1"/>
  <c r="BW141" i="8"/>
  <c r="BU139" i="8"/>
  <c r="BW139" i="8"/>
  <c r="BV139" i="8"/>
  <c r="B15" i="9"/>
  <c r="E12" i="9"/>
  <c r="H12" i="9" s="1"/>
  <c r="K12" i="9" s="1"/>
  <c r="N12" i="9" s="1"/>
  <c r="B36" i="9"/>
  <c r="E33" i="9"/>
  <c r="H33" i="9" s="1"/>
  <c r="K33" i="9" s="1"/>
  <c r="N33" i="9" s="1"/>
  <c r="D3" i="111"/>
  <c r="E84" i="9"/>
  <c r="H84" i="9" s="1"/>
  <c r="K84" i="9" s="1"/>
  <c r="N84" i="9" s="1"/>
  <c r="B87" i="9"/>
  <c r="C35" i="9"/>
  <c r="F35" i="9" s="1"/>
  <c r="I35" i="9" s="1"/>
  <c r="L35" i="9" s="1"/>
  <c r="O35" i="9" s="1"/>
  <c r="F32" i="9"/>
  <c r="I32" i="9" s="1"/>
  <c r="L32" i="9" s="1"/>
  <c r="O32" i="9" s="1"/>
  <c r="E105" i="9"/>
  <c r="H105" i="9" s="1"/>
  <c r="K105" i="9" s="1"/>
  <c r="N105" i="9" s="1"/>
  <c r="B108" i="9"/>
  <c r="E108" i="9" s="1"/>
  <c r="H108" i="9" s="1"/>
  <c r="K108" i="9" s="1"/>
  <c r="N108" i="9" s="1"/>
  <c r="H28" i="8"/>
  <c r="H32" i="8" s="1"/>
  <c r="H34" i="8" s="1"/>
  <c r="U10" i="111" s="1"/>
  <c r="E69" i="9"/>
  <c r="H69" i="9" s="1"/>
  <c r="K69" i="9" s="1"/>
  <c r="N69" i="9" s="1"/>
  <c r="B72" i="9"/>
  <c r="E72" i="9" s="1"/>
  <c r="H72" i="9" s="1"/>
  <c r="K72" i="9" s="1"/>
  <c r="N72" i="9" s="1"/>
  <c r="F14" i="9"/>
  <c r="I14" i="9" s="1"/>
  <c r="L14" i="9" s="1"/>
  <c r="O14" i="9" s="1"/>
  <c r="P14" i="15"/>
  <c r="L13" i="15"/>
  <c r="E13" i="15" l="1"/>
  <c r="S13" i="15" s="1"/>
  <c r="B13" i="15" s="1"/>
  <c r="C71" i="9"/>
  <c r="F71" i="9" s="1"/>
  <c r="I71" i="9" s="1"/>
  <c r="L71" i="9" s="1"/>
  <c r="O71" i="9" s="1"/>
  <c r="F68" i="9"/>
  <c r="I68" i="9" s="1"/>
  <c r="L68" i="9" s="1"/>
  <c r="O68" i="9" s="1"/>
  <c r="B90" i="9"/>
  <c r="E90" i="9" s="1"/>
  <c r="H90" i="9" s="1"/>
  <c r="K90" i="9" s="1"/>
  <c r="N90" i="9" s="1"/>
  <c r="E87" i="9"/>
  <c r="H87" i="9" s="1"/>
  <c r="K87" i="9" s="1"/>
  <c r="N87" i="9" s="1"/>
  <c r="B18" i="9"/>
  <c r="E18" i="9" s="1"/>
  <c r="H18" i="9" s="1"/>
  <c r="K18" i="9" s="1"/>
  <c r="N18" i="9" s="1"/>
  <c r="E15" i="9"/>
  <c r="H15" i="9" s="1"/>
  <c r="K15" i="9" s="1"/>
  <c r="N15" i="9" s="1"/>
  <c r="BV149" i="8"/>
  <c r="BW149" i="8"/>
  <c r="BW151" i="8"/>
  <c r="BU149" i="8"/>
  <c r="W3" i="111"/>
  <c r="B39" i="9"/>
  <c r="E36" i="9"/>
  <c r="H36" i="9" s="1"/>
  <c r="K36" i="9" s="1"/>
  <c r="N36" i="9" s="1"/>
  <c r="B42" i="9" l="1"/>
  <c r="E39" i="9"/>
  <c r="H39" i="9" s="1"/>
  <c r="K39" i="9" s="1"/>
  <c r="N39" i="9" s="1"/>
  <c r="BW161" i="8"/>
  <c r="BU159" i="8"/>
  <c r="BV159" i="8"/>
  <c r="BW159" i="8"/>
  <c r="W11" i="15"/>
  <c r="BV169" i="8" l="1"/>
  <c r="BW169" i="8"/>
  <c r="BU169" i="8"/>
  <c r="BW171" i="8"/>
  <c r="E42" i="9"/>
  <c r="H42" i="9" s="1"/>
  <c r="K42" i="9" s="1"/>
  <c r="N42" i="9" s="1"/>
  <c r="B45" i="9"/>
  <c r="BW181" i="8" l="1"/>
  <c r="BU179" i="8"/>
  <c r="BV179" i="8"/>
  <c r="BW179" i="8"/>
  <c r="E45" i="9"/>
  <c r="H45" i="9" s="1"/>
  <c r="K45" i="9" s="1"/>
  <c r="N45" i="9" s="1"/>
  <c r="B48" i="9"/>
  <c r="BV189" i="8" l="1"/>
  <c r="BW189" i="8"/>
  <c r="BU189" i="8"/>
  <c r="BW191" i="8"/>
  <c r="E48" i="9"/>
  <c r="H48" i="9" s="1"/>
  <c r="K48" i="9" s="1"/>
  <c r="N48" i="9" s="1"/>
  <c r="B51" i="9"/>
  <c r="B54" i="9" l="1"/>
  <c r="E54" i="9" s="1"/>
  <c r="H54" i="9" s="1"/>
  <c r="K54" i="9" s="1"/>
  <c r="N54" i="9" s="1"/>
  <c r="E51" i="9"/>
  <c r="H51" i="9" s="1"/>
  <c r="K51" i="9" s="1"/>
  <c r="N51" i="9" s="1"/>
  <c r="BW201" i="8"/>
  <c r="BU199" i="8"/>
  <c r="BW199" i="8"/>
  <c r="BV199" i="8"/>
  <c r="BV209" i="8" l="1"/>
  <c r="BW209" i="8"/>
  <c r="BW211" i="8"/>
  <c r="BU209" i="8"/>
  <c r="BW221" i="8" l="1"/>
  <c r="BU219" i="8"/>
  <c r="BV219" i="8"/>
  <c r="BW219" i="8"/>
  <c r="BX108" i="8" l="1"/>
  <c r="BW102" i="8" s="1"/>
  <c r="BW104" i="8" s="1"/>
  <c r="BX148" i="8"/>
  <c r="BW142" i="8" s="1"/>
  <c r="BW144" i="8" s="1"/>
  <c r="BX138" i="8"/>
  <c r="BW132" i="8" s="1"/>
  <c r="BW134" i="8" s="1"/>
  <c r="BX178" i="8"/>
  <c r="BW172" i="8" s="1"/>
  <c r="BW174" i="8" s="1"/>
  <c r="BX128" i="8"/>
  <c r="BW122" i="8" s="1"/>
  <c r="BW124" i="8" s="1"/>
  <c r="BX168" i="8"/>
  <c r="BW162" i="8" s="1"/>
  <c r="BW164" i="8" s="1"/>
  <c r="BX118" i="8"/>
  <c r="BW112" i="8" s="1"/>
  <c r="BW114" i="8" s="1"/>
  <c r="BX208" i="8"/>
  <c r="BW202" i="8" s="1"/>
  <c r="BW204" i="8" s="1"/>
  <c r="BX198" i="8"/>
  <c r="BW192" i="8" s="1"/>
  <c r="BW194" i="8" s="1"/>
  <c r="BX158" i="8"/>
  <c r="BW152" i="8" s="1"/>
  <c r="BW154" i="8" s="1"/>
  <c r="BX188" i="8"/>
  <c r="BW182" i="8" s="1"/>
  <c r="BW184" i="8" s="1"/>
  <c r="BX218" i="8"/>
  <c r="BW212" i="8" s="1"/>
  <c r="BW214" i="8" s="1"/>
  <c r="BV229" i="8"/>
  <c r="BW229" i="8"/>
  <c r="BW231" i="8"/>
  <c r="BU229" i="8"/>
  <c r="BX228" i="8" l="1"/>
  <c r="BW222" i="8" s="1"/>
  <c r="BW224" i="8" s="1"/>
  <c r="BW241" i="8"/>
  <c r="BU239" i="8"/>
  <c r="BV239" i="8"/>
  <c r="BW239" i="8"/>
  <c r="BX238" i="8" l="1"/>
  <c r="BW232" i="8" s="1"/>
  <c r="BW234" i="8" s="1"/>
  <c r="BV249" i="8"/>
  <c r="BX249" i="8" s="1"/>
  <c r="BW249" i="8"/>
  <c r="BU249" i="8"/>
  <c r="BW251" i="8"/>
  <c r="BX248" i="8" l="1"/>
  <c r="BW242" i="8" s="1"/>
  <c r="BW244" i="8" s="1"/>
  <c r="BW259" i="8"/>
  <c r="BW261" i="8"/>
  <c r="BU259" i="8"/>
  <c r="BV259" i="8"/>
  <c r="BX258" i="8" l="1"/>
  <c r="BW252" i="8" s="1"/>
  <c r="BW254" i="8" s="1"/>
  <c r="BU269" i="8"/>
  <c r="BV269" i="8"/>
  <c r="BW269" i="8"/>
  <c r="BW271" i="8"/>
  <c r="BW279" i="8" l="1"/>
  <c r="BW281" i="8"/>
  <c r="BU279" i="8"/>
  <c r="BV279" i="8"/>
  <c r="BX268" i="8"/>
  <c r="BW262" i="8" s="1"/>
  <c r="BW264" i="8" s="1"/>
  <c r="G21" i="15"/>
  <c r="AS10" i="109"/>
  <c r="K97" i="15"/>
  <c r="O13" i="89"/>
  <c r="I68" i="15"/>
  <c r="N10" i="98"/>
  <c r="J16" i="89"/>
  <c r="K10" i="109"/>
  <c r="P16" i="15"/>
  <c r="P38" i="15"/>
  <c r="BH10" i="109"/>
  <c r="G95" i="15"/>
  <c r="P118" i="15"/>
  <c r="AJ18" i="89"/>
  <c r="BR11" i="109"/>
  <c r="I112" i="15"/>
  <c r="AX10" i="109"/>
  <c r="K74" i="15"/>
  <c r="AJ14" i="98"/>
  <c r="K105" i="15"/>
  <c r="P43" i="15"/>
  <c r="J13" i="13"/>
  <c r="P19" i="15"/>
  <c r="K32" i="15"/>
  <c r="BI18" i="98"/>
  <c r="AW13" i="89"/>
  <c r="I65" i="15"/>
  <c r="G15" i="98"/>
  <c r="P119" i="15"/>
  <c r="H15" i="89"/>
  <c r="AY15" i="98"/>
  <c r="J17" i="13"/>
  <c r="G42" i="15"/>
  <c r="AR12" i="89"/>
  <c r="P55" i="15"/>
  <c r="G23" i="15"/>
  <c r="F14" i="111"/>
  <c r="G105" i="15"/>
  <c r="J12" i="89"/>
  <c r="K82" i="15"/>
  <c r="K75" i="15"/>
  <c r="K114" i="15"/>
  <c r="L9" i="13"/>
  <c r="J20" i="89"/>
  <c r="AB18" i="89"/>
  <c r="N79" i="15"/>
  <c r="I77" i="15"/>
  <c r="AR10" i="89"/>
  <c r="O14" i="89"/>
  <c r="G57" i="15"/>
  <c r="I81" i="15"/>
  <c r="AD10" i="89"/>
  <c r="AT14" i="98"/>
  <c r="F13" i="89"/>
  <c r="G13" i="98"/>
  <c r="G117" i="15"/>
  <c r="K16" i="15"/>
  <c r="AR13" i="89"/>
  <c r="K23" i="15"/>
  <c r="BH11" i="109"/>
  <c r="I53" i="15"/>
  <c r="K100" i="15"/>
  <c r="G108" i="15"/>
  <c r="K73" i="15"/>
  <c r="K66" i="15"/>
  <c r="K22" i="15"/>
  <c r="G118" i="15"/>
  <c r="P81" i="15"/>
  <c r="I97" i="15"/>
  <c r="AY16" i="98"/>
  <c r="G64" i="15"/>
  <c r="P14" i="98"/>
  <c r="F18" i="89"/>
  <c r="H19" i="89"/>
  <c r="I79" i="15"/>
  <c r="K11" i="109"/>
  <c r="G14" i="13"/>
  <c r="G44" i="15"/>
  <c r="N75" i="15"/>
  <c r="J19" i="89"/>
  <c r="G91" i="15"/>
  <c r="P115" i="15"/>
  <c r="I21" i="15"/>
  <c r="I98" i="15"/>
  <c r="I69" i="15"/>
  <c r="I46" i="15"/>
  <c r="G82" i="15"/>
  <c r="BY13" i="98"/>
  <c r="AH17" i="89"/>
  <c r="AT15" i="98"/>
  <c r="J17" i="89"/>
  <c r="K68" i="15"/>
  <c r="G67" i="15"/>
  <c r="P68" i="15"/>
  <c r="I45" i="15"/>
  <c r="K84" i="15"/>
  <c r="N58" i="15"/>
  <c r="N42" i="15"/>
  <c r="BR10" i="109"/>
  <c r="K111" i="15"/>
  <c r="K56" i="15"/>
  <c r="J21" i="89"/>
  <c r="P31" i="15"/>
  <c r="M21" i="89"/>
  <c r="BI14" i="98"/>
  <c r="K57" i="15"/>
  <c r="N112" i="15"/>
  <c r="I118" i="15"/>
  <c r="K14" i="98"/>
  <c r="K90" i="15"/>
  <c r="N61" i="15"/>
  <c r="G19" i="13"/>
  <c r="O12" i="89"/>
  <c r="G123" i="15"/>
  <c r="I88" i="15"/>
  <c r="AB14" i="98"/>
  <c r="K85" i="15"/>
  <c r="AJ16" i="98"/>
  <c r="N110" i="15"/>
  <c r="O10" i="89"/>
  <c r="M15" i="111"/>
  <c r="BY18" i="98"/>
  <c r="AB17" i="89"/>
  <c r="BI13" i="98"/>
  <c r="L10" i="13"/>
  <c r="I48" i="15"/>
  <c r="I101" i="15"/>
  <c r="I11" i="109"/>
  <c r="I104" i="15"/>
  <c r="AL11" i="89"/>
  <c r="AP15" i="89"/>
  <c r="I74" i="15"/>
  <c r="G12" i="98"/>
  <c r="G122" i="15"/>
  <c r="AT17" i="89"/>
  <c r="G103" i="15"/>
  <c r="AD10" i="109"/>
  <c r="AW11" i="89"/>
  <c r="K119" i="15"/>
  <c r="K67" i="15"/>
  <c r="J12" i="13"/>
  <c r="P85" i="15"/>
  <c r="AL12" i="89"/>
  <c r="I42" i="15"/>
  <c r="E17" i="13"/>
  <c r="AY18" i="98"/>
  <c r="Z16" i="89"/>
  <c r="N51" i="15"/>
  <c r="N68" i="15"/>
  <c r="AL13" i="89"/>
  <c r="I57" i="15"/>
  <c r="BI15" i="98"/>
  <c r="AT13" i="89"/>
  <c r="P12" i="98"/>
  <c r="F15" i="111"/>
  <c r="G19" i="98"/>
  <c r="BY14" i="98"/>
  <c r="K94" i="15"/>
  <c r="I89" i="15"/>
  <c r="N72" i="15"/>
  <c r="K63" i="15"/>
  <c r="M18" i="89"/>
  <c r="E16" i="13"/>
  <c r="AJ15" i="98"/>
  <c r="AI11" i="109"/>
  <c r="AO10" i="98"/>
  <c r="J15" i="111"/>
  <c r="N22" i="15"/>
  <c r="G106" i="15"/>
  <c r="AJ17" i="98"/>
  <c r="P52" i="15"/>
  <c r="Z10" i="89"/>
  <c r="N13" i="15"/>
  <c r="AB11" i="98"/>
  <c r="E11" i="13"/>
  <c r="BX10" i="109"/>
  <c r="I114" i="15"/>
  <c r="AT17" i="98"/>
  <c r="N34" i="15"/>
  <c r="I107" i="15"/>
  <c r="P44" i="15"/>
  <c r="K19" i="15"/>
  <c r="G63" i="15"/>
  <c r="G33" i="15"/>
  <c r="AJ13" i="98"/>
  <c r="AA41" i="15"/>
  <c r="K27" i="15"/>
  <c r="I94" i="15"/>
  <c r="K106" i="15"/>
  <c r="AJ10" i="98"/>
  <c r="K36" i="15"/>
  <c r="I122" i="15"/>
  <c r="I22" i="15"/>
  <c r="K37" i="15"/>
  <c r="AP13" i="89"/>
  <c r="L13" i="13"/>
  <c r="AW14" i="89"/>
  <c r="AW12" i="111"/>
  <c r="I72" i="15"/>
  <c r="K116" i="15"/>
  <c r="G10" i="13"/>
  <c r="N117" i="15"/>
  <c r="K40" i="15"/>
  <c r="BS16" i="98"/>
  <c r="I119" i="15"/>
  <c r="AA60" i="15"/>
  <c r="AF13" i="89"/>
  <c r="G119" i="15"/>
  <c r="N46" i="15"/>
  <c r="O15" i="89"/>
  <c r="I82" i="15"/>
  <c r="P15" i="15"/>
  <c r="I33" i="15"/>
  <c r="G76" i="15"/>
  <c r="G11" i="98"/>
  <c r="N69" i="15"/>
  <c r="AR13" i="111"/>
  <c r="L12" i="13"/>
  <c r="I14" i="15"/>
  <c r="Z13" i="89"/>
  <c r="I10" i="98"/>
  <c r="BD12" i="98"/>
  <c r="I105" i="15"/>
  <c r="H10" i="89"/>
  <c r="K77" i="15"/>
  <c r="AN11" i="109"/>
  <c r="Z11" i="89"/>
  <c r="AD12" i="111"/>
  <c r="BY11" i="98"/>
  <c r="J15" i="89"/>
  <c r="I17" i="15"/>
  <c r="AP13" i="111"/>
  <c r="P57" i="15"/>
  <c r="AD12" i="89"/>
  <c r="N21" i="15"/>
  <c r="I75" i="15"/>
  <c r="G14" i="98"/>
  <c r="O16" i="89"/>
  <c r="AO18" i="98"/>
  <c r="P39" i="15"/>
  <c r="I19" i="98"/>
  <c r="N121" i="15"/>
  <c r="K72" i="15"/>
  <c r="AA44" i="15"/>
  <c r="K92" i="15"/>
  <c r="K81" i="15"/>
  <c r="P27" i="15"/>
  <c r="P60" i="15"/>
  <c r="I37" i="15"/>
  <c r="O11" i="89"/>
  <c r="AW10" i="89"/>
  <c r="BY17" i="98"/>
  <c r="AA38" i="15"/>
  <c r="AH12" i="111"/>
  <c r="I115" i="15"/>
  <c r="N43" i="15"/>
  <c r="K89" i="15"/>
  <c r="P105" i="15"/>
  <c r="N11" i="109"/>
  <c r="AT16" i="89"/>
  <c r="N123" i="15"/>
  <c r="BN14" i="98"/>
  <c r="AT10" i="89"/>
  <c r="P49" i="15"/>
  <c r="AJ10" i="89"/>
  <c r="AT12" i="89"/>
  <c r="I91" i="15"/>
  <c r="G109" i="15"/>
  <c r="BY15" i="98"/>
  <c r="CB16" i="98"/>
  <c r="I120" i="15"/>
  <c r="AN15" i="89"/>
  <c r="P42" i="15"/>
  <c r="I99" i="15"/>
  <c r="H13" i="41"/>
  <c r="F15" i="89"/>
  <c r="G12" i="13"/>
  <c r="CB13" i="98"/>
  <c r="AH14" i="89"/>
  <c r="I39" i="15"/>
  <c r="G31" i="15"/>
  <c r="AA16" i="15"/>
  <c r="BS14" i="98"/>
  <c r="G17" i="15"/>
  <c r="AL11" i="111"/>
  <c r="I100" i="15"/>
  <c r="I47" i="15"/>
  <c r="P117" i="15"/>
  <c r="G98" i="15"/>
  <c r="N108" i="15"/>
  <c r="K52" i="15"/>
  <c r="I58" i="15"/>
  <c r="G49" i="15"/>
  <c r="I16" i="15"/>
  <c r="K16" i="98"/>
  <c r="P53" i="15"/>
  <c r="G80" i="15"/>
  <c r="K120" i="15"/>
  <c r="I32" i="15"/>
  <c r="I83" i="15"/>
  <c r="I20" i="15"/>
  <c r="I49" i="15"/>
  <c r="N38" i="15"/>
  <c r="BI10" i="98"/>
  <c r="K26" i="15"/>
  <c r="Z15" i="89"/>
  <c r="BN16" i="98"/>
  <c r="P88" i="15"/>
  <c r="AP11" i="111"/>
  <c r="I55" i="15"/>
  <c r="AP12" i="111"/>
  <c r="G52" i="15"/>
  <c r="K88" i="15"/>
  <c r="N64" i="15"/>
  <c r="N50" i="15"/>
  <c r="P35" i="15"/>
  <c r="AF10" i="89"/>
  <c r="J10" i="13"/>
  <c r="AL12" i="111"/>
  <c r="I56" i="15"/>
  <c r="AF13" i="111"/>
  <c r="K91" i="15"/>
  <c r="P97" i="15"/>
  <c r="AA58" i="15"/>
  <c r="AN13" i="89"/>
  <c r="P73" i="15"/>
  <c r="E15" i="13"/>
  <c r="L14" i="13"/>
  <c r="AO13" i="98"/>
  <c r="G43" i="15"/>
  <c r="K11" i="98"/>
  <c r="M14" i="111"/>
  <c r="AP14" i="89"/>
  <c r="J10" i="89"/>
  <c r="G20" i="15"/>
  <c r="F10" i="89"/>
  <c r="K71" i="15"/>
  <c r="L19" i="13"/>
  <c r="N54" i="15"/>
  <c r="AL14" i="89"/>
  <c r="N35" i="15"/>
  <c r="AE12" i="98"/>
  <c r="N18" i="98"/>
  <c r="N122" i="15"/>
  <c r="M12" i="89"/>
  <c r="P69" i="15"/>
  <c r="AT13" i="98"/>
  <c r="BS13" i="98"/>
  <c r="K46" i="15"/>
  <c r="CB17" i="98"/>
  <c r="H14" i="89"/>
  <c r="AY12" i="98"/>
  <c r="K15" i="15"/>
  <c r="AD18" i="89"/>
  <c r="J14" i="89"/>
  <c r="I117" i="15"/>
  <c r="L18" i="13"/>
  <c r="K69" i="15"/>
  <c r="K58" i="15"/>
  <c r="N32" i="15"/>
  <c r="I24" i="15"/>
  <c r="P94" i="15"/>
  <c r="AB13" i="98"/>
  <c r="J11" i="13"/>
  <c r="AB16" i="98"/>
  <c r="K18" i="98"/>
  <c r="N99" i="15"/>
  <c r="AP16" i="89"/>
  <c r="H14" i="41"/>
  <c r="K42" i="15"/>
  <c r="AB13" i="89"/>
  <c r="H13" i="89"/>
  <c r="P18" i="98"/>
  <c r="K39" i="15"/>
  <c r="K96" i="15"/>
  <c r="AW11" i="111"/>
  <c r="AN16" i="89"/>
  <c r="G62" i="15"/>
  <c r="E9" i="13"/>
  <c r="G56" i="15"/>
  <c r="M16" i="89"/>
  <c r="L17" i="13"/>
  <c r="AA26" i="15"/>
  <c r="I36" i="15"/>
  <c r="P103" i="15"/>
  <c r="N113" i="15"/>
  <c r="P71" i="15"/>
  <c r="AA54" i="15"/>
  <c r="I102" i="15"/>
  <c r="E12" i="13"/>
  <c r="K38" i="15"/>
  <c r="G18" i="15"/>
  <c r="L16" i="13"/>
  <c r="I15" i="15"/>
  <c r="AE16" i="98"/>
  <c r="G92" i="15"/>
  <c r="AW12" i="89"/>
  <c r="G55" i="15"/>
  <c r="N88" i="15"/>
  <c r="K109" i="15"/>
  <c r="BX11" i="109"/>
  <c r="BD10" i="98"/>
  <c r="J13" i="89"/>
  <c r="E19" i="13"/>
  <c r="P45" i="15"/>
  <c r="I12" i="109"/>
  <c r="N53" i="15"/>
  <c r="N41" i="15"/>
  <c r="AA24" i="15"/>
  <c r="G87" i="15"/>
  <c r="BS15" i="98"/>
  <c r="AN13" i="111"/>
  <c r="AL15" i="89"/>
  <c r="N107" i="15"/>
  <c r="I78" i="15"/>
  <c r="N106" i="15"/>
  <c r="K21" i="15"/>
  <c r="K13" i="15"/>
  <c r="AO15" i="98"/>
  <c r="AD13" i="111"/>
  <c r="AL10" i="89"/>
  <c r="N96" i="15"/>
  <c r="N89" i="15"/>
  <c r="K93" i="15"/>
  <c r="I108" i="15"/>
  <c r="G51" i="15"/>
  <c r="G45" i="15"/>
  <c r="P64" i="15"/>
  <c r="N30" i="15"/>
  <c r="AB10" i="98"/>
  <c r="G9" i="13"/>
  <c r="N119" i="15"/>
  <c r="P56" i="15"/>
  <c r="I50" i="15"/>
  <c r="I111" i="15"/>
  <c r="K118" i="15"/>
  <c r="G79" i="15"/>
  <c r="AJ12" i="98"/>
  <c r="BM10" i="109"/>
  <c r="P13" i="98"/>
  <c r="P36" i="15"/>
  <c r="G18" i="13"/>
  <c r="CA10" i="109"/>
  <c r="AF18" i="89"/>
  <c r="AB15" i="89"/>
  <c r="AF17" i="89"/>
  <c r="AP11" i="89"/>
  <c r="K78" i="15"/>
  <c r="G50" i="15"/>
  <c r="G47" i="15"/>
  <c r="AB18" i="98"/>
  <c r="N98" i="15"/>
  <c r="F16" i="89"/>
  <c r="G104" i="15"/>
  <c r="G75" i="15"/>
  <c r="P48" i="15"/>
  <c r="G70" i="15"/>
  <c r="G12" i="109"/>
  <c r="Z12" i="111"/>
  <c r="AP10" i="89"/>
  <c r="AJ18" i="98"/>
  <c r="K41" i="15"/>
  <c r="BN10" i="98"/>
  <c r="Z14" i="89"/>
  <c r="AE17" i="98"/>
  <c r="G28" i="15"/>
  <c r="AT18" i="89"/>
  <c r="AF14" i="89"/>
  <c r="K49" i="15"/>
  <c r="G114" i="15"/>
  <c r="G73" i="15"/>
  <c r="N62" i="15"/>
  <c r="I87" i="15"/>
  <c r="AJ15" i="89"/>
  <c r="G112" i="15"/>
  <c r="AB10" i="109"/>
  <c r="N10" i="109"/>
  <c r="BN13" i="98"/>
  <c r="K98" i="15"/>
  <c r="E14" i="13"/>
  <c r="AN11" i="89"/>
  <c r="K34" i="15"/>
  <c r="AJ13" i="111"/>
  <c r="AN11" i="111"/>
  <c r="BD14" i="98"/>
  <c r="G39" i="15"/>
  <c r="AJ14" i="89"/>
  <c r="M20" i="89"/>
  <c r="AW15" i="89"/>
  <c r="AH16" i="89"/>
  <c r="BI12" i="98"/>
  <c r="AB15" i="98"/>
  <c r="AR12" i="111"/>
  <c r="K102" i="15"/>
  <c r="AT15" i="89"/>
  <c r="K30" i="15"/>
  <c r="I106" i="15"/>
  <c r="BS12" i="98"/>
  <c r="K35" i="15"/>
  <c r="AJ13" i="89"/>
  <c r="G102" i="15"/>
  <c r="AD14" i="89"/>
  <c r="N103" i="15"/>
  <c r="N67" i="15"/>
  <c r="H13" i="111"/>
  <c r="K64" i="15"/>
  <c r="I40" i="15"/>
  <c r="G16" i="15"/>
  <c r="Z18" i="89"/>
  <c r="AO14" i="98"/>
  <c r="G58" i="15"/>
  <c r="P78" i="15"/>
  <c r="I113" i="15"/>
  <c r="AH12" i="89"/>
  <c r="BI16" i="98"/>
  <c r="N36" i="15"/>
  <c r="G69" i="15"/>
  <c r="N77" i="15"/>
  <c r="N74" i="15"/>
  <c r="G81" i="15"/>
  <c r="K51" i="15"/>
  <c r="N102" i="15"/>
  <c r="N109" i="15"/>
  <c r="N49" i="15"/>
  <c r="AD11" i="111"/>
  <c r="P11" i="98"/>
  <c r="P54" i="15"/>
  <c r="N25" i="15"/>
  <c r="N27" i="15"/>
  <c r="AA46" i="15"/>
  <c r="N19" i="15"/>
  <c r="G93" i="15"/>
  <c r="BD15" i="98"/>
  <c r="AA34" i="15"/>
  <c r="H15" i="41"/>
  <c r="H18" i="89"/>
  <c r="N33" i="15"/>
  <c r="AS11" i="109"/>
  <c r="N63" i="15"/>
  <c r="K17" i="15"/>
  <c r="K121" i="15"/>
  <c r="K18" i="15"/>
  <c r="I30" i="15"/>
  <c r="H12" i="89"/>
  <c r="BC11" i="109"/>
  <c r="P34" i="15"/>
  <c r="AR15" i="89"/>
  <c r="K99" i="15"/>
  <c r="G24" i="15"/>
  <c r="P80" i="15"/>
  <c r="CB14" i="98"/>
  <c r="Z11" i="111"/>
  <c r="I44" i="15"/>
  <c r="G13" i="13"/>
  <c r="K50" i="15"/>
  <c r="AW16" i="89"/>
  <c r="G27" i="15"/>
  <c r="AN10" i="109"/>
  <c r="AB11" i="111"/>
  <c r="K117" i="15"/>
  <c r="K104" i="15"/>
  <c r="K59" i="15"/>
  <c r="AL17" i="89"/>
  <c r="I110" i="15"/>
  <c r="AF11" i="111"/>
  <c r="N120" i="15"/>
  <c r="G72" i="15"/>
  <c r="H15" i="111"/>
  <c r="I62" i="15"/>
  <c r="AH10" i="89"/>
  <c r="AP12" i="89"/>
  <c r="G89" i="15"/>
  <c r="P28" i="15"/>
  <c r="AN17" i="89"/>
  <c r="AA64" i="15"/>
  <c r="BD13" i="98"/>
  <c r="G111" i="15"/>
  <c r="AA19" i="15"/>
  <c r="G86" i="15"/>
  <c r="N93" i="15"/>
  <c r="M10" i="89"/>
  <c r="G54" i="15"/>
  <c r="AY10" i="98"/>
  <c r="P29" i="15"/>
  <c r="K53" i="15"/>
  <c r="G99" i="15"/>
  <c r="AR11" i="111"/>
  <c r="G11" i="109"/>
  <c r="N86" i="15"/>
  <c r="G94" i="15"/>
  <c r="P108" i="15"/>
  <c r="K24" i="15"/>
  <c r="AJ16" i="89"/>
  <c r="P63" i="15"/>
  <c r="N65" i="15"/>
  <c r="P107" i="15"/>
  <c r="AB13" i="111"/>
  <c r="N59" i="15"/>
  <c r="N20" i="15"/>
  <c r="AO17" i="98"/>
  <c r="AO16" i="98"/>
  <c r="H17" i="89"/>
  <c r="AL16" i="89"/>
  <c r="BI11" i="98"/>
  <c r="P23" i="15"/>
  <c r="N115" i="15"/>
  <c r="P95" i="15"/>
  <c r="G46" i="15"/>
  <c r="P47" i="15"/>
  <c r="AT11" i="89"/>
  <c r="E13" i="13"/>
  <c r="AA11" i="15"/>
  <c r="K47" i="15"/>
  <c r="BD17" i="98"/>
  <c r="AN18" i="89"/>
  <c r="K87" i="15"/>
  <c r="K55" i="15"/>
  <c r="N16" i="98"/>
  <c r="G29" i="15"/>
  <c r="Z13" i="111"/>
  <c r="N29" i="15"/>
  <c r="P84" i="15"/>
  <c r="AT11" i="98"/>
  <c r="P17" i="98"/>
  <c r="I52" i="15"/>
  <c r="I23" i="15"/>
  <c r="AJ12" i="89"/>
  <c r="N116" i="15"/>
  <c r="N45" i="15"/>
  <c r="N82" i="15"/>
  <c r="N18" i="15"/>
  <c r="H11" i="89"/>
  <c r="I86" i="15"/>
  <c r="H16" i="89"/>
  <c r="K83" i="15"/>
  <c r="P122" i="15"/>
  <c r="BN11" i="98"/>
  <c r="I103" i="15"/>
  <c r="K113" i="15"/>
  <c r="G40" i="15"/>
  <c r="AA50" i="15"/>
  <c r="I54" i="15"/>
  <c r="G48" i="15"/>
  <c r="H20" i="89"/>
  <c r="N31" i="15"/>
  <c r="P82" i="15"/>
  <c r="N87" i="15"/>
  <c r="N100" i="15"/>
  <c r="G85" i="15"/>
  <c r="N60" i="15"/>
  <c r="G65" i="15"/>
  <c r="AA18" i="15"/>
  <c r="H21" i="89"/>
  <c r="N24" i="15"/>
  <c r="AT10" i="98"/>
  <c r="K62" i="15"/>
  <c r="AB12" i="98"/>
  <c r="I109" i="15"/>
  <c r="AP18" i="89"/>
  <c r="I60" i="15"/>
  <c r="G71" i="15"/>
  <c r="K25" i="15"/>
  <c r="P70" i="15"/>
  <c r="P72" i="15"/>
  <c r="AR17" i="89"/>
  <c r="AD15" i="89"/>
  <c r="G19" i="15"/>
  <c r="G16" i="13"/>
  <c r="P32" i="15"/>
  <c r="I10" i="109"/>
  <c r="P96" i="15"/>
  <c r="I80" i="15"/>
  <c r="AT13" i="111"/>
  <c r="I29" i="15"/>
  <c r="AA56" i="15"/>
  <c r="G78" i="15"/>
  <c r="P92" i="15"/>
  <c r="G107" i="15"/>
  <c r="G14" i="15"/>
  <c r="I13" i="15"/>
  <c r="K17" i="98"/>
  <c r="G13" i="15"/>
  <c r="P121" i="15"/>
  <c r="AP17" i="89"/>
  <c r="CB11" i="98"/>
  <c r="BY10" i="98"/>
  <c r="I12" i="98"/>
  <c r="BY12" i="98"/>
  <c r="G37" i="15"/>
  <c r="AY14" i="98"/>
  <c r="I92" i="15"/>
  <c r="BY16" i="98"/>
  <c r="G110" i="15"/>
  <c r="G59" i="15"/>
  <c r="AO11" i="98"/>
  <c r="G26" i="15"/>
  <c r="N48" i="15"/>
  <c r="K20" i="15"/>
  <c r="P40" i="15"/>
  <c r="K70" i="15"/>
  <c r="AR11" i="89"/>
  <c r="I31" i="15"/>
  <c r="P111" i="15"/>
  <c r="F21" i="89"/>
  <c r="O21" i="89"/>
  <c r="I18" i="15"/>
  <c r="N40" i="15"/>
  <c r="BM11" i="109"/>
  <c r="AE13" i="98"/>
  <c r="AY17" i="98"/>
  <c r="AJ11" i="89"/>
  <c r="AN12" i="111"/>
  <c r="I18" i="98"/>
  <c r="N17" i="98"/>
  <c r="AE18" i="98"/>
  <c r="N111" i="15"/>
  <c r="G10" i="109"/>
  <c r="K19" i="98"/>
  <c r="Z12" i="89"/>
  <c r="N81" i="15"/>
  <c r="F14" i="89"/>
  <c r="K54" i="15"/>
  <c r="I13" i="98"/>
  <c r="AD13" i="89"/>
  <c r="N73" i="15"/>
  <c r="AA62" i="15"/>
  <c r="AW17" i="89"/>
  <c r="N114" i="15"/>
  <c r="N11" i="98"/>
  <c r="G61" i="15"/>
  <c r="G36" i="15"/>
  <c r="BS10" i="98"/>
  <c r="K28" i="15"/>
  <c r="G68" i="15"/>
  <c r="G25" i="15"/>
  <c r="BD11" i="98"/>
  <c r="CB10" i="98"/>
  <c r="K12" i="109"/>
  <c r="I73" i="15"/>
  <c r="G84" i="15"/>
  <c r="F19" i="89"/>
  <c r="AR14" i="89"/>
  <c r="K80" i="15"/>
  <c r="BS17" i="98"/>
  <c r="AI10" i="109"/>
  <c r="BD16" i="98"/>
  <c r="N90" i="15"/>
  <c r="I116" i="15"/>
  <c r="G115" i="15"/>
  <c r="N57" i="15"/>
  <c r="J13" i="111"/>
  <c r="O13" i="111"/>
  <c r="N85" i="15"/>
  <c r="I25" i="15"/>
  <c r="P51" i="15"/>
  <c r="AA22" i="15"/>
  <c r="N97" i="15"/>
  <c r="AD16" i="89"/>
  <c r="K61" i="15"/>
  <c r="I38" i="15"/>
  <c r="P16" i="98"/>
  <c r="I14" i="98"/>
  <c r="N83" i="15"/>
  <c r="BN17" i="98"/>
  <c r="P13" i="15"/>
  <c r="P15" i="98"/>
  <c r="J18" i="13"/>
  <c r="G53" i="15"/>
  <c r="N76" i="15"/>
  <c r="G66" i="15"/>
  <c r="AA21" i="15"/>
  <c r="P10" i="98"/>
  <c r="AB12" i="89"/>
  <c r="N37" i="15"/>
  <c r="O15" i="111"/>
  <c r="J11" i="89"/>
  <c r="BN12" i="98"/>
  <c r="G22" i="15"/>
  <c r="I64" i="15"/>
  <c r="K65" i="15"/>
  <c r="G30" i="15"/>
  <c r="BC10" i="109"/>
  <c r="K107" i="15"/>
  <c r="N14" i="98"/>
  <c r="O20" i="89"/>
  <c r="M14" i="89"/>
  <c r="G38" i="15"/>
  <c r="K110" i="15"/>
  <c r="AO12" i="98"/>
  <c r="E10" i="13"/>
  <c r="P114" i="15"/>
  <c r="AW13" i="111"/>
  <c r="N91" i="15"/>
  <c r="N105" i="15"/>
  <c r="AT11" i="111"/>
  <c r="AB12" i="111"/>
  <c r="L15" i="13"/>
  <c r="I67" i="15"/>
  <c r="AA42" i="15"/>
  <c r="AA14" i="15"/>
  <c r="AE10" i="98"/>
  <c r="AJ11" i="98"/>
  <c r="N14" i="15"/>
  <c r="AT18" i="98"/>
  <c r="K14" i="15"/>
  <c r="BN18" i="98"/>
  <c r="K29" i="15"/>
  <c r="AY13" i="98"/>
  <c r="K43" i="15"/>
  <c r="O14" i="111"/>
  <c r="I76" i="15"/>
  <c r="P101" i="15"/>
  <c r="N78" i="15"/>
  <c r="AE11" i="98"/>
  <c r="K33" i="15"/>
  <c r="AB11" i="109"/>
  <c r="CA11" i="109"/>
  <c r="K12" i="98"/>
  <c r="G113" i="15"/>
  <c r="AD11" i="109"/>
  <c r="N16" i="15"/>
  <c r="G120" i="15"/>
  <c r="N13" i="98"/>
  <c r="AD11" i="89"/>
  <c r="AH11" i="111"/>
  <c r="I70" i="15"/>
  <c r="N17" i="15"/>
  <c r="K112" i="15"/>
  <c r="G100" i="15"/>
  <c r="J14" i="13"/>
  <c r="AJ11" i="111"/>
  <c r="K115" i="15"/>
  <c r="P67" i="15"/>
  <c r="N39" i="15"/>
  <c r="P75" i="15"/>
  <c r="E18" i="13"/>
  <c r="N101" i="15"/>
  <c r="K15" i="98"/>
  <c r="AT12" i="111"/>
  <c r="AA48" i="15"/>
  <c r="G15" i="13"/>
  <c r="AA33" i="15"/>
  <c r="AR18" i="89"/>
  <c r="AJ12" i="111"/>
  <c r="G17" i="13"/>
  <c r="I96" i="15"/>
  <c r="G88" i="15"/>
  <c r="N15" i="98"/>
  <c r="AF15" i="89"/>
  <c r="J14" i="111"/>
  <c r="G34" i="15"/>
  <c r="AF12" i="111"/>
  <c r="P59" i="15"/>
  <c r="I41" i="15"/>
  <c r="P18" i="15"/>
  <c r="N80" i="15"/>
  <c r="P10" i="109"/>
  <c r="M19" i="89"/>
  <c r="K31" i="15"/>
  <c r="I28" i="15"/>
  <c r="M13" i="111"/>
  <c r="BS11" i="98"/>
  <c r="BI17" i="98"/>
  <c r="G96" i="15"/>
  <c r="F12" i="89"/>
  <c r="G16" i="98"/>
  <c r="J19" i="13"/>
  <c r="I123" i="15"/>
  <c r="G11" i="13"/>
  <c r="AH13" i="111"/>
  <c r="AB17" i="98"/>
  <c r="G116" i="15"/>
  <c r="BS18" i="98"/>
  <c r="P37" i="15"/>
  <c r="AH11" i="89"/>
  <c r="AB14" i="89"/>
  <c r="P93" i="15"/>
  <c r="I95" i="15"/>
  <c r="P74" i="15"/>
  <c r="AT14" i="89"/>
  <c r="J15" i="13"/>
  <c r="CB12" i="98"/>
  <c r="BN15" i="98"/>
  <c r="AE15" i="98"/>
  <c r="I84" i="15"/>
  <c r="P76" i="15"/>
  <c r="AE14" i="98"/>
  <c r="I71" i="15"/>
  <c r="AA20" i="15"/>
  <c r="I61" i="15"/>
  <c r="F13" i="111"/>
  <c r="P24" i="15"/>
  <c r="K45" i="15"/>
  <c r="K86" i="15"/>
  <c r="G121" i="15"/>
  <c r="AN10" i="89"/>
  <c r="G60" i="15"/>
  <c r="P123" i="15"/>
  <c r="K79" i="15"/>
  <c r="I121" i="15"/>
  <c r="P50" i="15"/>
  <c r="G101" i="15"/>
  <c r="AF11" i="89"/>
  <c r="P20" i="15"/>
  <c r="K108" i="15"/>
  <c r="AD17" i="89"/>
  <c r="O17" i="89"/>
  <c r="P89" i="15"/>
  <c r="N66" i="15"/>
  <c r="P77" i="15"/>
  <c r="AX11" i="109"/>
  <c r="AL13" i="111"/>
  <c r="Z17" i="89"/>
  <c r="BD18" i="98"/>
  <c r="I85" i="15"/>
  <c r="O18" i="89"/>
  <c r="I26" i="15"/>
  <c r="AJ17" i="89"/>
  <c r="N55" i="15"/>
  <c r="I66" i="15"/>
  <c r="K123" i="15"/>
  <c r="AT12" i="98"/>
  <c r="J18" i="89"/>
  <c r="I34" i="15"/>
  <c r="AL18" i="89"/>
  <c r="I90" i="15"/>
  <c r="N12" i="109"/>
  <c r="AA30" i="15"/>
  <c r="AB10" i="89"/>
  <c r="N104" i="15"/>
  <c r="P19" i="98"/>
  <c r="F20" i="89"/>
  <c r="G18" i="98"/>
  <c r="N12" i="98"/>
  <c r="G15" i="15"/>
  <c r="F11" i="89"/>
  <c r="AN12" i="89"/>
  <c r="N26" i="15"/>
  <c r="G35" i="15"/>
  <c r="P90" i="15"/>
  <c r="P98" i="15"/>
  <c r="K60" i="15"/>
  <c r="G83" i="15"/>
  <c r="N95" i="15"/>
  <c r="K48" i="15"/>
  <c r="M17" i="89"/>
  <c r="AR16" i="89"/>
  <c r="I17" i="98"/>
  <c r="AH13" i="89"/>
  <c r="G32" i="15"/>
  <c r="M11" i="89"/>
  <c r="K76" i="15"/>
  <c r="L11" i="13"/>
  <c r="K44" i="15"/>
  <c r="G10" i="98"/>
  <c r="G41" i="15"/>
  <c r="AH18" i="89"/>
  <c r="AY11" i="98"/>
  <c r="N84" i="15"/>
  <c r="N23" i="15"/>
  <c r="AF16" i="89"/>
  <c r="I11" i="98"/>
  <c r="L23" i="15"/>
  <c r="K12" i="89"/>
  <c r="L55" i="15"/>
  <c r="CB448" i="8"/>
  <c r="L78" i="15"/>
  <c r="W12" i="89"/>
  <c r="L19" i="98"/>
  <c r="CB128" i="8"/>
  <c r="X30" i="15"/>
  <c r="L94" i="15"/>
  <c r="L47" i="15"/>
  <c r="BV598" i="8"/>
  <c r="M94" i="15"/>
  <c r="CK17" i="98"/>
  <c r="L41" i="15"/>
  <c r="CB638" i="8"/>
  <c r="L54" i="15"/>
  <c r="Y11" i="98"/>
  <c r="L99" i="15"/>
  <c r="AA11" i="89"/>
  <c r="Q9" i="13"/>
  <c r="ED31" i="8"/>
  <c r="BV578" i="8"/>
  <c r="L52" i="15"/>
  <c r="L56" i="15"/>
  <c r="X11" i="15"/>
  <c r="X24" i="15"/>
  <c r="AM14" i="89"/>
  <c r="CB148" i="8"/>
  <c r="O65" i="15"/>
  <c r="M92" i="15"/>
  <c r="L109" i="15"/>
  <c r="I9" i="13"/>
  <c r="L71" i="15"/>
  <c r="BV378" i="8"/>
  <c r="L119" i="15"/>
  <c r="O25" i="15"/>
  <c r="L97" i="15"/>
  <c r="H63" i="15"/>
  <c r="CJ11" i="98" a="1"/>
  <c r="AE12" i="89"/>
  <c r="CB418" i="8"/>
  <c r="T9" i="8"/>
  <c r="L22" i="15"/>
  <c r="Z43" i="15"/>
  <c r="CC15" i="98"/>
  <c r="F77" i="15"/>
  <c r="X12" i="15"/>
  <c r="CB158" i="8"/>
  <c r="L114" i="15"/>
  <c r="O120" i="15"/>
  <c r="AA16" i="89"/>
  <c r="CI17" i="98"/>
  <c r="X60" i="15"/>
  <c r="L17" i="15"/>
  <c r="O26" i="15"/>
  <c r="L123" i="15"/>
  <c r="X13" i="15"/>
  <c r="CB598" i="8"/>
  <c r="M19" i="98"/>
  <c r="CB618" i="8"/>
  <c r="L14" i="98"/>
  <c r="Y10" i="109"/>
  <c r="CB398" i="8"/>
  <c r="L66" i="15"/>
  <c r="BJ42" i="8"/>
  <c r="CB218" i="8"/>
  <c r="DT42" i="8"/>
  <c r="BV518" i="8"/>
  <c r="X40" i="15"/>
  <c r="G12" i="41"/>
  <c r="S36" i="8"/>
  <c r="BV228" i="8"/>
  <c r="W11" i="111"/>
  <c r="L67" i="15"/>
  <c r="Z51" i="15"/>
  <c r="L16" i="98"/>
  <c r="L15" i="98"/>
  <c r="BV608" i="8"/>
  <c r="BV478" i="8"/>
  <c r="X54" i="15"/>
  <c r="BV148" i="8"/>
  <c r="BV548" i="8"/>
  <c r="H15" i="98"/>
  <c r="X34" i="15"/>
  <c r="L38" i="15"/>
  <c r="L118" i="15"/>
  <c r="BV638" i="8"/>
  <c r="CC18" i="98"/>
  <c r="BV658" i="8"/>
  <c r="CI10" i="109"/>
  <c r="L83" i="15"/>
  <c r="H19" i="15"/>
  <c r="O58" i="15"/>
  <c r="BD31" i="8"/>
  <c r="CB348" i="8"/>
  <c r="L37" i="15"/>
  <c r="X32" i="15"/>
  <c r="E12" i="41"/>
  <c r="K11" i="89"/>
  <c r="L12" i="109"/>
  <c r="CB468" i="8"/>
  <c r="K14" i="89"/>
  <c r="BV188" i="8"/>
  <c r="L120" i="15"/>
  <c r="W13" i="111"/>
  <c r="K17" i="89"/>
  <c r="CA15" i="98"/>
  <c r="CK12" i="98"/>
  <c r="H43" i="15"/>
  <c r="BV448" i="8"/>
  <c r="E15" i="41"/>
  <c r="M71" i="15"/>
  <c r="O116" i="15"/>
  <c r="CJ13" i="98" a="1"/>
  <c r="CK11" i="98"/>
  <c r="X65" i="15"/>
  <c r="Z29" i="15"/>
  <c r="X42" i="15"/>
  <c r="BV488" i="8"/>
  <c r="Z32" i="15"/>
  <c r="AS16" i="98"/>
  <c r="CB268" i="8"/>
  <c r="CB368" i="8"/>
  <c r="CB258" i="8"/>
  <c r="BV118" i="8"/>
  <c r="L18" i="15"/>
  <c r="H18" i="13"/>
  <c r="BV248" i="8"/>
  <c r="L70" i="15"/>
  <c r="CJ16" i="98" a="1"/>
  <c r="CB168" i="8"/>
  <c r="H12" i="13"/>
  <c r="L43" i="15"/>
  <c r="BV168" i="8"/>
  <c r="AP31" i="8"/>
  <c r="W18" i="89"/>
  <c r="AX31" i="8"/>
  <c r="CB588" i="8"/>
  <c r="Y15" i="98"/>
  <c r="X14" i="15"/>
  <c r="Z23" i="15"/>
  <c r="O41" i="15"/>
  <c r="X18" i="15"/>
  <c r="X50" i="15"/>
  <c r="O106" i="15"/>
  <c r="CD19" i="8"/>
  <c r="O21" i="15"/>
  <c r="R59" i="8"/>
  <c r="F90" i="15"/>
  <c r="CJ10" i="98" a="1"/>
  <c r="Z45" i="15"/>
  <c r="CJ10" i="109"/>
  <c r="CB378" i="8"/>
  <c r="C12" i="111"/>
  <c r="X64" i="15"/>
  <c r="BV558" i="8"/>
  <c r="CJ18" i="98" a="1"/>
  <c r="L31" i="15"/>
  <c r="AG15" i="89"/>
  <c r="Z37" i="15"/>
  <c r="M44" i="15"/>
  <c r="L102" i="15"/>
  <c r="H59" i="15"/>
  <c r="CB568" i="8"/>
  <c r="AV18" i="89"/>
  <c r="X58" i="15"/>
  <c r="L107" i="15"/>
  <c r="L12" i="98"/>
  <c r="BV318" i="8"/>
  <c r="X46" i="15"/>
  <c r="L13" i="98"/>
  <c r="H19" i="13"/>
  <c r="L10" i="109"/>
  <c r="O110" i="15"/>
  <c r="L93" i="15"/>
  <c r="K10" i="89"/>
  <c r="Z12" i="15"/>
  <c r="L116" i="15"/>
  <c r="Z27" i="15"/>
  <c r="BY72" i="8"/>
  <c r="L77" i="15"/>
  <c r="L35" i="15"/>
  <c r="BV328" i="8"/>
  <c r="CB538" i="8"/>
  <c r="K14" i="111"/>
  <c r="L105" i="15"/>
  <c r="Z47" i="15"/>
  <c r="L65" i="15"/>
  <c r="L96" i="15"/>
  <c r="L15" i="15"/>
  <c r="Z52" i="15"/>
  <c r="BV418" i="8"/>
  <c r="DP52" i="8"/>
  <c r="CD82" i="8"/>
  <c r="S35" i="8"/>
  <c r="O91" i="15"/>
  <c r="AD72" i="8"/>
  <c r="CB658" i="8"/>
  <c r="X48" i="15"/>
  <c r="J10" i="98"/>
  <c r="BV368" i="8"/>
  <c r="O102" i="15"/>
  <c r="H16" i="13"/>
  <c r="BV588" i="8"/>
  <c r="L110" i="15"/>
  <c r="BV528" i="8"/>
  <c r="O33" i="15"/>
  <c r="CB138" i="8"/>
  <c r="O62" i="15"/>
  <c r="CB188" i="8"/>
  <c r="CB478" i="8"/>
  <c r="O83" i="15"/>
  <c r="CK15" i="98"/>
  <c r="L86" i="15"/>
  <c r="L63" i="15"/>
  <c r="I16" i="13"/>
  <c r="O14" i="15"/>
  <c r="L57" i="15"/>
  <c r="CE9" i="8"/>
  <c r="E14" i="41"/>
  <c r="L53" i="15"/>
  <c r="Z65" i="15"/>
  <c r="L113" i="15"/>
  <c r="J103" i="15"/>
  <c r="L90" i="15"/>
  <c r="BV458" i="8"/>
  <c r="X38" i="15"/>
  <c r="K21" i="89"/>
  <c r="F17" i="98"/>
  <c r="O61" i="15"/>
  <c r="L72" i="15"/>
  <c r="E13" i="41"/>
  <c r="L16" i="15"/>
  <c r="O46" i="15"/>
  <c r="L19" i="15"/>
  <c r="CA18" i="98"/>
  <c r="L36" i="15"/>
  <c r="L11" i="98"/>
  <c r="L73" i="15"/>
  <c r="L15" i="89"/>
  <c r="CB248" i="8"/>
  <c r="CJ15" i="98" a="1"/>
  <c r="CB648" i="8"/>
  <c r="CB118" i="8"/>
  <c r="L122" i="15"/>
  <c r="CB578" i="8"/>
  <c r="BV568" i="8"/>
  <c r="L85" i="15"/>
  <c r="CI13" i="98"/>
  <c r="BV268" i="8"/>
  <c r="J95" i="15"/>
  <c r="CI12" i="98"/>
  <c r="E17" i="89"/>
  <c r="W13" i="89"/>
  <c r="L91" i="15"/>
  <c r="CB488" i="8"/>
  <c r="CB388" i="8"/>
  <c r="M47" i="15"/>
  <c r="AR72" i="8"/>
  <c r="K5" i="88"/>
  <c r="L69" i="15"/>
  <c r="DV9" i="8"/>
  <c r="CK18" i="98"/>
  <c r="Z55" i="15"/>
  <c r="CB318" i="8"/>
  <c r="CB208" i="8"/>
  <c r="BV198" i="8"/>
  <c r="BV178" i="8"/>
  <c r="Z66" i="15"/>
  <c r="DY31" i="8"/>
  <c r="BV468" i="8"/>
  <c r="Z36" i="15"/>
  <c r="BV358" i="8"/>
  <c r="BV618" i="8"/>
  <c r="O66" i="15"/>
  <c r="Z39" i="15"/>
  <c r="BW19" i="8"/>
  <c r="O99" i="15"/>
  <c r="CB498" i="8"/>
  <c r="BB9" i="8"/>
  <c r="W10" i="89"/>
  <c r="Y12" i="98"/>
  <c r="L111" i="15"/>
  <c r="L18" i="98"/>
  <c r="M56" i="15"/>
  <c r="L51" i="15"/>
  <c r="BO52" i="8"/>
  <c r="O30" i="15"/>
  <c r="BV508" i="8"/>
  <c r="M15" i="15"/>
  <c r="J13" i="98"/>
  <c r="Z53" i="15"/>
  <c r="CL9" i="8"/>
  <c r="L87" i="15"/>
  <c r="O100" i="15"/>
  <c r="M52" i="15"/>
  <c r="J122" i="15"/>
  <c r="H35" i="15"/>
  <c r="CB278" i="8"/>
  <c r="X21" i="15"/>
  <c r="BV628" i="8"/>
  <c r="CB238" i="8"/>
  <c r="CK13" i="98"/>
  <c r="K59" i="8"/>
  <c r="W17" i="89"/>
  <c r="O112" i="15"/>
  <c r="BV218" i="8"/>
  <c r="Z40" i="15"/>
  <c r="L27" i="15"/>
  <c r="BV428" i="8"/>
  <c r="Y18" i="98"/>
  <c r="X66" i="15"/>
  <c r="L79" i="15"/>
  <c r="BV238" i="8"/>
  <c r="Z61" i="15"/>
  <c r="F97" i="15"/>
  <c r="W14" i="89"/>
  <c r="X16" i="15"/>
  <c r="O12" i="109"/>
  <c r="X26" i="15"/>
  <c r="Y13" i="98"/>
  <c r="CI16" i="98"/>
  <c r="Z25" i="15"/>
  <c r="L92" i="15"/>
  <c r="Z49" i="15"/>
  <c r="Y11" i="109"/>
  <c r="BV648" i="8"/>
  <c r="CJ14" i="98" a="1"/>
  <c r="F74" i="15"/>
  <c r="C13" i="88"/>
  <c r="BV348" i="8"/>
  <c r="BV278" i="8"/>
  <c r="L24" i="15"/>
  <c r="BV408" i="8"/>
  <c r="L30" i="15"/>
  <c r="CJ12" i="98" a="1"/>
  <c r="X56" i="15"/>
  <c r="L108" i="15"/>
  <c r="DO42" i="8"/>
  <c r="L103" i="15"/>
  <c r="CB328" i="8"/>
  <c r="S34" i="8"/>
  <c r="K16" i="89"/>
  <c r="X19" i="15"/>
  <c r="BV138" i="8"/>
  <c r="BV298" i="8"/>
  <c r="O79" i="8"/>
  <c r="L34" i="15"/>
  <c r="BV108" i="8"/>
  <c r="Z28" i="15"/>
  <c r="L61" i="15"/>
  <c r="BU62" i="8"/>
  <c r="L29" i="15"/>
  <c r="BV308" i="8"/>
  <c r="DH62" i="8"/>
  <c r="CB558" i="8"/>
  <c r="DK52" i="8"/>
  <c r="O79" i="15"/>
  <c r="O86" i="15"/>
  <c r="X62" i="15"/>
  <c r="H11" i="13"/>
  <c r="Z31" i="15"/>
  <c r="CB608" i="8"/>
  <c r="O22" i="15"/>
  <c r="L58" i="15"/>
  <c r="CB428" i="8"/>
  <c r="O17" i="15"/>
  <c r="M70" i="15"/>
  <c r="X33" i="15"/>
  <c r="L20" i="15"/>
  <c r="CB628" i="8"/>
  <c r="BV438" i="8"/>
  <c r="BV158" i="8"/>
  <c r="H10" i="13"/>
  <c r="X41" i="15"/>
  <c r="L115" i="15"/>
  <c r="BP62" i="8"/>
  <c r="L121" i="15"/>
  <c r="CJ17" i="98" a="1"/>
  <c r="W15" i="89"/>
  <c r="EI31" i="8"/>
  <c r="K13" i="89"/>
  <c r="H79" i="8"/>
  <c r="BV338" i="8"/>
  <c r="S37" i="8"/>
  <c r="X20" i="15"/>
  <c r="AX18" i="89"/>
  <c r="X45" i="15"/>
  <c r="CB198" i="8"/>
  <c r="CB508" i="8"/>
  <c r="BV398" i="8"/>
  <c r="L68" i="15"/>
  <c r="K14" i="8"/>
  <c r="X36" i="15"/>
  <c r="CB308" i="8"/>
  <c r="K18" i="89"/>
  <c r="K13" i="111"/>
  <c r="L117" i="15"/>
  <c r="L112" i="15"/>
  <c r="L21" i="15"/>
  <c r="X57" i="15"/>
  <c r="L95" i="15"/>
  <c r="CB458" i="8"/>
  <c r="L101" i="15"/>
  <c r="Z63" i="15"/>
  <c r="L64" i="15"/>
  <c r="L50" i="15"/>
  <c r="W12" i="111"/>
  <c r="L75" i="15"/>
  <c r="G16" i="41"/>
  <c r="DM62" i="8"/>
  <c r="AY72" i="8"/>
  <c r="O11" i="109"/>
  <c r="L46" i="15"/>
  <c r="DS31" i="8"/>
  <c r="X52" i="15"/>
  <c r="AW20" i="8"/>
  <c r="Y16" i="98"/>
  <c r="X44" i="15"/>
  <c r="P14" i="8"/>
  <c r="BT72" i="8"/>
  <c r="L33" i="15"/>
  <c r="K15" i="89"/>
  <c r="EF20" i="8"/>
  <c r="L28" i="15"/>
  <c r="Z35" i="15"/>
  <c r="CI14" i="98"/>
  <c r="K19" i="89"/>
  <c r="Z57" i="15"/>
  <c r="L44" i="15"/>
  <c r="X53" i="15"/>
  <c r="L11" i="109"/>
  <c r="BV208" i="8"/>
  <c r="G14" i="111"/>
  <c r="CI10" i="98"/>
  <c r="AD79" i="8"/>
  <c r="H14" i="13"/>
  <c r="DJ72" i="8"/>
  <c r="X61" i="15"/>
  <c r="H9" i="13"/>
  <c r="O109" i="15"/>
  <c r="L42" i="15"/>
  <c r="H93" i="15"/>
  <c r="Z17" i="15"/>
  <c r="CB178" i="8"/>
  <c r="CB438" i="8"/>
  <c r="DH82" i="8"/>
  <c r="Z13" i="15"/>
  <c r="L106" i="15"/>
  <c r="CB358" i="8"/>
  <c r="L13" i="89"/>
  <c r="M28" i="15"/>
  <c r="L76" i="15"/>
  <c r="BV288" i="8"/>
  <c r="L59" i="15"/>
  <c r="CI11" i="98"/>
  <c r="BY82" i="8"/>
  <c r="H16" i="98"/>
  <c r="AD66" i="8"/>
  <c r="CB338" i="8"/>
  <c r="CB548" i="8"/>
  <c r="CB408" i="8"/>
  <c r="K66" i="8"/>
  <c r="BV498" i="8"/>
  <c r="CB228" i="8"/>
  <c r="M118" i="15"/>
  <c r="Z11" i="15"/>
  <c r="C11" i="111"/>
  <c r="H51" i="15"/>
  <c r="X29" i="15"/>
  <c r="X22" i="15"/>
  <c r="L100" i="15"/>
  <c r="L104" i="15"/>
  <c r="O113" i="15"/>
  <c r="L74" i="15"/>
  <c r="L14" i="15"/>
  <c r="K20" i="89"/>
  <c r="AR20" i="8"/>
  <c r="L10" i="98"/>
  <c r="BV128" i="8"/>
  <c r="BV538" i="8"/>
  <c r="L80" i="15"/>
  <c r="L81" i="15"/>
  <c r="N19" i="89"/>
  <c r="CB108" i="8"/>
  <c r="CK16" i="98"/>
  <c r="W16" i="89"/>
  <c r="L84" i="15"/>
  <c r="CB518" i="8"/>
  <c r="BE42" i="8"/>
  <c r="L49" i="15"/>
  <c r="J101" i="15"/>
  <c r="BV388" i="8"/>
  <c r="DC82" i="8"/>
  <c r="Y10" i="98"/>
  <c r="O104" i="15"/>
  <c r="L39" i="15"/>
  <c r="O87" i="15"/>
  <c r="CB528" i="8"/>
  <c r="X28" i="15"/>
  <c r="CB288" i="8"/>
  <c r="CK10" i="98"/>
  <c r="Z15" i="15"/>
  <c r="AD85" i="8"/>
  <c r="BV258" i="8"/>
  <c r="CK14" i="98"/>
  <c r="L98" i="15"/>
  <c r="H27" i="15"/>
  <c r="Z59" i="15"/>
  <c r="BJ52" i="8"/>
  <c r="BL52" i="8" l="1"/>
  <c r="BK46" i="8" s="1"/>
  <c r="BK48" i="8" s="1"/>
  <c r="BL43" i="8" s="1"/>
  <c r="BL42" i="8" s="1"/>
  <c r="BF37" i="8" s="1"/>
  <c r="BF38" i="8" s="1"/>
  <c r="BF32" i="8" s="1"/>
  <c r="BF31" i="8" s="1"/>
  <c r="AY26" i="8" s="1"/>
  <c r="AY27" i="8" s="1"/>
  <c r="AY21" i="8" s="1"/>
  <c r="AY20" i="8" s="1"/>
  <c r="AR15" i="8" s="1"/>
  <c r="AR16" i="8" s="1"/>
  <c r="BD10" i="8" s="1"/>
  <c r="BD9" i="8" s="1"/>
  <c r="E98" i="15"/>
  <c r="S98" i="15" s="1"/>
  <c r="B98" i="15" s="1"/>
  <c r="Y28" i="15"/>
  <c r="AB28" i="15" s="1"/>
  <c r="U28" i="15" s="1"/>
  <c r="E39" i="15"/>
  <c r="S39" i="15" s="1"/>
  <c r="B39" i="15" s="1"/>
  <c r="Z10" i="98"/>
  <c r="R101" i="15"/>
  <c r="E49" i="15"/>
  <c r="S49" i="15" s="1"/>
  <c r="B49" i="15" s="1"/>
  <c r="E84" i="15"/>
  <c r="S84" i="15" s="1"/>
  <c r="B84" i="15" s="1"/>
  <c r="X16" i="89"/>
  <c r="E81" i="15"/>
  <c r="S81" i="15" s="1"/>
  <c r="B81" i="15" s="1"/>
  <c r="E80" i="15"/>
  <c r="S80" i="15" s="1"/>
  <c r="B80" i="15" s="1"/>
  <c r="E10" i="98"/>
  <c r="S10" i="98" s="1"/>
  <c r="B10" i="98" s="1"/>
  <c r="D20" i="89"/>
  <c r="R20" i="89" s="1"/>
  <c r="A20" i="89" s="1"/>
  <c r="E14" i="15"/>
  <c r="S14" i="15" s="1"/>
  <c r="B14" i="15" s="1"/>
  <c r="E74" i="15"/>
  <c r="S74" i="15" s="1"/>
  <c r="B74" i="15" s="1"/>
  <c r="E104" i="15"/>
  <c r="S104" i="15" s="1"/>
  <c r="B104" i="15" s="1"/>
  <c r="E100" i="15"/>
  <c r="S100" i="15" s="1"/>
  <c r="B100" i="15" s="1"/>
  <c r="Y22" i="15"/>
  <c r="AB22" i="15" s="1"/>
  <c r="U22" i="15" s="1"/>
  <c r="Y29" i="15"/>
  <c r="AB29" i="15" s="1"/>
  <c r="U29" i="15" s="1"/>
  <c r="M66" i="8"/>
  <c r="M60" i="8" s="1"/>
  <c r="M59" i="8" s="1"/>
  <c r="M52" i="8" s="1"/>
  <c r="M54" i="8" s="1"/>
  <c r="AF66" i="8"/>
  <c r="AK59" i="8" s="1"/>
  <c r="AK61" i="8" s="1"/>
  <c r="CA82" i="8"/>
  <c r="BZ76" i="8" s="1"/>
  <c r="BZ78" i="8" s="1"/>
  <c r="CA73" i="8" s="1"/>
  <c r="CA72" i="8" s="1"/>
  <c r="BU67" i="8" s="1"/>
  <c r="E59" i="15"/>
  <c r="S59" i="15" s="1"/>
  <c r="B59" i="15" s="1"/>
  <c r="E76" i="15"/>
  <c r="S76" i="15" s="1"/>
  <c r="B76" i="15" s="1"/>
  <c r="E106" i="15"/>
  <c r="S106" i="15" s="1"/>
  <c r="B106" i="15" s="1"/>
  <c r="E42" i="15"/>
  <c r="S42" i="15" s="1"/>
  <c r="B42" i="15" s="1"/>
  <c r="C9" i="13"/>
  <c r="Y61" i="15"/>
  <c r="AB61" i="15" s="1"/>
  <c r="U61" i="15" s="1"/>
  <c r="C14" i="13"/>
  <c r="S14" i="13" s="1"/>
  <c r="T14" i="13" s="1"/>
  <c r="E11" i="109"/>
  <c r="S11" i="109" s="1"/>
  <c r="B11" i="109" s="1"/>
  <c r="Y53" i="15"/>
  <c r="AB53" i="15" s="1"/>
  <c r="U53" i="15" s="1"/>
  <c r="E44" i="15"/>
  <c r="S44" i="15" s="1"/>
  <c r="B44" i="15" s="1"/>
  <c r="D19" i="89"/>
  <c r="R19" i="89" s="1"/>
  <c r="A19" i="89" s="1"/>
  <c r="E28" i="15"/>
  <c r="S28" i="15" s="1"/>
  <c r="B28" i="15" s="1"/>
  <c r="D15" i="89"/>
  <c r="R15" i="89" s="1"/>
  <c r="A15" i="89" s="1"/>
  <c r="E33" i="15"/>
  <c r="S33" i="15" s="1"/>
  <c r="B33" i="15" s="1"/>
  <c r="BV72" i="8"/>
  <c r="BU66" i="8" s="1"/>
  <c r="Y44" i="15"/>
  <c r="AB44" i="15" s="1"/>
  <c r="U44" i="15" s="1"/>
  <c r="Z16" i="98"/>
  <c r="Y52" i="15"/>
  <c r="AB52" i="15" s="1"/>
  <c r="U52" i="15" s="1"/>
  <c r="E46" i="15"/>
  <c r="S46" i="15" s="1"/>
  <c r="B46" i="15" s="1"/>
  <c r="E75" i="15"/>
  <c r="S75" i="15" s="1"/>
  <c r="B75" i="15" s="1"/>
  <c r="X12" i="111"/>
  <c r="E50" i="15"/>
  <c r="S50" i="15" s="1"/>
  <c r="B50" i="15" s="1"/>
  <c r="E64" i="15"/>
  <c r="S64" i="15" s="1"/>
  <c r="B64" i="15" s="1"/>
  <c r="E101" i="15"/>
  <c r="S101" i="15" s="1"/>
  <c r="B101" i="15" s="1"/>
  <c r="E95" i="15"/>
  <c r="S95" i="15" s="1"/>
  <c r="B95" i="15" s="1"/>
  <c r="Y57" i="15"/>
  <c r="AB57" i="15" s="1"/>
  <c r="U57" i="15" s="1"/>
  <c r="E21" i="15"/>
  <c r="S21" i="15" s="1"/>
  <c r="B21" i="15" s="1"/>
  <c r="E112" i="15"/>
  <c r="S112" i="15" s="1"/>
  <c r="B112" i="15" s="1"/>
  <c r="E117" i="15"/>
  <c r="S117" i="15" s="1"/>
  <c r="B117" i="15" s="1"/>
  <c r="D13" i="111"/>
  <c r="R13" i="111" s="1"/>
  <c r="A13" i="111" s="1"/>
  <c r="D18" i="89"/>
  <c r="R18" i="89" s="1"/>
  <c r="A18" i="89" s="1"/>
  <c r="Y36" i="15"/>
  <c r="AB36" i="15" s="1"/>
  <c r="U36" i="15" s="1"/>
  <c r="E68" i="15"/>
  <c r="S68" i="15" s="1"/>
  <c r="B68" i="15" s="1"/>
  <c r="Y45" i="15"/>
  <c r="AB45" i="15" s="1"/>
  <c r="U45" i="15" s="1"/>
  <c r="Y20" i="15"/>
  <c r="AB20" i="15" s="1"/>
  <c r="U20" i="15" s="1"/>
  <c r="D13" i="89"/>
  <c r="R13" i="89" s="1"/>
  <c r="A13" i="89" s="1"/>
  <c r="X15" i="89"/>
  <c r="CJ17" i="98"/>
  <c r="E121" i="15"/>
  <c r="S121" i="15" s="1"/>
  <c r="B121" i="15" s="1"/>
  <c r="BR62" i="8"/>
  <c r="BQ56" i="8" s="1"/>
  <c r="E115" i="15"/>
  <c r="S115" i="15" s="1"/>
  <c r="B115" i="15" s="1"/>
  <c r="Y41" i="15"/>
  <c r="AB41" i="15" s="1"/>
  <c r="U41" i="15" s="1"/>
  <c r="C10" i="13"/>
  <c r="S10" i="13" s="1"/>
  <c r="T10" i="13" s="1"/>
  <c r="E20" i="15"/>
  <c r="S20" i="15" s="1"/>
  <c r="B20" i="15" s="1"/>
  <c r="Y33" i="15"/>
  <c r="AB33" i="15" s="1"/>
  <c r="U33" i="15" s="1"/>
  <c r="E58" i="15"/>
  <c r="S58" i="15" s="1"/>
  <c r="B58" i="15" s="1"/>
  <c r="C11" i="13"/>
  <c r="S11" i="13" s="1"/>
  <c r="T11" i="13" s="1"/>
  <c r="Y62" i="15"/>
  <c r="AB62" i="15" s="1"/>
  <c r="U62" i="15" s="1"/>
  <c r="E29" i="15"/>
  <c r="S29" i="15" s="1"/>
  <c r="B29" i="15" s="1"/>
  <c r="E61" i="15"/>
  <c r="S61" i="15" s="1"/>
  <c r="B61" i="15" s="1"/>
  <c r="E34" i="15"/>
  <c r="S34" i="15" s="1"/>
  <c r="B34" i="15" s="1"/>
  <c r="Y19" i="15"/>
  <c r="AB19" i="15" s="1"/>
  <c r="U19" i="15" s="1"/>
  <c r="D16" i="89"/>
  <c r="R16" i="89" s="1"/>
  <c r="A16" i="89" s="1"/>
  <c r="T38" i="8"/>
  <c r="E103" i="15"/>
  <c r="S103" i="15" s="1"/>
  <c r="B103" i="15" s="1"/>
  <c r="E108" i="15"/>
  <c r="S108" i="15" s="1"/>
  <c r="B108" i="15" s="1"/>
  <c r="Y56" i="15"/>
  <c r="AB56" i="15" s="1"/>
  <c r="U56" i="15" s="1"/>
  <c r="CJ12" i="98"/>
  <c r="E30" i="15"/>
  <c r="S30" i="15" s="1"/>
  <c r="B30" i="15" s="1"/>
  <c r="E24" i="15"/>
  <c r="S24" i="15" s="1"/>
  <c r="B24" i="15" s="1"/>
  <c r="D14" i="88"/>
  <c r="CJ14" i="98"/>
  <c r="Z11" i="109"/>
  <c r="E92" i="15"/>
  <c r="S92" i="15" s="1"/>
  <c r="B92" i="15" s="1"/>
  <c r="Z13" i="98"/>
  <c r="Y26" i="15"/>
  <c r="AB26" i="15" s="1"/>
  <c r="U26" i="15" s="1"/>
  <c r="Y16" i="15"/>
  <c r="AB16" i="15" s="1"/>
  <c r="U16" i="15" s="1"/>
  <c r="X14" i="89"/>
  <c r="E79" i="15"/>
  <c r="S79" i="15" s="1"/>
  <c r="B79" i="15" s="1"/>
  <c r="Y66" i="15"/>
  <c r="AB66" i="15" s="1"/>
  <c r="U66" i="15" s="1"/>
  <c r="Z18" i="98"/>
  <c r="E27" i="15"/>
  <c r="S27" i="15" s="1"/>
  <c r="B27" i="15" s="1"/>
  <c r="X17" i="89"/>
  <c r="Y21" i="15"/>
  <c r="AB21" i="15" s="1"/>
  <c r="U21" i="15" s="1"/>
  <c r="R122" i="15"/>
  <c r="E87" i="15"/>
  <c r="S87" i="15" s="1"/>
  <c r="B87" i="15" s="1"/>
  <c r="CN9" i="8"/>
  <c r="C11" i="15" s="1"/>
  <c r="R13" i="98"/>
  <c r="E51" i="15"/>
  <c r="S51" i="15" s="1"/>
  <c r="B51" i="15" s="1"/>
  <c r="E18" i="98"/>
  <c r="S18" i="98" s="1"/>
  <c r="B18" i="98" s="1"/>
  <c r="E111" i="15"/>
  <c r="S111" i="15" s="1"/>
  <c r="B111" i="15" s="1"/>
  <c r="Z12" i="98"/>
  <c r="X10" i="89"/>
  <c r="E69" i="15"/>
  <c r="S69" i="15" s="1"/>
  <c r="B69" i="15" s="1"/>
  <c r="E91" i="15"/>
  <c r="S91" i="15" s="1"/>
  <c r="B91" i="15" s="1"/>
  <c r="X13" i="89"/>
  <c r="R95" i="15"/>
  <c r="E85" i="15"/>
  <c r="S85" i="15" s="1"/>
  <c r="B85" i="15" s="1"/>
  <c r="E122" i="15"/>
  <c r="S122" i="15" s="1"/>
  <c r="B122" i="15" s="1"/>
  <c r="CJ15" i="98"/>
  <c r="E73" i="15"/>
  <c r="S73" i="15" s="1"/>
  <c r="B73" i="15" s="1"/>
  <c r="E11" i="98"/>
  <c r="S11" i="98" s="1"/>
  <c r="B11" i="98" s="1"/>
  <c r="E36" i="15"/>
  <c r="S36" i="15" s="1"/>
  <c r="B36" i="15" s="1"/>
  <c r="E19" i="15"/>
  <c r="S19" i="15" s="1"/>
  <c r="B19" i="15" s="1"/>
  <c r="E16" i="15"/>
  <c r="S16" i="15" s="1"/>
  <c r="B16" i="15" s="1"/>
  <c r="F13" i="41"/>
  <c r="J13" i="41" s="1"/>
  <c r="B13" i="41" s="1"/>
  <c r="E72" i="15"/>
  <c r="S72" i="15" s="1"/>
  <c r="B72" i="15" s="1"/>
  <c r="D21" i="89"/>
  <c r="R21" i="89" s="1"/>
  <c r="A21" i="89" s="1"/>
  <c r="Y38" i="15"/>
  <c r="AB38" i="15" s="1"/>
  <c r="U38" i="15" s="1"/>
  <c r="E90" i="15"/>
  <c r="S90" i="15" s="1"/>
  <c r="B90" i="15" s="1"/>
  <c r="R103" i="15"/>
  <c r="E113" i="15"/>
  <c r="S113" i="15" s="1"/>
  <c r="B113" i="15" s="1"/>
  <c r="E53" i="15"/>
  <c r="S53" i="15" s="1"/>
  <c r="B53" i="15" s="1"/>
  <c r="F14" i="41"/>
  <c r="J14" i="41" s="1"/>
  <c r="B14" i="41" s="1"/>
  <c r="CG9" i="8"/>
  <c r="E57" i="15"/>
  <c r="S57" i="15" s="1"/>
  <c r="B57" i="15" s="1"/>
  <c r="E63" i="15"/>
  <c r="S63" i="15" s="1"/>
  <c r="B63" i="15" s="1"/>
  <c r="E86" i="15"/>
  <c r="S86" i="15" s="1"/>
  <c r="B86" i="15" s="1"/>
  <c r="E110" i="15"/>
  <c r="S110" i="15" s="1"/>
  <c r="B110" i="15" s="1"/>
  <c r="C16" i="13"/>
  <c r="S16" i="13" s="1"/>
  <c r="T16" i="13" s="1"/>
  <c r="R10" i="98"/>
  <c r="Y48" i="15"/>
  <c r="AB48" i="15" s="1"/>
  <c r="U48" i="15" s="1"/>
  <c r="AF72" i="8"/>
  <c r="E15" i="15"/>
  <c r="S15" i="15" s="1"/>
  <c r="B15" i="15" s="1"/>
  <c r="E96" i="15"/>
  <c r="S96" i="15" s="1"/>
  <c r="B96" i="15" s="1"/>
  <c r="E65" i="15"/>
  <c r="S65" i="15" s="1"/>
  <c r="B65" i="15" s="1"/>
  <c r="E105" i="15"/>
  <c r="S105" i="15" s="1"/>
  <c r="B105" i="15" s="1"/>
  <c r="D14" i="111"/>
  <c r="R14" i="111" s="1"/>
  <c r="A14" i="111" s="1"/>
  <c r="E35" i="15"/>
  <c r="S35" i="15" s="1"/>
  <c r="B35" i="15" s="1"/>
  <c r="E77" i="15"/>
  <c r="S77" i="15" s="1"/>
  <c r="B77" i="15" s="1"/>
  <c r="E116" i="15"/>
  <c r="S116" i="15" s="1"/>
  <c r="B116" i="15" s="1"/>
  <c r="D10" i="89"/>
  <c r="R10" i="89" s="1"/>
  <c r="A10" i="89" s="1"/>
  <c r="E93" i="15"/>
  <c r="S93" i="15" s="1"/>
  <c r="B93" i="15" s="1"/>
  <c r="E10" i="109"/>
  <c r="S10" i="109" s="1"/>
  <c r="B10" i="109" s="1"/>
  <c r="C19" i="13"/>
  <c r="S19" i="13" s="1"/>
  <c r="T19" i="13" s="1"/>
  <c r="E13" i="98"/>
  <c r="S13" i="98" s="1"/>
  <c r="B13" i="98" s="1"/>
  <c r="Y46" i="15"/>
  <c r="AB46" i="15" s="1"/>
  <c r="U46" i="15" s="1"/>
  <c r="E12" i="98"/>
  <c r="S12" i="98" s="1"/>
  <c r="B12" i="98" s="1"/>
  <c r="E107" i="15"/>
  <c r="S107" i="15" s="1"/>
  <c r="B107" i="15" s="1"/>
  <c r="Y58" i="15"/>
  <c r="AB58" i="15" s="1"/>
  <c r="U58" i="15" s="1"/>
  <c r="E102" i="15"/>
  <c r="S102" i="15" s="1"/>
  <c r="B102" i="15" s="1"/>
  <c r="E31" i="15"/>
  <c r="S31" i="15" s="1"/>
  <c r="B31" i="15" s="1"/>
  <c r="CJ18" i="98"/>
  <c r="Y64" i="15"/>
  <c r="AB64" i="15" s="1"/>
  <c r="U64" i="15" s="1"/>
  <c r="CJ10" i="98"/>
  <c r="Y50" i="15"/>
  <c r="AB50" i="15" s="1"/>
  <c r="U50" i="15" s="1"/>
  <c r="Y18" i="15"/>
  <c r="AB18" i="15" s="1"/>
  <c r="U18" i="15" s="1"/>
  <c r="Y14" i="15"/>
  <c r="AB14" i="15" s="1"/>
  <c r="U14" i="15" s="1"/>
  <c r="Z15" i="98"/>
  <c r="X18" i="89"/>
  <c r="E43" i="15"/>
  <c r="S43" i="15" s="1"/>
  <c r="B43" i="15" s="1"/>
  <c r="C12" i="13"/>
  <c r="S12" i="13" s="1"/>
  <c r="T12" i="13" s="1"/>
  <c r="CJ16" i="98"/>
  <c r="E70" i="15"/>
  <c r="S70" i="15" s="1"/>
  <c r="B70" i="15" s="1"/>
  <c r="C18" i="13"/>
  <c r="S18" i="13" s="1"/>
  <c r="T18" i="13" s="1"/>
  <c r="E18" i="15"/>
  <c r="S18" i="15" s="1"/>
  <c r="B18" i="15" s="1"/>
  <c r="Y42" i="15"/>
  <c r="AB42" i="15" s="1"/>
  <c r="U42" i="15" s="1"/>
  <c r="Y65" i="15"/>
  <c r="AB65" i="15" s="1"/>
  <c r="U65" i="15" s="1"/>
  <c r="CJ13" i="98"/>
  <c r="F15" i="41"/>
  <c r="J15" i="41" s="1"/>
  <c r="B15" i="41" s="1"/>
  <c r="D17" i="89"/>
  <c r="R17" i="89" s="1"/>
  <c r="A17" i="89" s="1"/>
  <c r="X13" i="111"/>
  <c r="E120" i="15"/>
  <c r="S120" i="15" s="1"/>
  <c r="B120" i="15" s="1"/>
  <c r="D14" i="89"/>
  <c r="R14" i="89" s="1"/>
  <c r="A14" i="89" s="1"/>
  <c r="E12" i="109"/>
  <c r="S12" i="109" s="1"/>
  <c r="B12" i="109" s="1"/>
  <c r="D11" i="89"/>
  <c r="R11" i="89" s="1"/>
  <c r="A11" i="89" s="1"/>
  <c r="F12" i="41"/>
  <c r="J12" i="41" s="1"/>
  <c r="B12" i="41" s="1"/>
  <c r="Y32" i="15"/>
  <c r="AB32" i="15" s="1"/>
  <c r="U32" i="15" s="1"/>
  <c r="E37" i="15"/>
  <c r="S37" i="15" s="1"/>
  <c r="B37" i="15" s="1"/>
  <c r="E83" i="15"/>
  <c r="S83" i="15" s="1"/>
  <c r="B83" i="15" s="1"/>
  <c r="E118" i="15"/>
  <c r="S118" i="15" s="1"/>
  <c r="B118" i="15" s="1"/>
  <c r="E38" i="15"/>
  <c r="S38" i="15" s="1"/>
  <c r="B38" i="15" s="1"/>
  <c r="Y34" i="15"/>
  <c r="AB34" i="15" s="1"/>
  <c r="U34" i="15" s="1"/>
  <c r="Y54" i="15"/>
  <c r="AB54" i="15" s="1"/>
  <c r="U54" i="15" s="1"/>
  <c r="E15" i="98"/>
  <c r="S15" i="98" s="1"/>
  <c r="B15" i="98" s="1"/>
  <c r="E16" i="98"/>
  <c r="S16" i="98" s="1"/>
  <c r="B16" i="98" s="1"/>
  <c r="E67" i="15"/>
  <c r="S67" i="15" s="1"/>
  <c r="B67" i="15" s="1"/>
  <c r="X11" i="111"/>
  <c r="Y40" i="15"/>
  <c r="AB40" i="15" s="1"/>
  <c r="U40" i="15" s="1"/>
  <c r="E66" i="15"/>
  <c r="S66" i="15" s="1"/>
  <c r="B66" i="15" s="1"/>
  <c r="Z10" i="109"/>
  <c r="E14" i="98"/>
  <c r="S14" i="98" s="1"/>
  <c r="B14" i="98" s="1"/>
  <c r="Y13" i="15"/>
  <c r="AB13" i="15" s="1"/>
  <c r="U13" i="15" s="1"/>
  <c r="E123" i="15"/>
  <c r="S123" i="15" s="1"/>
  <c r="B123" i="15" s="1"/>
  <c r="E17" i="15"/>
  <c r="S17" i="15" s="1"/>
  <c r="B17" i="15" s="1"/>
  <c r="Y60" i="15"/>
  <c r="AB60" i="15" s="1"/>
  <c r="U60" i="15" s="1"/>
  <c r="E114" i="15"/>
  <c r="S114" i="15" s="1"/>
  <c r="B114" i="15" s="1"/>
  <c r="Y12" i="15"/>
  <c r="AB12" i="15" s="1"/>
  <c r="U12" i="15" s="1"/>
  <c r="E22" i="15"/>
  <c r="S22" i="15" s="1"/>
  <c r="B22" i="15" s="1"/>
  <c r="V9" i="8"/>
  <c r="O4" i="8" s="1"/>
  <c r="O5" i="8" s="1"/>
  <c r="CJ11" i="98"/>
  <c r="E97" i="15"/>
  <c r="S97" i="15" s="1"/>
  <c r="B97" i="15" s="1"/>
  <c r="E119" i="15"/>
  <c r="S119" i="15" s="1"/>
  <c r="B119" i="15" s="1"/>
  <c r="E71" i="15"/>
  <c r="S71" i="15" s="1"/>
  <c r="B71" i="15" s="1"/>
  <c r="E109" i="15"/>
  <c r="S109" i="15" s="1"/>
  <c r="B109" i="15" s="1"/>
  <c r="Y24" i="15"/>
  <c r="AB24" i="15" s="1"/>
  <c r="U24" i="15" s="1"/>
  <c r="Y11" i="15"/>
  <c r="AB11" i="15" s="1"/>
  <c r="U11" i="15" s="1"/>
  <c r="E56" i="15"/>
  <c r="S56" i="15" s="1"/>
  <c r="B56" i="15" s="1"/>
  <c r="E52" i="15"/>
  <c r="S52" i="15" s="1"/>
  <c r="B52" i="15" s="1"/>
  <c r="R9" i="13"/>
  <c r="E99" i="15"/>
  <c r="S99" i="15" s="1"/>
  <c r="B99" i="15" s="1"/>
  <c r="Z11" i="98"/>
  <c r="E54" i="15"/>
  <c r="S54" i="15" s="1"/>
  <c r="B54" i="15" s="1"/>
  <c r="E41" i="15"/>
  <c r="S41" i="15" s="1"/>
  <c r="B41" i="15" s="1"/>
  <c r="E47" i="15"/>
  <c r="S47" i="15" s="1"/>
  <c r="B47" i="15" s="1"/>
  <c r="E94" i="15"/>
  <c r="S94" i="15" s="1"/>
  <c r="B94" i="15" s="1"/>
  <c r="Y30" i="15"/>
  <c r="AB30" i="15" s="1"/>
  <c r="U30" i="15" s="1"/>
  <c r="E19" i="98"/>
  <c r="S19" i="98" s="1"/>
  <c r="B19" i="98" s="1"/>
  <c r="X12" i="89"/>
  <c r="E78" i="15"/>
  <c r="S78" i="15" s="1"/>
  <c r="B78" i="15" s="1"/>
  <c r="E55" i="15"/>
  <c r="S55" i="15" s="1"/>
  <c r="B55" i="15" s="1"/>
  <c r="D12" i="89"/>
  <c r="R12" i="89" s="1"/>
  <c r="A12" i="89" s="1"/>
  <c r="E23" i="15"/>
  <c r="S23" i="15" s="1"/>
  <c r="B23" i="15" s="1"/>
  <c r="BX278" i="8"/>
  <c r="BW272" i="8" s="1"/>
  <c r="BW274" i="8" s="1"/>
  <c r="BU289" i="8"/>
  <c r="BV289" i="8"/>
  <c r="BW289" i="8"/>
  <c r="BW291" i="8"/>
  <c r="O11" i="111"/>
  <c r="J12" i="111"/>
  <c r="H11" i="111"/>
  <c r="H12" i="111"/>
  <c r="O12" i="111"/>
  <c r="M11" i="111"/>
  <c r="M12" i="111"/>
  <c r="J11" i="111"/>
  <c r="F11" i="111"/>
  <c r="F12" i="111"/>
  <c r="D4" i="89" l="1"/>
  <c r="S9" i="13"/>
  <c r="T9" i="13" s="1"/>
  <c r="R3" i="13" s="1"/>
  <c r="CF3" i="8"/>
  <c r="C10" i="15"/>
  <c r="E3" i="15" s="1"/>
  <c r="E4" i="109"/>
  <c r="BU68" i="8"/>
  <c r="BW63" i="8" s="1"/>
  <c r="BW62" i="8" s="1"/>
  <c r="BQ57" i="8" s="1"/>
  <c r="BQ58" i="8" s="1"/>
  <c r="E4" i="98"/>
  <c r="CF4" i="8"/>
  <c r="BW299" i="8"/>
  <c r="BW301" i="8"/>
  <c r="BV299" i="8"/>
  <c r="BU299" i="8"/>
  <c r="BX288" i="8"/>
  <c r="BW282" i="8" s="1"/>
  <c r="BW284" i="8" s="1"/>
  <c r="CF5" i="8" l="1"/>
  <c r="V10" i="15" s="1"/>
  <c r="X3" i="15" s="1"/>
  <c r="BX298" i="8"/>
  <c r="BW292" i="8" s="1"/>
  <c r="BW294" i="8" s="1"/>
  <c r="BU309" i="8"/>
  <c r="BV309" i="8"/>
  <c r="BW311" i="8"/>
  <c r="BW309" i="8"/>
  <c r="C11" i="41" l="1"/>
  <c r="E3" i="41" s="1"/>
  <c r="BW319" i="8"/>
  <c r="BW321" i="8"/>
  <c r="BV319" i="8"/>
  <c r="BU319" i="8"/>
  <c r="BX308" i="8"/>
  <c r="BW302" i="8" s="1"/>
  <c r="BW304" i="8" s="1"/>
  <c r="BX318" i="8" l="1"/>
  <c r="BW312" i="8" s="1"/>
  <c r="BW314" i="8" s="1"/>
  <c r="BW331" i="8"/>
  <c r="BU329" i="8"/>
  <c r="BV329" i="8"/>
  <c r="BX329" i="8" s="1"/>
  <c r="BW329" i="8"/>
  <c r="BX328" i="8" l="1"/>
  <c r="BW322" i="8" s="1"/>
  <c r="BW324" i="8" s="1"/>
  <c r="BV339" i="8"/>
  <c r="BW339" i="8"/>
  <c r="BW341" i="8"/>
  <c r="BU339" i="8"/>
  <c r="BX338" i="8" l="1"/>
  <c r="BW332" i="8" s="1"/>
  <c r="BW334" i="8" s="1"/>
  <c r="BW351" i="8"/>
  <c r="BU349" i="8"/>
  <c r="BV349" i="8"/>
  <c r="BW349" i="8"/>
  <c r="D12" i="15"/>
  <c r="BX348" i="8" l="1"/>
  <c r="BW342" i="8" s="1"/>
  <c r="BW344" i="8" s="1"/>
  <c r="BV359" i="8"/>
  <c r="BW359" i="8"/>
  <c r="BU359" i="8"/>
  <c r="BW361" i="8"/>
  <c r="I12" i="15"/>
  <c r="K12" i="15"/>
  <c r="N12" i="15"/>
  <c r="G12" i="15"/>
  <c r="P12" i="15"/>
  <c r="BX358" i="8" l="1"/>
  <c r="BW352" i="8" s="1"/>
  <c r="BW354" i="8" s="1"/>
  <c r="BW371" i="8"/>
  <c r="BU369" i="8"/>
  <c r="BV369" i="8"/>
  <c r="BW369" i="8"/>
  <c r="BX368" i="8" l="1"/>
  <c r="BW362" i="8" s="1"/>
  <c r="BW364" i="8" s="1"/>
  <c r="BV379" i="8"/>
  <c r="BW379" i="8"/>
  <c r="BU379" i="8"/>
  <c r="BW381" i="8"/>
  <c r="BX378" i="8" l="1"/>
  <c r="BW372" i="8" s="1"/>
  <c r="BW374" i="8" s="1"/>
  <c r="BW391" i="8"/>
  <c r="BU389" i="8"/>
  <c r="BW389" i="8"/>
  <c r="BV389" i="8"/>
  <c r="BX388" i="8" l="1"/>
  <c r="BW382" i="8" s="1"/>
  <c r="BW384" i="8" s="1"/>
  <c r="BV399" i="8"/>
  <c r="BW399" i="8"/>
  <c r="BW401" i="8"/>
  <c r="BU399" i="8"/>
  <c r="BX398" i="8" l="1"/>
  <c r="BW392" i="8" s="1"/>
  <c r="BW394" i="8" s="1"/>
  <c r="BW411" i="8"/>
  <c r="BU409" i="8"/>
  <c r="BV409" i="8"/>
  <c r="BW409" i="8"/>
  <c r="BX408" i="8" l="1"/>
  <c r="BW402" i="8" s="1"/>
  <c r="BW404" i="8" s="1"/>
  <c r="BV419" i="8"/>
  <c r="BX419" i="8" s="1"/>
  <c r="BW419" i="8"/>
  <c r="BW421" i="8"/>
  <c r="BU419" i="8"/>
  <c r="BW429" i="8" l="1"/>
  <c r="BW431" i="8"/>
  <c r="BU429" i="8"/>
  <c r="BV429" i="8"/>
  <c r="BX418" i="8"/>
  <c r="BW412" i="8" s="1"/>
  <c r="BW414" i="8" s="1"/>
  <c r="BX428" i="8" l="1"/>
  <c r="BW422" i="8" s="1"/>
  <c r="BW424" i="8" s="1"/>
  <c r="BU439" i="8"/>
  <c r="BV439" i="8"/>
  <c r="BW439" i="8"/>
  <c r="BW441" i="8"/>
  <c r="BW449" i="8" l="1"/>
  <c r="BW451" i="8"/>
  <c r="BU449" i="8"/>
  <c r="BV449" i="8"/>
  <c r="BX438" i="8"/>
  <c r="BW432" i="8" s="1"/>
  <c r="BW434" i="8" s="1"/>
  <c r="BX448" i="8" l="1"/>
  <c r="BW442" i="8" s="1"/>
  <c r="BW444" i="8" s="1"/>
  <c r="BU459" i="8"/>
  <c r="BV459" i="8"/>
  <c r="BW459" i="8"/>
  <c r="BW461" i="8"/>
  <c r="J91" i="15"/>
  <c r="H118" i="15"/>
  <c r="AI12" i="98"/>
  <c r="H24" i="15"/>
  <c r="F59" i="15"/>
  <c r="AS14" i="98"/>
  <c r="G13" i="89"/>
  <c r="AG17" i="89"/>
  <c r="BH18" i="98"/>
  <c r="H47" i="15"/>
  <c r="M105" i="15"/>
  <c r="AU11" i="111"/>
  <c r="H94" i="15"/>
  <c r="M120" i="15"/>
  <c r="AO11" i="111"/>
  <c r="H40" i="15"/>
  <c r="M11" i="98"/>
  <c r="AI12" i="89"/>
  <c r="AX10" i="98"/>
  <c r="AX11" i="89"/>
  <c r="F65" i="15"/>
  <c r="O44" i="15"/>
  <c r="E15" i="89"/>
  <c r="F25" i="15"/>
  <c r="K18" i="13"/>
  <c r="F10" i="98"/>
  <c r="O53" i="15"/>
  <c r="H76" i="15"/>
  <c r="H83" i="15"/>
  <c r="AX13" i="98"/>
  <c r="O94" i="15"/>
  <c r="O115" i="15"/>
  <c r="G20" i="89"/>
  <c r="AX12" i="89"/>
  <c r="L19" i="89"/>
  <c r="AI13" i="89"/>
  <c r="F114" i="15"/>
  <c r="AQ18" i="89"/>
  <c r="BX17" i="98"/>
  <c r="AK12" i="89"/>
  <c r="H37" i="15"/>
  <c r="O123" i="15"/>
  <c r="L18" i="89"/>
  <c r="Z42" i="15"/>
  <c r="H20" i="15"/>
  <c r="G15" i="89"/>
  <c r="F53" i="15"/>
  <c r="H15" i="15"/>
  <c r="H117" i="15"/>
  <c r="M58" i="15"/>
  <c r="H36" i="15"/>
  <c r="J88" i="15"/>
  <c r="BZ14" i="98"/>
  <c r="AQ11" i="89"/>
  <c r="J120" i="15"/>
  <c r="J64" i="15"/>
  <c r="M110" i="15"/>
  <c r="Z64" i="15"/>
  <c r="M49" i="15"/>
  <c r="H74" i="15"/>
  <c r="J44" i="15"/>
  <c r="J61" i="15"/>
  <c r="AA11" i="98"/>
  <c r="CA10" i="98"/>
  <c r="AI14" i="98"/>
  <c r="O68" i="15"/>
  <c r="F16" i="98"/>
  <c r="F13" i="13"/>
  <c r="AN10" i="98"/>
  <c r="AQ17" i="89"/>
  <c r="BR13" i="98"/>
  <c r="I17" i="13"/>
  <c r="E19" i="89"/>
  <c r="AE18" i="89"/>
  <c r="BY10" i="109"/>
  <c r="M83" i="15"/>
  <c r="F21" i="15"/>
  <c r="F100" i="15"/>
  <c r="O97" i="15"/>
  <c r="AS18" i="98"/>
  <c r="E13" i="89"/>
  <c r="M114" i="15"/>
  <c r="AK14" i="89"/>
  <c r="H42" i="15"/>
  <c r="AD17" i="98"/>
  <c r="AS10" i="98"/>
  <c r="O63" i="15"/>
  <c r="H29" i="15"/>
  <c r="BH11" i="98"/>
  <c r="Z44" i="15"/>
  <c r="F35" i="15"/>
  <c r="AG16" i="89"/>
  <c r="Z18" i="15"/>
  <c r="E20" i="89"/>
  <c r="H52" i="15"/>
  <c r="N13" i="111"/>
  <c r="M87" i="15"/>
  <c r="H46" i="15"/>
  <c r="F27" i="15"/>
  <c r="BC16" i="98"/>
  <c r="D10" i="15"/>
  <c r="Z19" i="15"/>
  <c r="J56" i="15"/>
  <c r="AA13" i="98"/>
  <c r="AC13" i="111"/>
  <c r="BZ11" i="109"/>
  <c r="I12" i="89"/>
  <c r="J40" i="15"/>
  <c r="Y13" i="111"/>
  <c r="H111" i="15"/>
  <c r="F94" i="15"/>
  <c r="Z58" i="15"/>
  <c r="AU13" i="89"/>
  <c r="J65" i="15"/>
  <c r="J11" i="98"/>
  <c r="D15" i="13"/>
  <c r="Y15" i="89"/>
  <c r="CB10" i="109"/>
  <c r="I13" i="13"/>
  <c r="H116" i="15"/>
  <c r="F89" i="15"/>
  <c r="H11" i="98"/>
  <c r="J80" i="15"/>
  <c r="M81" i="15"/>
  <c r="I15" i="89"/>
  <c r="AC12" i="89"/>
  <c r="BM10" i="98"/>
  <c r="BX16" i="98"/>
  <c r="H12" i="109"/>
  <c r="O55" i="15"/>
  <c r="J102" i="15"/>
  <c r="K12" i="13"/>
  <c r="O18" i="15"/>
  <c r="AM11" i="109"/>
  <c r="M122" i="15"/>
  <c r="O14" i="98"/>
  <c r="O29" i="15"/>
  <c r="H14" i="15"/>
  <c r="F76" i="15"/>
  <c r="AQ15" i="89"/>
  <c r="AN11" i="98"/>
  <c r="AU10" i="89"/>
  <c r="Z41" i="15"/>
  <c r="M68" i="15"/>
  <c r="F109" i="15"/>
  <c r="M18" i="98"/>
  <c r="M41" i="15"/>
  <c r="J36" i="15"/>
  <c r="J39" i="15"/>
  <c r="O15" i="15"/>
  <c r="H71" i="15"/>
  <c r="H12" i="98"/>
  <c r="AU16" i="89"/>
  <c r="F66" i="15"/>
  <c r="F55" i="15"/>
  <c r="H30" i="15"/>
  <c r="M12" i="109"/>
  <c r="H75" i="15"/>
  <c r="N11" i="89"/>
  <c r="AQ10" i="89"/>
  <c r="M10" i="109"/>
  <c r="AA11" i="111"/>
  <c r="F108" i="15"/>
  <c r="J16" i="15"/>
  <c r="M46" i="15"/>
  <c r="BH17" i="98"/>
  <c r="O114" i="15"/>
  <c r="N21" i="89"/>
  <c r="E21" i="89"/>
  <c r="F18" i="98"/>
  <c r="BR15" i="98"/>
  <c r="O93" i="15"/>
  <c r="AN14" i="98"/>
  <c r="F28" i="15"/>
  <c r="AA12" i="111"/>
  <c r="H33" i="15"/>
  <c r="M22" i="15"/>
  <c r="O32" i="15"/>
  <c r="Q103" i="15"/>
  <c r="H114" i="15"/>
  <c r="AI14" i="89"/>
  <c r="AX13" i="89"/>
  <c r="AS12" i="111"/>
  <c r="M38" i="15"/>
  <c r="J114" i="15"/>
  <c r="J11" i="109"/>
  <c r="O122" i="15"/>
  <c r="CC14" i="98"/>
  <c r="F62" i="15"/>
  <c r="O19" i="15"/>
  <c r="F46" i="15"/>
  <c r="M20" i="15"/>
  <c r="BC15" i="98"/>
  <c r="BR12" i="98"/>
  <c r="AK11" i="111"/>
  <c r="F12" i="13"/>
  <c r="M115" i="15"/>
  <c r="O38" i="15"/>
  <c r="F112" i="15"/>
  <c r="L11" i="89"/>
  <c r="J15" i="98"/>
  <c r="H48" i="15"/>
  <c r="L20" i="89"/>
  <c r="G15" i="111"/>
  <c r="Q122" i="15"/>
  <c r="I12" i="13"/>
  <c r="AI17" i="98"/>
  <c r="D14" i="13"/>
  <c r="AA18" i="98"/>
  <c r="J66" i="15"/>
  <c r="J106" i="15"/>
  <c r="F64" i="15"/>
  <c r="H57" i="15"/>
  <c r="F83" i="15"/>
  <c r="O15" i="98"/>
  <c r="O84" i="15"/>
  <c r="O89" i="15"/>
  <c r="F18" i="15"/>
  <c r="AI15" i="98"/>
  <c r="O13" i="15"/>
  <c r="BX12" i="98"/>
  <c r="BC12" i="98"/>
  <c r="O107" i="15"/>
  <c r="Q101" i="15"/>
  <c r="BG10" i="109"/>
  <c r="AI18" i="98"/>
  <c r="F73" i="15"/>
  <c r="H92" i="15"/>
  <c r="F88" i="15"/>
  <c r="M39" i="15"/>
  <c r="H102" i="15"/>
  <c r="AN17" i="98"/>
  <c r="V10" i="111"/>
  <c r="M64" i="15"/>
  <c r="M95" i="15"/>
  <c r="AS17" i="98"/>
  <c r="M63" i="15"/>
  <c r="O34" i="15"/>
  <c r="I14" i="13"/>
  <c r="N11" i="111"/>
  <c r="AE17" i="89"/>
  <c r="O59" i="15"/>
  <c r="M12" i="98"/>
  <c r="AA10" i="98"/>
  <c r="K16" i="13"/>
  <c r="J116" i="15"/>
  <c r="F69" i="15"/>
  <c r="J118" i="15"/>
  <c r="H95" i="15"/>
  <c r="J58" i="15"/>
  <c r="M121" i="15"/>
  <c r="M15" i="98"/>
  <c r="F47" i="15"/>
  <c r="H122" i="15"/>
  <c r="AA13" i="89"/>
  <c r="J15" i="15"/>
  <c r="G11" i="111"/>
  <c r="AV12" i="111"/>
  <c r="I17" i="89"/>
  <c r="M19" i="15"/>
  <c r="BH12" i="98"/>
  <c r="O47" i="15"/>
  <c r="BR11" i="98"/>
  <c r="K15" i="13"/>
  <c r="M30" i="15"/>
  <c r="AI11" i="89"/>
  <c r="G15" i="41"/>
  <c r="H107" i="15"/>
  <c r="AX12" i="111"/>
  <c r="L17" i="89"/>
  <c r="BC18" i="98"/>
  <c r="G18" i="89"/>
  <c r="F12" i="15"/>
  <c r="AX14" i="98"/>
  <c r="G13" i="41"/>
  <c r="H82" i="15"/>
  <c r="M103" i="15"/>
  <c r="L12" i="111"/>
  <c r="O71" i="15"/>
  <c r="E12" i="89"/>
  <c r="J90" i="15"/>
  <c r="H115" i="15"/>
  <c r="BW11" i="109"/>
  <c r="J82" i="15"/>
  <c r="BM13" i="98"/>
  <c r="F51" i="15"/>
  <c r="AM12" i="111"/>
  <c r="J42" i="15"/>
  <c r="H79" i="15"/>
  <c r="F39" i="15"/>
  <c r="K11" i="13"/>
  <c r="M123" i="15"/>
  <c r="D10" i="13"/>
  <c r="AQ11" i="111"/>
  <c r="H73" i="15"/>
  <c r="F54" i="15"/>
  <c r="Z33" i="15"/>
  <c r="J89" i="15"/>
  <c r="J14" i="15"/>
  <c r="O82" i="15"/>
  <c r="J32" i="15"/>
  <c r="BY11" i="109"/>
  <c r="J19" i="98"/>
  <c r="H50" i="15"/>
  <c r="O92" i="15"/>
  <c r="J67" i="15"/>
  <c r="AN13" i="98"/>
  <c r="K10" i="13"/>
  <c r="M104" i="15"/>
  <c r="F31" i="15"/>
  <c r="AA15" i="89"/>
  <c r="AE16" i="89"/>
  <c r="O17" i="98"/>
  <c r="AI15" i="89"/>
  <c r="F57" i="15"/>
  <c r="AK10" i="89"/>
  <c r="F63" i="15"/>
  <c r="M24" i="15"/>
  <c r="Z20" i="15"/>
  <c r="J41" i="15"/>
  <c r="J54" i="15"/>
  <c r="H26" i="15"/>
  <c r="O43" i="15"/>
  <c r="M16" i="98"/>
  <c r="J123" i="15"/>
  <c r="F91" i="15"/>
  <c r="F19" i="98"/>
  <c r="AQ12" i="111"/>
  <c r="J96" i="15"/>
  <c r="AH11" i="109"/>
  <c r="AC11" i="89"/>
  <c r="O23" i="15"/>
  <c r="O48" i="15"/>
  <c r="F92" i="15"/>
  <c r="N16" i="89"/>
  <c r="H104" i="15"/>
  <c r="O72" i="15"/>
  <c r="J76" i="15"/>
  <c r="AE15" i="89"/>
  <c r="M12" i="15"/>
  <c r="AA13" i="111"/>
  <c r="H32" i="15"/>
  <c r="F78" i="15"/>
  <c r="CA13" i="98"/>
  <c r="E14" i="111"/>
  <c r="Y17" i="89"/>
  <c r="BH10" i="98"/>
  <c r="G17" i="89"/>
  <c r="Q13" i="98"/>
  <c r="O37" i="15"/>
  <c r="J48" i="15"/>
  <c r="F61" i="15"/>
  <c r="AI13" i="111"/>
  <c r="H81" i="15"/>
  <c r="CA17" i="98"/>
  <c r="BH14" i="98"/>
  <c r="Z26" i="15"/>
  <c r="AC13" i="89"/>
  <c r="J13" i="15"/>
  <c r="F122" i="15"/>
  <c r="AG18" i="89"/>
  <c r="BZ12" i="98"/>
  <c r="AA18" i="89"/>
  <c r="I10" i="13"/>
  <c r="CA11" i="98"/>
  <c r="H106" i="15"/>
  <c r="BW10" i="109"/>
  <c r="J22" i="15"/>
  <c r="G12" i="89"/>
  <c r="F60" i="15"/>
  <c r="O52" i="15"/>
  <c r="H28" i="15"/>
  <c r="F45" i="15"/>
  <c r="AI11" i="98"/>
  <c r="K19" i="13"/>
  <c r="M21" i="15"/>
  <c r="BM15" i="98"/>
  <c r="F17" i="13"/>
  <c r="F50" i="15"/>
  <c r="J47" i="15"/>
  <c r="I14" i="89"/>
  <c r="Z50" i="15"/>
  <c r="J115" i="15"/>
  <c r="H10" i="109"/>
  <c r="BZ11" i="98"/>
  <c r="O95" i="15"/>
  <c r="F17" i="15"/>
  <c r="BC14" i="98"/>
  <c r="H68" i="15"/>
  <c r="AA12" i="98"/>
  <c r="J99" i="15"/>
  <c r="AS13" i="89"/>
  <c r="F19" i="13"/>
  <c r="M18" i="15"/>
  <c r="D9" i="13"/>
  <c r="D18" i="13"/>
  <c r="M93" i="15"/>
  <c r="AG11" i="89"/>
  <c r="L10" i="89"/>
  <c r="Q95" i="15"/>
  <c r="M37" i="15"/>
  <c r="M53" i="15"/>
  <c r="I19" i="13"/>
  <c r="O40" i="15"/>
  <c r="AX15" i="98"/>
  <c r="BZ17" i="98"/>
  <c r="H86" i="15"/>
  <c r="BZ13" i="98"/>
  <c r="O85" i="15"/>
  <c r="J105" i="15"/>
  <c r="J59" i="15"/>
  <c r="AW11" i="109"/>
  <c r="AI16" i="89"/>
  <c r="H113" i="15"/>
  <c r="F23" i="15"/>
  <c r="AI13" i="98"/>
  <c r="F117" i="15"/>
  <c r="O50" i="15"/>
  <c r="AU14" i="89"/>
  <c r="M112" i="15"/>
  <c r="M74" i="15"/>
  <c r="M32" i="15"/>
  <c r="AX17" i="98"/>
  <c r="AA11" i="109"/>
  <c r="I19" i="89"/>
  <c r="AK13" i="111"/>
  <c r="AM11" i="89"/>
  <c r="M80" i="15"/>
  <c r="H18" i="98"/>
  <c r="BQ10" i="109"/>
  <c r="M60" i="15"/>
  <c r="J28" i="15"/>
  <c r="J113" i="15"/>
  <c r="H109" i="15"/>
  <c r="N14" i="111"/>
  <c r="L15" i="111"/>
  <c r="E11" i="89"/>
  <c r="O105" i="15"/>
  <c r="F16" i="13"/>
  <c r="O88" i="15"/>
  <c r="F70" i="15"/>
  <c r="M33" i="15"/>
  <c r="O27" i="15"/>
  <c r="AO12" i="111"/>
  <c r="F98" i="15"/>
  <c r="O24" i="15"/>
  <c r="H120" i="15"/>
  <c r="AM10" i="109"/>
  <c r="F110" i="15"/>
  <c r="AA12" i="89"/>
  <c r="F72" i="15"/>
  <c r="F105" i="15"/>
  <c r="AD13" i="98"/>
  <c r="F33" i="15"/>
  <c r="J38" i="15"/>
  <c r="AO13" i="111"/>
  <c r="J23" i="15"/>
  <c r="BM11" i="98"/>
  <c r="O12" i="15"/>
  <c r="AA15" i="98"/>
  <c r="O10" i="109"/>
  <c r="AX18" i="98"/>
  <c r="Y11" i="89"/>
  <c r="BX14" i="98"/>
  <c r="CC10" i="98"/>
  <c r="BZ16" i="98"/>
  <c r="F79" i="15"/>
  <c r="AS12" i="98"/>
  <c r="M34" i="15"/>
  <c r="M13" i="15"/>
  <c r="O90" i="15"/>
  <c r="J107" i="15"/>
  <c r="O121" i="15"/>
  <c r="Z48" i="15"/>
  <c r="BX13" i="98"/>
  <c r="AV12" i="89"/>
  <c r="Z14" i="15"/>
  <c r="O118" i="15"/>
  <c r="M11" i="109"/>
  <c r="Z22" i="15"/>
  <c r="F80" i="15"/>
  <c r="M77" i="15"/>
  <c r="M65" i="15"/>
  <c r="AC10" i="89"/>
  <c r="J93" i="15"/>
  <c r="AC16" i="89"/>
  <c r="J84" i="15"/>
  <c r="AE13" i="89"/>
  <c r="BC13" i="98"/>
  <c r="Y18" i="89"/>
  <c r="M26" i="15"/>
  <c r="BM18" i="98"/>
  <c r="J73" i="15"/>
  <c r="H53" i="15"/>
  <c r="Z62" i="15"/>
  <c r="AQ14" i="89"/>
  <c r="BX10" i="98"/>
  <c r="J16" i="98"/>
  <c r="O81" i="15"/>
  <c r="G16" i="89"/>
  <c r="H88" i="15"/>
  <c r="AS15" i="98"/>
  <c r="H91" i="15"/>
  <c r="J100" i="15"/>
  <c r="M82" i="15"/>
  <c r="F32" i="15"/>
  <c r="AI16" i="98"/>
  <c r="F13" i="15"/>
  <c r="Z16" i="15"/>
  <c r="J71" i="15"/>
  <c r="H31" i="15"/>
  <c r="O12" i="98"/>
  <c r="M79" i="15"/>
  <c r="J94" i="15"/>
  <c r="H78" i="15"/>
  <c r="L14" i="111"/>
  <c r="AU13" i="111"/>
  <c r="H49" i="15"/>
  <c r="AC18" i="89"/>
  <c r="AD15" i="98"/>
  <c r="O13" i="98"/>
  <c r="CA14" i="98"/>
  <c r="I20" i="89"/>
  <c r="CA16" i="98"/>
  <c r="F13" i="98"/>
  <c r="M101" i="15"/>
  <c r="F111" i="15"/>
  <c r="M99" i="15"/>
  <c r="D12" i="13"/>
  <c r="J92" i="15"/>
  <c r="J104" i="15"/>
  <c r="M51" i="15"/>
  <c r="H54" i="15"/>
  <c r="M62" i="15"/>
  <c r="H69" i="15"/>
  <c r="G11" i="89"/>
  <c r="L12" i="15"/>
  <c r="Q10" i="98"/>
  <c r="J87" i="15"/>
  <c r="H60" i="15"/>
  <c r="Y14" i="89"/>
  <c r="AI17" i="89"/>
  <c r="H66" i="15"/>
  <c r="O28" i="15"/>
  <c r="H121" i="15"/>
  <c r="J63" i="15"/>
  <c r="H80" i="15"/>
  <c r="F34" i="15"/>
  <c r="O111" i="15"/>
  <c r="F103" i="15"/>
  <c r="J25" i="15"/>
  <c r="AK13" i="89"/>
  <c r="M78" i="15"/>
  <c r="O54" i="15"/>
  <c r="I16" i="89"/>
  <c r="AD10" i="98"/>
  <c r="AX15" i="89"/>
  <c r="AU11" i="89"/>
  <c r="AU15" i="89"/>
  <c r="H61" i="15"/>
  <c r="J12" i="109"/>
  <c r="AQ16" i="89"/>
  <c r="Z54" i="15"/>
  <c r="AC15" i="89"/>
  <c r="Z21" i="15"/>
  <c r="M117" i="15"/>
  <c r="O64" i="15"/>
  <c r="J12" i="98"/>
  <c r="O10" i="98"/>
  <c r="F48" i="15"/>
  <c r="F15" i="15"/>
  <c r="BM14" i="98"/>
  <c r="CC16" i="98"/>
  <c r="F40" i="15"/>
  <c r="F16" i="15"/>
  <c r="F41" i="15"/>
  <c r="Z30" i="15"/>
  <c r="AQ12" i="89"/>
  <c r="AI12" i="111"/>
  <c r="H123" i="15"/>
  <c r="J46" i="15"/>
  <c r="AX13" i="111"/>
  <c r="O96" i="15"/>
  <c r="N12" i="111"/>
  <c r="J26" i="15"/>
  <c r="AV14" i="89"/>
  <c r="AU17" i="89"/>
  <c r="O20" i="15"/>
  <c r="AS16" i="89"/>
  <c r="J37" i="15"/>
  <c r="H77" i="15"/>
  <c r="M100" i="15"/>
  <c r="M43" i="15"/>
  <c r="C10" i="111"/>
  <c r="H105" i="15"/>
  <c r="AV15" i="89"/>
  <c r="F15" i="98"/>
  <c r="BH16" i="98"/>
  <c r="F119" i="15"/>
  <c r="H65" i="15"/>
  <c r="AS13" i="111"/>
  <c r="M73" i="15"/>
  <c r="D11" i="13"/>
  <c r="Z60" i="15"/>
  <c r="H119" i="15"/>
  <c r="AU18" i="89"/>
  <c r="J20" i="15"/>
  <c r="F116" i="15"/>
  <c r="H99" i="15"/>
  <c r="M113" i="15"/>
  <c r="Z34" i="15"/>
  <c r="AO17" i="89"/>
  <c r="J98" i="15"/>
  <c r="AA14" i="98"/>
  <c r="I21" i="89"/>
  <c r="BR17" i="98"/>
  <c r="AD18" i="98"/>
  <c r="J17" i="98"/>
  <c r="AG10" i="89"/>
  <c r="H12" i="15"/>
  <c r="AE10" i="89"/>
  <c r="O76" i="15"/>
  <c r="AV10" i="89"/>
  <c r="N20" i="89"/>
  <c r="M88" i="15"/>
  <c r="AQ13" i="89"/>
  <c r="H18" i="15"/>
  <c r="BC11" i="98"/>
  <c r="J109" i="15"/>
  <c r="AA10" i="89"/>
  <c r="F101" i="15"/>
  <c r="F15" i="13"/>
  <c r="D11" i="41"/>
  <c r="AM18" i="89"/>
  <c r="BR16" i="98"/>
  <c r="H67" i="15"/>
  <c r="M72" i="15"/>
  <c r="AG13" i="111"/>
  <c r="M76" i="15"/>
  <c r="J77" i="15"/>
  <c r="AV13" i="111"/>
  <c r="BZ10" i="109"/>
  <c r="AC14" i="89"/>
  <c r="J51" i="15"/>
  <c r="M50" i="15"/>
  <c r="J60" i="15"/>
  <c r="J85" i="15"/>
  <c r="K9" i="13"/>
  <c r="O35" i="15"/>
  <c r="Y12" i="89"/>
  <c r="AI10" i="89"/>
  <c r="M27" i="15"/>
  <c r="J19" i="15"/>
  <c r="H23" i="15"/>
  <c r="M85" i="15"/>
  <c r="O117" i="15"/>
  <c r="I11" i="13"/>
  <c r="AX16" i="98"/>
  <c r="N18" i="89"/>
  <c r="O119" i="15"/>
  <c r="AI11" i="111"/>
  <c r="H85" i="15"/>
  <c r="E10" i="89"/>
  <c r="J117" i="15"/>
  <c r="AG14" i="89"/>
  <c r="J70" i="15"/>
  <c r="I11" i="89"/>
  <c r="G13" i="111"/>
  <c r="H108" i="15"/>
  <c r="F95" i="15"/>
  <c r="O11" i="98"/>
  <c r="BC17" i="98"/>
  <c r="J34" i="15"/>
  <c r="F30" i="15"/>
  <c r="AM12" i="89"/>
  <c r="O69" i="15"/>
  <c r="K12" i="111"/>
  <c r="AM10" i="89"/>
  <c r="BX15" i="98"/>
  <c r="O77" i="15"/>
  <c r="J74" i="15"/>
  <c r="F93" i="15"/>
  <c r="I18" i="89"/>
  <c r="O16" i="98"/>
  <c r="AH10" i="109"/>
  <c r="O98" i="15"/>
  <c r="J112" i="15"/>
  <c r="AA16" i="98"/>
  <c r="F42" i="15"/>
  <c r="H25" i="15"/>
  <c r="O67" i="15"/>
  <c r="O80" i="15"/>
  <c r="O70" i="15"/>
  <c r="O51" i="15"/>
  <c r="F118" i="15"/>
  <c r="O42" i="15"/>
  <c r="BZ18" i="98"/>
  <c r="H87" i="15"/>
  <c r="F56" i="15"/>
  <c r="AO15" i="89"/>
  <c r="AO12" i="89"/>
  <c r="BH13" i="98"/>
  <c r="L13" i="111"/>
  <c r="J29" i="15"/>
  <c r="M55" i="15"/>
  <c r="O39" i="15"/>
  <c r="AM13" i="111"/>
  <c r="O19" i="98"/>
  <c r="I10" i="89"/>
  <c r="F11" i="13"/>
  <c r="AQ13" i="111"/>
  <c r="F67" i="15"/>
  <c r="J21" i="15"/>
  <c r="BR10" i="98"/>
  <c r="CC17" i="98"/>
  <c r="AN15" i="98"/>
  <c r="W10" i="15"/>
  <c r="Y13" i="89"/>
  <c r="J43" i="15"/>
  <c r="M116" i="15"/>
  <c r="H72" i="15"/>
  <c r="M54" i="15"/>
  <c r="AO11" i="89"/>
  <c r="M23" i="15"/>
  <c r="E13" i="111"/>
  <c r="Y11" i="111"/>
  <c r="G12" i="111"/>
  <c r="F18" i="13"/>
  <c r="Y10" i="89"/>
  <c r="M40" i="15"/>
  <c r="AN18" i="98"/>
  <c r="H96" i="15"/>
  <c r="AO16" i="89"/>
  <c r="J12" i="15"/>
  <c r="F12" i="98"/>
  <c r="J111" i="15"/>
  <c r="O18" i="98"/>
  <c r="AU12" i="111"/>
  <c r="F19" i="15"/>
  <c r="AN12" i="98"/>
  <c r="F113" i="15"/>
  <c r="F9" i="13"/>
  <c r="AS12" i="89"/>
  <c r="AE14" i="89"/>
  <c r="AD12" i="98"/>
  <c r="AK11" i="89"/>
  <c r="Y16" i="89"/>
  <c r="J35" i="15"/>
  <c r="CB11" i="109"/>
  <c r="J68" i="15"/>
  <c r="BM17" i="98"/>
  <c r="J86" i="15"/>
  <c r="AE12" i="111"/>
  <c r="AS11" i="89"/>
  <c r="F38" i="15"/>
  <c r="J69" i="15"/>
  <c r="H56" i="15"/>
  <c r="BR18" i="98"/>
  <c r="F121" i="15"/>
  <c r="BZ10" i="98"/>
  <c r="E15" i="111"/>
  <c r="M14" i="98"/>
  <c r="H89" i="15"/>
  <c r="I15" i="13"/>
  <c r="J62" i="15"/>
  <c r="AC11" i="111"/>
  <c r="H21" i="15"/>
  <c r="AI10" i="98"/>
  <c r="AM13" i="89"/>
  <c r="BZ15" i="98"/>
  <c r="M59" i="15"/>
  <c r="N13" i="89"/>
  <c r="L14" i="89"/>
  <c r="F22" i="15"/>
  <c r="H17" i="15"/>
  <c r="H13" i="15"/>
  <c r="F52" i="15"/>
  <c r="AM16" i="89"/>
  <c r="F115" i="15"/>
  <c r="H110" i="15"/>
  <c r="H34" i="15"/>
  <c r="AG13" i="89"/>
  <c r="J18" i="98"/>
  <c r="J97" i="15"/>
  <c r="D11" i="15"/>
  <c r="H101" i="15"/>
  <c r="AE13" i="111"/>
  <c r="Y12" i="111"/>
  <c r="M108" i="15"/>
  <c r="F14" i="98"/>
  <c r="F11" i="98"/>
  <c r="Z46" i="15"/>
  <c r="CC11" i="98"/>
  <c r="M31" i="15"/>
  <c r="H19" i="98"/>
  <c r="F14" i="15"/>
  <c r="M106" i="15"/>
  <c r="O31" i="15"/>
  <c r="F85" i="15"/>
  <c r="BM16" i="98"/>
  <c r="M61" i="15"/>
  <c r="F107" i="15"/>
  <c r="BQ11" i="109"/>
  <c r="F104" i="15"/>
  <c r="J83" i="15"/>
  <c r="F44" i="15"/>
  <c r="M69" i="15"/>
  <c r="J55" i="15"/>
  <c r="K14" i="13"/>
  <c r="M17" i="98"/>
  <c r="F71" i="15"/>
  <c r="AM15" i="89"/>
  <c r="K17" i="13"/>
  <c r="M111" i="15"/>
  <c r="AS10" i="89"/>
  <c r="AS14" i="89"/>
  <c r="J30" i="15"/>
  <c r="M119" i="15"/>
  <c r="M36" i="15"/>
  <c r="O101" i="15"/>
  <c r="H11" i="109"/>
  <c r="O103" i="15"/>
  <c r="M98" i="15"/>
  <c r="AV17" i="89"/>
  <c r="M96" i="15"/>
  <c r="H90" i="15"/>
  <c r="AG12" i="111"/>
  <c r="H22" i="15"/>
  <c r="F11" i="109"/>
  <c r="F29" i="15"/>
  <c r="AA17" i="89"/>
  <c r="L11" i="111"/>
  <c r="H64" i="15"/>
  <c r="AX10" i="89"/>
  <c r="J119" i="15"/>
  <c r="BG11" i="109"/>
  <c r="E14" i="89"/>
  <c r="J17" i="15"/>
  <c r="F106" i="15"/>
  <c r="AD11" i="98"/>
  <c r="J10" i="109"/>
  <c r="J75" i="15"/>
  <c r="H13" i="98"/>
  <c r="AM11" i="111"/>
  <c r="AO13" i="89"/>
  <c r="I18" i="13"/>
  <c r="H14" i="98"/>
  <c r="M13" i="98"/>
  <c r="H70" i="15"/>
  <c r="BX18" i="98"/>
  <c r="H10" i="98"/>
  <c r="D13" i="13"/>
  <c r="AU12" i="89"/>
  <c r="F87" i="15"/>
  <c r="J45" i="15"/>
  <c r="BM12" i="98"/>
  <c r="J24" i="15"/>
  <c r="H100" i="15"/>
  <c r="G14" i="89"/>
  <c r="M57" i="15"/>
  <c r="F24" i="15"/>
  <c r="AW10" i="109"/>
  <c r="AK16" i="89"/>
  <c r="F96" i="15"/>
  <c r="O36" i="15"/>
  <c r="O108" i="15"/>
  <c r="J53" i="15"/>
  <c r="J33" i="15"/>
  <c r="M102" i="15"/>
  <c r="H62" i="15"/>
  <c r="J18" i="15"/>
  <c r="M89" i="15"/>
  <c r="H55" i="15"/>
  <c r="Z24" i="15"/>
  <c r="F26" i="15"/>
  <c r="M86" i="15"/>
  <c r="O49" i="15"/>
  <c r="M107" i="15"/>
  <c r="CC12" i="98"/>
  <c r="H41" i="15"/>
  <c r="F20" i="15"/>
  <c r="F81" i="15"/>
  <c r="AM17" i="89"/>
  <c r="N10" i="89"/>
  <c r="AV13" i="89"/>
  <c r="AV16" i="89"/>
  <c r="H45" i="15"/>
  <c r="AS15" i="89"/>
  <c r="F68" i="15"/>
  <c r="E18" i="89"/>
  <c r="AS13" i="98"/>
  <c r="H38" i="15"/>
  <c r="AG12" i="89"/>
  <c r="J57" i="15"/>
  <c r="K13" i="13"/>
  <c r="J78" i="15"/>
  <c r="H112" i="15"/>
  <c r="J52" i="15"/>
  <c r="F86" i="15"/>
  <c r="BH15" i="98"/>
  <c r="F14" i="13"/>
  <c r="AS11" i="98"/>
  <c r="F49" i="15"/>
  <c r="AX17" i="89"/>
  <c r="AX11" i="111"/>
  <c r="AD14" i="98"/>
  <c r="F82" i="15"/>
  <c r="O56" i="15"/>
  <c r="J49" i="15"/>
  <c r="AO18" i="89"/>
  <c r="H39" i="15"/>
  <c r="M29" i="15"/>
  <c r="J27" i="15"/>
  <c r="AV11" i="111"/>
  <c r="J14" i="98"/>
  <c r="N12" i="89"/>
  <c r="F99" i="15"/>
  <c r="M75" i="15"/>
  <c r="F12" i="109"/>
  <c r="N14" i="89"/>
  <c r="G10" i="89"/>
  <c r="M97" i="15"/>
  <c r="BX11" i="98"/>
  <c r="BL10" i="109"/>
  <c r="H98" i="15"/>
  <c r="J110" i="15"/>
  <c r="J108" i="15"/>
  <c r="M91" i="15"/>
  <c r="AX12" i="98"/>
  <c r="J81" i="15"/>
  <c r="J79" i="15"/>
  <c r="F43" i="15"/>
  <c r="AO14" i="89"/>
  <c r="M17" i="15"/>
  <c r="F123" i="15"/>
  <c r="F58" i="15"/>
  <c r="N15" i="89"/>
  <c r="CC13" i="98"/>
  <c r="L12" i="89"/>
  <c r="AK15" i="89"/>
  <c r="F75" i="15"/>
  <c r="M25" i="15"/>
  <c r="G21" i="89"/>
  <c r="G19" i="89"/>
  <c r="AC17" i="89"/>
  <c r="O57" i="15"/>
  <c r="M109" i="15"/>
  <c r="I13" i="89"/>
  <c r="O45" i="15"/>
  <c r="BB11" i="109"/>
  <c r="O73" i="15"/>
  <c r="AX14" i="89"/>
  <c r="AA17" i="98"/>
  <c r="J50" i="15"/>
  <c r="E11" i="111"/>
  <c r="AR10" i="109"/>
  <c r="D16" i="13"/>
  <c r="M14" i="15"/>
  <c r="G14" i="41"/>
  <c r="L21" i="89"/>
  <c r="H17" i="98"/>
  <c r="AX16" i="89"/>
  <c r="O74" i="15"/>
  <c r="BB10" i="109"/>
  <c r="N15" i="111"/>
  <c r="M45" i="15"/>
  <c r="BR14" i="98"/>
  <c r="AC10" i="109"/>
  <c r="AS18" i="89"/>
  <c r="F10" i="13"/>
  <c r="F102" i="15"/>
  <c r="H58" i="15"/>
  <c r="F10" i="109"/>
  <c r="F84" i="15"/>
  <c r="AD16" i="98"/>
  <c r="Z56" i="15"/>
  <c r="L16" i="89"/>
  <c r="CA12" i="98"/>
  <c r="AI18" i="89"/>
  <c r="AX11" i="98"/>
  <c r="M66" i="15"/>
  <c r="H84" i="15"/>
  <c r="F37" i="15"/>
  <c r="AC11" i="109"/>
  <c r="F36" i="15"/>
  <c r="AG11" i="111"/>
  <c r="M10" i="98"/>
  <c r="J121" i="15"/>
  <c r="K11" i="111"/>
  <c r="H103" i="15"/>
  <c r="J31" i="15"/>
  <c r="O75" i="15"/>
  <c r="AK17" i="89"/>
  <c r="F120" i="15"/>
  <c r="E16" i="89"/>
  <c r="AO10" i="89"/>
  <c r="M35" i="15"/>
  <c r="AK18" i="89"/>
  <c r="AE11" i="89"/>
  <c r="AC12" i="111"/>
  <c r="H44" i="15"/>
  <c r="O78" i="15"/>
  <c r="M16" i="15"/>
  <c r="BL11" i="109"/>
  <c r="H97" i="15"/>
  <c r="N17" i="89"/>
  <c r="D17" i="13"/>
  <c r="AA14" i="89"/>
  <c r="O16" i="15"/>
  <c r="AK12" i="111"/>
  <c r="Z38" i="15"/>
  <c r="M84" i="15"/>
  <c r="M67" i="15"/>
  <c r="J72" i="15"/>
  <c r="AR11" i="109"/>
  <c r="AA10" i="109"/>
  <c r="AV11" i="89"/>
  <c r="M42" i="15"/>
  <c r="AE11" i="111"/>
  <c r="O60" i="15"/>
  <c r="AN16" i="98"/>
  <c r="M90" i="15"/>
  <c r="AS11" i="111"/>
  <c r="D19" i="13"/>
  <c r="H16" i="15"/>
  <c r="AS17" i="89"/>
  <c r="M48" i="15"/>
  <c r="E12" i="111"/>
  <c r="BC10" i="98"/>
  <c r="R72" i="15" l="1"/>
  <c r="AY14" i="89"/>
  <c r="T14" i="89" s="1"/>
  <c r="R31" i="15"/>
  <c r="D11" i="111"/>
  <c r="R11" i="111" s="1"/>
  <c r="R121" i="15"/>
  <c r="CC11" i="109"/>
  <c r="V11" i="109" s="1"/>
  <c r="CD16" i="98"/>
  <c r="V16" i="98" s="1"/>
  <c r="N10" i="13"/>
  <c r="CC10" i="109"/>
  <c r="V10" i="109" s="1"/>
  <c r="R50" i="15"/>
  <c r="Q13" i="89"/>
  <c r="R79" i="15"/>
  <c r="R81" i="15"/>
  <c r="R108" i="15"/>
  <c r="R110" i="15"/>
  <c r="R14" i="98"/>
  <c r="R27" i="15"/>
  <c r="R49" i="15"/>
  <c r="CD14" i="98"/>
  <c r="V14" i="98" s="1"/>
  <c r="N14" i="13"/>
  <c r="R52" i="15"/>
  <c r="R78" i="15"/>
  <c r="R57" i="15"/>
  <c r="R18" i="15"/>
  <c r="R33" i="15"/>
  <c r="R53" i="15"/>
  <c r="R24" i="15"/>
  <c r="R45" i="15"/>
  <c r="R75" i="15"/>
  <c r="R10" i="109"/>
  <c r="CD11" i="98"/>
  <c r="V11" i="98" s="1"/>
  <c r="R17" i="15"/>
  <c r="R119" i="15"/>
  <c r="AY17" i="89"/>
  <c r="T17" i="89" s="1"/>
  <c r="R30" i="15"/>
  <c r="R55" i="15"/>
  <c r="R83" i="15"/>
  <c r="R97" i="15"/>
  <c r="R18" i="98"/>
  <c r="R62" i="15"/>
  <c r="R69" i="15"/>
  <c r="R86" i="15"/>
  <c r="R68" i="15"/>
  <c r="R35" i="15"/>
  <c r="CD12" i="98"/>
  <c r="V12" i="98" s="1"/>
  <c r="N9" i="13"/>
  <c r="R111" i="15"/>
  <c r="R12" i="15"/>
  <c r="N18" i="13"/>
  <c r="R43" i="15"/>
  <c r="R21" i="15"/>
  <c r="N11" i="13"/>
  <c r="Q10" i="89"/>
  <c r="R29" i="15"/>
  <c r="R112" i="15"/>
  <c r="Q18" i="89"/>
  <c r="R74" i="15"/>
  <c r="D12" i="111"/>
  <c r="R12" i="111" s="1"/>
  <c r="A12" i="111" s="1"/>
  <c r="R34" i="15"/>
  <c r="Q11" i="89"/>
  <c r="R70" i="15"/>
  <c r="R117" i="15"/>
  <c r="R19" i="15"/>
  <c r="R85" i="15"/>
  <c r="R60" i="15"/>
  <c r="R51" i="15"/>
  <c r="R77" i="15"/>
  <c r="N15" i="13"/>
  <c r="AY10" i="89"/>
  <c r="T10" i="89" s="1"/>
  <c r="R109" i="15"/>
  <c r="R17" i="98"/>
  <c r="CD18" i="98"/>
  <c r="V18" i="98" s="1"/>
  <c r="Q21" i="89"/>
  <c r="R98" i="15"/>
  <c r="R20" i="15"/>
  <c r="R37" i="15"/>
  <c r="R26" i="15"/>
  <c r="R46" i="15"/>
  <c r="R12" i="98"/>
  <c r="R12" i="109"/>
  <c r="AH10" i="98"/>
  <c r="BW10" i="98" s="1"/>
  <c r="CD10" i="98"/>
  <c r="V10" i="98" s="1"/>
  <c r="Q16" i="89"/>
  <c r="R25" i="15"/>
  <c r="R63" i="15"/>
  <c r="R87" i="15"/>
  <c r="E12" i="15"/>
  <c r="S12" i="15" s="1"/>
  <c r="B12" i="15" s="1"/>
  <c r="R104" i="15"/>
  <c r="R92" i="15"/>
  <c r="Q20" i="89"/>
  <c r="CD15" i="98"/>
  <c r="V15" i="98" s="1"/>
  <c r="R94" i="15"/>
  <c r="R71" i="15"/>
  <c r="R100" i="15"/>
  <c r="R16" i="98"/>
  <c r="R73" i="15"/>
  <c r="R84" i="15"/>
  <c r="AY16" i="89"/>
  <c r="T16" i="89" s="1"/>
  <c r="R93" i="15"/>
  <c r="R107" i="15"/>
  <c r="R23" i="15"/>
  <c r="R38" i="15"/>
  <c r="CD13" i="98"/>
  <c r="V13" i="98" s="1"/>
  <c r="AY12" i="89"/>
  <c r="T12" i="89" s="1"/>
  <c r="N16" i="13"/>
  <c r="R113" i="15"/>
  <c r="R28" i="15"/>
  <c r="Q19" i="89"/>
  <c r="R59" i="15"/>
  <c r="R105" i="15"/>
  <c r="N19" i="13"/>
  <c r="R99" i="15"/>
  <c r="R115" i="15"/>
  <c r="Q14" i="89"/>
  <c r="R47" i="15"/>
  <c r="N17" i="13"/>
  <c r="R22" i="15"/>
  <c r="AY18" i="89"/>
  <c r="T18" i="89" s="1"/>
  <c r="R13" i="15"/>
  <c r="R48" i="15"/>
  <c r="AY13" i="111"/>
  <c r="T13" i="111" s="1"/>
  <c r="R76" i="15"/>
  <c r="AY11" i="89"/>
  <c r="T11" i="89" s="1"/>
  <c r="R96" i="15"/>
  <c r="R123" i="15"/>
  <c r="R54" i="15"/>
  <c r="R41" i="15"/>
  <c r="AY15" i="89"/>
  <c r="T15" i="89" s="1"/>
  <c r="R67" i="15"/>
  <c r="R19" i="98"/>
  <c r="R32" i="15"/>
  <c r="R14" i="15"/>
  <c r="R89" i="15"/>
  <c r="R42" i="15"/>
  <c r="R82" i="15"/>
  <c r="R90" i="15"/>
  <c r="Q17" i="89"/>
  <c r="R15" i="15"/>
  <c r="AY13" i="89"/>
  <c r="T13" i="89" s="1"/>
  <c r="R58" i="15"/>
  <c r="R118" i="15"/>
  <c r="R116" i="15"/>
  <c r="R106" i="15"/>
  <c r="R66" i="15"/>
  <c r="R15" i="98"/>
  <c r="N12" i="13"/>
  <c r="R11" i="109"/>
  <c r="R114" i="15"/>
  <c r="AY12" i="111"/>
  <c r="T12" i="111" s="1"/>
  <c r="R16" i="15"/>
  <c r="AY11" i="111"/>
  <c r="T11" i="111" s="1"/>
  <c r="R39" i="15"/>
  <c r="R36" i="15"/>
  <c r="R102" i="15"/>
  <c r="Q15" i="89"/>
  <c r="R80" i="15"/>
  <c r="R11" i="98"/>
  <c r="R65" i="15"/>
  <c r="R40" i="15"/>
  <c r="Q12" i="89"/>
  <c r="R56" i="15"/>
  <c r="CD17" i="98"/>
  <c r="V17" i="98" s="1"/>
  <c r="N13" i="13"/>
  <c r="R61" i="15"/>
  <c r="R44" i="15"/>
  <c r="R64" i="15"/>
  <c r="R120" i="15"/>
  <c r="R88" i="15"/>
  <c r="R91" i="15"/>
  <c r="BW469" i="8"/>
  <c r="BW471" i="8"/>
  <c r="BU469" i="8"/>
  <c r="BV469" i="8"/>
  <c r="BX458" i="8"/>
  <c r="BW452" i="8" s="1"/>
  <c r="BW454" i="8" s="1"/>
  <c r="G11" i="15"/>
  <c r="N11" i="15"/>
  <c r="P11" i="15"/>
  <c r="H11" i="41"/>
  <c r="J10" i="111"/>
  <c r="AL10" i="111"/>
  <c r="AJ10" i="111"/>
  <c r="AB10" i="111"/>
  <c r="I11" i="15"/>
  <c r="F10" i="111"/>
  <c r="M10" i="111"/>
  <c r="AP10" i="111"/>
  <c r="AN10" i="111"/>
  <c r="AF10" i="111"/>
  <c r="N10" i="15"/>
  <c r="Z10" i="111"/>
  <c r="AW10" i="111"/>
  <c r="AH10" i="111"/>
  <c r="P10" i="15"/>
  <c r="K11" i="15"/>
  <c r="AA10" i="15"/>
  <c r="H10" i="111"/>
  <c r="AT10" i="111"/>
  <c r="AR10" i="111"/>
  <c r="AD10" i="111"/>
  <c r="I10" i="15"/>
  <c r="O10" i="111"/>
  <c r="K10" i="15"/>
  <c r="G10" i="15"/>
  <c r="Q72" i="15"/>
  <c r="Q121" i="15"/>
  <c r="Q81" i="15"/>
  <c r="Q27" i="15"/>
  <c r="Q52" i="15"/>
  <c r="Q33" i="15"/>
  <c r="Q75" i="15"/>
  <c r="Q119" i="15"/>
  <c r="Q83" i="15"/>
  <c r="J11" i="15"/>
  <c r="Q18" i="98"/>
  <c r="Q68" i="15"/>
  <c r="Q111" i="15"/>
  <c r="X10" i="15"/>
  <c r="P10" i="89"/>
  <c r="Q74" i="15"/>
  <c r="Q70" i="15"/>
  <c r="Q60" i="15"/>
  <c r="E11" i="41"/>
  <c r="Q17" i="98"/>
  <c r="Q20" i="15"/>
  <c r="Q26" i="15"/>
  <c r="Q63" i="15"/>
  <c r="Q92" i="15"/>
  <c r="Q71" i="15"/>
  <c r="Q84" i="15"/>
  <c r="Q23" i="15"/>
  <c r="M16" i="13"/>
  <c r="Q59" i="15"/>
  <c r="Q115" i="15"/>
  <c r="Q22" i="15"/>
  <c r="Q123" i="15"/>
  <c r="Q67" i="15"/>
  <c r="Q89" i="15"/>
  <c r="P17" i="89"/>
  <c r="Q118" i="15"/>
  <c r="Y10" i="111"/>
  <c r="AQ10" i="111"/>
  <c r="AC10" i="111"/>
  <c r="Q66" i="15"/>
  <c r="Q114" i="15"/>
  <c r="Q39" i="15"/>
  <c r="Q80" i="15"/>
  <c r="P12" i="89"/>
  <c r="H10" i="15"/>
  <c r="Q64" i="15"/>
  <c r="Q36" i="15"/>
  <c r="Q56" i="15"/>
  <c r="M13" i="13"/>
  <c r="Q120" i="15"/>
  <c r="Q16" i="15"/>
  <c r="O10" i="15"/>
  <c r="Q50" i="15"/>
  <c r="Q108" i="15"/>
  <c r="Q49" i="15"/>
  <c r="Q78" i="15"/>
  <c r="Q53" i="15"/>
  <c r="Q10" i="109"/>
  <c r="M11" i="15"/>
  <c r="F11" i="15"/>
  <c r="Q62" i="15"/>
  <c r="Q35" i="15"/>
  <c r="Q12" i="15"/>
  <c r="Z10" i="15"/>
  <c r="Q29" i="15"/>
  <c r="Q117" i="15"/>
  <c r="Q51" i="15"/>
  <c r="M15" i="13"/>
  <c r="E10" i="111"/>
  <c r="K10" i="111"/>
  <c r="Q46" i="15"/>
  <c r="Q87" i="15"/>
  <c r="P20" i="89"/>
  <c r="Q100" i="15"/>
  <c r="Q38" i="15"/>
  <c r="Q113" i="15"/>
  <c r="Q105" i="15"/>
  <c r="P14" i="89"/>
  <c r="Q76" i="15"/>
  <c r="Q54" i="15"/>
  <c r="Q19" i="98"/>
  <c r="Q42" i="15"/>
  <c r="Q15" i="15"/>
  <c r="Q116" i="15"/>
  <c r="W10" i="111"/>
  <c r="AG10" i="111"/>
  <c r="Q15" i="98"/>
  <c r="Q11" i="98"/>
  <c r="J10" i="15"/>
  <c r="Q102" i="15"/>
  <c r="Q61" i="15"/>
  <c r="AX10" i="111"/>
  <c r="Q31" i="15"/>
  <c r="P13" i="89"/>
  <c r="Q110" i="15"/>
  <c r="Q57" i="15"/>
  <c r="Q24" i="15"/>
  <c r="Q30" i="15"/>
  <c r="H11" i="15"/>
  <c r="O11" i="15"/>
  <c r="Q69" i="15"/>
  <c r="M18" i="13"/>
  <c r="Q21" i="15"/>
  <c r="Q112" i="15"/>
  <c r="Q34" i="15"/>
  <c r="Q19" i="15"/>
  <c r="Q77" i="15"/>
  <c r="P21" i="89"/>
  <c r="G10" i="111"/>
  <c r="L10" i="111"/>
  <c r="Q12" i="98"/>
  <c r="P16" i="89"/>
  <c r="Q16" i="98"/>
  <c r="Q93" i="15"/>
  <c r="Q28" i="15"/>
  <c r="M19" i="13"/>
  <c r="Q47" i="15"/>
  <c r="Q13" i="15"/>
  <c r="Q41" i="15"/>
  <c r="Q32" i="15"/>
  <c r="Q82" i="15"/>
  <c r="AO10" i="111"/>
  <c r="AK10" i="111"/>
  <c r="AI10" i="111"/>
  <c r="AA10" i="111"/>
  <c r="M12" i="13"/>
  <c r="F10" i="15"/>
  <c r="M10" i="13"/>
  <c r="Q79" i="15"/>
  <c r="Q14" i="98"/>
  <c r="M14" i="13"/>
  <c r="Q18" i="15"/>
  <c r="Q45" i="15"/>
  <c r="Q17" i="15"/>
  <c r="Q55" i="15"/>
  <c r="L11" i="15"/>
  <c r="Q97" i="15"/>
  <c r="Q86" i="15"/>
  <c r="M9" i="13"/>
  <c r="Q43" i="15"/>
  <c r="M11" i="13"/>
  <c r="P18" i="89"/>
  <c r="P11" i="89"/>
  <c r="Q85" i="15"/>
  <c r="G11" i="41"/>
  <c r="Q109" i="15"/>
  <c r="Q98" i="15"/>
  <c r="N10" i="111"/>
  <c r="Q37" i="15"/>
  <c r="Q12" i="109"/>
  <c r="Q25" i="15"/>
  <c r="Q104" i="15"/>
  <c r="Q94" i="15"/>
  <c r="Q73" i="15"/>
  <c r="Q107" i="15"/>
  <c r="P19" i="89"/>
  <c r="Q99" i="15"/>
  <c r="M17" i="13"/>
  <c r="Q48" i="15"/>
  <c r="Q96" i="15"/>
  <c r="Q14" i="15"/>
  <c r="Q90" i="15"/>
  <c r="Q58" i="15"/>
  <c r="AM10" i="111"/>
  <c r="AE10" i="111"/>
  <c r="Q106" i="15"/>
  <c r="Q11" i="109"/>
  <c r="P15" i="89"/>
  <c r="Q40" i="15"/>
  <c r="M10" i="15"/>
  <c r="L10" i="15"/>
  <c r="Q44" i="15"/>
  <c r="Q91" i="15"/>
  <c r="AV10" i="111"/>
  <c r="AU10" i="111"/>
  <c r="Q65" i="15"/>
  <c r="Q88" i="15"/>
  <c r="AS10" i="111"/>
  <c r="W4" i="89" l="1"/>
  <c r="E10" i="15"/>
  <c r="S10" i="15" s="1"/>
  <c r="B10" i="15" s="1"/>
  <c r="E11" i="15"/>
  <c r="S11" i="15" s="1"/>
  <c r="B11" i="15" s="1"/>
  <c r="X10" i="111"/>
  <c r="AY10" i="111" s="1"/>
  <c r="D10" i="111"/>
  <c r="R10" i="111" s="1"/>
  <c r="A10" i="111" s="1"/>
  <c r="F11" i="41"/>
  <c r="J11" i="41" s="1"/>
  <c r="E4" i="41" s="1"/>
  <c r="Y10" i="15"/>
  <c r="AB10" i="15" s="1"/>
  <c r="U10" i="15" s="1"/>
  <c r="BX468" i="8"/>
  <c r="BW462" i="8" s="1"/>
  <c r="BW464" i="8" s="1"/>
  <c r="BU479" i="8"/>
  <c r="BV479" i="8"/>
  <c r="BW479" i="8"/>
  <c r="BW481" i="8"/>
  <c r="R10" i="15"/>
  <c r="R11" i="15"/>
  <c r="Q10" i="15"/>
  <c r="Q11" i="15"/>
  <c r="D4" i="111" l="1"/>
  <c r="E4" i="15"/>
  <c r="X4" i="15"/>
  <c r="B11" i="41"/>
  <c r="T10" i="111"/>
  <c r="W4" i="111"/>
  <c r="BW489" i="8"/>
  <c r="BW491" i="8"/>
  <c r="BV489" i="8"/>
  <c r="BU489" i="8"/>
  <c r="BX478" i="8"/>
  <c r="BW472" i="8" s="1"/>
  <c r="BW474" i="8" s="1"/>
  <c r="BX488" i="8" l="1"/>
  <c r="BW482" i="8" s="1"/>
  <c r="BW484" i="8" s="1"/>
  <c r="BW501" i="8"/>
  <c r="BU499" i="8"/>
  <c r="BV499" i="8"/>
  <c r="BX499" i="8" s="1"/>
  <c r="BW499" i="8"/>
  <c r="BX498" i="8" l="1"/>
  <c r="BW492" i="8" s="1"/>
  <c r="BW494" i="8" s="1"/>
  <c r="BV509" i="8"/>
  <c r="BW509" i="8"/>
  <c r="BW511" i="8"/>
  <c r="BU509" i="8"/>
  <c r="BX508" i="8" l="1"/>
  <c r="BW502" i="8" s="1"/>
  <c r="BW504" i="8" s="1"/>
  <c r="BW521" i="8"/>
  <c r="BU519" i="8"/>
  <c r="BW519" i="8"/>
  <c r="BV519" i="8"/>
  <c r="BX518" i="8" l="1"/>
  <c r="BW512" i="8" s="1"/>
  <c r="BW514" i="8" s="1"/>
  <c r="BV529" i="8"/>
  <c r="BW529" i="8"/>
  <c r="BU529" i="8"/>
  <c r="BW531" i="8"/>
  <c r="BX528" i="8" l="1"/>
  <c r="BW522" i="8" s="1"/>
  <c r="BW524" i="8" s="1"/>
  <c r="BW541" i="8"/>
  <c r="BU539" i="8"/>
  <c r="BV539" i="8"/>
  <c r="BW539" i="8"/>
  <c r="BX538" i="8" l="1"/>
  <c r="BW532" i="8" s="1"/>
  <c r="BW534" i="8" s="1"/>
  <c r="BV549" i="8"/>
  <c r="BW549" i="8"/>
  <c r="BU549" i="8"/>
  <c r="BW551" i="8"/>
  <c r="BX548" i="8" l="1"/>
  <c r="BW542" i="8" s="1"/>
  <c r="BW544" i="8" s="1"/>
  <c r="BW561" i="8"/>
  <c r="BU559" i="8"/>
  <c r="BV559" i="8"/>
  <c r="BW559" i="8"/>
  <c r="BX558" i="8" l="1"/>
  <c r="BW552" i="8" s="1"/>
  <c r="BW554" i="8" s="1"/>
  <c r="BV569" i="8"/>
  <c r="BW569" i="8"/>
  <c r="BU569" i="8"/>
  <c r="BW571" i="8"/>
  <c r="BX568" i="8" l="1"/>
  <c r="BW562" i="8" s="1"/>
  <c r="BW564" i="8" s="1"/>
  <c r="BW581" i="8"/>
  <c r="BU579" i="8"/>
  <c r="BW579" i="8"/>
  <c r="BV579" i="8"/>
  <c r="BX578" i="8" l="1"/>
  <c r="BW572" i="8" s="1"/>
  <c r="BW574" i="8" s="1"/>
  <c r="BV589" i="8"/>
  <c r="BW589" i="8"/>
  <c r="BW591" i="8"/>
  <c r="BU589" i="8"/>
  <c r="BX588" i="8" l="1"/>
  <c r="BW582" i="8" s="1"/>
  <c r="BW584" i="8" s="1"/>
  <c r="BW601" i="8"/>
  <c r="BU599" i="8"/>
  <c r="BV599" i="8"/>
  <c r="BW599" i="8"/>
  <c r="BX598" i="8" l="1"/>
  <c r="BW592" i="8" s="1"/>
  <c r="BW594" i="8" s="1"/>
  <c r="BV609" i="8"/>
  <c r="BW609" i="8"/>
  <c r="BU609" i="8"/>
  <c r="BW611" i="8"/>
  <c r="BX608" i="8" l="1"/>
  <c r="BW602" i="8" s="1"/>
  <c r="BW604" i="8" s="1"/>
  <c r="BW621" i="8"/>
  <c r="BU619" i="8"/>
  <c r="BV619" i="8"/>
  <c r="BW619" i="8"/>
  <c r="BX618" i="8" l="1"/>
  <c r="BW612" i="8" s="1"/>
  <c r="BW614" i="8" s="1"/>
  <c r="BV629" i="8"/>
  <c r="BW629" i="8"/>
  <c r="BU629" i="8"/>
  <c r="BW631" i="8"/>
  <c r="BX628" i="8" l="1"/>
  <c r="BW622" i="8" s="1"/>
  <c r="BW624" i="8" s="1"/>
  <c r="BW641" i="8"/>
  <c r="BU639" i="8"/>
  <c r="BV639" i="8"/>
  <c r="BW639" i="8"/>
  <c r="BX638" i="8" l="1"/>
  <c r="BW632" i="8" s="1"/>
  <c r="BW634" i="8" s="1"/>
  <c r="BV649" i="8"/>
  <c r="BW649" i="8"/>
  <c r="BU649" i="8"/>
  <c r="BW651" i="8"/>
  <c r="BX648" i="8" l="1"/>
  <c r="BW642" i="8" s="1"/>
  <c r="BW644" i="8" s="1"/>
  <c r="BU659" i="8"/>
  <c r="BW659" i="8"/>
  <c r="BV659" i="8"/>
  <c r="BX658" i="8" l="1"/>
  <c r="BW652" i="8" s="1"/>
  <c r="BW654"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20" authorId="0" shapeId="0" xr:uid="{00000000-0006-0000-0100-000001000000}">
      <text>
        <r>
          <rPr>
            <b/>
            <sz val="9"/>
            <color indexed="81"/>
            <rFont val="Tahoma"/>
            <family val="2"/>
            <charset val="204"/>
          </rPr>
          <t xml:space="preserve">Рентабельность:
</t>
        </r>
        <r>
          <rPr>
            <sz val="9"/>
            <color indexed="81"/>
            <rFont val="Tahoma"/>
            <family val="2"/>
            <charset val="204"/>
          </rPr>
          <t xml:space="preserve">0% - низкая рентабельность - качественная оценка - 1;
100% - высокая рентабельность - качественная оценка - 4;
</t>
        </r>
      </text>
    </comment>
    <comment ref="N20" authorId="0" shapeId="0" xr:uid="{00000000-0006-0000-0100-000002000000}">
      <text>
        <r>
          <rPr>
            <b/>
            <sz val="9"/>
            <color indexed="81"/>
            <rFont val="Tahoma"/>
            <family val="2"/>
            <charset val="204"/>
          </rPr>
          <t xml:space="preserve">Ликвидность:
</t>
        </r>
        <r>
          <rPr>
            <sz val="9"/>
            <color indexed="81"/>
            <rFont val="Tahoma"/>
            <family val="2"/>
            <charset val="204"/>
          </rPr>
          <t>Л4 - низкая ликвидность - качественная оценка - 1;
Л1 - высокая ликвидность - качественная оценка - 4;</t>
        </r>
      </text>
    </comment>
    <comment ref="H26" authorId="0" shapeId="0" xr:uid="{00000000-0006-0000-0100-000003000000}">
      <text>
        <r>
          <rPr>
            <b/>
            <sz val="9"/>
            <color indexed="81"/>
            <rFont val="Tahoma"/>
            <family val="2"/>
            <charset val="204"/>
          </rPr>
          <t>Верхний критерий</t>
        </r>
      </text>
    </comment>
    <comment ref="H27" authorId="0" shapeId="0" xr:uid="{00000000-0006-0000-0100-000004000000}">
      <text>
        <r>
          <rPr>
            <b/>
            <sz val="9"/>
            <color indexed="81"/>
            <rFont val="Tahoma"/>
            <family val="2"/>
            <charset val="204"/>
          </rPr>
          <t>Нижний критерий</t>
        </r>
      </text>
    </comment>
    <comment ref="K38" authorId="0" shapeId="0" xr:uid="{00000000-0006-0000-0100-000005000000}">
      <text>
        <r>
          <rPr>
            <b/>
            <sz val="9"/>
            <color indexed="81"/>
            <rFont val="Tahoma"/>
            <family val="2"/>
            <charset val="204"/>
          </rPr>
          <t>2, 4, 3, 2, 3</t>
        </r>
      </text>
    </comment>
    <comment ref="K39" authorId="0" shapeId="0" xr:uid="{00000000-0006-0000-0100-000006000000}">
      <text>
        <r>
          <rPr>
            <b/>
            <sz val="9"/>
            <color indexed="81"/>
            <rFont val="Tahoma"/>
            <family val="2"/>
            <charset val="204"/>
          </rPr>
          <t>4, 3, 5, 4, 5</t>
        </r>
        <r>
          <rPr>
            <sz val="9"/>
            <color indexed="81"/>
            <rFont val="Tahoma"/>
            <family val="2"/>
            <charset val="204"/>
          </rPr>
          <t xml:space="preserve">
</t>
        </r>
      </text>
    </comment>
    <comment ref="K40" authorId="0" shapeId="0" xr:uid="{00000000-0006-0000-0100-000007000000}">
      <text>
        <r>
          <rPr>
            <b/>
            <sz val="9"/>
            <color indexed="81"/>
            <rFont val="Tahoma"/>
            <family val="2"/>
            <charset val="204"/>
          </rPr>
          <t>1, 3, 4, 3, 3</t>
        </r>
        <r>
          <rPr>
            <sz val="9"/>
            <color indexed="81"/>
            <rFont val="Tahoma"/>
            <family val="2"/>
            <charset val="204"/>
          </rPr>
          <t xml:space="preserve">
</t>
        </r>
      </text>
    </comment>
    <comment ref="K41" authorId="0" shapeId="0" xr:uid="{00000000-0006-0000-0100-000008000000}">
      <text>
        <r>
          <rPr>
            <b/>
            <sz val="9"/>
            <color indexed="81"/>
            <rFont val="Tahoma"/>
            <family val="2"/>
            <charset val="204"/>
          </rPr>
          <t>3, 4, 5, 3, 4</t>
        </r>
      </text>
    </comment>
    <comment ref="K42" authorId="0" shapeId="0" xr:uid="{00000000-0006-0000-0100-000009000000}">
      <text>
        <r>
          <rPr>
            <b/>
            <sz val="9"/>
            <color indexed="81"/>
            <rFont val="Tahoma"/>
            <family val="2"/>
            <charset val="204"/>
          </rPr>
          <t>5, 5, 3, 4, 4</t>
        </r>
        <r>
          <rPr>
            <sz val="9"/>
            <color indexed="81"/>
            <rFont val="Tahoma"/>
            <family val="2"/>
            <charset val="204"/>
          </rPr>
          <t xml:space="preserve">
</t>
        </r>
      </text>
    </comment>
  </commentList>
</comments>
</file>

<file path=xl/sharedStrings.xml><?xml version="1.0" encoding="utf-8"?>
<sst xmlns="http://schemas.openxmlformats.org/spreadsheetml/2006/main" count="22823" uniqueCount="2093">
  <si>
    <t>1,01</t>
  </si>
  <si>
    <t>1,02</t>
  </si>
  <si>
    <t>1,03</t>
  </si>
  <si>
    <t>1,04</t>
  </si>
  <si>
    <t>1,05</t>
  </si>
  <si>
    <t>1,06</t>
  </si>
  <si>
    <t>1,07</t>
  </si>
  <si>
    <t>1,08</t>
  </si>
  <si>
    <t>1,09</t>
  </si>
  <si>
    <t>1,1</t>
  </si>
  <si>
    <t>1,11</t>
  </si>
  <si>
    <t>1,12</t>
  </si>
  <si>
    <t>1,13</t>
  </si>
  <si>
    <t>1,14</t>
  </si>
  <si>
    <t>1,15</t>
  </si>
  <si>
    <t>1,16</t>
  </si>
  <si>
    <t>1,17</t>
  </si>
  <si>
    <t>1,18</t>
  </si>
  <si>
    <t>1,19</t>
  </si>
  <si>
    <t>1,2</t>
  </si>
  <si>
    <t>1,21</t>
  </si>
  <si>
    <t>1,22</t>
  </si>
  <si>
    <t>1,23</t>
  </si>
  <si>
    <t>1,24</t>
  </si>
  <si>
    <t>1,25</t>
  </si>
  <si>
    <t>1,26</t>
  </si>
  <si>
    <t>1,27</t>
  </si>
  <si>
    <t>1,28</t>
  </si>
  <si>
    <t>1,29</t>
  </si>
  <si>
    <t>1,3</t>
  </si>
  <si>
    <t>1,31</t>
  </si>
  <si>
    <t>1,32</t>
  </si>
  <si>
    <t>1,33</t>
  </si>
  <si>
    <t>1,34</t>
  </si>
  <si>
    <t>1,35</t>
  </si>
  <si>
    <t>1,36</t>
  </si>
  <si>
    <t>1,37</t>
  </si>
  <si>
    <t>1,38</t>
  </si>
  <si>
    <t>1,39</t>
  </si>
  <si>
    <t>1,4</t>
  </si>
  <si>
    <t>1,41</t>
  </si>
  <si>
    <t>1,42</t>
  </si>
  <si>
    <t>1,43</t>
  </si>
  <si>
    <t>1,44</t>
  </si>
  <si>
    <t>1,45</t>
  </si>
  <si>
    <t>1,46</t>
  </si>
  <si>
    <t>1,47</t>
  </si>
  <si>
    <t>1,48</t>
  </si>
  <si>
    <t>1,49</t>
  </si>
  <si>
    <t>1,5</t>
  </si>
  <si>
    <t>1,51</t>
  </si>
  <si>
    <t>1,52</t>
  </si>
  <si>
    <t>1,53</t>
  </si>
  <si>
    <t>1,54</t>
  </si>
  <si>
    <t>1,55</t>
  </si>
  <si>
    <t>1,56</t>
  </si>
  <si>
    <t>1,57</t>
  </si>
  <si>
    <t>1,58</t>
  </si>
  <si>
    <t>1,59</t>
  </si>
  <si>
    <t>1,6</t>
  </si>
  <si>
    <t>1,61</t>
  </si>
  <si>
    <t>1,62</t>
  </si>
  <si>
    <t>1,63</t>
  </si>
  <si>
    <t>1,64</t>
  </si>
  <si>
    <t>1,65</t>
  </si>
  <si>
    <t>1,66</t>
  </si>
  <si>
    <t>1,67</t>
  </si>
  <si>
    <t>1,68</t>
  </si>
  <si>
    <t>1,69</t>
  </si>
  <si>
    <t>1,7</t>
  </si>
  <si>
    <t>1,71</t>
  </si>
  <si>
    <t>1,72</t>
  </si>
  <si>
    <t>1,73</t>
  </si>
  <si>
    <t>1,74</t>
  </si>
  <si>
    <t>1,75</t>
  </si>
  <si>
    <t>1,76</t>
  </si>
  <si>
    <t>1,77</t>
  </si>
  <si>
    <t>1,78</t>
  </si>
  <si>
    <t>1,79</t>
  </si>
  <si>
    <t>1,8</t>
  </si>
  <si>
    <t>1,81</t>
  </si>
  <si>
    <t>1,82</t>
  </si>
  <si>
    <t>1,83</t>
  </si>
  <si>
    <t>1,84</t>
  </si>
  <si>
    <t>1,85</t>
  </si>
  <si>
    <t>1,86</t>
  </si>
  <si>
    <t>1,87</t>
  </si>
  <si>
    <t>1,88</t>
  </si>
  <si>
    <t>1,89</t>
  </si>
  <si>
    <t>1,9</t>
  </si>
  <si>
    <t>1,91</t>
  </si>
  <si>
    <t>1,92</t>
  </si>
  <si>
    <t>1,93</t>
  </si>
  <si>
    <t>1,94</t>
  </si>
  <si>
    <t>1,95</t>
  </si>
  <si>
    <t>1,96</t>
  </si>
  <si>
    <t>1,97</t>
  </si>
  <si>
    <t>1,98</t>
  </si>
  <si>
    <t>1,99</t>
  </si>
  <si>
    <t>Столбец1</t>
  </si>
  <si>
    <t>1</t>
  </si>
  <si>
    <t>2</t>
  </si>
  <si>
    <t>Содержание</t>
  </si>
  <si>
    <t>F0</t>
  </si>
  <si>
    <t>F1</t>
  </si>
  <si>
    <t>F2</t>
  </si>
  <si>
    <t>F3</t>
  </si>
  <si>
    <t>F4</t>
  </si>
  <si>
    <t>F5</t>
  </si>
  <si>
    <t>&lt;&lt;НАЗАД</t>
  </si>
  <si>
    <t>Матрицы</t>
  </si>
  <si>
    <t>Низ_F0</t>
  </si>
  <si>
    <t>Низ_F1</t>
  </si>
  <si>
    <t>Низ_F2</t>
  </si>
  <si>
    <t>Низ_F3</t>
  </si>
  <si>
    <t>Низ_F4</t>
  </si>
  <si>
    <t>Низ_F5</t>
  </si>
  <si>
    <t>Общий</t>
  </si>
  <si>
    <t>Бок_F0</t>
  </si>
  <si>
    <t>Бок_F1</t>
  </si>
  <si>
    <t>Бок_F2</t>
  </si>
  <si>
    <t>Бок_F3</t>
  </si>
  <si>
    <t>Бок_F4</t>
  </si>
  <si>
    <t>Бок_F5</t>
  </si>
  <si>
    <t>В_F0_F0</t>
  </si>
  <si>
    <t>В_F0_F1</t>
  </si>
  <si>
    <t>В_F0_F2</t>
  </si>
  <si>
    <t>В_F0_F3</t>
  </si>
  <si>
    <t>В_F0_F4</t>
  </si>
  <si>
    <t>В_F0_F5</t>
  </si>
  <si>
    <t>В_F1_F0</t>
  </si>
  <si>
    <t>В_F1_F1</t>
  </si>
  <si>
    <t>В_F1_F2</t>
  </si>
  <si>
    <t>В_F1_F3</t>
  </si>
  <si>
    <t>В_F1_F4</t>
  </si>
  <si>
    <t>В_F1_F5</t>
  </si>
  <si>
    <t>В_F2_F0</t>
  </si>
  <si>
    <t>В_F2_F1</t>
  </si>
  <si>
    <t>В_F2_F2</t>
  </si>
  <si>
    <t>В_F2_F3</t>
  </si>
  <si>
    <t>В_F2_F4</t>
  </si>
  <si>
    <t>В_F2_F5</t>
  </si>
  <si>
    <t>В_F3_F0</t>
  </si>
  <si>
    <t>В_F3_F1</t>
  </si>
  <si>
    <t>В_F3_F2</t>
  </si>
  <si>
    <t>В_F3_F3</t>
  </si>
  <si>
    <t>В_F3_F4</t>
  </si>
  <si>
    <t>В_F3_F5</t>
  </si>
  <si>
    <t>В_F4_F0</t>
  </si>
  <si>
    <t>В_F4_F1</t>
  </si>
  <si>
    <t>В_F4_F2</t>
  </si>
  <si>
    <t>В_F4_F3</t>
  </si>
  <si>
    <t>В_F4_F4</t>
  </si>
  <si>
    <t>В_F4_F5</t>
  </si>
  <si>
    <t>В_F5_F0</t>
  </si>
  <si>
    <t>В_F5_F1</t>
  </si>
  <si>
    <t>В_F5_F2</t>
  </si>
  <si>
    <t>В_F5_F3</t>
  </si>
  <si>
    <t>В_F5_F4</t>
  </si>
  <si>
    <t>В_F5_F5</t>
  </si>
  <si>
    <t>В_F0_F0_0</t>
  </si>
  <si>
    <t>В_F0_F1_0</t>
  </si>
  <si>
    <t>В_F0_F2_0</t>
  </si>
  <si>
    <t>В_F0_F3_0</t>
  </si>
  <si>
    <t>В_F0_F4_0</t>
  </si>
  <si>
    <t>В_F0_F5_0</t>
  </si>
  <si>
    <t>В_F1_F0_0</t>
  </si>
  <si>
    <t>В_F1_F1_0</t>
  </si>
  <si>
    <t>В_F1_F2_0</t>
  </si>
  <si>
    <t>В_F1_F3_0</t>
  </si>
  <si>
    <t>В_F1_F4_0</t>
  </si>
  <si>
    <t>В_F1_F5_0</t>
  </si>
  <si>
    <t>В_F2_F0_0</t>
  </si>
  <si>
    <t>В_F2_F1_0</t>
  </si>
  <si>
    <t>В_F2_F2_0</t>
  </si>
  <si>
    <t>В_F2_F3_0</t>
  </si>
  <si>
    <t>В_F2_F4_0</t>
  </si>
  <si>
    <t>В_F2_F5_0</t>
  </si>
  <si>
    <t>В_F3_F0_0</t>
  </si>
  <si>
    <t>В_F3_F1_0</t>
  </si>
  <si>
    <t>В_F3_F2_0</t>
  </si>
  <si>
    <t>В_F3_F3_0</t>
  </si>
  <si>
    <t>В_F3_F4_0</t>
  </si>
  <si>
    <t>В_F3_F5_0</t>
  </si>
  <si>
    <t>В_F4_F0_0</t>
  </si>
  <si>
    <t>В_F4_F1_0</t>
  </si>
  <si>
    <t>В_F4_F2_0</t>
  </si>
  <si>
    <t>В_F4_F3_0</t>
  </si>
  <si>
    <t>В_F4_F4_0</t>
  </si>
  <si>
    <t>В_F4_F5_0</t>
  </si>
  <si>
    <t>В_F5_F0_0</t>
  </si>
  <si>
    <t>В_F5_F1_0</t>
  </si>
  <si>
    <t>В_F5_F2_0</t>
  </si>
  <si>
    <t>В_F5_F3_0</t>
  </si>
  <si>
    <t>В_F5_F4_0</t>
  </si>
  <si>
    <t>В_F5_F5_0</t>
  </si>
  <si>
    <t>В_F0_F0_5</t>
  </si>
  <si>
    <t>В_F0_F1_5</t>
  </si>
  <si>
    <t>В_F0_F2_5</t>
  </si>
  <si>
    <t>В_F0_F3_5</t>
  </si>
  <si>
    <t>В_F0_F4_5</t>
  </si>
  <si>
    <t>В_F0_F5_5</t>
  </si>
  <si>
    <t>В_F1_F0_5</t>
  </si>
  <si>
    <t>В_F1_F1_5</t>
  </si>
  <si>
    <t>В_F1_F2_5</t>
  </si>
  <si>
    <t>В_F1_F3_5</t>
  </si>
  <si>
    <t>В_F1_F4_5</t>
  </si>
  <si>
    <t>В_F1_F5_5</t>
  </si>
  <si>
    <t>В_F2_F0_5</t>
  </si>
  <si>
    <t>В_F2_F1_5</t>
  </si>
  <si>
    <t>В_F2_F2_5</t>
  </si>
  <si>
    <t>В_F2_F3_5</t>
  </si>
  <si>
    <t>В_F2_F4_5</t>
  </si>
  <si>
    <t>В_F2_F5_5</t>
  </si>
  <si>
    <t>В_F3_F0_5</t>
  </si>
  <si>
    <t>В_F3_F1_5</t>
  </si>
  <si>
    <t>В_F3_F2_5</t>
  </si>
  <si>
    <t>В_F3_F3_5</t>
  </si>
  <si>
    <t>В_F3_F4_5</t>
  </si>
  <si>
    <t>В_F3_F5_5</t>
  </si>
  <si>
    <t>В_F4_F0_5</t>
  </si>
  <si>
    <t>В_F4_F1_5</t>
  </si>
  <si>
    <t>В_F4_F2_5</t>
  </si>
  <si>
    <t>В_F4_F3_5</t>
  </si>
  <si>
    <t>В_F4_F4_5</t>
  </si>
  <si>
    <t>В_F4_F5_5</t>
  </si>
  <si>
    <t>В_F5_F0_5</t>
  </si>
  <si>
    <t>В_F5_F1_5</t>
  </si>
  <si>
    <t>В_F5_F2_5</t>
  </si>
  <si>
    <t>В_F5_F3_5</t>
  </si>
  <si>
    <t>В_F5_F4_5</t>
  </si>
  <si>
    <t>В_F5_F5_5</t>
  </si>
  <si>
    <t>В_F0_F0т0</t>
  </si>
  <si>
    <t>В_F0_F1т0</t>
  </si>
  <si>
    <t>В_F0_F2т0</t>
  </si>
  <si>
    <t>В_F0_F3т0</t>
  </si>
  <si>
    <t>В_F0_F4т0</t>
  </si>
  <si>
    <t>В_F0_F5т0</t>
  </si>
  <si>
    <t>В_F1_F0т0</t>
  </si>
  <si>
    <t>В_F1_F1т0</t>
  </si>
  <si>
    <t>В_F1_F2т0</t>
  </si>
  <si>
    <t>В_F1_F3т0</t>
  </si>
  <si>
    <t>В_F1_F4т0</t>
  </si>
  <si>
    <t>В_F1_F5т0</t>
  </si>
  <si>
    <t>В_F2_F0т0</t>
  </si>
  <si>
    <t>В_F2_F1т0</t>
  </si>
  <si>
    <t>В_F2_F2т0</t>
  </si>
  <si>
    <t>В_F2_F3т0</t>
  </si>
  <si>
    <t>В_F2_F4т0</t>
  </si>
  <si>
    <t>В_F2_F5т0</t>
  </si>
  <si>
    <t>В_F3_F0т0</t>
  </si>
  <si>
    <t>В_F3_F1т0</t>
  </si>
  <si>
    <t>В_F3_F2т0</t>
  </si>
  <si>
    <t>В_F3_F3т0</t>
  </si>
  <si>
    <t>В_F3_F4т0</t>
  </si>
  <si>
    <t>В_F3_F5т0</t>
  </si>
  <si>
    <t>В_F4_F0т0</t>
  </si>
  <si>
    <t>В_F4_F1т0</t>
  </si>
  <si>
    <t>В_F4_F2т0</t>
  </si>
  <si>
    <t>В_F4_F3т0</t>
  </si>
  <si>
    <t>В_F4_F4т0</t>
  </si>
  <si>
    <t>В_F4_F5т0</t>
  </si>
  <si>
    <t>В_F5_F0т0</t>
  </si>
  <si>
    <t>В_F5_F1т0</t>
  </si>
  <si>
    <t>В_F5_F2т0</t>
  </si>
  <si>
    <t>В_F5_F3т0</t>
  </si>
  <si>
    <t>В_F5_F4т0</t>
  </si>
  <si>
    <t>В_F5_F5т0</t>
  </si>
  <si>
    <t>В_F0_F0т5</t>
  </si>
  <si>
    <t>В_F0_F1т5</t>
  </si>
  <si>
    <t>В_F0_F2т5</t>
  </si>
  <si>
    <t>В_F0_F3т5</t>
  </si>
  <si>
    <t>В_F0_F4т5</t>
  </si>
  <si>
    <t>В_F0_F5т5</t>
  </si>
  <si>
    <t>В_F1_F0т5</t>
  </si>
  <si>
    <t>В_F1_F1т5</t>
  </si>
  <si>
    <t>В_F1_F2т5</t>
  </si>
  <si>
    <t>В_F1_F3т5</t>
  </si>
  <si>
    <t>В_F1_F4т5</t>
  </si>
  <si>
    <t>В_F1_F5т5</t>
  </si>
  <si>
    <t>В_F2_F0т5</t>
  </si>
  <si>
    <t>В_F2_F1т5</t>
  </si>
  <si>
    <t>В_F2_F2т5</t>
  </si>
  <si>
    <t>В_F2_F3т5</t>
  </si>
  <si>
    <t>В_F2_F4т5</t>
  </si>
  <si>
    <t>В_F2_F5т5</t>
  </si>
  <si>
    <t>В_F3_F0т5</t>
  </si>
  <si>
    <t>В_F3_F1т5</t>
  </si>
  <si>
    <t>В_F3_F2т5</t>
  </si>
  <si>
    <t>В_F3_F3т5</t>
  </si>
  <si>
    <t>В_F3_F4т5</t>
  </si>
  <si>
    <t>В_F3_F5т5</t>
  </si>
  <si>
    <t>В_F4_F0т5</t>
  </si>
  <si>
    <t>В_F4_F1т5</t>
  </si>
  <si>
    <t>В_F4_F2т5</t>
  </si>
  <si>
    <t>В_F4_F3т5</t>
  </si>
  <si>
    <t>В_F4_F4т5</t>
  </si>
  <si>
    <t>В_F4_F5т5</t>
  </si>
  <si>
    <t>В_F5_F0т5</t>
  </si>
  <si>
    <t>В_F5_F1т5</t>
  </si>
  <si>
    <t>В_F5_F2т5</t>
  </si>
  <si>
    <t>В_F5_F3т5</t>
  </si>
  <si>
    <t>В_F5_F4т5</t>
  </si>
  <si>
    <t>В_F5_F5т5</t>
  </si>
  <si>
    <t>ВF0F0_05</t>
  </si>
  <si>
    <t>ВF0F1_05</t>
  </si>
  <si>
    <t>ВF5F5_05</t>
  </si>
  <si>
    <t>ВF5F4_05</t>
  </si>
  <si>
    <t>ВF5F3_05</t>
  </si>
  <si>
    <t>ВF5F2_05</t>
  </si>
  <si>
    <t>ВF5F1_05</t>
  </si>
  <si>
    <t>ВF5F0_05</t>
  </si>
  <si>
    <t>ВF4F5_05</t>
  </si>
  <si>
    <t>ВF4F4_05</t>
  </si>
  <si>
    <t>ВF4F3_05</t>
  </si>
  <si>
    <t>ВF4F2_05</t>
  </si>
  <si>
    <t>ВF4F1_05</t>
  </si>
  <si>
    <t>ВF4F0_05</t>
  </si>
  <si>
    <t>ВF3F5_05</t>
  </si>
  <si>
    <t>ВF3F4_05</t>
  </si>
  <si>
    <t>ВF3F3_05</t>
  </si>
  <si>
    <t>ВF3F2_05</t>
  </si>
  <si>
    <t>ВF3F1_05</t>
  </si>
  <si>
    <t>ВF3F0_05</t>
  </si>
  <si>
    <t>ВF2F5_05</t>
  </si>
  <si>
    <t>ВF2F4_05</t>
  </si>
  <si>
    <t>ВF2F3_05</t>
  </si>
  <si>
    <t>ВF2F2_05</t>
  </si>
  <si>
    <t>ВF2F1_05</t>
  </si>
  <si>
    <t>ВF2F0_05</t>
  </si>
  <si>
    <t>ВF1F5_05</t>
  </si>
  <si>
    <t>ВF1F4_05</t>
  </si>
  <si>
    <t>ВF1F3_05</t>
  </si>
  <si>
    <t>ВF1F2_05</t>
  </si>
  <si>
    <t>ВF1F1_05</t>
  </si>
  <si>
    <t>ВF1F0_05</t>
  </si>
  <si>
    <t>ВF0F5_05</t>
  </si>
  <si>
    <t>ВF0F4_05</t>
  </si>
  <si>
    <t>ВF0F3_05</t>
  </si>
  <si>
    <t>ВF0F2_05</t>
  </si>
  <si>
    <t>Шифр</t>
  </si>
  <si>
    <t>Прирост_в</t>
  </si>
  <si>
    <t>Прирост_л</t>
  </si>
  <si>
    <t>Прирост_д</t>
  </si>
  <si>
    <t>Низ_F0_5</t>
  </si>
  <si>
    <t>Низ_F1_5</t>
  </si>
  <si>
    <t>Низ_F2_5</t>
  </si>
  <si>
    <t>Низ_F3_5</t>
  </si>
  <si>
    <t>Низ_F4_5</t>
  </si>
  <si>
    <t>Низ_F5_5</t>
  </si>
  <si>
    <t>Бок_F0_5</t>
  </si>
  <si>
    <t>Бок_F1_5</t>
  </si>
  <si>
    <t>Бок_F2_5</t>
  </si>
  <si>
    <t>Бок_F3_5</t>
  </si>
  <si>
    <t>Бок_F4_5</t>
  </si>
  <si>
    <t>Бок_F5_5</t>
  </si>
  <si>
    <t>ТИП ШКАЛЫ</t>
  </si>
  <si>
    <t>Прямая</t>
  </si>
  <si>
    <t>Обратная</t>
  </si>
  <si>
    <t>Опт. в макс.</t>
  </si>
  <si>
    <t>Опт. в мин.</t>
  </si>
  <si>
    <t>ВОЗЬМИТЕ НУЖНУЮ ФОРМУ</t>
  </si>
  <si>
    <t>СВЁРТКА</t>
  </si>
  <si>
    <t>КРИТЕРИЙ</t>
  </si>
  <si>
    <t>всего строк</t>
  </si>
  <si>
    <t>числовых в диапазоне 1-4</t>
  </si>
  <si>
    <t>заполненных строк</t>
  </si>
  <si>
    <t>Изменяем</t>
  </si>
  <si>
    <t>Отслеживаем</t>
  </si>
  <si>
    <t>Смещение адреса по строке</t>
  </si>
  <si>
    <t>Смещение адреса по столбу</t>
  </si>
  <si>
    <t>СИзменяем</t>
  </si>
  <si>
    <t>ФизИзменяем</t>
  </si>
  <si>
    <t>СФизИзменяем</t>
  </si>
  <si>
    <t>ТипИзменяем</t>
  </si>
  <si>
    <t>СТипИзменяем</t>
  </si>
  <si>
    <t>ФИзменяем</t>
  </si>
  <si>
    <t>ССрФизИзменяем</t>
  </si>
  <si>
    <t>МинФизИзменяем</t>
  </si>
  <si>
    <t>СМинФизИзменяем</t>
  </si>
  <si>
    <t>МаксФизИзменяем</t>
  </si>
  <si>
    <t>СМаксФизИзменяем</t>
  </si>
  <si>
    <t>СрФизИзменяем</t>
  </si>
  <si>
    <t>ВидИзменяем</t>
  </si>
  <si>
    <t>СОтслеживаем</t>
  </si>
  <si>
    <t>ВидОтслеживаем</t>
  </si>
  <si>
    <t>Сопоставление</t>
  </si>
  <si>
    <t>O.K.</t>
  </si>
  <si>
    <t>ФОтслеживаем</t>
  </si>
  <si>
    <t>Диапазон анализа</t>
  </si>
  <si>
    <t>мин</t>
  </si>
  <si>
    <t>макс</t>
  </si>
  <si>
    <t>Шаг</t>
  </si>
  <si>
    <t>Шаг анализа</t>
  </si>
  <si>
    <t xml:space="preserve">"""UPMAIN_2
=ЕСЛИ(ИЛИ(И(R[1]C=""""F0"""";RC[1]=""""F0"""");И(R[1]C=""""F0"""";RC[1]=""""F2"""");И(R[1]C=""""F0"""";RC[1]=""""F4"""");И(R[1]C=""""F3"""";RC[1]=""""F0"""");И(R[1]C=""""F3"""";RC[1]=""""F2"""");И(R[1]C=""""F3"""";RC[1]=""""F4"""");И(R[1]C=""""F4"""";RC[1]=""""F0"""");И(R[1]C=""""F4"""";RC[1]=""""F2"""");И(R[1]C=""""F4"""";RC[1]=""""F4""""));ЕСЛИ(ИЛИ(И(R[1]C[1]=""""F0"""";R[2]C[2]=""""F5"""");И(R[1]C[1]=""""F5"""";R[2]C[2]=""""F0""""));ДВССЫЛ(""""ПВF0F0_05[ВF0F0_05]"""");ЕСЛИ(ИЛИ(R[1]C[1]=""""F0"""";R[2]C[2]=""""F0"""");ДВССЫЛ(""""П_В_F0_F0т5[В_F0_F0т5]"""");ЕСЛИ(ИЛИ(R[1]C[1]=""""F5"""";R[2]C[2]=""""F5"""");ДВССЫЛ(""""П_В_F0_F0т0[В_F0_F0т0]"""");ДВССЫЛ(""""ПВF0F0_05[ВF0F0_05]""""))));ЕСЛИ(ИЛИ(И(R[1]C=""""F0"""";RC[1]=""""F1"""");И(R[1]C=""""F0"""";RC[1]=""""F3"""");И(R[1]C=""""F0"""";RC[1]=""""F5"""");И(R[1]C=""""F3"""";RC[1]=""""F1"""");И(R[1]C=""""F3"""";RC[1]=""""F3"""");И(R[1]C=""""F3"""";RC[1]=""""F5"""");И(R[1]C=""""F4"""";RC[1]=""""F1"""");И(R[1]C=""""F4"""";RC[1]=""""F3"""");И(R[1]C=""""F4"""";RC[1]=""""F5""""));ЕСЛИ(ИЛИ(И(R[1]C[1]=""""F0"""";R[2]C[2]=""""F5"""");И(R[1]C[1]=""""F5"""";R[2]C[2]=""""F0""""));ДВССЫЛ(""""ПВF0F1_05[ВF0F1_05]"""");ЕСЛИ(ИЛИ(R[1]C[1]=""""F0"""";R[2]C[2]=""""F0"""");ДВССЫЛ(""""П_В_F0_F1т5[В_F0_F1т5]"""");ЕСЛИ(ИЛИ(R[1]C[1]=""""F5"""";R[2]C[2]=""""F5"""");ДВССЫЛ(""""П_В_F0_F1т0[В_F0_F1т0]"""");ДВССЫЛ(""""ПВF0F1_05[ВF0F1_05]""""))));ЕСЛИ(ИЛИ(И(R[1]C=""""F1"""";RC[1]=""""F0"""");И(R[1]C=""""F1"""";RC[1]=""""F2"""");И(R[1]C=""""F1"""";RC[1]=""""F4"""");И(R[1]C=""""F2"""";RC[1]=""""F0"""");И(R[1]C=""""F2"""";RC[1]=""""F2"""");И(R[1]C=""""F2"""";RC[1]=""""F4"""");И(R[1]C=""""F5"""";RC[1]=""""F0"""");И(R[1]C=""""F5"""";RC[1]=""""F2"""");И(R[1]C=""""F5"""";RC[1]=""""F4""""));ЕСЛИ(ИЛИ(И(R[1]C[1]=""""F0"""";R[2]C[2]=""""F5"""");И(R[1]C[1]=""""F5"""";R[2]C[2]=""""F0""""));ДВССЫЛ(""""ПВF1F0_05[ВF1F0_05]"""");ЕСЛИ(ИЛИ(R[1]C[1]=""""F0"""";R[2]C[2]=""""F0"""");ДВССЫЛ(""""П_В_F1_F0т5[В_F1_F0т5]"""");ЕСЛИ(ИЛИ(R[1]C[1]=""""F5"""";R[2]C[2]=""""F5"""");ДВССЫЛ(""""П_В_F1_F0т0[В_F1_F0т0]"""");ДВССЫЛ(""""ПВF1F0_05[ВF1F0_05]""""))));ЕСЛИ(ИЛИ(И(R[1]C=""""F1"""";RC[1]=""""F1"""");И(R[1]C=""""F1"""";RC[1]=""""F3"""");И(R[1]C=""""F1"""";RC[1]=""""F5"""");И(R[1]C=""""F2"""";RC[1]=""""F1"""");И(R[1]C=""""F2"""";RC[1]=""""F3"""");И(R[1]C=""""F2"""";RC[1]=""""F5"""");И(R[1]C=""""F5"""";RC[1]=""""F1"""");И(R[1]C=""""F5"""";RC[1]=""""F3"""");И(R[1]C=""""F5"""";RC[1]=""""F5""""));ЕСЛИ(ИЛИ(И(R[1]C[1]=""""F0"""";R[2]C[2]=""""F5"""");И(R[1]C[1]=""""F5"""";R[2]C[2]=""""F0""""));ДВССЫЛ(""""ПВF1F1_05[ВF1F1_05]"""");ЕСЛИ(ИЛИ(R[1]C[1]=""""F0"""";R[2]C[2]=""""F0"""");ДВССЫЛ(""""П_В_F1_F1т5[В_F1_F1т5]"""");ЕСЛИ(ИЛИ(R[1]C[1]=""""F5"""";R[2]C[2]=""""F5"""");ДВССЫЛ(""""П_В_F1_F1т0[В_F1_F1т0]"""");ДВССЫЛ(""""ПВF1F1_05[ВF1F1_05]""""))));))))
UPMAIN_1
=ЕСЛИ(ИЛИ(И(R[1]C=""""F0"""";RC[1]=""""F0"""");И(R[1]C=""""F0"""";RC[1]=""""F2"""");И(R[1]C=""""F0"""";RC[1]=""""F4"""");И(R[1]C=""""F3"""";RC[1]=""""F0"""");И(R[1]C=""""F3"""";RC[1]=""""F2"""");И(R[1]C=""""F3"""";RC[1]=""""F4"""");И(R[1]C=""""F4"""";RC[1]=""""F0"""");И(R[1]C=""""F4"""";RC[1]=""""F2"""");И(R[1]C=""""F4"""";RC[1]=""""F4""""));ЕСЛИ(R[1]C[1]=""""F0"""";ДВССЫЛ(""""П_В_F0_F0_0[В_F0_F0_0]"""");ЕСЛИ(R[1]C[1]=""""F5"""";ДВССЫЛ(""""П_В_F0_F0_5[В_F0_F0_5]"""");ДВССЫЛ(""""П_В_F0_F0[В_F0_F0]"""")));ЕСЛИ(ИЛИ(И(R[1]C=""""F0"""";RC[1]=""""F1"""");И(R[1]C=""""F0"""";RC[1]=""""F3"""");И(R[1]C=""""F0"""";RC[1]=""""F5"""");И(R[1]C=""""F3"""";RC[1]=""""F1"""");И(R[1]C=""""F3"""";RC[1]=""""F3"""");И(R[1]C=""""F3"""";RC[1]=""""F5"""");И(R[1]C=""""F4"""";RC[1]=""""F1"""");И(R[1]C=""""F4"""";RC[1]=""""F3"""");И(R[1]C=""""F4"""";RC[1]=""""F5""""));ЕСЛИ(R[1]C[1]=""""F0"""";ДВССЫЛ(""""П_В_F0_F1_0[В_F0_F1_0]"""");ЕСЛИ(R[1]C[1]=""""F5"""";ДВССЫЛ(""""П_В_F0_F1_5[В_F0_F1_5]"""");ДВССЫЛ(""""П_В_F0_F1[В_F0_F1]"""")));ЕСЛИ(ИЛИ(И(R[1]C=""""F1"""";RC[1]=""""F0"""");И(R[1]C=""""F1"""";RC[1]=""""F2"""");И(R[1]C=""""F1"""";RC[1]=""""F4"""");И(R[1]C=""""F2"""";RC[1]=""""F0"""");И(R[1]C=""""F2"""";RC[1]=""""F2"""");И(R[1]C=""""F2"""";RC[1]=""""F4"""");И(R[1]C=""""F5"""";RC[1]=""""F0"""");И(R[1]C=""""F5"""";RC[1]=""""F2"""");И(R[1]C=""""F5"""";RC[1]=""""F4""""));ЕСЛИ(R[1]C[1]=""""F0"""";ДВССЫЛ(""""П_В_F1_F0_0[В_F1_F0_0]"""");ЕСЛИ(R[1]C[1]=""""F5"""";ДВССЫЛ(""""П_В_F1_F0_5[В_F1_F0_5]"""");ДВССЫЛ(""""П_В_F1_F0[В_F1_F0]"""")));ЕСЛИ(ИЛИ(И(R[1]C=""""F1"""";RC[1]=""""F1"""");И(R[1]C=""""F1"""";RC[1]=""""F3"""");И(R[1]C=""""F1"""";RC[1]=""""F5"""");И(R[1]C=""""F2"""";RC[1]=""""F1"""");И(R[1]C=""""F2"""";RC[1]=""""F3"""");И(R[1]C=""""F2"""";RC[1]=""""F5"""");И(R[1]C=""""F5"""";RC[1]=""""F1"""");И(R[1]C=""""F5"""";RC[1]=""""F3"""");И(R[1]C=""""F5"""";RC[1]=""""F5""""));ЕСЛИ(R[1]C[1]=""""F0"""";ДВССЫЛ(""""П_В_F1_F1_0[В_F1_F1_0]"""");ЕСЛИ(R[1]C[1]=""""F5"""";ДВССЫЛ(""""П_В_F1_F1_5[В_F1_F1_5]"""");ДВССЫЛ(""""П_В_F1_F1[В_F1_F1]"""")));))))
UP
=ЕСЛИ(ИЛИ(И(R[1]C=""""F0"""";RC[1]=""""F0"""");И(R[1]C=""""F0"""";RC[1]=""""F2"""");И(R[1]C=""""F0"""";RC[1]=""""F4"""");И(R[1]C=""""F3"""";RC[1]=""""F0"""");И(R[1]C=""""F3"""";RC[1]=""""F2"""");И(R[1]C=""""F3"""";RC[1]=""""F4"""");И(R[1]C=""""F4"""";RC[1]=""""F0"""");И(R[1]C=""""F4"""";RC[1]=""""F2"""");И(R[1]C=""""F4"""";RC[1]=""""F4""""));ДВССЫЛ(""""П_В_F0_F0[В_F0_F0]"""");ЕСЛИ(ИЛИ(И(R[1]C=""""F0"""";RC[1]=""""F1"""");И(R[1]C=""""F0"""";RC[1]=""""F3"""");И(R[1]C=""""F0"""";RC[1]=""""F5"""");И(R[1]C=""""F3"""";RC[1]=""""F1"""");И(R[1]C=""""F3"""";RC[1]=""""F3"""");И(R[1]C=""""F3"""";RC[1]=""""F5"""");И(R[1]C=""""F4"""";RC[1]=""""F1"""");И(R[1]C=""""F4"""";RC[1]=""""F3"""");И(R[1]C=""""F4"""";RC[1]=""""F5""""));ДВССЫЛ(""""П_В_F0_F1[В_F0_F1]"""");ЕСЛИ(ИЛИ(И(R[1]C=""""F1"""";RC[1]=""""F0"""");И(R[1]C=""""F1"""";RC[1]=""""F2"""");И(R[1]C=""""F1"""";RC[1]=""""F4"""");И(R[1]C=""""F2"""";RC[1]=""""F0"""");И(R[1]C=""""F2"""";RC[1]=""""F2"""");И(R[1]C=""""F2"""";RC[1]=""""F4"""");И(R[1]C=""""F5"""";RC[1]=""""F0"""");И(R[1]C=""""F5"""";RC[1]=""""F2"""");И(R[1]C=""""F5"""";RC[1]=""""F4""""));ДВССЫЛ(""""П_В_F1_F0[В_F1_F0]"""");ЕСЛИ(ИЛИ(И(R[1]C=""""F1"""";RC[1]=""""F1"""");И(R[1]C=""""F1"""";RC[1]=""""F3"""");И(R[1]C=""""F1"""";RC[1]=""""F5"""");И(R[1]C=""""F2"""";RC[1]=""""F1"""");И(R[1]C=""""F2"""";RC[1]=""""F3"""");И(R[1]C=""""F2"""";RC[1]=""""F5"""");И(R[1]C=""""F5"""";RC[1]=""""F1"""");И(R[1]C=""""F5"""";RC[1]=""""F3"""");И(R[1]C=""""F5"""";RC[1]=""""F5""""));ДВССЫЛ(""""П_В_F1_F1[В_F1_F1]"""");))))
Расчётсвёртки
=Еслиошибка(Если(И(округлвниз(R[-2]C;0)&gt;=1;округлвниз(R[-1]C;0)&gt;=1);
Если(И(округлвниз(R[-2]C;0)&lt;2;округлвниз(R[-1]C;0)&lt;2);Вычисление_1_1;
Если(И(округлвниз(R[-2]C;0)&lt;2;округлвниз(R[-1]C;0)&lt;3);Вычисление_1_2+ВПР(RC[3];Длт;3;ЛОЖЬ);
Если(И(округлвниз(R[-2]C;0)&lt;2;округлвниз(R[-1]C;0)&lt;=4);Вычисление_1_3+ВПР(RC[3];Длт;3;ЛОЖЬ)+ВПР(RC[2];Длт;3;ЛОЖЬ);
Если(И(округлвниз(R[-2]C;0)&lt;3;округлвниз(R[-1]C;0)&lt;2);Вычисление_2_1+ВПР(RC[3];Длт;2;ЛОЖЬ);
Если(И(округлвниз(R[-2]C;0)&lt;3;округлвниз(R[-1]C;0)&lt;3);Вычисление_2_2+ВПР(RC[3];Длт;4;ЛОЖЬ);
Если(И(округлвниз(R[-2]C;0)&lt;3;округлвниз(R[-1]C;0)&lt;=4);Вычисление_2_3+ВПР(RC[3];Длт;4;ЛОЖЬ)+ВПР(R[-1]C[2];Длт;3;ЛОЖЬ);
Если(И(округлвниз(R[-2]C;0)&lt;=4;округлвниз(R[-1]C;0)&lt;2);Вычисление_3_1+ВПР(RC[3];Длт;2;ЛОЖЬ)+ВПР(R[-1]C[3];Длт;2;ЛОЖЬ);
Если(И(округлвниз(R[-2]C;0)&lt;=4;округлвниз(R[-1]C;0)&lt;3);Вычисление_3_2+ВПР(RC[3];Длт;2;ЛОЖЬ)+ВПР(R[-1]C[3];Длт;4;ЛОЖЬ);
Если(И(округлвниз(R[-2]C;0)&lt;=4;округлвниз(R[-1]C;0)&lt;=4);Вычисление_3_3+ВПР(RC[3];Длт;4;ЛОЖЬ)+ВПР(R[-1]C[2];Длт;4;ЛОЖЬ);""
)))))))));"");)
ROWDOWN_1
=ЕСЛИ(Модель!RC[1]=""""F0"""";ДВССЫЛ(""""П_Низ_F0[Низ_F0]"""");
ЕСЛИ(Модель!RC[1]=""""F1"""";ДВССЫЛ(""""П_Низ_F1[Низ_F1]"""");
ЕСЛИ(Модель!RC[1]=""""F2"""";ДВССЫЛ(""""П_Низ_F2[Низ_F2]"""");
ЕСЛИ(Модель!RC[1]=""""F3"""";ДВССЫЛ(""""П_Низ_F3[Низ_F3]"""");
ЕСЛИ(Модель!RC[1]=""""F4"""";ДВССЫЛ(""""П_Низ_F4[Низ_F4]"""");
ЕСЛИ(Модель!RC[1]=""""F5"""";
ЕСЛИ(Модель!RC[2]=""""F5"""";ДВССЫЛ(""""П_Низ_F5_5[Низ_F5_5]"""");ДВССЫЛ(""""П_Низ_F5[Низ_F5]""""))
;))))))
COLUMNRIHT_1
=ЕСЛИ(Модель!R[1]C=""""F0"""";ДВССЫЛ(""""П_Бок_F0[Бок_F0]"""");
ЕСЛИ(Модель!R[1]C=""""F1"""";ДВССЫЛ(""""П_Бок_F1[Бок_F1]"""");
ЕСЛИ(Модель!R[1]C=""""F2"""";ДВССЫЛ(""""П_Бок_F2[Бок_F2]"""");
ЕСЛИ(Модель!R[1]C=""""F3"""";ДВССЫЛ(""""П_Бок_F3[Бок_F3]"""");
ЕСЛИ(Модель!R[1]C=""""F4"""";ДВССЫЛ(""""П_Бок_F4[Бок_F4]"""");
ЕСЛИ(Модель!R[1]C=""""F5"""";
ЕСЛИ(Модель!R[2]C=""""F5"""";ДВССЫЛ(""""П_Бок_F5_5[Бок_F5_5]"""");ДВССЫЛ(""""П_Бок_F5[Бок_F5]""""))
;))))))
UPLEFT
=ЕСЛИ(ИЛИ(И(Модель!R[1]C=""""F0"""";ИЛИ(Модель!RC[1]=""""F0"""";Модель!RC[1]=""""F2"""";Модель!RC[1]=""""F4""""));И(Модель!R[1]C=""""F3"""";ИЛИ(Модель!RC[1]=""""F0"""";Модель!RC[1]=""""F2"""";Модель!RC[1]=""""F4""""));И(Модель!R[1]C=""""F4"""";ИЛИ(Модель!RC[1]=""""F0"""";Модель!RC[1]=""""F2"""";Модель!RC[1]=""""F4"""")););ЕСЛИ((ВПР(Модель!R[1]C[1];Длт;4;ЛОЖЬ)+ВПР(Модель!R[1]C[2];Длт;3;ЛОЖЬ))&gt;=3;ДВССЫЛ(""""П_В_F0_F0т0[В_F0_F0т0]"""");ЕСЛИ((ВПР(Модель!R[1]C[1];Длт;4;ЛОЖЬ)+ВПР(Модель!R[1]C[2];Длт;3;ЛОЖЬ))&gt;=2;ДВССЫЛ(""""П_В_F0_F0_5[В_F0_F0_5]"""");ДВССЫЛ(""""П_В_F0_F0[В_F0_F0]"""")));ЕСЛИ(ИЛИ(И(Модель!R[1]C=""""F0"""";ИЛИ(Модель!RC[1]=""""F1"""";Модель!RC[1]=""""F3"""";Модель!RC[1]=""""F5""""));И(Модель!R[1]C=""""F3"""";ИЛИ(Модель!RC[1]=""""F1"""";Модель!RC[1]=""""F3"""";Модель!RC[1]=""""F5""""));И(Модель!R[1]C=""""F4"""";ИЛИ(Модель!RC[1]=""""F1"""";Модель!RC[1]=""""F3"""";Модель!RC[1]=""""F5"""")););ЕСЛИ((ВПР(Модель!R[1]C[1];Длт;4;ЛОЖЬ)+ВПР(Модель!R[1]C[2];Длт;3;ЛОЖЬ))&gt;=3;ДВССЫЛ(""""П_В_F0_F1т0[В_F0_F1т0]"""");ЕСЛИ((ВПР(Модель!R[1]C[1];Длт;4;ЛОЖЬ)+ВПР(Модель!R[1]C[2];Длт;3;ЛОЖЬ))&gt;=2;ДВССЫЛ(""""П_В_F0_F1_5[В_F0_F1_5]"""");ДВССЫЛ(""""П_В_F0_F1[В_F0_F1]"""")));ЕСЛИ(ИЛИ(И(Модель!R[1]C=""""F1"""";ИЛИ(Модель!RC[1]=""""F0"""";Модель!RC[1]=""""F2"""";Модель!RC[1]=""""F4""""));И(Модель!R[1]C=""""F2"""";ИЛИ(Модель!RC[1]=""""F0"""";Модель!RC[1]=""""F2"""";Модель!RC[1]=""""F4""""));И(Модель!R[1]C=""""F5"""";ИЛИ(Модель!RC[1]=""""F0"""";Модель!RC[1]=""""F2"""";Модель!RC[1]=""""F4"""")););ЕСЛИ((ВПР(Модель!R[1]C[1];Длт;4;ЛОЖЬ)+ВПР(Модель!R[1]C[2];Длт;3;ЛОЖЬ))&gt;=3;ДВССЫЛ(""""П_В_F1_F0т0[В_F1_F0т0]"""");ЕСЛИ((ВПР(Модель!R[1]C[1];Длт;4;ЛОЖЬ)+ВПР(Модель!R[1]C[2];Длт;3;ЛОЖЬ))&gt;=2;ДВССЫЛ(""""П_В_F1_F0_5[В_F1_F0_5]"""");ДВССЫЛ(""""П_В_F1_F0[В_F1_F0]"""")));ЕСЛИ(ИЛИ(И(Модель!R[1]C=""""F1"""";ИЛИ(Модель!RC[1]=""""F1"""";Модель!RC[1]=""""F3"""";Модель!RC[1]=""""F5""""));И(Модель!R[1]C=""""F2"""";ИЛИ(Модель!RC[1]=""""F1"""";Модель!RC[1]=""""F3"""";Модель!RC[1]=""""F5""""));И(Модель!R[1]C=""""F5"""";ИЛИ(Модель!RC[1]=""""F1"""";Модель!RC[1]=""""F3"""";Модель!RC[1]=""""F5"""")););ЕСЛИ((ВПР(Модель!R[1]C[1];Длт;4;ЛОЖЬ)+ВПР(Модель!R[1]C[2];Длт;3;ЛОЖЬ))&gt;=3;ДВССЫЛ(""""П_В_F1_F1т0[В_F1_F1т0]"""");ЕСЛИ((ВПР(Модель!R[1]C[1];Длт;4;ЛОЖЬ)+ВПР(Модель!R[1]C[2];Длт;3;ЛОЖЬ))&gt;=2;ДВССЫЛ(""""П_В_F1_F1_5[В_F1_F1_5]"""");ДВССЫЛ(""""П_В_F1_F1[В_F1_F1]"""")));))))
UPUP
=ЕСЛИ(ИЛИ(И(Модель!R[1]C=""""F0"""";ИЛИ(Модель!RC[1]=""""F0"""";Модель!RC[1]=""""F2"""";Модель!RC[1]=""""F4""""));И(Модель!R[1]C=""""F3"""";ИЛИ(Модель!RC[1]=""""F0"""";Модель!RC[1]=""""F2"""";Модель!RC[1]=""""F4""""));И(Модель!R[1]C=""""F4"""";ИЛИ(Модель!RC[1]=""""F0"""";Модель!RC[1]=""""F2"""";Модель!RC[1]=""""F4"""")););ЕСЛИ((ВПР(Модель!R[1]C[1];Длт;4;ЛОЖЬ)+ВПР(Модель!R[2]C[1];Длт;2;ЛОЖЬ))&gt;=3;ДВССЫЛ(""""П_В_F0_F0т0[В_F0_F0т0]"""");ЕСЛИ((ВПР(Модель!R[1]C[1];Длт;4;ЛОЖЬ)+ВПР(Модель!R[2]C[1];Длт;2;ЛОЖЬ))&gt;=2;ДВССЫЛ(""""П_В_F0_F0_5[В_F0_F0_5]"""");ДВССЫЛ(""""П_В_F0_F0[В_F0_F0]"""")));ЕСЛИ(ИЛИ(И(Модель!R[1]C=""""F0"""";ИЛИ(Модель!RC[1]=""""F1"""";Модель!RC[1]=""""F3"""";Модель!RC[1]=""""F5""""));И(Модель!R[1]C=""""F3"""";ИЛИ(Модель!RC[1]=""""F1"""";Модель!RC[1]=""""F3"""";Модель!RC[1]=""""F5""""));И(Модель!R[1]C=""""F4"""";ИЛИ(Модель!RC[1]=""""F1"""";Модель!RC[1]=""""F3"""";Модель!RC[1]=""""F5"""")););ЕСЛИ((ВПР(Модель!R[1]C[1];Длт;4;ЛОЖЬ)+ВПР(Модель!R[2]C[1];Длт;2;ЛОЖЬ))&gt;=3;ДВССЫЛ(""""П_В_F0_F1т0[В_F0_F1т0]"""");ЕСЛИ((ВПР(Модель!R[1]C[1];Длт;4;ЛОЖЬ)+ВПР(Модель!R[2]C[1];Длт;2;ЛОЖЬ))&gt;=2;ДВССЫЛ(""""П_В_F0_F1_5[В_F0_F1_5]"""");ДВССЫЛ(""""П_В_F0_F1[В_F0_F1]"""")));ЕСЛИ(ИЛИ(И(Модель!R[1]C=""""F1"""";ИЛИ(Модель!RC[1]=""""F0"""";Модель!RC[1]=""""F2"""";Модель!RC[1]=""""F4""""));И(Модель!R[1]C=""""F2"""";ИЛИ(Модель!RC[1]=""""F0"""";Модель!RC[1]=""""F2"""";Модель!RC[1]=""""F4""""));И(Модель!R[1]C=""""F5"""";ИЛИ(Модель!RC[1]=""""F0"""";Модель!RC[1]=""""F2"""";Модель!RC[1]=""""F4"""")););ЕСЛИ((ВПР(Модель!R[1]C[1];Длт;4;ЛОЖЬ)+ВПР(Модель!R[2]C[1];Длт;2;ЛОЖЬ))&gt;=3;ДВССЫЛ(""""П_В_F1_F0т0[В_F1_F0т0]"""");ЕСЛИ((ВПР(Модель!R[1]C[1];Длт;4;ЛОЖЬ)+ВПР(Модель!R[2]C[1];Длт;2;ЛОЖЬ))&gt;=2;ДВССЫЛ(""""П_В_F1_F0_5[В_F1_F0_5]"""");ДВССЫЛ(""""П_В_F1_F0[В_F1_F0]"""")));ЕСЛИ(ИЛИ(И(Модель!R[1]C=""""F1"""";ИЛИ(Модель!RC[1]=""""F1"""";Модель!RC[1]=""""F3"""";Модель!RC[1]=""""F5""""));И(Модель!R[1]C=""""F2"""";ИЛИ(Модель!RC[1]=""""F1"""";Модель!RC[1]=""""F3"""";Модель!RC[1]=""""F5""""));И(Модель!R[1]C=""""F5"""";ИЛИ(Модель!RC[1]=""""F1"""";Модель!RC[1]=""""F3"""";Модель!RC[1]=""""F5"""")););ЕСЛИ((ВПР(Модель!R[1]C[1];Длт;4;ЛОЖЬ)+ВПР(Модель!R[2]C[1];Длт;2;ЛОЖЬ))&gt;=3;ДВССЫЛ(""""П_В_F1_F1т0[В_F1_F1т0]"""");ЕСЛИ((ВПР(Модель!R[1]C[1];Длт;4;ЛОЖЬ)+ВПР(Модель!R[2]C[1];Длт;2;ЛОЖЬ))&gt;=2;ДВССЫЛ(""""П_В_F1_F1_5[В_F1_F1_5]"""");ДВССЫЛ(""""П_В_F1_F1[В_F1_F1]"""")));))))
""
Приведение
=Еслиошибка(ЕСЛИ(И(Модель!R[1]C&lt;=МАКС(Модель!R[1]C[-3]:R[1]C[-1]);Модель!R[1]C&gt;=МИН(Модель!R[1]C[-3]:R[1]C[-1])); ЕСЛИ(Модель!R[1]C[-2]&lt;=МАКС(Модель!R[1]C[-3];Модель!R[1]C[-1]); ЕСЛИ(ИЛИ(Модель!R[-1]C[-3]="Прямая";Модель!R[-1]C[-3]="Обратная");((Модель!R[1]C-Модель!R[1]C[-3])*(Модель!RC[-1]-Модель!RC[-3])/(Модель!R[1]C[-1]-Модель!R[1]C[-3]))+Модель!RC[-3];ЕСЛИ(МИН(Модель!R[1]C[-3]:R[1]C[-1])=Модель!R[1]C[-3]; ЕСЛИ((Модель!R[1]C[-3]+Модель!R[1]C)&lt;=Модель!R[1]C[-2];((Модель!R[1]C-Модель!R[1]C[-3])*(Модель!RC[-2]-Модель!RC[-3])/(Модель!R[1]C[-2]-Модель!R[1]C[-3]))+Модель!RC[-3];((Модель!R[1]C-Модель!R[1]C[-2])*(Модель!RC[-1]-Модель!RC[-2])/(Модель!R[1]C[-1]-Модель!R[1]C[-2]))+Модель!RC[-2]); ЕСЛИ(МИН(Модель!R[1]C[-3]:R[1]C[-1])=Модель!R[1]C[-1];ЕСЛИ((Модель!R[1]C[-1]+Модель!R[1]C)&lt;=Модель!R[1]C[-2];((Модель!R[1]C-Модель!R[1]C[-2])*(Модель!RC[-1]-Модель!RC[-2])/(Модель!R[1]C[-1]-Модель!R[1]C[-2]))+Модель!RC[-2];((Модель!R[1]C-Модель!R[1]C[-3])*(Модель!RC[-2]-Модель!RC[-3])/(Модель!R[1]C[-2]-Модель!R[1]C[-3]))+Модель!RC[-3]);"!!!")));"!!!");"!!!");"!!!")
Вычисление_1_1
=ЕСЛИ(Модель!RC[3]="F0";ИНДЕКС(MatrixF0;(Модель!R[-2]C-1+0,01)*100;(Модель!R[-1]C-1+0,02)*100);
ЕСЛИ(Модель!RC[3]="F1";ИНДЕКС(MatrixF1;(Модель!R[-2]C-1+0,01)*100;(Модель!R[-1]C-1+0,02)*100);
ЕСЛИ(Модель!RC[3]="F2";ИНДЕКС(MatrixF2;(Модель!R[-2]C-1+0,01)*100;(Модель!R[-1]C-1+0,02)*100);
ЕСЛИ(Модель!RC[3]="F3";ИНДЕКС(MatrixF3;(Модель!R[-2]C-1+0,01)*100;(Модель!R[-1]C-1+0,02)*100);
ЕСЛИ(Модель!RC[3]="F4";ИНДЕКС(MatrixF4;(Модель!R[-2]C-1+0,01)*100;(Модель!R[-1]C-1+0,02)*100);
ЕСЛИ(Модель!RC[3]="F5";ИНДЕКС(MatrixF5;(Модель!R[-2]C-1+0,01)*100;(Модель!R[-1]C-1+0,02)*100);""))))))
Вычисление_1_2
=ЕСЛИ(Модель!RC[2]="F0";ИНДЕКС(MatrixF0;(Модель!R[-2]C-1+0,01)*100;(Модель!R[-1]C-2+0,02)*100);
ЕСЛИ(Модель!RC[2]="F1";ИНДЕКС(MatrixF1;(Модель!R[-2]C-1+0,01)*100;(Модель!R[-1]C-2+0,02)*100);
ЕСЛИ(Модель!RC[2]="F2";ИНДЕКС(MatrixF2;(Модель!R[-2]C-1+0,01)*100;(Модель!R[-1]C-2+0,02)*100);
ЕСЛИ(Модель!RC[2]="F3";ИНДЕКС(MatrixF3;(Модель!R[-2]C-1+0,01)*100;(Модель!R[-1]C-2+0,02)*100);
ЕСЛИ(Модель!RC[2]="F4";ИНДЕКС(MatrixF4;(Модель!R[-2]C-1+0,01)*100;(Модель!R[-1]C-2+0,02)*100);
ЕСЛИ(Модель!RC[2]="F5";ИНДЕКС(MatrixF5;(Модель!R[-2]C-1+0,01)*100;(Модель!R[-1]C-2+0,02)*100);""))))))
Вычисление_1_3
=ЕСЛИ(Модель!RC[1]="F0";ИНДЕКС(MatrixF0;(Модель!R[-2]C-1+0,01)*100;(Модель!R[-1]C-3+0,02)*100);
ЕСЛИ(Модель!RC[1]="F1";ИНДЕКС(MatrixF1;(Модель!R[-2]C-1+0,01)*100;(Модель!R[-1]C-3+0,02)*100);
ЕСЛИ(Модель!RC[1]="F2";ИНДЕКС(MatrixF2;(Модель!R[-2]C-1+0,01)*100;(Модель!R[-1]C-3+0,02)*100);
ЕСЛИ(Модель!RC[1]="F3";ИНДЕКС(MatrixF3;(Модель!R[-2]C-1+0,01)*100;(Модель!R[-1]C-3+0,02)*100);
ЕСЛИ(Модель!RC[1]="F4";ИНДЕКС(MatrixF4;(Модель!R[-2]C-1+0,01)*100;(Модель!R[-1]C-3+0,02)*100);
ЕСЛИ(Модель!RC[1]="F5";ИНДЕКС(MatrixF5;(Модель!R[-2]C-1+0,01)*100;(Модель!R[-1]C-3+0,02)*100);""))))))
Вычисление_2_1
=ЕСЛИ(Модель!R[-1]C[3]="F0";ИНДЕКС(MatrixF0;(Модель!R[-2]C-2+0,01)*100;(Модель!R[-1]C-1+0,02)*100);
ЕСЛИ(Модель!R[-1]C[3]="F1";ИНДЕКС(MatrixF1;(Модель!R[-2]C-2+0,01)*100;(Модель!R[-1]C-1+0,02)*100);
ЕСЛИ(Модель!R[-1]C[3]="F2";ИНДЕКС(MatrixF2;(Модель!R[-2]C-2+0,01)*100;(Модель!R[-1]C-1+0,02)*100);
ЕСЛИ(Модель!R[-1]C[3]="F3";ИНДЕКС(MatrixF3;(Модель!R[-2]C-2+0,01)*100;(Модель!R[-1]C-1+0,02)*100);
ЕСЛИ(Модель!R[-1]C[3]="F4";ИНДЕКС(MatrixF4;(Модель!R[-2]C-2+0,01)*100;(Модель!R[-1]C-1+0,02)*100);
ЕСЛИ(Модель!R[-1]C[3]="F5";ИНДЕКС(MatrixF5;(Модель!R[-2]C-2+0,01)*100;(Модель!R[-1]C-1+0,02)*100);""))))))
Вычисление_2_2
=ЕСЛИ(Модель!R[-1]C[2]="F0";ИНДЕКС(MatrixF0;(Модель!R[-2]C-2+0,01)*100;(Модель!R[-1]C-2+0,02)*100);
ЕСЛИ(Модель!R[-1]C[2]="F1";ИНДЕКС(MatrixF1;(Модель!R[-2]C-2+0,01)*100;(Модель!R[-1]C-2+0,02)*100);
ЕСЛИ(Модель!R[-1]C[2]="F2";ИНДЕКС(MatrixF2;(Модель!R[-2]C-2+0,01)*100;(Модель!R[-1]C-2+0,02)*100);
ЕСЛИ(Модель!R[-1]C[2]="F3";ИНДЕКС(MatrixF3;(Модель!R[-2]C-2+0,01)*100;(Модель!R[-1]C-2+0,02)*100);
ЕСЛИ(Модель!R[-1]C[2]="F4";ИНДЕКС(MatrixF4;(Модель!R[-2]C-2+0,01)*100;(Модель!R[-1]C-2+0,02)*100);
ЕСЛИ(Модель!R[-1]C[2]="F5";ИНДЕКС(MatrixF5;(Модель!R[-2]C-2+0,01)*100;(Модель!R[-1]C-2+0,02)*100);""))))))
Вычисление_2_3
=ЕСЛИ(Модель!R[-1]C[1]="F0";ИНДЕКС(MatrixF0;(Модель!R[-2]C-2+0,01)*100;(Модель!R[-1]C-3+0,02)*100);
ЕСЛИ(Модель!R[-1]C[1]="F1";ИНДЕКС(MatrixF1;(Модель!R[-2]C-2+0,01)*100;(Модель!R[-1]C-3+0,02)*100);
ЕСЛИ(Модель!R[-1]C[1]="F2";ИНДЕКС(MatrixF2;(Модель!R[-2]C-2+0,01)*100;(Модель!R[-1]C-3+0,02)*100);
ЕСЛИ(Модель!R[-1]C[1]="F3";ИНДЕКС(MatrixF3;(Модель!R[-2]C-2+0,01)*100;(Модель!R[-1]C-3+0,02)*100);
ЕСЛИ(Модель!R[-1]C[1]="F4";ИНДЕКС(MatrixF4;(Модель!R[-2]C-2+0,01)*100;(Модель!R[-1]C-3+0,02)*100);
ЕСЛИ(Модель!R[-1]C[1]="F5";ИНДЕКС(MatrixF5;(Модель!R[-2]C-2+0,01)*100;(Модель!R[-1]C-3+0,02)*100);""))))))
Вычисление_3_1
=ЕСЛИ(Модель!R[-2]C[3]="F0";ИНДЕКС(MatrixF0;(Модель!R[-2]C-3+0,01)*100;(Модель!R[-1]C-1+0,02)*100);
ЕСЛИ(Модель!R[-2]C[3]="F1";ИНДЕКС(MatrixF1;(Модель!R[-2]C-3+0,01)*100;(Модель!R[-1]C-1+0,02)*100);
ЕСЛИ(Модель!R[-2]C[3]="F2";ИНДЕКС(MatrixF2;(Модель!R[-2]C-3+0,01)*100;(Модель!R[-1]C-1+0,02)*100);
ЕСЛИ(Модель!R[-2]C[3]="F3";ИНДЕКС(MatrixF3;(Модель!R[-2]C-3+0,01)*100;(Модель!R[-1]C-1+0,02)*100);
ЕСЛИ(Модель!R[-2]C[3]="F4";ИНДЕКС(MatrixF4;(Модель!R[-2]C-3+0,01)*100;(Модель!R[-1]C-1+0,02)*100);
ЕСЛИ(Модель!R[-2]C[3]="F5";ИНДЕКС(MatrixF5;(Модель!R[-2]C-3+0,01)*100;(Модель!R[-1]C-1+0,02)*100);""))))))
Вычисление_3_2
=ЕСЛИ(Модель!R[-2]C[2]="F0";ИНДЕКС(MatrixF0;(Модель!R[-2]C-3+0,01)*100;(Модель!R[-1]C-2+0,02)*100);
ЕСЛИ(Модель!R[-2]C[2]="F1";ИНДЕКС(MatrixF1;(Модель!R[-2]C-3+0,01)*100;(Модель!R[-1]C-2+0,02)*100);
ЕСЛИ(Модель!R[-2]C[2]="F2";ИНДЕКС(MatrixF2;(Модель!R[-2]C-3+0,01)*100;(Модель!R[-1]C-2+0,02)*100);
ЕСЛИ(Модель!R[-2]C[2]="F3";ИНДЕКС(MatrixF3;(Модель!R[-2]C-3+0,01)*100;(Модель!R[-1]C-2+0,02)*100);
ЕСЛИ(Модель!R[-2]C[2]="F4";ИНДЕКС(MatrixF4;(Модель!R[-2]C-3+0,01)*100;(Модель!R[-1]C-2+0,02)*100);
ЕСЛИ(Модель!R[-2]C[2]="F5";ИНДЕКС(MatrixF5;(Модель!R[-2]C-3+0,01)*100;(Модель!R[-1]C-2+0,02)*100);""))))))
Вычисление_3_3
=ЕСЛИ(Модель!R[-2]C[1]="F0";ИНДЕКС(MatrixF0;(Модель!R[-2]C-3+0,01)*100;(Модель!R[-1]C-3+0,02)*100);
ЕСЛИ(Модель!R[-2]C[1]="F1";ИНДЕКС(MatrixF1;(Модель!R[-2]C-3+0,01)*100;(Модель!R[-1]C-3+0,02)*100);
ЕСЛИ(Модель!R[-2]C[1]="F2";ИНДЕКС(MatrixF2;(Модель!R[-2]C-3+0,01)*100;(Модель!R[-1]C-3+0,02)*100);
ЕСЛИ(Модель!R[-2]C[1]="F3";ИНДЕКС(MatrixF3;(Модель!R[-2]C-3+0,01)*100;(Модель!R[-1]C-3+0,02)*100);
ЕСЛИ(Модель!R[-2]C[1]="F4";ИНДЕКС(MatrixF4;(Модель!R[-2]C-3+0,01)*100;(Модель!R[-1]C-3+0,02)*100);
ЕСЛИ(Модель!R[-2]C[1]="F5";ИНДЕКС(MatrixF5;(Модель!R[-2]C-3+0,01)*100;(Модель!R[-1]C-3+0,02)*100);""))))))
</t>
  </si>
  <si>
    <t>№</t>
  </si>
  <si>
    <t>Критерий</t>
  </si>
  <si>
    <t>Скритерий</t>
  </si>
  <si>
    <t>ФизКритерий</t>
  </si>
  <si>
    <t>СФизКритерий</t>
  </si>
  <si>
    <t>ТипКритерий</t>
  </si>
  <si>
    <t>СТипКритерий</t>
  </si>
  <si>
    <t>Фкритерий</t>
  </si>
  <si>
    <t>МинФизКритерий</t>
  </si>
  <si>
    <t>СМинФизКритерий</t>
  </si>
  <si>
    <t>МаксФизКритерий</t>
  </si>
  <si>
    <t>СМаксФизКритерий</t>
  </si>
  <si>
    <t>СрФизКритерий</t>
  </si>
  <si>
    <t>ССрФизКритерий</t>
  </si>
  <si>
    <t>ВидКритерий</t>
  </si>
  <si>
    <t>O.K.Критерий</t>
  </si>
  <si>
    <t>Свёртка</t>
  </si>
  <si>
    <t>ФСвёртка</t>
  </si>
  <si>
    <t>ВидСвёртка</t>
  </si>
  <si>
    <t>ССвёртка</t>
  </si>
  <si>
    <t>O.K.Свёртка</t>
  </si>
  <si>
    <t>Оценки</t>
  </si>
  <si>
    <t>Критерии</t>
  </si>
  <si>
    <t>3</t>
  </si>
  <si>
    <t>4</t>
  </si>
  <si>
    <t>5</t>
  </si>
  <si>
    <t>6</t>
  </si>
  <si>
    <t>7</t>
  </si>
  <si>
    <t>8</t>
  </si>
  <si>
    <t>9</t>
  </si>
  <si>
    <t>10</t>
  </si>
  <si>
    <t>11</t>
  </si>
  <si>
    <t>12</t>
  </si>
  <si>
    <t>13</t>
  </si>
  <si>
    <t>14</t>
  </si>
  <si>
    <t>15</t>
  </si>
  <si>
    <t>16</t>
  </si>
  <si>
    <t>17</t>
  </si>
  <si>
    <t>18</t>
  </si>
  <si>
    <t>19</t>
  </si>
  <si>
    <t>20</t>
  </si>
  <si>
    <t>21</t>
  </si>
  <si>
    <t>22</t>
  </si>
  <si>
    <t>23</t>
  </si>
  <si>
    <t>24</t>
  </si>
  <si>
    <t>25</t>
  </si>
  <si>
    <t>_</t>
  </si>
  <si>
    <t>__</t>
  </si>
  <si>
    <t>Y</t>
  </si>
  <si>
    <t>Количество проверяемых строк</t>
  </si>
  <si>
    <t>Общее количество строк</t>
  </si>
  <si>
    <t>Число заполненных строк</t>
  </si>
  <si>
    <t>заполненных корректно строк</t>
  </si>
  <si>
    <t>Искомое</t>
  </si>
  <si>
    <t>Мин</t>
  </si>
  <si>
    <t>Макс</t>
  </si>
  <si>
    <t>Качественные</t>
  </si>
  <si>
    <r>
      <t>№</t>
    </r>
    <r>
      <rPr>
        <sz val="11"/>
        <color theme="9" tint="0.79998168889431442"/>
        <rFont val="Calibri"/>
        <family val="2"/>
        <charset val="204"/>
        <scheme val="minor"/>
      </rPr>
      <t>_</t>
    </r>
    <r>
      <rPr>
        <sz val="11"/>
        <color theme="1"/>
        <rFont val="Calibri"/>
        <family val="2"/>
        <charset val="204"/>
        <scheme val="minor"/>
      </rPr>
      <t>Э</t>
    </r>
  </si>
  <si>
    <t>О</t>
  </si>
  <si>
    <t>Итог</t>
  </si>
  <si>
    <t>АЭКСП</t>
  </si>
  <si>
    <t>Наименование</t>
  </si>
  <si>
    <t>СНаименование</t>
  </si>
  <si>
    <t>___</t>
  </si>
  <si>
    <t>Представление</t>
  </si>
  <si>
    <t>Спрос</t>
  </si>
  <si>
    <t>X</t>
  </si>
  <si>
    <t>1; 2; 3</t>
  </si>
  <si>
    <t>=ЕСЛИОШИБКА(ЕСЛИ(ЛЕВСИМВ([@Фкритерий];5)="=Прив";"Критерий";ЕСЛИ(ЛЕВСИМВ([@Фкритерий];5)="=Матр";"ошибка";"ошибка"));"ошибка")</t>
  </si>
  <si>
    <t>=ЕСЛИОШИБКА(ЕСЛИ(ДЛСТР((ДВССЫЛ([@СНаименование];ЛОЖЬ)))=0;"ошибка";ЕСЛИОШИБКА(ДВССЫЛ([@СНаименование];ЛОЖЬ);"ошибка"));"ошибка")</t>
  </si>
  <si>
    <t>=ЕСЛИОШИБКА(ЕСЛИ(Ч(ДВССЫЛ([@СФизКритерий];ЛОЖЬ))=0;"ошибка";ЕСЛИОШИБКА(ДВССЫЛ([@СФизКритерий];ЛОЖЬ);"ошибка"));"ошибка")</t>
  </si>
  <si>
    <t>=ЕСЛИОШИБКА(ЕСЛИ(ИЛИ(ДВССЫЛ([@СТипКритерий];ЛОЖЬ)=Перебор!R58C14;ДВССЫЛ([@СТипКритерий];ЛОЖЬ)=Перебор!R59C14;ДВССЫЛ([@СТипКритерий];ЛОЖЬ)=Перебор!R60C14;ДВССЫЛ([@СТипКритерий];ЛОЖЬ)=Перебор!R61C14);ДВССЫЛ([@СТипКритерий];ЛОЖЬ);"ошибка");"ошибка")</t>
  </si>
  <si>
    <t>=ЕСЛИОШИБКА(Ф.ТЕКСТ(ДВССЫЛ([@Скритерий];ЛОЖЬ));"ошибка")</t>
  </si>
  <si>
    <t>=ЕСЛИОШИБКА(ЕСЛИ(Ч(ДВССЫЛ([@СМинФизКритерий];ЛОЖЬ))=0;"ошибка";ЕСЛИОШИБКА(ДВССЫЛ([@СМинФизКритерий];ЛОЖЬ);"ошибка"));"ошибка")</t>
  </si>
  <si>
    <t>=ЕСЛИОШИБКА(ЕСЛИ(Ч(ДВССЫЛ([@СМаксФизКритерий];ЛОЖЬ))=0;"ошибка";ЕСЛИОШИБКА(ДВССЫЛ([@СМаксФизКритерий];ЛОЖЬ);"ошибка"));"ошибка")</t>
  </si>
  <si>
    <t>=ЕСЛИОШИБКА(ЕСЛИ(И([@ВидКритерий]="Критерий";[@Фкритерий]="=Приведение");1;-1);-1)</t>
  </si>
  <si>
    <t>Столбец</t>
  </si>
  <si>
    <t>Формула</t>
  </si>
  <si>
    <t>=ЕСЛИОШИБКА(ЕСЛИ(И([@Критерий]&gt;=1;[@Критерий]&lt;=4);ЕСЛИ(ЕСЛИОШИБКА(НАЙТИ("!";Ф.ТЕКСТ([@Критерий]));"на странице")="на странице";СЦЕПИТЬ("R";СТРОКА((ДВССЫЛ(ПРАВСИМВ(Ф.ТЕКСТ([@Критерий]); ДЛСТР(Ф.ТЕКСТ([@Критерий]))-1);ЛОЖЬ)));"C";СТОЛБЕЦ((ДВССЫЛ(ПРАВСИМВ(Ф.ТЕКСТ([@Критерий]); ДЛСТР(Ф.ТЕКСТ([@Критерий]))-1);ЛОЖЬ)))-R8C);СЦЕПИТЬ(ПРАВСИМВ(ЛЕВСИМВ(Ф.ТЕКСТ([@Критерий]);НАЙТИ("!";Ф.ТЕКСТ([@Критерий])));ДЛСТР(ЛЕВСИМВ(Ф.ТЕКСТ([@Критерий]);НАЙТИ("!";Ф.ТЕКСТ([@Критерий]))))-1);"R";СТРОКА((ДВССЫЛ(ПРАВСИМВ(Ф.ТЕКСТ([@Критерий]); ДЛСТР(Ф.ТЕКСТ([@Критерий]))-1);ЛОЖЬ)));"C";СТОЛБЕЦ((ДВССЫЛ(ПРАВСИМВ(Ф.ТЕКСТ([@Критерий]); ДЛСТР(Ф.ТЕКСТ([@Критерий]))-1);ЛОЖЬ)))-R8C));"ошибка");"ошибка")</t>
  </si>
  <si>
    <t>=ЕСЛИОШИБКА(ЗАМЕНИТЬ(ЗАМЕНИТЬ([@Скритерий];НАЙТИ("C";[@Скритерий])+1;ДЛСТР([@Скритерий])-НАЙТИ("C";[@Скритерий]);eval(ПРАВСИМВ([@Скритерий];ДЛСТР([@Скритерий])-НАЙТИ("C";[@Скритерий])))+R7C);НАЙТИ("R";[@Скритерий])+1;НАЙТИ("C";[@Скритерий])-НАЙТИ("R";[@Скритерий])-1;eval(ПСТР([@Скритерий];НАЙТИ("R";[@Скритерий])+1;НАЙТИ("C";[@Скритерий])-1-НАЙТИ("R";[@Скритерий])))+R6C);"ошибка")</t>
  </si>
  <si>
    <t>СВ_1_1</t>
  </si>
  <si>
    <t>СВ_2_1</t>
  </si>
  <si>
    <t>СВ_1_2</t>
  </si>
  <si>
    <t>ССВ_1_1</t>
  </si>
  <si>
    <t>ССВ_2_1</t>
  </si>
  <si>
    <t>ССВ_1_2</t>
  </si>
  <si>
    <t>СВ_2_2</t>
  </si>
  <si>
    <t>ССВ_2_2</t>
  </si>
  <si>
    <t>СВ_3_1</t>
  </si>
  <si>
    <t>ССВ_3_1</t>
  </si>
  <si>
    <t>СВ_1_3</t>
  </si>
  <si>
    <t>ССВ_1_3</t>
  </si>
  <si>
    <t>СВ_3_2</t>
  </si>
  <si>
    <t>ССВ_3_2</t>
  </si>
  <si>
    <t>СВ_2_3</t>
  </si>
  <si>
    <t>ССВ_2_3</t>
  </si>
  <si>
    <t>СВ_3_3</t>
  </si>
  <si>
    <t>ССВ_3_3</t>
  </si>
  <si>
    <t>Л</t>
  </si>
  <si>
    <t>СЛ</t>
  </si>
  <si>
    <t>ФСЛ</t>
  </si>
  <si>
    <t>П</t>
  </si>
  <si>
    <t>СП</t>
  </si>
  <si>
    <t>ФСП</t>
  </si>
  <si>
    <t>=ЕСЛИ(И([@Критерий]&lt;&gt;"";[@[O.K.Критерий]]=1);СТРОКА()-СТРОКА(</t>
  </si>
  <si>
    <t>=ЕСЛИ(И([@Свёртка]&lt;&gt;"";[@[O.K.Свёртка]]=1);СТРОКА()-СТРОКА(</t>
  </si>
  <si>
    <t>=ЕСЛИОШИБКА(ЕСЛИ(И([@Свёртка]&gt;=1;[@Свёртка]&lt;=4);ЕСЛИ(ЕСЛИОШИБКА(НАЙТИ("!";Ф.ТЕКСТ([@Свёртка]));"на странице")="на странице";СЦЕПИТЬ("R";СТРОКА((ДВССЫЛ(ПРАВСИМВ(Ф.ТЕКСТ([@Свёртка]); ДЛСТР(Ф.ТЕКСТ([@Свёртка]))-1);ЛОЖЬ)));"C";СТОЛБЕЦ((ДВССЫЛ(ПРАВСИМВ(Ф.ТЕКСТ([@Свёртка]); ДЛСТР(Ф.ТЕКСТ([@Свёртка]))-1);ЛОЖЬ)))-R6C);СЦЕПИТЬ(ПРАВСИМВ(ЛЕВСИМВ(Ф.ТЕКСТ([@Свёртка]);НАЙТИ("!";Ф.ТЕКСТ([@Свёртка])));ДЛСТР(ЛЕВСИМВ(Ф.ТЕКСТ([@Свёртка]);НАЙТИ("!";Ф.ТЕКСТ([@Свёртка]))))-1);"R";СТРОКА((ДВССЫЛ(ПРАВСИМВ(Ф.ТЕКСТ([@Свёртка]); ДЛСТР(Ф.ТЕКСТ([@Свёртка]))-1);ЛОЖЬ)));"C";СТОЛБЕЦ((ДВССЫЛ(ПРАВСИМВ(Ф.ТЕКСТ([@Свёртка]); ДЛСТР(Ф.ТЕКСТ([@Свёртка]))-1);ЛОЖЬ)))-R6C));"ошибка");"ошибка")</t>
  </si>
  <si>
    <t>=ЕСЛИОШИБКА(Ф.ТЕКСТ(ДВССЫЛ([@ССвёртка];ЛОЖЬ));"ошибка")</t>
  </si>
  <si>
    <t>=ЕСЛИОШИБКА(ЕСЛИ(ЛЕВСИМВ([@ФСвёртка];5)="=Прив";"ошибка";ЕСЛИ(ЛЕВСИМВ([@ФСвёртка];5)="=Матр";"Свёртка";"ошибка"));"ошибка")</t>
  </si>
  <si>
    <t>=ЕСЛИОШИБКА(ЗАМЕНИТЬ(ЗАМЕНИТЬ([@ССвёртка];НАЙТИ("C";[@ССвёртка])+1;ДЛСТР([@ССвёртка])-НАЙТИ("C";[@ССвёртка]);eval(ПРАВСИМВ([@ССвёртка];ДЛСТР([@ССвёртка])-НАЙТИ("C";[@ССвёртка])))+R7C);НАЙТИ("R";[@ССвёртка])+1;НАЙТИ("C";[@ССвёртка])-НАЙТИ("R";[@ССвёртка])-1;eval(ПСТР([@ССвёртка];НАЙТИ("R";[@ССвёртка])+1;НАЙТИ("C";[@ССвёртка])-1-НАЙТИ("R";[@ССвёртка])))+R6C);"ошибка")</t>
  </si>
  <si>
    <t>=ЕСЛИОШИБКА(ЕСЛИ(ДЛСТР((ДВССЫЛ([@[ССВ_1_1]];ЛОЖЬ)))=0;"ошибка";ЕСЛИОШИБКА(ДВССЫЛ([@[ССВ_1_1]];ЛОЖЬ);"ошибка"));"ошибка")</t>
  </si>
  <si>
    <t>=ЕСЛИОШИБКА(ЕСЛИ(ДЛСТР((ДВССЫЛ([@[ССВ_2_1]];ЛОЖЬ)))=0;"ошибка";ЕСЛИОШИБКА(ДВССЫЛ([@[ССВ_2_1]];ЛОЖЬ);"ошибка"));"ошибка")</t>
  </si>
  <si>
    <t>=ЕСЛИОШИБКА(ЕСЛИ(ДЛСТР((ДВССЫЛ([@[ССВ_1_2]];ЛОЖЬ)))=0;"ошибка";ЕСЛИОШИБКА(ДВССЫЛ([@[ССВ_1_2]];ЛОЖЬ);"ошибка"));"ошибка")</t>
  </si>
  <si>
    <t>=ЕСЛИОШИБКА(ЕСЛИ(ДЛСТР((ДВССЫЛ([@[ССВ_2_2]];ЛОЖЬ)))=0;"ошибка";ЕСЛИОШИБКА(ДВССЫЛ([@[ССВ_2_2]];ЛОЖЬ);"ошибка"));"ошибка")</t>
  </si>
  <si>
    <t>=ЕСЛИОШИБКА(ЕСЛИ(ДЛСТР((ДВССЫЛ([@[ССВ_3_1]];ЛОЖЬ)))=0;"ошибка";ЕСЛИОШИБКА(ДВССЫЛ([@[ССВ_3_1]];ЛОЖЬ);"ошибка"));"ошибка")</t>
  </si>
  <si>
    <t>=ЕСЛИОШИБКА(ЕСЛИ(ДЛСТР((ДВССЫЛ([@[ССВ_1_3]];ЛОЖЬ)))=0;"ошибка";ЕСЛИОШИБКА(ДВССЫЛ([@[ССВ_1_3]];ЛОЖЬ);"ошибка"));"ошибка")</t>
  </si>
  <si>
    <t>=ЕСЛИОШИБКА(ЕСЛИ(ДЛСТР((ДВССЫЛ([@[ССВ_3_2]];ЛОЖЬ)))=0;"ошибка";ЕСЛИОШИБКА(ДВССЫЛ([@[ССВ_3_2]];ЛОЖЬ);"ошибка"));"ошибка")</t>
  </si>
  <si>
    <t>=ЕСЛИОШИБКА(ЕСЛИ(ДЛСТР((ДВССЫЛ([@[ССВ_2_3]];ЛОЖЬ)))=0;"ошибка";ЕСЛИОШИБКА(ДВССЫЛ([@[ССВ_2_3]];ЛОЖЬ);"ошибка"));"ошибка")</t>
  </si>
  <si>
    <t>=ЕСЛИОШИБКА(ЕСЛИ(ДЛСТР((ДВССЫЛ([@[ССВ_3_3]];ЛОЖЬ)))=0;"ошибка";ЕСЛИОШИБКА(ДВССЫЛ([@[ССВ_3_3]];ЛОЖЬ);"ошибка"));"ошибка")</t>
  </si>
  <si>
    <t>=ЕСЛИОШИБКА(ЕСЛИ(ДЛСТР((ДВССЫЛ([@СЛ];ЛОЖЬ)))=0;"ошибка";ЕСЛИОШИБКА(ДВССЫЛ([@СЛ];ЛОЖЬ);"ошибка"));"ошибка")</t>
  </si>
  <si>
    <t>=ЕСЛИОШИБКА(Ф.ТЕКСТ(ДВССЫЛ([@СЛ];ЛОЖЬ));"ошибка")</t>
  </si>
  <si>
    <t>=ЕСЛИОШИБКА(ЕСЛИ(ДЛСТР((ДВССЫЛ([@СП];ЛОЖЬ)))=0;"ошибка";ЕСЛИОШИБКА(ДВССЫЛ([@СП];ЛОЖЬ);"ошибка"));"ошибка")</t>
  </si>
  <si>
    <t>=ЕСЛИОШИБКА(Ф.ТЕКСТ(ДВССЫЛ([@СП];ЛОЖЬ));"ошибка")</t>
  </si>
  <si>
    <t>=ЕСЛИ(И([@ВидСвёртка]="Свёртка";СЦЕПИТЬ(ЛЕВСИМВ([@[СВ_1_1]];1);ЛЕВСИМВ([@[СВ_2_1]];1);ЛЕВСИМВ([@[СВ_1_2]];1);ЛЕВСИМВ([@[СВ_2_2]];1);ЛЕВСИМВ([@[СВ_3_1]];1);ЛЕВСИМВ([@[СВ_1_3]];1);ЛЕВСИМВ([@[СВ_3_2]];1);ЛЕВСИМВ([@[СВ_2_3]];1);ЛЕВСИМВ([@[СВ_3_3]];1))="FFFFFFFFF";И([@Л]&gt;=1;[@Л]&lt;=4);И([@П]&gt;=1;[@П]&lt;=4));1;-1)</t>
  </si>
  <si>
    <t>СВ_1_1_OK</t>
  </si>
  <si>
    <t>ССВ_1_1_kolvo</t>
  </si>
  <si>
    <t>СВ_2_1_OK</t>
  </si>
  <si>
    <t>ССВ_2_1_kolvo</t>
  </si>
  <si>
    <t>СВ_1_2_OK</t>
  </si>
  <si>
    <t>ССВ_1_2_kolvo</t>
  </si>
  <si>
    <t>СВ_2_2_OK</t>
  </si>
  <si>
    <t>ССВ_2_2_kolvo</t>
  </si>
  <si>
    <t>СВ_3_1_OK</t>
  </si>
  <si>
    <t>ССВ_3_1_kolvo</t>
  </si>
  <si>
    <t>СВ_1_3_OK</t>
  </si>
  <si>
    <t>ССВ_1_3_kolvo</t>
  </si>
  <si>
    <t>СВ_3_2_OK</t>
  </si>
  <si>
    <t>ССВ_3_2_kolvo</t>
  </si>
  <si>
    <t>СВ_2_3_OK</t>
  </si>
  <si>
    <t>ССВ_2_3_kolvo</t>
  </si>
  <si>
    <t>СВ_3_3_OK</t>
  </si>
  <si>
    <t>ССВ_3_3_kolvo</t>
  </si>
  <si>
    <t>СВ_1_1_№</t>
  </si>
  <si>
    <t>СВ_2_1_№</t>
  </si>
  <si>
    <t>СВ_1_2_№</t>
  </si>
  <si>
    <t>СВ_2_2_№</t>
  </si>
  <si>
    <t>СВ_3_1_№</t>
  </si>
  <si>
    <t>СВ_1_3_№</t>
  </si>
  <si>
    <t>СВ_3_2_№</t>
  </si>
  <si>
    <t>СВ_2_3_№</t>
  </si>
  <si>
    <t>СВ_3_3_№</t>
  </si>
  <si>
    <t>ИТОГО_СВ</t>
  </si>
  <si>
    <t>=[@[ССВ_1_1_kolvo]]+[@[ССВ_2_1_kolvo]]+[@[ССВ_1_2_kolvo]]+[@[ССВ_2_2_kolvo]]+[@[ССВ_3_1_kolvo]]+[@[ССВ_1_3_kolvo]]+[@[ССВ_3_2_kolvo]]+[@[ССВ_2_3_kolvo]]+[@[ССВ_3_3_kolvo]]</t>
  </si>
  <si>
    <t>=ЕСЛИОШИБКА(ЕСЛИ(Ч(ДВССЫЛ([@ССрФизКритерий];ЛОЖЬ))=0;"ошибка";ЕСЛИОШИБКА(ДВССЫЛ([@ССрФизКритерий];ЛОЖЬ);"ошибка"));"")</t>
  </si>
  <si>
    <t>=ЕСЛИ(ИЛИ([@ТипКритерий]=Перебор!R60C14;[@ТипКритерий]=Перебор!R61C14);ЕСЛИОШИБКА(ЗАМЕНИТЬ(ЗАМЕНИТЬ([@Скритерий];НАЙТИ("C";[@Скритерий])+1;ДЛСТР([@Скритерий])-НАЙТИ("C";[@Скритерий]);eval(ПРАВСИМВ([@Скритерий];ДЛСТР([@Скритерий])-НАЙТИ("C";[@Скритерий])))+R7C);НАЙТИ("R";[@Скритерий])+1;НАЙТИ("C";[@Скритерий])-НАЙТИ("R";[@Скритерий])-1;eval(ПСТР([@Скритерий];НАЙТИ("R";[@Скритерий])+1;НАЙТИ("C";[@Скритерий])-1-НАЙТИ("R";[@Скритерий])))+R6C);"ошибка");"")</t>
  </si>
  <si>
    <t>Размещение</t>
  </si>
  <si>
    <t>1; 4; 11; 5; 6</t>
  </si>
  <si>
    <t>min</t>
  </si>
  <si>
    <t>max</t>
  </si>
  <si>
    <t>Стандарт</t>
  </si>
  <si>
    <t>1; 3; 4; 5; 7; 2</t>
  </si>
  <si>
    <t>Кол-во знач</t>
  </si>
  <si>
    <t>Цеол_матр</t>
  </si>
  <si>
    <t>Л!</t>
  </si>
  <si>
    <t>R!</t>
  </si>
  <si>
    <t>C!</t>
  </si>
  <si>
    <t>F</t>
  </si>
  <si>
    <t>С</t>
  </si>
  <si>
    <t>=ЧЗНАЧ(ПСТР([@ССвёртка];ПОИСК("R";[@ССвёртка])+1;ПОИСК("C";[@ССвёртка])-ПОИСК("R";[@ССвёртка])-1))</t>
  </si>
  <si>
    <t>=ЧЗНАЧ(ПСТР([@ССвёртка];ПОИСК("C";[@ССвёртка])+1;ДЛСТР([@ССвёртка])-ПОИСК("C";[@ССвёртка])))</t>
  </si>
  <si>
    <t>=ЕСЛИ(ЕОШ(ПОИСК("!";[@ССвёртка]));"";ЛЕВСИМВ([@ССвёртка];ПОИСК("!";[@ССвёртка])))</t>
  </si>
  <si>
    <t>=[@ССвёртка]</t>
  </si>
  <si>
    <t>=СЧЁТЕСЛИМН(СМЕЩ(ДВССЫЛ((СМЕЩ(ДВССЫЛ([@С];ЛОЖЬ);-2;1)&amp;"!R2C2");ЛОЖЬ);;;101;101);"="&amp;([@F]-(1+(ВЫБОР(--ПРАВБ(СМЕЩ(ДВССЫЛ([@С];ЛОЖЬ);;3))+1;0;1;1;1;1;2)+ВЫБОР(--ПРАВБ(СМЕЩ(ДВССЫЛ([@С];ЛОЖЬ);-1;2))+1;0;1;1;1;1;2)))+1))*ЕСЛИ(И([@F]&gt;=(1+(ВЫБОР(--ПРАВБ(СМЕЩ(ДВССЫЛ([@С];ЛОЖЬ);;3))+1;0;1;1;1;1;2)+ВЫБОР(--ПРАВБ(СМЕЩ(ДВССЫЛ([@С];ЛОЖЬ);-1;2))+1;0;1;1;1;1;2)));[@F]&lt;=(1+(ВЫБОР(--ПРАВБ(СМЕЩ(ДВССЫЛ([@С];ЛОЖЬ);;3))+1;0;1;1;1;1;2)+ВЫБОР(--ПРАВБ(СМЕЩ(ДВССЫЛ([@С];ЛОЖЬ);-1;2))+1;0;1;1;1;1;2)+ВЫБОР(--ПРАВБ(СМЕЩ(ДВССЫЛ([@С];ЛОЖЬ);-2;1))+1;0;1;1;1;1;2))));1;0)+СЧЁТЕСЛИМН(СМЕЩ(ДВССЫЛ((СМЕЩ(ДВССЫЛ([@С];ЛОЖЬ);-2;2)&amp;"!R2C2");ЛОЖЬ);;;101;101);"="&amp;([@F]-(1+(ВЫБОР(--ПРАВБ(СМЕЩ(ДВССЫЛ([@С];ЛОЖЬ);;3))+1;0;1;0;1;1;1)+ВЫБОР(--ПРАВБ(СМЕЩ(ДВССЫЛ([@С];ЛОЖЬ);-1;3))+1;0;1;1;1;1;2)))+1))*ЕСЛИ(И([@F]&gt;=(1+(ВЫБОР(--ПРАВБ(СМЕЩ(ДВССЫЛ([@С];ЛОЖЬ);;3))+1;0;0;0;1;1;1)+ВЫБОР(--ПРАВБ(СМЕЩ(ДВССЫЛ([@С];ЛОЖЬ);-1;3))+1;0;1;1;1;1;2)));[@F]&lt;=(1+(ВЫБОР(--ПРАВБ(СМЕЩ(ДВССЫЛ([@С];ЛОЖЬ);;3))+1;0;0;0;1;1;1)+ВЫБОР(--ПРАВБ(СМЕЩ(ДВССЫЛ([@С];ЛОЖЬ);-1;3))+1;0;1;1;1;1;2)+ВЫБОР(--ПРАВБ(СМЕЩ(ДВССЫЛ([@С];ЛОЖЬ);-2;2))+1;0;1;1;1;1;2))));1;0)+СЧЁТЕСЛИМН(СМЕЩ(ДВССЫЛ((СМЕЩ(ДВССЫЛ([@С];ЛОЖЬ);-2;3)&amp;"!R2C2");ЛОЖЬ);;;101;101);"="&amp;([@F]-(1+(ВЫБОР(--ПРАВБ(СМЕЩ(ДВССЫЛ([@С];ЛОЖЬ);;3))+1;0;0;0;1;1;1)+ВЫБОР(--ПРАВБ(СМЕЩ(ДВССЫЛ([@С];ЛОЖЬ);-1;3))+1;0;0;0;1;1;1)))+1))*ЕСЛИ(И([@F]&gt;=(1+(ВЫБОР(--ПРАВБ(СМЕЩ(ДВССЫЛ([@С];ЛОЖЬ);;3))+1;0;0;0;1;1;1)+ВЫБОР(--ПРАВБ(СМЕЩ(ДВССЫЛ([@С];ЛОЖЬ);-1;3))+1;0;0;0;1;1;1)));[@F]&lt;=(1+(ВЫБОР(--ПРАВБ(СМЕЩ(ДВССЫЛ([@С];ЛОЖЬ);;3))+1;0;0;0;1;1;1)+ВЫБОР(--ПРАВБ(СМЕЩ(ДВССЫЛ([@С];ЛОЖЬ);-1;3))+1;0;0;0;1;1;1)+ВЫБОР(--ПРАВБ(СМЕЩ(ДВССЫЛ([@С];ЛОЖЬ);-2;3))+1;0;1;1;1;1;2))));1;0)+СЧЁТЕСЛИМН(СМЕЩ(ДВССЫЛ((СМЕЩ(ДВССЫЛ([@С];ЛОЖЬ);-1;1)&amp;"!R2C2");ЛОЖЬ);;;101;101);"="&amp;([@F]-(1+(ВЫБОР(--ПРАВБ(СМЕЩ(ДВССЫЛ([@С];ЛОЖЬ);;3))+1;0;0;1;0;1;1)+ВЫБОР(--ПРАВБ(СМЕЩ(ДВССЫЛ([@С];ЛОЖЬ);0;2))+1;0;1;1;1;1;2)))+1))*ЕСЛИ(И([@F]&gt;=(1+(ВЫБОР(--ПРАВБ(СМЕЩ(ДВССЫЛ([@С];ЛОЖЬ);;3))+1;0;0;1;0;1;1)+ВЫБОР(--ПРАВБ(СМЕЩ(ДВССЫЛ([@С];ЛОЖЬ);;2))+1;0;1;1;1;1;2)));[@F]&lt;=(1+(ВЫБОР(--ПРАВБ(СМЕЩ(ДВССЫЛ([@С];ЛОЖЬ);;3))+1;0;0;1;0;1;1)+ВЫБОР(--ПРАВБ(СМЕЩ(ДВССЫЛ([@С];ЛОЖЬ);;2))+1;0;1;1;1;1;2)+ВЫБОР(--ПРАВБ(СМЕЩ(ДВССЫЛ([@С];ЛОЖЬ);-1;1))+1;0;1;1;1;1;2))));1;0)+СЧЁТЕСЛИМН(СМЕЩ(ДВССЫЛ((СМЕЩ(ДВССЫЛ([@С];ЛОЖЬ);-1;2)&amp;"!R2C2");ЛОЖЬ);;;101;101);"="&amp;([@F]-(1+(ВЫБОР(--ПРАВБ(СМЕЩ(ДВССЫЛ([@С];ЛОЖЬ);;3))+1;0;1;1;1;1;2)))+1))*ЕСЛИ(И([@F]&gt;=(1+(ВЫБОР(--ПРАВБ(СМЕЩ(ДВССЫЛ([@С];ЛОЖЬ);;3))+1;0;1;1;1;1;2)));[@F]&lt;=(1+(ВЫБОР(--ПРАВБ(СМЕЩ(ДВССЫЛ([@С];ЛОЖЬ);;3))+1;0;1;1;1;1;2)+ВЫБОР(--ПРАВБ(СМЕЩ(ДВССЫЛ([@С];ЛОЖЬ);-1;2))+1;0;1;1;1;1;2))));1;0)+СЧЁТЕСЛИМН(СМЕЩ(ДВССЫЛ((СМЕЩ(ДВССЫЛ([@С];ЛОЖЬ);-1;3)&amp;"!R2C2");ЛОЖЬ);;;101;101);"="&amp;([@F]-(1+(ВЫБОР(--ПРАВБ(СМЕЩ(ДВССЫЛ([@С];ЛОЖЬ);;3))+1;0;0;0;1;1;1)))+1))*ЕСЛИ(И([@F]&gt;=(1+(ВЫБОР(--ПРАВБ(СМЕЩ(ДВССЫЛ([@С];ЛОЖЬ);;3))+1;0;0;0;1;1;1)));[@F]&lt;=(1+(ВЫБОР(--ПРАВБ(СМЕЩ(ДВССЫЛ([@С];ЛОЖЬ);;3))+1;0;0;0;1;1;1)+ВЫБОР(--ПРАВБ(СМЕЩ(ДВССЫЛ([@С];ЛОЖЬ);-1;3))+1;0;1;1;1;1;2))));1;0)+СЧЁТЕСЛИМН(СМЕЩ(ДВССЫЛ((СМЕЩ(ДВССЫЛ([@С];ЛОЖЬ);;1)&amp;"!R2C2");ЛОЖЬ);;;101;101);"="&amp;([@F]-(1+(ВЫБОР(--ПРАВБ(СМЕЩ(ДВССЫЛ([@С];ЛОЖЬ);;3))+1;0;0;1;0;1;1)+ВЫБОР(--ПРАВБ(СМЕЩ(ДВССЫЛ([@С];ЛОЖЬ);;2))+1;0;0;1;0;1;1)))+1))*ЕСЛИ(И([@F]&gt;=(1+(ВЫБОР(--ПРАВБ(СМЕЩ(ДВССЫЛ([@С];ЛОЖЬ);;3))+1;0;0;1;0;1;1)+ВЫБОР(--ПРАВБ(СМЕЩ(ДВССЫЛ([@С];ЛОЖЬ);;2))+1;0;0;1;0;1;1)));[@F]&lt;=(1+(ВЫБОР(--ПРАВБ(СМЕЩ(ДВССЫЛ([@С];ЛОЖЬ);;3))+1;0;0;1;0;1;1)+ВЫБОР(--ПРАВБ(СМЕЩ(ДВССЫЛ([@С];ЛОЖЬ);;2))+1;0;0;1;0;1;1)+ВЫБОР(--ПРАВБ(СМЕЩ(ДВССЫЛ([@С];ЛОЖЬ);;3))+1;0;1;1;1;1;2))));1;0)+СЧЁТЕСЛИМН(СМЕЩ(ДВССЫЛ((СМЕЩ(ДВССЫЛ([@С];ЛОЖЬ);;2)&amp;"!R2C2");ЛОЖЬ);;;101;101);"="&amp;([@F]-(1+(ВЫБОР(--ПРАВБ(СМЕЩ(ДВССЫЛ([@С];ЛОЖЬ);;3))+1;0;0;1;0;1;1)))+1))*ЕСЛИ(И([@F]&gt;=(1+(ВЫБОР(--ПРАВБ(СМЕЩ(ДВССЫЛ([@С];ЛОЖЬ);0;3))+1;0;0;1;0;1;1)));[@F]&lt;=(1+(ВЫБОР(--ПРАВБ(СМЕЩ(ДВССЫЛ([@С];ЛОЖЬ);;3))+1;0;1;0;0;1;1)+ВЫБОР(--ПРАВБ(СМЕЩ(ДВССЫЛ([@С];ЛОЖЬ);;2))+1;0;1;1;1;1;2))));1;0)+СЧЁТЕСЛИМН(СМЕЩ(ДВССЫЛ((СМЕЩ(ДВССЫЛ([@С];ЛОЖЬ);;3)&amp;"!R2C2");ЛОЖЬ);;;101;101);"="&amp;([@F]-1+1))*ЕСЛИ(И([@F]&gt;=1;[@F]&lt;=1+(ВЫБОР(--ПРАВБ(СМЕЩ(ДВССЫЛ([@С];ЛОЖЬ);;3))+1;0;1;1;1;1;2)));1;0)</t>
  </si>
  <si>
    <t>=ЕСЛИОШИБКА(ЕСЛИ(СУММ((МУМНОЖ(ВЫБОР(ПРАВСИМВ(СМЕЩ(ДВССЫЛ(СЦЕПИТЬ([@[Л!]];"R";[@[R!]];"C";[@[C!]]);ЛОЖЬ);-2;1;3;3))+1;0;1;0;1;1;1,5);{1:1:1})&gt;4)+(МУМНОЖ(ТРАНСП(ВЫБОР(ПРАВСИМВ(СМЕЩ(ДВССЫЛ(СЦЕПИТЬ([@[Л!]];"R";[@[R!]];"C";[@[C!]]);ЛОЖЬ);-2;1;3;3))+1;0;1;1;0;1;1,5));{1:1:1})&gt;4)+(СУММ(ВЫБОР(ПРАВСИМВ(ВЫБОР({1:2:3};СМЕЩ(ДВССЫЛ(СЦЕПИТЬ([@[Л!]];"R";[@[R!]];"C";[@[C!]]);ЛОЖЬ);-2;1);СМЕЩ(ДВССЫЛ(СЦЕПИТЬ([@[Л!]];"R";[@[R!]];"C";[@[C!]]);ЛОЖЬ);-1;2);СМЕЩ(ДВССЫЛ(СЦЕПИТЬ([@[Л!]];"R";[@[R!]];"C";[@[C!]]);ЛОЖЬ);0;3)))+1;0;1;1;1;1;2))&gt;3));0;1);0)</t>
  </si>
  <si>
    <t>Цел_матр_мас</t>
  </si>
  <si>
    <t>Цел_матр_обычн</t>
  </si>
  <si>
    <t>=ЕСЛИ(СУММ(ЕСЛИ(СУММ(ПРОСМОТР(--ПРАВСИМВ(СМЕЩ(ДВССЫЛ([@ССвёртка];ЛОЖЬ);-2;1));{0;1;2;3;4;5};{0;1;1;0;1;1,5});ПРОСМОТР(--ПРАВСИМВ(СМЕЩ(ДВССЫЛ([@ССвёртка];ЛОЖЬ);-1;1));{0;1;2;3;4;5};{0;1;1;0;1;1,5});ПРОСМОТР(--ПРАВСИМВ(СМЕЩ(ДВССЫЛ([@ССвёртка];ЛОЖЬ);0;1));{0;1;2;3;4;5};{0;1;1;0;1;1,5}))&gt;4;1;0);ЕСЛИ(СУММ(ПРОСМОТР(--ПРАВСИМВ(СМЕЩ(ДВССЫЛ([@ССвёртка];ЛОЖЬ);-2;2));{0;1;2;3;4;5};{0;1;1;0;1;1,5});ПРОСМОТР(--ПРАВСИМВ(СМЕЩ(ДВССЫЛ([@ССвёртка];ЛОЖЬ);-1;2));{0;1;2;3;4;5};{0;1;1;0;1;1,5});ПРОСМОТР(--ПРАВСИМВ(СМЕЩ(ДВССЫЛ([@ССвёртка];ЛОЖЬ);0;2));{0;1;2;3;4;5};{0;1;1;0;1;1,5}))&gt;4;1;0);ЕСЛИ(СУММ(ПРОСМОТР(--ПРАВСИМВ(СМЕЩ(ДВССЫЛ([@ССвёртка];ЛОЖЬ);-2;3));{0;1;2;3;4;5};{0;1;1;0;1;1,5});ПРОСМОТР(--ПРАВСИМВ(СМЕЩ(ДВССЫЛ([@ССвёртка];ЛОЖЬ);-1;3));{0;1;2;3;4;5};{0;1;1;0;1;1,5});ПРОСМОТР(--ПРАВСИМВ(СМЕЩ(ДВССЫЛ([@ССвёртка];ЛОЖЬ);0;3));{0;1;2;3;4;5};{0;1;1;0;1;1,5}))&gt;4;1;0);ЕСЛИ(СУММ(ПРОСМОТР(--ПРАВСИМВ(СМЕЩ(ДВССЫЛ([@ССвёртка];ЛОЖЬ);-2;1));{0;1;2;3;4;5};{0;1;1;1;1;2});ПРОСМОТР(--ПРАВСИМВ(СМЕЩ(ДВССЫЛ([@ССвёртка];ЛОЖЬ);-1;2));{0;1;2;3;4;5};{0;1;1;1;1;2});ПРОСМОТР(--ПРАВСИМВ(СМЕЩ(ДВССЫЛ([@ССвёртка];ЛОЖЬ);0;3));{0;1;2;3;4;5};{0;1;1;1;1;2}))&lt;&gt;3;1;0);ЕСЛИ(СУММ(ПРОСМОТР(--ПРАВСИМВ(СМЕЩ(ДВССЫЛ([@ССвёртка];ЛОЖЬ);-2;1));{0;1;2;3;4;5};{0;1;0;1;1;1,5});ПРОСМОТР(--ПРАВСИМВ(СМЕЩ(ДВССЫЛ([@ССвёртка];ЛОЖЬ);-2;2));{0;1;2;3;4;5};{0;1;0;1;1;1,5});ПРОСМОТР(--ПРАВСИМВ(СМЕЩ(ДВССЫЛ([@ССвёртка];ЛОЖЬ);-2;3));{0;1;2;3;4;5};{0;1;0;1;1;1,5}))&gt;4;1;0);ЕСЛИ(СУММ(ПРОСМОТР(--ПРАВСИМВ(СМЕЩ(ДВССЫЛ([@ССвёртка];ЛОЖЬ);-1;1));{0;1;2;3;4;5};{0;1;0;1;1;1,5});ПРОСМОТР(--ПРАВСИМВ(СМЕЩ(ДВССЫЛ([@ССвёртка];ЛОЖЬ);-1;2));{0;1;2;3;4;5};{0;1;0;1;1;1,5});ПРОСМОТР(--ПРАВСИМВ(СМЕЩ(ДВССЫЛ([@ССвёртка];ЛОЖЬ);-1;3));{0;1;2;3;4;5};{0;1;0;1;1;1,5}))&gt;4;1;0);ЕСЛИ(СУММ(ПРОСМОТР(--ПРАВСИМВ(СМЕЩ(ДВССЫЛ([@ССвёртка];ЛОЖЬ);0;1));{0;1;2;3;4;5};{0;1;0;1;1;1,5});ПРОСМОТР(--ПРАВСИМВ(СМЕЩ(ДВССЫЛ([@ССвёртка];ЛОЖЬ);0;2));{0;1;2;3;4;5};{0;1;0;1;1;1,5});ПРОСМОТР(--ПРАВСИМВ(СМЕЩ(ДВССЫЛ([@ССвёртка];ЛОЖЬ);0;3));{0;1;2;3;4;5};{0;1;0;1;1;1,5}))&gt;4;1;0))&lt;&gt;0;0;1)</t>
  </si>
  <si>
    <t>Данные</t>
  </si>
  <si>
    <t>(без действий)</t>
  </si>
  <si>
    <t>поворот 90° &gt;&gt;</t>
  </si>
  <si>
    <t>поворот 180° &gt;&gt;</t>
  </si>
  <si>
    <t>поворот 270° &gt;&gt;</t>
  </si>
  <si>
    <t>&lt;&lt; поворот 90°</t>
  </si>
  <si>
    <t>&lt;&lt; поворот 180°</t>
  </si>
  <si>
    <t>&lt;&lt; поворот 270°</t>
  </si>
  <si>
    <t>↕ отражение</t>
  </si>
  <si>
    <t>↔ отражение</t>
  </si>
  <si>
    <t>ошибка</t>
  </si>
  <si>
    <t/>
  </si>
  <si>
    <t>График 1</t>
  </si>
  <si>
    <t>Модель!R20C15</t>
  </si>
  <si>
    <t xml:space="preserve"> </t>
  </si>
  <si>
    <t>График 4</t>
  </si>
  <si>
    <t>График 5</t>
  </si>
  <si>
    <t>График 6</t>
  </si>
  <si>
    <t>График 7</t>
  </si>
  <si>
    <t>График 8</t>
  </si>
  <si>
    <t>Уровень спроса</t>
  </si>
  <si>
    <t>Качество помещения</t>
  </si>
  <si>
    <t>Цена</t>
  </si>
  <si>
    <t>Местоположение</t>
  </si>
  <si>
    <t>Качество ремонта</t>
  </si>
  <si>
    <t>X1</t>
  </si>
  <si>
    <t>X2</t>
  </si>
  <si>
    <t>X3</t>
  </si>
  <si>
    <t>Свёртка Рентабельность-Ликвидность</t>
  </si>
  <si>
    <t>Перспективы рынка</t>
  </si>
  <si>
    <t>Min</t>
  </si>
  <si>
    <t>Max</t>
  </si>
  <si>
    <t>Отношение к бизнесу</t>
  </si>
  <si>
    <t>M</t>
  </si>
  <si>
    <t>М</t>
  </si>
  <si>
    <t>Б</t>
  </si>
  <si>
    <t>Количественные</t>
  </si>
  <si>
    <t>A1</t>
  </si>
  <si>
    <t>A2</t>
  </si>
  <si>
    <t>B1</t>
  </si>
  <si>
    <t>B2</t>
  </si>
  <si>
    <t>=A1</t>
  </si>
  <si>
    <t>=</t>
  </si>
  <si>
    <t>ё</t>
  </si>
  <si>
    <t>Столбец2</t>
  </si>
  <si>
    <t>Столбец3</t>
  </si>
  <si>
    <t>1; 2; 3; 4; 5; 6; 7; 8; 9</t>
  </si>
  <si>
    <t>Наимен_Св</t>
  </si>
  <si>
    <t>Наимен_Кр</t>
  </si>
  <si>
    <t>0</t>
  </si>
  <si>
    <t>5; 6; 9; 10; 17; 18; 19; 22; 23</t>
  </si>
  <si>
    <t>3,09</t>
  </si>
  <si>
    <t>3,02</t>
  </si>
  <si>
    <t>3,08</t>
  </si>
  <si>
    <t>3,03</t>
  </si>
  <si>
    <t>3,3</t>
  </si>
  <si>
    <t>3,04</t>
  </si>
  <si>
    <t>3,12</t>
  </si>
  <si>
    <t>3,06</t>
  </si>
  <si>
    <t>2,36</t>
  </si>
  <si>
    <t>3,1</t>
  </si>
  <si>
    <t>3,59</t>
  </si>
  <si>
    <t>3,62</t>
  </si>
  <si>
    <t>3,15</t>
  </si>
  <si>
    <t>3,64</t>
  </si>
  <si>
    <t>3,18</t>
  </si>
  <si>
    <t>3,43</t>
  </si>
  <si>
    <t>3,21</t>
  </si>
  <si>
    <t>3,54</t>
  </si>
  <si>
    <t>2,48</t>
  </si>
  <si>
    <t>3,11</t>
  </si>
  <si>
    <t>3,13</t>
  </si>
  <si>
    <t>3,26</t>
  </si>
  <si>
    <t>3,2</t>
  </si>
  <si>
    <t>2,5</t>
  </si>
  <si>
    <t>3,35</t>
  </si>
  <si>
    <t>26</t>
  </si>
  <si>
    <t>27</t>
  </si>
  <si>
    <t>2,39</t>
  </si>
  <si>
    <t>28</t>
  </si>
  <si>
    <t>2,41</t>
  </si>
  <si>
    <t>29</t>
  </si>
  <si>
    <t>3,01</t>
  </si>
  <si>
    <t>30</t>
  </si>
  <si>
    <t>3,19</t>
  </si>
  <si>
    <t>31</t>
  </si>
  <si>
    <t>32</t>
  </si>
  <si>
    <t>33</t>
  </si>
  <si>
    <t>34</t>
  </si>
  <si>
    <t>35</t>
  </si>
  <si>
    <t>3,25</t>
  </si>
  <si>
    <t>36</t>
  </si>
  <si>
    <t>37</t>
  </si>
  <si>
    <t>3,07</t>
  </si>
  <si>
    <t>38</t>
  </si>
  <si>
    <t>3,38</t>
  </si>
  <si>
    <t>39</t>
  </si>
  <si>
    <t>40</t>
  </si>
  <si>
    <t>41</t>
  </si>
  <si>
    <t>42</t>
  </si>
  <si>
    <t>3,41</t>
  </si>
  <si>
    <t>43</t>
  </si>
  <si>
    <t>3,24</t>
  </si>
  <si>
    <t>44</t>
  </si>
  <si>
    <t>45</t>
  </si>
  <si>
    <t>3,49</t>
  </si>
  <si>
    <t>46</t>
  </si>
  <si>
    <t>47</t>
  </si>
  <si>
    <t>2,33</t>
  </si>
  <si>
    <t>48</t>
  </si>
  <si>
    <t>2,45</t>
  </si>
  <si>
    <t>49</t>
  </si>
  <si>
    <t>50</t>
  </si>
  <si>
    <t>3,17</t>
  </si>
  <si>
    <t>51</t>
  </si>
  <si>
    <t>2,38</t>
  </si>
  <si>
    <t>52</t>
  </si>
  <si>
    <t>53</t>
  </si>
  <si>
    <t>54</t>
  </si>
  <si>
    <t>55</t>
  </si>
  <si>
    <t>56</t>
  </si>
  <si>
    <t>3,27</t>
  </si>
  <si>
    <t>57</t>
  </si>
  <si>
    <t>3,16</t>
  </si>
  <si>
    <t>58</t>
  </si>
  <si>
    <t>59</t>
  </si>
  <si>
    <t>2,4</t>
  </si>
  <si>
    <t>60</t>
  </si>
  <si>
    <t>61</t>
  </si>
  <si>
    <t>3,53</t>
  </si>
  <si>
    <t>62</t>
  </si>
  <si>
    <t>63</t>
  </si>
  <si>
    <t>64</t>
  </si>
  <si>
    <t>3,5</t>
  </si>
  <si>
    <t>65</t>
  </si>
  <si>
    <t>66</t>
  </si>
  <si>
    <t>67</t>
  </si>
  <si>
    <t>68</t>
  </si>
  <si>
    <t>69</t>
  </si>
  <si>
    <t>70</t>
  </si>
  <si>
    <t>3,48</t>
  </si>
  <si>
    <t>71</t>
  </si>
  <si>
    <t>3,05</t>
  </si>
  <si>
    <t>72</t>
  </si>
  <si>
    <t>3,36</t>
  </si>
  <si>
    <t>73</t>
  </si>
  <si>
    <t>2,14</t>
  </si>
  <si>
    <t>74</t>
  </si>
  <si>
    <t>2,18</t>
  </si>
  <si>
    <t>75</t>
  </si>
  <si>
    <t>76</t>
  </si>
  <si>
    <t>77</t>
  </si>
  <si>
    <t>78</t>
  </si>
  <si>
    <t>79</t>
  </si>
  <si>
    <t>2,31</t>
  </si>
  <si>
    <t>80</t>
  </si>
  <si>
    <t>81</t>
  </si>
  <si>
    <t>2,44</t>
  </si>
  <si>
    <t>82</t>
  </si>
  <si>
    <t>2,46</t>
  </si>
  <si>
    <t>83</t>
  </si>
  <si>
    <t>84</t>
  </si>
  <si>
    <t>85</t>
  </si>
  <si>
    <t>3,29</t>
  </si>
  <si>
    <t>86</t>
  </si>
  <si>
    <t>87</t>
  </si>
  <si>
    <t>88</t>
  </si>
  <si>
    <t>2,42</t>
  </si>
  <si>
    <t>89</t>
  </si>
  <si>
    <t>3,31</t>
  </si>
  <si>
    <t>90</t>
  </si>
  <si>
    <t>91</t>
  </si>
  <si>
    <t>92</t>
  </si>
  <si>
    <t>93</t>
  </si>
  <si>
    <t>94</t>
  </si>
  <si>
    <t>95</t>
  </si>
  <si>
    <t>96</t>
  </si>
  <si>
    <t>3,28</t>
  </si>
  <si>
    <t>97</t>
  </si>
  <si>
    <t>98</t>
  </si>
  <si>
    <t>99</t>
  </si>
  <si>
    <t>100</t>
  </si>
  <si>
    <t>101</t>
  </si>
  <si>
    <t>3,37</t>
  </si>
  <si>
    <t>102</t>
  </si>
  <si>
    <t>103</t>
  </si>
  <si>
    <t>104</t>
  </si>
  <si>
    <t>105</t>
  </si>
  <si>
    <t>106</t>
  </si>
  <si>
    <t>3,46</t>
  </si>
  <si>
    <t>107</t>
  </si>
  <si>
    <t>108</t>
  </si>
  <si>
    <t>109</t>
  </si>
  <si>
    <t>3,33</t>
  </si>
  <si>
    <t>110</t>
  </si>
  <si>
    <t>111</t>
  </si>
  <si>
    <t>112</t>
  </si>
  <si>
    <t>113</t>
  </si>
  <si>
    <t>3,51</t>
  </si>
  <si>
    <t>114</t>
  </si>
  <si>
    <t>115</t>
  </si>
  <si>
    <t>116</t>
  </si>
  <si>
    <t>117</t>
  </si>
  <si>
    <t>118</t>
  </si>
  <si>
    <t>119</t>
  </si>
  <si>
    <t>120</t>
  </si>
  <si>
    <t>121</t>
  </si>
  <si>
    <t>122</t>
  </si>
  <si>
    <t>123</t>
  </si>
  <si>
    <t>3,4</t>
  </si>
  <si>
    <t>124</t>
  </si>
  <si>
    <t>125</t>
  </si>
  <si>
    <t>126</t>
  </si>
  <si>
    <t>127</t>
  </si>
  <si>
    <t>2,25</t>
  </si>
  <si>
    <t>128</t>
  </si>
  <si>
    <t>129</t>
  </si>
  <si>
    <t>3,34</t>
  </si>
  <si>
    <t>130</t>
  </si>
  <si>
    <t>131</t>
  </si>
  <si>
    <t>132</t>
  </si>
  <si>
    <t>3,52</t>
  </si>
  <si>
    <t>133</t>
  </si>
  <si>
    <t>134</t>
  </si>
  <si>
    <t>135</t>
  </si>
  <si>
    <t>136</t>
  </si>
  <si>
    <t>137</t>
  </si>
  <si>
    <t>138</t>
  </si>
  <si>
    <t>139</t>
  </si>
  <si>
    <t>140</t>
  </si>
  <si>
    <t>141</t>
  </si>
  <si>
    <t>142</t>
  </si>
  <si>
    <t>143</t>
  </si>
  <si>
    <t>144</t>
  </si>
  <si>
    <t>145</t>
  </si>
  <si>
    <t>2,49</t>
  </si>
  <si>
    <t>146</t>
  </si>
  <si>
    <t>3,22</t>
  </si>
  <si>
    <t>147</t>
  </si>
  <si>
    <t>148</t>
  </si>
  <si>
    <t>3,61</t>
  </si>
  <si>
    <t>149</t>
  </si>
  <si>
    <t>3,23</t>
  </si>
  <si>
    <t>150</t>
  </si>
  <si>
    <t>3,47</t>
  </si>
  <si>
    <t>151</t>
  </si>
  <si>
    <t>2,2</t>
  </si>
  <si>
    <t>152</t>
  </si>
  <si>
    <t>153</t>
  </si>
  <si>
    <t>154</t>
  </si>
  <si>
    <t>2,3</t>
  </si>
  <si>
    <t>155</t>
  </si>
  <si>
    <t>156</t>
  </si>
  <si>
    <t>3,32</t>
  </si>
  <si>
    <t>157</t>
  </si>
  <si>
    <t>2,47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</si>
  <si>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</si>
  <si>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</si>
  <si>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</si>
  <si>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</si>
  <si>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</si>
  <si>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</si>
  <si>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</si>
  <si>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</si>
  <si>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</si>
  <si>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</si>
  <si>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</si>
  <si>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</si>
  <si>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</si>
  <si>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</si>
  <si>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</si>
  <si>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</si>
  <si>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</si>
  <si>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</si>
  <si>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</si>
  <si>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</si>
  <si>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</si>
  <si>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</si>
  <si>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</si>
  <si>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</si>
  <si>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</si>
  <si>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</si>
  <si>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</si>
  <si>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</si>
  <si>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</si>
  <si>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</si>
  <si>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</si>
  <si>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</si>
  <si>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</si>
  <si>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</si>
  <si>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</si>
  <si>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</si>
  <si>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</si>
  <si>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</si>
  <si>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</si>
  <si>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</si>
  <si>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</si>
  <si>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</si>
  <si>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</si>
  <si>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</si>
  <si>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</si>
  <si>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</si>
  <si>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</si>
  <si>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3,45</t>
  </si>
  <si>
    <t>205</t>
  </si>
  <si>
    <t>206</t>
  </si>
  <si>
    <t>2,26</t>
  </si>
  <si>
    <t>207</t>
  </si>
  <si>
    <t>208</t>
  </si>
  <si>
    <t>209</t>
  </si>
  <si>
    <t>210</t>
  </si>
  <si>
    <t>2,32</t>
  </si>
  <si>
    <t>211</t>
  </si>
  <si>
    <t>212</t>
  </si>
  <si>
    <t>213</t>
  </si>
  <si>
    <t>214</t>
  </si>
  <si>
    <t>3,14</t>
  </si>
  <si>
    <t>215</t>
  </si>
  <si>
    <t>216</t>
  </si>
  <si>
    <t>217</t>
  </si>
  <si>
    <t>218</t>
  </si>
  <si>
    <t>219</t>
  </si>
  <si>
    <t>220</t>
  </si>
  <si>
    <t>221</t>
  </si>
  <si>
    <t>222</t>
  </si>
  <si>
    <t>223</t>
  </si>
  <si>
    <t>224</t>
  </si>
  <si>
    <t>225</t>
  </si>
  <si>
    <t>2,43</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</si>
  <si>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</si>
  <si>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</si>
  <si>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</si>
  <si>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</si>
  <si>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</si>
  <si>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</si>
  <si>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</si>
  <si>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</si>
  <si>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</si>
  <si>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</si>
  <si>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</si>
  <si>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</si>
  <si>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</si>
  <si>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</si>
  <si>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</si>
  <si>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</si>
  <si>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</si>
  <si>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</si>
  <si>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</si>
  <si>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</si>
  <si>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</si>
  <si>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</si>
  <si>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</si>
  <si>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</si>
  <si>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</si>
  <si>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</si>
  <si>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</si>
  <si>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</si>
  <si>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</si>
  <si>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</si>
  <si>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</si>
  <si>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</si>
  <si>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</si>
  <si>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</si>
  <si>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</si>
  <si>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</si>
  <si>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</si>
  <si>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</si>
  <si>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</si>
  <si>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</si>
  <si>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</si>
  <si>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</si>
  <si>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</si>
  <si>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</si>
  <si>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</si>
  <si>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</si>
  <si>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</si>
  <si>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</si>
  <si>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</si>
  <si>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</si>
  <si>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</si>
  <si>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</si>
  <si>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</si>
  <si>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</si>
  <si>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</si>
  <si>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</si>
  <si>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</si>
  <si>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</si>
  <si>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</si>
  <si>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</si>
  <si>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</si>
  <si>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</si>
  <si>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</si>
  <si>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3,58</t>
  </si>
  <si>
    <t>289</t>
  </si>
  <si>
    <t>290</t>
  </si>
  <si>
    <t>3,63</t>
  </si>
  <si>
    <t>291</t>
  </si>
  <si>
    <t>3,42</t>
  </si>
  <si>
    <t>292</t>
  </si>
  <si>
    <t>293</t>
  </si>
  <si>
    <t>294</t>
  </si>
  <si>
    <t>295</t>
  </si>
  <si>
    <t>296</t>
  </si>
  <si>
    <t>3,39</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</si>
  <si>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</si>
  <si>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</si>
  <si>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</si>
  <si>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</si>
  <si>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</si>
  <si>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</si>
  <si>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</si>
  <si>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</si>
  <si>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</si>
  <si>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</si>
  <si>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</si>
  <si>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</si>
  <si>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</si>
  <si>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</si>
  <si>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</si>
  <si>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</si>
  <si>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</si>
  <si>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</si>
  <si>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</si>
  <si>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</si>
  <si>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</si>
  <si>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</si>
  <si>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</si>
  <si>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</si>
  <si>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</si>
  <si>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</si>
  <si>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</si>
  <si>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</si>
  <si>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</si>
  <si>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</si>
  <si>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</si>
  <si>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</si>
  <si>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</si>
  <si>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</si>
  <si>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</si>
  <si>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</si>
  <si>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</si>
  <si>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</si>
  <si>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</si>
  <si>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</si>
  <si>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</si>
  <si>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</si>
  <si>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</si>
  <si>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</si>
  <si>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</si>
  <si>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</si>
  <si>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</si>
  <si>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</si>
  <si>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</si>
  <si>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</si>
  <si>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</si>
  <si>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</si>
  <si>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</si>
  <si>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</si>
  <si>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</si>
  <si>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</si>
  <si>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3,66</t>
  </si>
  <si>
    <t>353</t>
  </si>
  <si>
    <t>354</t>
  </si>
  <si>
    <t>3,56</t>
  </si>
  <si>
    <t>355</t>
  </si>
  <si>
    <t>356</t>
  </si>
  <si>
    <t>357</t>
  </si>
  <si>
    <t>358</t>
  </si>
  <si>
    <t>359</t>
  </si>
  <si>
    <t>360</t>
  </si>
  <si>
    <t>361</t>
  </si>
  <si>
    <t>362</t>
  </si>
  <si>
    <t>3,7</t>
  </si>
  <si>
    <t>363</t>
  </si>
  <si>
    <t>364</t>
  </si>
  <si>
    <t>365</t>
  </si>
  <si>
    <t>366</t>
  </si>
  <si>
    <t>367</t>
  </si>
  <si>
    <t>368</t>
  </si>
  <si>
    <t>369</t>
  </si>
  <si>
    <t>370</t>
  </si>
  <si>
    <t>371</t>
  </si>
  <si>
    <t>372</t>
  </si>
  <si>
    <t>3,65</t>
  </si>
  <si>
    <t>373</t>
  </si>
  <si>
    <t>374</t>
  </si>
  <si>
    <t>375</t>
  </si>
  <si>
    <t>376</t>
  </si>
  <si>
    <t>377</t>
  </si>
  <si>
    <t>378</t>
  </si>
  <si>
    <t>379</t>
  </si>
  <si>
    <t>380</t>
  </si>
  <si>
    <t>381</t>
  </si>
  <si>
    <t>382</t>
  </si>
  <si>
    <t>383</t>
  </si>
  <si>
    <t>384</t>
  </si>
  <si>
    <t>385</t>
  </si>
  <si>
    <t>386</t>
  </si>
  <si>
    <t>387</t>
  </si>
  <si>
    <t>388</t>
  </si>
  <si>
    <t>389</t>
  </si>
  <si>
    <t>390</t>
  </si>
  <si>
    <t>391</t>
  </si>
  <si>
    <t>2,37</t>
  </si>
  <si>
    <t>392</t>
  </si>
  <si>
    <t>2,34</t>
  </si>
  <si>
    <t>393</t>
  </si>
  <si>
    <t>394</t>
  </si>
  <si>
    <t>3,72</t>
  </si>
  <si>
    <t>395</t>
  </si>
  <si>
    <t>3,6</t>
  </si>
  <si>
    <t>396</t>
  </si>
  <si>
    <t>397</t>
  </si>
  <si>
    <t>398</t>
  </si>
  <si>
    <t>399</t>
  </si>
  <si>
    <t>400</t>
  </si>
  <si>
    <t>401</t>
  </si>
  <si>
    <t>402</t>
  </si>
  <si>
    <t>403</t>
  </si>
  <si>
    <t>2,27</t>
  </si>
  <si>
    <t>404</t>
  </si>
  <si>
    <t>405</t>
  </si>
  <si>
    <t>3,74</t>
  </si>
  <si>
    <t>406</t>
  </si>
  <si>
    <t>407</t>
  </si>
  <si>
    <t>408</t>
  </si>
  <si>
    <t>409</t>
  </si>
  <si>
    <t>410</t>
  </si>
  <si>
    <t>3,44</t>
  </si>
  <si>
    <t>411</t>
  </si>
  <si>
    <t>412</t>
  </si>
  <si>
    <t>413</t>
  </si>
  <si>
    <t>414</t>
  </si>
  <si>
    <t>415</t>
  </si>
  <si>
    <t>416</t>
  </si>
  <si>
    <t>417</t>
  </si>
  <si>
    <t>3,71</t>
  </si>
  <si>
    <t>418</t>
  </si>
  <si>
    <t>419</t>
  </si>
  <si>
    <t>420</t>
  </si>
  <si>
    <t>421</t>
  </si>
  <si>
    <t>422</t>
  </si>
  <si>
    <t>423</t>
  </si>
  <si>
    <t>424</t>
  </si>
  <si>
    <t>425</t>
  </si>
  <si>
    <t>426</t>
  </si>
  <si>
    <t>427</t>
  </si>
  <si>
    <t>428</t>
  </si>
  <si>
    <t>429</t>
  </si>
  <si>
    <t>430</t>
  </si>
  <si>
    <t>431</t>
  </si>
  <si>
    <t>432</t>
  </si>
  <si>
    <t>433</t>
  </si>
  <si>
    <t>434</t>
  </si>
  <si>
    <t>435</t>
  </si>
  <si>
    <t>436</t>
  </si>
  <si>
    <t>437</t>
  </si>
  <si>
    <t>438</t>
  </si>
  <si>
    <t>439</t>
  </si>
  <si>
    <t>3,75</t>
  </si>
  <si>
    <t>440</t>
  </si>
  <si>
    <t>3,55</t>
  </si>
  <si>
    <t>441</t>
  </si>
  <si>
    <t>442</t>
  </si>
  <si>
    <t>443</t>
  </si>
  <si>
    <t>444</t>
  </si>
  <si>
    <t>445</t>
  </si>
  <si>
    <t>446</t>
  </si>
  <si>
    <t>447</t>
  </si>
  <si>
    <t>448</t>
  </si>
  <si>
    <t>449</t>
  </si>
  <si>
    <t>3,68</t>
  </si>
  <si>
    <t>450</t>
  </si>
  <si>
    <t>451</t>
  </si>
  <si>
    <t>452</t>
  </si>
  <si>
    <t>2,35</t>
  </si>
  <si>
    <t>453</t>
  </si>
  <si>
    <t>454</t>
  </si>
  <si>
    <t>455</t>
  </si>
  <si>
    <t>456</t>
  </si>
  <si>
    <t>457</t>
  </si>
  <si>
    <t>458</t>
  </si>
  <si>
    <t>459</t>
  </si>
  <si>
    <t>460</t>
  </si>
  <si>
    <t>461</t>
  </si>
  <si>
    <t>462</t>
  </si>
  <si>
    <t>3,79</t>
  </si>
  <si>
    <t>463</t>
  </si>
  <si>
    <t>464</t>
  </si>
  <si>
    <t>465</t>
  </si>
  <si>
    <t>466</t>
  </si>
  <si>
    <t>467</t>
  </si>
  <si>
    <t>468</t>
  </si>
  <si>
    <t>469</t>
  </si>
  <si>
    <t>470</t>
  </si>
  <si>
    <t>471</t>
  </si>
  <si>
    <t>472</t>
  </si>
  <si>
    <t>473</t>
  </si>
  <si>
    <t>474</t>
  </si>
  <si>
    <t>475</t>
  </si>
  <si>
    <t>2,22</t>
  </si>
  <si>
    <t>476</t>
  </si>
  <si>
    <t>477</t>
  </si>
  <si>
    <t>478</t>
  </si>
  <si>
    <t>479</t>
  </si>
  <si>
    <t>480</t>
  </si>
  <si>
    <t>481</t>
  </si>
  <si>
    <t>482</t>
  </si>
  <si>
    <t>483</t>
  </si>
  <si>
    <t>2,21</t>
  </si>
  <si>
    <t>484</t>
  </si>
  <si>
    <t>3,69</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</si>
  <si>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</si>
  <si>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</si>
  <si>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</si>
  <si>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</si>
  <si>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</si>
  <si>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</si>
  <si>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</si>
  <si>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</si>
  <si>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</si>
  <si>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</si>
  <si>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</si>
  <si>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</si>
  <si>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</si>
  <si>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</si>
  <si>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</si>
  <si>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</si>
  <si>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</si>
  <si>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</si>
  <si>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</si>
  <si>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</si>
  <si>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</si>
  <si>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</si>
  <si>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</si>
  <si>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</si>
  <si>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</si>
  <si>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3,81</t>
  </si>
  <si>
    <t>510</t>
  </si>
  <si>
    <t>511</t>
  </si>
  <si>
    <t>512</t>
  </si>
  <si>
    <t>3,67</t>
  </si>
  <si>
    <t>513</t>
  </si>
  <si>
    <t>514</t>
  </si>
  <si>
    <t>515</t>
  </si>
  <si>
    <t>516</t>
  </si>
  <si>
    <t>517</t>
  </si>
  <si>
    <t>518</t>
  </si>
  <si>
    <t>519</t>
  </si>
  <si>
    <t>520</t>
  </si>
  <si>
    <t>521</t>
  </si>
  <si>
    <t>2,19</t>
  </si>
  <si>
    <t>3,82</t>
  </si>
  <si>
    <t>522</t>
  </si>
  <si>
    <t>523</t>
  </si>
  <si>
    <t>524</t>
  </si>
  <si>
    <t>525</t>
  </si>
  <si>
    <t>526</t>
  </si>
  <si>
    <t>527</t>
  </si>
  <si>
    <t>3,57</t>
  </si>
  <si>
    <t>528</t>
  </si>
  <si>
    <t>529</t>
  </si>
  <si>
    <t>530</t>
  </si>
  <si>
    <t>531</t>
  </si>
  <si>
    <t>532</t>
  </si>
  <si>
    <t>3,73</t>
  </si>
  <si>
    <t>533</t>
  </si>
  <si>
    <t>3,83</t>
  </si>
  <si>
    <t>534</t>
  </si>
  <si>
    <t>535</t>
  </si>
  <si>
    <t>536</t>
  </si>
  <si>
    <t>537</t>
  </si>
  <si>
    <t>538</t>
  </si>
  <si>
    <t>539</t>
  </si>
  <si>
    <t>540</t>
  </si>
  <si>
    <t>541</t>
  </si>
  <si>
    <t>542</t>
  </si>
  <si>
    <t>543</t>
  </si>
  <si>
    <t>544</t>
  </si>
  <si>
    <t>2,24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</si>
  <si>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</si>
  <si>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</si>
  <si>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</si>
  <si>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</si>
  <si>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</si>
  <si>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</si>
  <si>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</si>
  <si>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</si>
  <si>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</si>
  <si>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</si>
  <si>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</si>
  <si>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</si>
  <si>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</si>
  <si>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</si>
  <si>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</si>
  <si>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</si>
  <si>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</si>
  <si>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</si>
  <si>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</si>
  <si>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</si>
  <si>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</si>
  <si>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</si>
  <si>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</si>
  <si>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</si>
  <si>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</si>
  <si>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</si>
  <si>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3,88</t>
  </si>
  <si>
    <t>571</t>
  </si>
  <si>
    <t>572</t>
  </si>
  <si>
    <t>573</t>
  </si>
  <si>
    <t>574</t>
  </si>
  <si>
    <t>575</t>
  </si>
  <si>
    <t>576</t>
  </si>
  <si>
    <t>577</t>
  </si>
  <si>
    <t>578</t>
  </si>
  <si>
    <t>2,15</t>
  </si>
  <si>
    <t>579</t>
  </si>
  <si>
    <t>580</t>
  </si>
  <si>
    <t>581</t>
  </si>
  <si>
    <t>3,78</t>
  </si>
  <si>
    <t>582</t>
  </si>
  <si>
    <t>583</t>
  </si>
  <si>
    <t>3,87</t>
  </si>
  <si>
    <t>584</t>
  </si>
  <si>
    <t>585</t>
  </si>
  <si>
    <t>586</t>
  </si>
  <si>
    <t>587</t>
  </si>
  <si>
    <t>588</t>
  </si>
  <si>
    <t>589</t>
  </si>
  <si>
    <t>590</t>
  </si>
  <si>
    <t>591</t>
  </si>
  <si>
    <t>592</t>
  </si>
  <si>
    <t>593</t>
  </si>
  <si>
    <t>594</t>
  </si>
  <si>
    <t>595</t>
  </si>
  <si>
    <t>3,85</t>
  </si>
  <si>
    <t>596</t>
  </si>
  <si>
    <t>597</t>
  </si>
  <si>
    <t>598</t>
  </si>
  <si>
    <t>599</t>
  </si>
  <si>
    <t>600</t>
  </si>
  <si>
    <t>601</t>
  </si>
  <si>
    <t>602</t>
  </si>
  <si>
    <t>603</t>
  </si>
  <si>
    <t>604</t>
  </si>
  <si>
    <t>605</t>
  </si>
  <si>
    <t>606</t>
  </si>
  <si>
    <t>607</t>
  </si>
  <si>
    <t>608</t>
  </si>
  <si>
    <t>609</t>
  </si>
  <si>
    <t>2,29</t>
  </si>
  <si>
    <t>610</t>
  </si>
  <si>
    <t>611</t>
  </si>
  <si>
    <t>612</t>
  </si>
  <si>
    <t>613</t>
  </si>
  <si>
    <t>614</t>
  </si>
  <si>
    <t>615</t>
  </si>
  <si>
    <t>616</t>
  </si>
  <si>
    <t>617</t>
  </si>
  <si>
    <t>618</t>
  </si>
  <si>
    <t>619</t>
  </si>
  <si>
    <t>620</t>
  </si>
  <si>
    <t>621</t>
  </si>
  <si>
    <t>622</t>
  </si>
  <si>
    <t>623</t>
  </si>
  <si>
    <t>624</t>
  </si>
  <si>
    <t>625</t>
  </si>
  <si>
    <t>626</t>
  </si>
  <si>
    <t>627</t>
  </si>
  <si>
    <t>628</t>
  </si>
  <si>
    <t>629</t>
  </si>
  <si>
    <t>630</t>
  </si>
  <si>
    <t>3,84</t>
  </si>
  <si>
    <t>631</t>
  </si>
  <si>
    <t>2,16</t>
  </si>
  <si>
    <t>632</t>
  </si>
  <si>
    <t>3,93</t>
  </si>
  <si>
    <t>633</t>
  </si>
  <si>
    <t>634</t>
  </si>
  <si>
    <t>635</t>
  </si>
  <si>
    <t>3,8</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</si>
  <si>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</si>
  <si>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</si>
  <si>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</si>
  <si>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</si>
  <si>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</si>
  <si>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</si>
  <si>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</si>
  <si>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</si>
  <si>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</si>
  <si>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</si>
  <si>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</si>
  <si>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</si>
  <si>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</si>
  <si>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</si>
  <si>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</si>
  <si>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</si>
  <si>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</si>
  <si>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</si>
  <si>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</si>
  <si>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</si>
  <si>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</si>
  <si>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</si>
  <si>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</si>
  <si>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</si>
  <si>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2,52</t>
  </si>
  <si>
    <t>660</t>
  </si>
  <si>
    <t>661</t>
  </si>
  <si>
    <t>662</t>
  </si>
  <si>
    <t>2,8</t>
  </si>
  <si>
    <t>663</t>
  </si>
  <si>
    <t>664</t>
  </si>
  <si>
    <t>665</t>
  </si>
  <si>
    <t>2,9</t>
  </si>
  <si>
    <t>666</t>
  </si>
  <si>
    <t>667</t>
  </si>
  <si>
    <t>668</t>
  </si>
  <si>
    <t>669</t>
  </si>
  <si>
    <t>2,17</t>
  </si>
  <si>
    <t>670</t>
  </si>
  <si>
    <t>3,77</t>
  </si>
  <si>
    <t>671</t>
  </si>
  <si>
    <t>3,76</t>
  </si>
  <si>
    <t>672</t>
  </si>
  <si>
    <t>673</t>
  </si>
  <si>
    <t>3,89</t>
  </si>
  <si>
    <t>674</t>
  </si>
  <si>
    <t>675</t>
  </si>
  <si>
    <t>676</t>
  </si>
  <si>
    <t>677</t>
  </si>
  <si>
    <t>678</t>
  </si>
  <si>
    <t>679</t>
  </si>
  <si>
    <t>680</t>
  </si>
  <si>
    <t>3,98</t>
  </si>
  <si>
    <t>681</t>
  </si>
  <si>
    <t>682</t>
  </si>
  <si>
    <t>683</t>
  </si>
  <si>
    <t>684</t>
  </si>
  <si>
    <t>2,07</t>
  </si>
  <si>
    <t>685</t>
  </si>
  <si>
    <t>686</t>
  </si>
  <si>
    <t>687</t>
  </si>
  <si>
    <t>688</t>
  </si>
  <si>
    <t>689</t>
  </si>
  <si>
    <t>690</t>
  </si>
  <si>
    <t>691</t>
  </si>
  <si>
    <t>692</t>
  </si>
  <si>
    <t>693</t>
  </si>
  <si>
    <t>694</t>
  </si>
  <si>
    <t>695</t>
  </si>
  <si>
    <t>696</t>
  </si>
  <si>
    <t>2,83</t>
  </si>
  <si>
    <t>697</t>
  </si>
  <si>
    <t>2,79</t>
  </si>
  <si>
    <t>698</t>
  </si>
  <si>
    <t>699</t>
  </si>
  <si>
    <t>2,94</t>
  </si>
  <si>
    <t>700</t>
  </si>
  <si>
    <t>2,89</t>
  </si>
  <si>
    <t>701</t>
  </si>
  <si>
    <t>702</t>
  </si>
  <si>
    <t>2,61</t>
  </si>
  <si>
    <t>703</t>
  </si>
  <si>
    <t>2,73</t>
  </si>
  <si>
    <t>704</t>
  </si>
  <si>
    <t>705</t>
  </si>
  <si>
    <t>706</t>
  </si>
  <si>
    <t>707</t>
  </si>
  <si>
    <t>708</t>
  </si>
  <si>
    <t>709</t>
  </si>
  <si>
    <t>710</t>
  </si>
  <si>
    <t>711</t>
  </si>
  <si>
    <t>712</t>
  </si>
  <si>
    <t>713</t>
  </si>
  <si>
    <t>714</t>
  </si>
  <si>
    <t>715</t>
  </si>
  <si>
    <t>716</t>
  </si>
  <si>
    <t>717</t>
  </si>
  <si>
    <t>718</t>
  </si>
  <si>
    <t>2,08</t>
  </si>
  <si>
    <t>719</t>
  </si>
  <si>
    <t>2,03</t>
  </si>
  <si>
    <t>720</t>
  </si>
  <si>
    <t>721</t>
  </si>
  <si>
    <t>722</t>
  </si>
  <si>
    <t>723</t>
  </si>
  <si>
    <t>724</t>
  </si>
  <si>
    <t>725</t>
  </si>
  <si>
    <t>726</t>
  </si>
  <si>
    <t>727</t>
  </si>
  <si>
    <t>728</t>
  </si>
  <si>
    <t>729</t>
  </si>
  <si>
    <t>730</t>
  </si>
  <si>
    <t>731</t>
  </si>
  <si>
    <t>2,51</t>
  </si>
  <si>
    <t>732</t>
  </si>
  <si>
    <t>733</t>
  </si>
  <si>
    <t>734</t>
  </si>
  <si>
    <t>735</t>
  </si>
  <si>
    <t>736</t>
  </si>
  <si>
    <t>737</t>
  </si>
  <si>
    <t>2,78</t>
  </si>
  <si>
    <t>738</t>
  </si>
  <si>
    <t>739</t>
  </si>
  <si>
    <t>740</t>
  </si>
  <si>
    <t>2,62</t>
  </si>
  <si>
    <t>741</t>
  </si>
  <si>
    <t>742</t>
  </si>
  <si>
    <t>743</t>
  </si>
  <si>
    <t>2,71</t>
  </si>
  <si>
    <t>744</t>
  </si>
  <si>
    <t>745</t>
  </si>
  <si>
    <t>746</t>
  </si>
  <si>
    <t>747</t>
  </si>
  <si>
    <t>748</t>
  </si>
  <si>
    <t>749</t>
  </si>
  <si>
    <t>750</t>
  </si>
  <si>
    <t>751</t>
  </si>
  <si>
    <t>752</t>
  </si>
  <si>
    <t>753</t>
  </si>
  <si>
    <t>2,12</t>
  </si>
  <si>
    <t>754</t>
  </si>
  <si>
    <t>3,9</t>
  </si>
  <si>
    <t>755</t>
  </si>
  <si>
    <t>756</t>
  </si>
  <si>
    <t>2,13</t>
  </si>
  <si>
    <t>757</t>
  </si>
  <si>
    <t>758</t>
  </si>
  <si>
    <t>759</t>
  </si>
  <si>
    <t>760</t>
  </si>
  <si>
    <t>761</t>
  </si>
  <si>
    <t>2,1</t>
  </si>
  <si>
    <t>762</t>
  </si>
  <si>
    <t>2,54</t>
  </si>
  <si>
    <t>763</t>
  </si>
  <si>
    <t>764</t>
  </si>
  <si>
    <t>765</t>
  </si>
  <si>
    <t>766</t>
  </si>
  <si>
    <t>2,57</t>
  </si>
  <si>
    <t>767</t>
  </si>
  <si>
    <t>768</t>
  </si>
  <si>
    <t>769</t>
  </si>
  <si>
    <t>2,28</t>
  </si>
  <si>
    <t>770</t>
  </si>
  <si>
    <t>771</t>
  </si>
  <si>
    <t>2,88</t>
  </si>
  <si>
    <t>772</t>
  </si>
  <si>
    <t>773</t>
  </si>
  <si>
    <t>774</t>
  </si>
  <si>
    <t>775</t>
  </si>
  <si>
    <t>776</t>
  </si>
  <si>
    <t>777</t>
  </si>
  <si>
    <t>2,72</t>
  </si>
  <si>
    <t>778</t>
  </si>
  <si>
    <t>2,68</t>
  </si>
  <si>
    <t>779</t>
  </si>
  <si>
    <t>780</t>
  </si>
  <si>
    <t>781</t>
  </si>
  <si>
    <t>782</t>
  </si>
  <si>
    <t>783</t>
  </si>
  <si>
    <t>784</t>
  </si>
  <si>
    <t>785</t>
  </si>
  <si>
    <t>786</t>
  </si>
  <si>
    <t>787</t>
  </si>
  <si>
    <t>788</t>
  </si>
  <si>
    <t>789</t>
  </si>
  <si>
    <t>790</t>
  </si>
  <si>
    <t>791</t>
  </si>
  <si>
    <t>792</t>
  </si>
  <si>
    <t>793</t>
  </si>
  <si>
    <t>2,02</t>
  </si>
  <si>
    <t>794</t>
  </si>
  <si>
    <t>795</t>
  </si>
  <si>
    <t>796</t>
  </si>
  <si>
    <t>797</t>
  </si>
  <si>
    <t>798</t>
  </si>
  <si>
    <t>799</t>
  </si>
  <si>
    <t>800</t>
  </si>
  <si>
    <t>801</t>
  </si>
  <si>
    <t>802</t>
  </si>
  <si>
    <t>803</t>
  </si>
  <si>
    <t>804</t>
  </si>
  <si>
    <t>805</t>
  </si>
  <si>
    <t>806</t>
  </si>
  <si>
    <t>2,75</t>
  </si>
  <si>
    <t>807</t>
  </si>
  <si>
    <t>2,81</t>
  </si>
  <si>
    <t>808</t>
  </si>
  <si>
    <t>809</t>
  </si>
  <si>
    <t>810</t>
  </si>
  <si>
    <t>811</t>
  </si>
  <si>
    <t>812</t>
  </si>
  <si>
    <t>2,23</t>
  </si>
  <si>
    <t>813</t>
  </si>
  <si>
    <t>2,65</t>
  </si>
  <si>
    <t>814</t>
  </si>
  <si>
    <t>815</t>
  </si>
  <si>
    <t>816</t>
  </si>
  <si>
    <t>817</t>
  </si>
  <si>
    <t>818</t>
  </si>
  <si>
    <t>819</t>
  </si>
  <si>
    <t>820</t>
  </si>
  <si>
    <t>2,96</t>
  </si>
  <si>
    <t>821</t>
  </si>
  <si>
    <t>822</t>
  </si>
  <si>
    <t>823</t>
  </si>
  <si>
    <t>824</t>
  </si>
  <si>
    <t>825</t>
  </si>
  <si>
    <t>826</t>
  </si>
  <si>
    <t>3,94</t>
  </si>
  <si>
    <t>827</t>
  </si>
  <si>
    <t>828</t>
  </si>
  <si>
    <t>2,01</t>
  </si>
  <si>
    <t>829</t>
  </si>
  <si>
    <t>830</t>
  </si>
  <si>
    <t>831</t>
  </si>
  <si>
    <t>832</t>
  </si>
  <si>
    <t>833</t>
  </si>
  <si>
    <t>834</t>
  </si>
  <si>
    <t>835</t>
  </si>
  <si>
    <t>836</t>
  </si>
  <si>
    <t>837</t>
  </si>
  <si>
    <t>838</t>
  </si>
  <si>
    <t>839</t>
  </si>
  <si>
    <t>840</t>
  </si>
  <si>
    <t>2,84</t>
  </si>
  <si>
    <t>841</t>
  </si>
  <si>
    <t>842</t>
  </si>
  <si>
    <t>843</t>
  </si>
  <si>
    <t>844</t>
  </si>
  <si>
    <t>845</t>
  </si>
  <si>
    <t>846</t>
  </si>
  <si>
    <t>2,59</t>
  </si>
  <si>
    <t>847</t>
  </si>
  <si>
    <t>848</t>
  </si>
  <si>
    <t>849</t>
  </si>
  <si>
    <t>850</t>
  </si>
  <si>
    <t>851</t>
  </si>
  <si>
    <t>852</t>
  </si>
  <si>
    <t>853</t>
  </si>
  <si>
    <t>854</t>
  </si>
  <si>
    <t>855</t>
  </si>
  <si>
    <t>856</t>
  </si>
  <si>
    <t>857</t>
  </si>
  <si>
    <t>2,56</t>
  </si>
  <si>
    <t>858</t>
  </si>
  <si>
    <t>859</t>
  </si>
  <si>
    <t>3,99</t>
  </si>
  <si>
    <t>860</t>
  </si>
  <si>
    <t>3,86</t>
  </si>
  <si>
    <t>861</t>
  </si>
  <si>
    <t>862</t>
  </si>
  <si>
    <t>863</t>
  </si>
  <si>
    <t>864</t>
  </si>
  <si>
    <t>865</t>
  </si>
  <si>
    <t>866</t>
  </si>
  <si>
    <t>867</t>
  </si>
  <si>
    <t>868</t>
  </si>
  <si>
    <t>869</t>
  </si>
  <si>
    <t>2,55</t>
  </si>
  <si>
    <t>870</t>
  </si>
  <si>
    <t>871</t>
  </si>
  <si>
    <t>872</t>
  </si>
  <si>
    <t>873</t>
  </si>
  <si>
    <t>874</t>
  </si>
  <si>
    <t>875</t>
  </si>
  <si>
    <t>876</t>
  </si>
  <si>
    <t>2,58</t>
  </si>
  <si>
    <t>877</t>
  </si>
  <si>
    <t>878</t>
  </si>
  <si>
    <t>879</t>
  </si>
  <si>
    <t>2,74</t>
  </si>
  <si>
    <t>880</t>
  </si>
  <si>
    <t>881</t>
  </si>
  <si>
    <t>2,87</t>
  </si>
  <si>
    <t>882</t>
  </si>
  <si>
    <t>2,64</t>
  </si>
  <si>
    <t>883</t>
  </si>
  <si>
    <t>884</t>
  </si>
  <si>
    <t>2,69</t>
  </si>
  <si>
    <t>885</t>
  </si>
  <si>
    <t>886</t>
  </si>
  <si>
    <t>887</t>
  </si>
  <si>
    <t>888</t>
  </si>
  <si>
    <t>889</t>
  </si>
  <si>
    <t>890</t>
  </si>
  <si>
    <t>891</t>
  </si>
  <si>
    <t>2,97</t>
  </si>
  <si>
    <t>892</t>
  </si>
  <si>
    <t>2,98</t>
  </si>
  <si>
    <t>893</t>
  </si>
  <si>
    <t>894</t>
  </si>
  <si>
    <t>895</t>
  </si>
  <si>
    <t>896</t>
  </si>
  <si>
    <t>897</t>
  </si>
  <si>
    <t>898</t>
  </si>
  <si>
    <t>899</t>
  </si>
  <si>
    <t>900</t>
  </si>
  <si>
    <t>901</t>
  </si>
  <si>
    <t>902</t>
  </si>
  <si>
    <t>903</t>
  </si>
  <si>
    <t>904</t>
  </si>
  <si>
    <t>905</t>
  </si>
  <si>
    <t>906</t>
  </si>
  <si>
    <t>907</t>
  </si>
  <si>
    <t>908</t>
  </si>
  <si>
    <t>909</t>
  </si>
  <si>
    <t>910</t>
  </si>
  <si>
    <t>911</t>
  </si>
  <si>
    <t>912</t>
  </si>
  <si>
    <t>913</t>
  </si>
  <si>
    <t>2,82</t>
  </si>
  <si>
    <t>914</t>
  </si>
  <si>
    <t>915</t>
  </si>
  <si>
    <t>2,93</t>
  </si>
  <si>
    <t>916</t>
  </si>
  <si>
    <t>917</t>
  </si>
  <si>
    <t>2,63</t>
  </si>
  <si>
    <t>918</t>
  </si>
  <si>
    <t>2,11</t>
  </si>
  <si>
    <t>919</t>
  </si>
  <si>
    <t>920</t>
  </si>
  <si>
    <t>921</t>
  </si>
  <si>
    <t>922</t>
  </si>
  <si>
    <t>923</t>
  </si>
  <si>
    <t>924</t>
  </si>
  <si>
    <t>3,97</t>
  </si>
  <si>
    <t>925</t>
  </si>
  <si>
    <t>926</t>
  </si>
  <si>
    <t>927</t>
  </si>
  <si>
    <t>928</t>
  </si>
  <si>
    <t>2,09</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</si>
  <si>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</si>
  <si>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</si>
  <si>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</si>
  <si>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</si>
  <si>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</si>
  <si>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</si>
  <si>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</si>
  <si>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</si>
  <si>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</si>
  <si>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</si>
  <si>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</si>
  <si>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</si>
  <si>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</si>
  <si>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</si>
  <si>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</si>
  <si>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</si>
  <si>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</si>
  <si>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</si>
  <si>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</si>
  <si>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</si>
  <si>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</si>
  <si>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</si>
  <si>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</si>
  <si>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</si>
  <si>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</si>
  <si>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</si>
  <si>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</si>
  <si>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</si>
  <si>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</si>
  <si>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</si>
  <si>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</si>
  <si>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</si>
  <si>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</si>
  <si>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</si>
  <si>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2,66</t>
  </si>
  <si>
    <t>963</t>
  </si>
  <si>
    <t>964</t>
  </si>
  <si>
    <t>965</t>
  </si>
  <si>
    <t>966</t>
  </si>
  <si>
    <t>967</t>
  </si>
  <si>
    <t>968</t>
  </si>
  <si>
    <t>2,92</t>
  </si>
  <si>
    <t>969</t>
  </si>
  <si>
    <t>970</t>
  </si>
  <si>
    <t>971</t>
  </si>
  <si>
    <t>972</t>
  </si>
  <si>
    <t>973</t>
  </si>
  <si>
    <t>974</t>
  </si>
  <si>
    <t>975</t>
  </si>
  <si>
    <t>2,06</t>
  </si>
  <si>
    <t>976</t>
  </si>
  <si>
    <t>977</t>
  </si>
  <si>
    <t>978</t>
  </si>
  <si>
    <t>3,95</t>
  </si>
  <si>
    <t>979</t>
  </si>
  <si>
    <t>980</t>
  </si>
  <si>
    <t>981</t>
  </si>
  <si>
    <t>982</t>
  </si>
  <si>
    <t>983</t>
  </si>
  <si>
    <t>984</t>
  </si>
  <si>
    <t>985</t>
  </si>
  <si>
    <t>986</t>
  </si>
  <si>
    <t>2,53</t>
  </si>
  <si>
    <t>987</t>
  </si>
  <si>
    <t>988</t>
  </si>
  <si>
    <t>989</t>
  </si>
  <si>
    <t>990</t>
  </si>
  <si>
    <t>991</t>
  </si>
  <si>
    <t>992</t>
  </si>
  <si>
    <t>993</t>
  </si>
  <si>
    <t>994</t>
  </si>
  <si>
    <t>995</t>
  </si>
  <si>
    <t>996</t>
  </si>
  <si>
    <t>997</t>
  </si>
  <si>
    <t>998</t>
  </si>
  <si>
    <t>999</t>
  </si>
  <si>
    <t>1000</t>
  </si>
  <si>
    <t>1; 2</t>
  </si>
  <si>
    <t>3,91</t>
  </si>
  <si>
    <t>3,92</t>
  </si>
  <si>
    <t>3,96</t>
  </si>
  <si>
    <t>7,16666666666667</t>
  </si>
  <si>
    <t>-12,5333333333333</t>
  </si>
  <si>
    <t>7,10833333333333</t>
  </si>
  <si>
    <t>-12,5833333333333</t>
  </si>
  <si>
    <t>7,05</t>
  </si>
  <si>
    <t>-12,6333333333333</t>
  </si>
  <si>
    <t>6,99166666666667</t>
  </si>
  <si>
    <t>-12,6666666666667</t>
  </si>
  <si>
    <t>6,93333333333333</t>
  </si>
  <si>
    <t>-12,7166666666667</t>
  </si>
  <si>
    <t>6,875</t>
  </si>
  <si>
    <t>-12,75</t>
  </si>
  <si>
    <t>6,81666666666667</t>
  </si>
  <si>
    <t>-12,8</t>
  </si>
  <si>
    <t>6,75833333333333</t>
  </si>
  <si>
    <t>-12,85</t>
  </si>
  <si>
    <t>6,7</t>
  </si>
  <si>
    <t>-13,3333333333333</t>
  </si>
  <si>
    <t>-11,6666666666667</t>
  </si>
  <si>
    <t>6,64166666666667</t>
  </si>
  <si>
    <t>-13,35</t>
  </si>
  <si>
    <t>6,525</t>
  </si>
  <si>
    <t>-13,3666666666667</t>
  </si>
  <si>
    <t>6,46666666666667</t>
  </si>
  <si>
    <t>-13,3833333333333</t>
  </si>
  <si>
    <t>-10,8666666666667</t>
  </si>
  <si>
    <t>7,225</t>
  </si>
  <si>
    <t>-10,8333333333333</t>
  </si>
  <si>
    <t>-10,9666666666667</t>
  </si>
  <si>
    <t>6,35</t>
  </si>
  <si>
    <t>-13,4166666666667</t>
  </si>
  <si>
    <t>-11,1833333333333</t>
  </si>
  <si>
    <t>-11,0833333333333</t>
  </si>
  <si>
    <t>6,40833333333333</t>
  </si>
  <si>
    <t>-13,4</t>
  </si>
  <si>
    <t>-10,9166666666667</t>
  </si>
  <si>
    <t>-11,05</t>
  </si>
  <si>
    <t>-11,1333333333333</t>
  </si>
  <si>
    <t>-11</t>
  </si>
  <si>
    <t>6,23333333333333</t>
  </si>
  <si>
    <t>-13,4333333333333</t>
  </si>
  <si>
    <t>6,175</t>
  </si>
  <si>
    <t>-13,45</t>
  </si>
  <si>
    <t>6,11666666666667</t>
  </si>
  <si>
    <t>-13,4666666666667</t>
  </si>
  <si>
    <t>-13,4833333333333</t>
  </si>
  <si>
    <t>6,05833333333333</t>
  </si>
  <si>
    <t>5,94166666666667</t>
  </si>
  <si>
    <t>-13,5</t>
  </si>
  <si>
    <t>5,88333333333333</t>
  </si>
  <si>
    <t>-13,5166666666667</t>
  </si>
  <si>
    <t>5,825</t>
  </si>
  <si>
    <t>-13,5333333333333</t>
  </si>
  <si>
    <t>5,70833333333333</t>
  </si>
  <si>
    <t>-13,55</t>
  </si>
  <si>
    <t>5,65</t>
  </si>
  <si>
    <t>-13,5666666666667</t>
  </si>
  <si>
    <t>5,59166666666667</t>
  </si>
  <si>
    <t>-13,5833333333333</t>
  </si>
  <si>
    <t>5,53333333333333</t>
  </si>
  <si>
    <t>-13,6</t>
  </si>
  <si>
    <t>5,41666666666667</t>
  </si>
  <si>
    <t>-13,6166666666667</t>
  </si>
  <si>
    <t>5,475</t>
  </si>
  <si>
    <t>5,35833333333333</t>
  </si>
  <si>
    <t>-13,6333333333333</t>
  </si>
  <si>
    <t>5,3</t>
  </si>
  <si>
    <t>-13,65</t>
  </si>
  <si>
    <t>5,18333333333333</t>
  </si>
  <si>
    <t>-13,6666666666667</t>
  </si>
  <si>
    <t>5,125</t>
  </si>
  <si>
    <t>-13,6833333333333</t>
  </si>
  <si>
    <t>5,06666666666667</t>
  </si>
  <si>
    <t>-13,7</t>
  </si>
  <si>
    <t>5,00833333333333</t>
  </si>
  <si>
    <t>-13,7166666666667</t>
  </si>
  <si>
    <t>4,95</t>
  </si>
  <si>
    <t>4,89166666666667</t>
  </si>
  <si>
    <t>-13,7333333333333</t>
  </si>
  <si>
    <t>4,83333333333333</t>
  </si>
  <si>
    <t>-13,75</t>
  </si>
  <si>
    <t>4,775</t>
  </si>
  <si>
    <t>-13,7666666666667</t>
  </si>
  <si>
    <t>4,65833333333333</t>
  </si>
  <si>
    <t>-13,7833333333333</t>
  </si>
  <si>
    <t>4,71666666666667</t>
  </si>
  <si>
    <t>4,54166666666667</t>
  </si>
  <si>
    <t>-13,8166666666667</t>
  </si>
  <si>
    <t>4,6</t>
  </si>
  <si>
    <t>-13,8</t>
  </si>
  <si>
    <t>4,48333333333333</t>
  </si>
  <si>
    <t>-13,8333333333333</t>
  </si>
  <si>
    <t>4,425</t>
  </si>
  <si>
    <t>4,36666666666667</t>
  </si>
  <si>
    <t>-13,85</t>
  </si>
  <si>
    <t>4,30833333333333</t>
  </si>
  <si>
    <t>-13,8666666666667</t>
  </si>
  <si>
    <t>4,25</t>
  </si>
  <si>
    <t>-13,9</t>
  </si>
  <si>
    <t>4,19166666666667</t>
  </si>
  <si>
    <t>-13,9166666666667</t>
  </si>
  <si>
    <t>4,13333333333333</t>
  </si>
  <si>
    <t>-13,9333333333333</t>
  </si>
  <si>
    <t>4,075</t>
  </si>
  <si>
    <t>-13,9666666666667</t>
  </si>
  <si>
    <t>-16,65</t>
  </si>
  <si>
    <t>-16,6666666666667</t>
  </si>
  <si>
    <t>3,95833333333333</t>
  </si>
  <si>
    <t>-14</t>
  </si>
  <si>
    <t>4,01666666666667</t>
  </si>
  <si>
    <t>-13,9833333333333</t>
  </si>
  <si>
    <t>-16,6166666666667</t>
  </si>
  <si>
    <t>-16,6333333333333</t>
  </si>
  <si>
    <t>-14,0166666666667</t>
  </si>
  <si>
    <t>-16,5833333333333</t>
  </si>
  <si>
    <t>-16,6</t>
  </si>
  <si>
    <t>3,84166666666667</t>
  </si>
  <si>
    <t>-14,05</t>
  </si>
  <si>
    <t>-17,4666666666667</t>
  </si>
  <si>
    <t>-17,3666666666667</t>
  </si>
  <si>
    <t>-17,5</t>
  </si>
  <si>
    <t>-16,5666666666667</t>
  </si>
  <si>
    <t>-17,25</t>
  </si>
  <si>
    <t>3,78333333333333</t>
  </si>
  <si>
    <t>-14,0666666666667</t>
  </si>
  <si>
    <t>-17,15</t>
  </si>
  <si>
    <t>-17,2833333333333</t>
  </si>
  <si>
    <t>3,66666666666667</t>
  </si>
  <si>
    <t>-14,1</t>
  </si>
  <si>
    <t>3,725</t>
  </si>
  <si>
    <t>-14,0833333333333</t>
  </si>
  <si>
    <t>-17,4166666666667</t>
  </si>
  <si>
    <t>-17,2</t>
  </si>
  <si>
    <t>-17,3333333333333</t>
  </si>
  <si>
    <t>-16,5333333333333</t>
  </si>
  <si>
    <t>-16,55</t>
  </si>
  <si>
    <t>-16,5</t>
  </si>
  <si>
    <t>-16,5166666666667</t>
  </si>
  <si>
    <t>3,60833333333333</t>
  </si>
  <si>
    <t>-14,1333333333333</t>
  </si>
  <si>
    <t>-14,15</t>
  </si>
  <si>
    <t>-16,4666666666667</t>
  </si>
  <si>
    <t>-16,4833333333333</t>
  </si>
  <si>
    <t>-16,45</t>
  </si>
  <si>
    <t>3,49166666666667</t>
  </si>
  <si>
    <t>-14,1666666666667</t>
  </si>
  <si>
    <t>3,43333333333333</t>
  </si>
  <si>
    <t>-14,2</t>
  </si>
  <si>
    <t>-16,4</t>
  </si>
  <si>
    <t>-16,4166666666667</t>
  </si>
  <si>
    <t>-16,4333333333333</t>
  </si>
  <si>
    <t>3,375</t>
  </si>
  <si>
    <t>-14,2166666666667</t>
  </si>
  <si>
    <t>-16,3833333333333</t>
  </si>
  <si>
    <t>3,31666666666667</t>
  </si>
  <si>
    <t>-14,2333333333333</t>
  </si>
  <si>
    <t>-16,35</t>
  </si>
  <si>
    <t>-16,3666666666667</t>
  </si>
  <si>
    <t>3,25833333333333</t>
  </si>
  <si>
    <t>-14,25</t>
  </si>
  <si>
    <t>-14,2833333333333</t>
  </si>
  <si>
    <t>3,14166666666667</t>
  </si>
  <si>
    <t>-14,3</t>
  </si>
  <si>
    <t>-16,3333333333333</t>
  </si>
  <si>
    <t>-16,2833333333333</t>
  </si>
  <si>
    <t>-16,3</t>
  </si>
  <si>
    <t>-16,3166666666667</t>
  </si>
  <si>
    <t>3,08333333333333</t>
  </si>
  <si>
    <t>-14,3166666666667</t>
  </si>
  <si>
    <t>3,025</t>
  </si>
  <si>
    <t>-14,35</t>
  </si>
  <si>
    <t>-16,2666666666667</t>
  </si>
  <si>
    <t>2,90833333333333</t>
  </si>
  <si>
    <t>-14,3833333333333</t>
  </si>
  <si>
    <t>2,96666666666667</t>
  </si>
  <si>
    <t>-14,3666666666667</t>
  </si>
  <si>
    <t>-16,2333333333333</t>
  </si>
  <si>
    <t>-16,25</t>
  </si>
  <si>
    <t>-16,2166666666667</t>
  </si>
  <si>
    <t>2,85</t>
  </si>
  <si>
    <t>-14,4</t>
  </si>
  <si>
    <t>-16,1666666666667</t>
  </si>
  <si>
    <t>2,79166666666667</t>
  </si>
  <si>
    <t>-14,4333333333333</t>
  </si>
  <si>
    <t>-16,2</t>
  </si>
  <si>
    <t>-16,1833333333333</t>
  </si>
  <si>
    <t>-18,3333333333333</t>
  </si>
  <si>
    <t>-16,15</t>
  </si>
  <si>
    <t>2,73333333333333</t>
  </si>
  <si>
    <t>-14,45</t>
  </si>
  <si>
    <t>2,675</t>
  </si>
  <si>
    <t>-14,4666666666667</t>
  </si>
  <si>
    <t>2,61666666666667</t>
  </si>
  <si>
    <t>-14,4833333333333</t>
  </si>
  <si>
    <t>-16,1</t>
  </si>
  <si>
    <t>-16,1333333333333</t>
  </si>
  <si>
    <t>-16,0333333333333</t>
  </si>
  <si>
    <t>-16,0833333333333</t>
  </si>
  <si>
    <t>-16,0666666666667</t>
  </si>
  <si>
    <t>-19,1333333333333</t>
  </si>
  <si>
    <t>2,55833333333333</t>
  </si>
  <si>
    <t>-14,5166666666667</t>
  </si>
  <si>
    <t>-19,1666666666667</t>
  </si>
  <si>
    <t>-19,0333333333333</t>
  </si>
  <si>
    <t>-18,8166666666667</t>
  </si>
  <si>
    <t>-18,9166666666667</t>
  </si>
  <si>
    <t>-16,0166666666667</t>
  </si>
  <si>
    <t>-18,95</t>
  </si>
  <si>
    <t>-16</t>
  </si>
  <si>
    <t>-14,5333333333333</t>
  </si>
  <si>
    <t>-19,0833333333333</t>
  </si>
  <si>
    <t>-19</t>
  </si>
  <si>
    <t>-18,8666666666667</t>
  </si>
  <si>
    <t>-15,95</t>
  </si>
  <si>
    <t>-15,9833333333333</t>
  </si>
  <si>
    <t>2,425</t>
  </si>
  <si>
    <t>-15,9</t>
  </si>
  <si>
    <t>-15,9166666666667</t>
  </si>
  <si>
    <t>-15,9333333333333</t>
  </si>
  <si>
    <t>2,275</t>
  </si>
  <si>
    <t>-15,85</t>
  </si>
  <si>
    <t>-15,8666666666667</t>
  </si>
  <si>
    <t>2,125</t>
  </si>
  <si>
    <t>-15,8</t>
  </si>
  <si>
    <t>1,975</t>
  </si>
  <si>
    <t>-15,8333333333333</t>
  </si>
  <si>
    <t>2,05</t>
  </si>
  <si>
    <t>-15,7666666666667</t>
  </si>
  <si>
    <t>-15,7833333333333</t>
  </si>
  <si>
    <t>1,825</t>
  </si>
  <si>
    <t>-15,7</t>
  </si>
  <si>
    <t>-15,75</t>
  </si>
  <si>
    <t>-15,7166666666667</t>
  </si>
  <si>
    <t>1,675</t>
  </si>
  <si>
    <t>-15,6833333333333</t>
  </si>
  <si>
    <t>-15,65</t>
  </si>
  <si>
    <t>-15,6166666666667</t>
  </si>
  <si>
    <t>-15,6333333333333</t>
  </si>
  <si>
    <t>-15,5666666666667</t>
  </si>
  <si>
    <t>1,525</t>
  </si>
  <si>
    <t>-15,6</t>
  </si>
  <si>
    <t>1,375</t>
  </si>
  <si>
    <t>-15,5166666666667</t>
  </si>
  <si>
    <t>-15,5333333333333</t>
  </si>
  <si>
    <t>-15,55</t>
  </si>
  <si>
    <t>-15,4666666666667</t>
  </si>
  <si>
    <t>-15,4833333333333</t>
  </si>
  <si>
    <t>1,225</t>
  </si>
  <si>
    <t>1,075</t>
  </si>
  <si>
    <t>0,999999999999996</t>
  </si>
  <si>
    <t>0,925000000000001</t>
  </si>
  <si>
    <t>0,849999999999998</t>
  </si>
  <si>
    <t>0,774999999999999</t>
  </si>
  <si>
    <t>0,625</t>
  </si>
  <si>
    <t>0,699999999999999</t>
  </si>
  <si>
    <t>0,475000000000001</t>
  </si>
  <si>
    <t>0,550000000000001</t>
  </si>
  <si>
    <t>0,400000000000002</t>
  </si>
  <si>
    <t>0,324999999999999</t>
  </si>
  <si>
    <t>0,25</t>
  </si>
  <si>
    <t>0,174999999999997</t>
  </si>
  <si>
    <t>0,100000000000001</t>
  </si>
  <si>
    <t>-4,99999999999972E-02</t>
  </si>
  <si>
    <t>2,49999999999986E-02</t>
  </si>
  <si>
    <t>-0,125</t>
  </si>
  <si>
    <t>-0,275000000000002</t>
  </si>
  <si>
    <t>-0,199999999999999</t>
  </si>
  <si>
    <t>-0,425000000000001</t>
  </si>
  <si>
    <t>-0,349999999999998</t>
  </si>
  <si>
    <t>-0,5</t>
  </si>
  <si>
    <t>-0,575000000000003</t>
  </si>
  <si>
    <t>-0,725000000000001</t>
  </si>
  <si>
    <t>-0,649999999999999</t>
  </si>
  <si>
    <t>-0,799999999999997</t>
  </si>
  <si>
    <t>-0,875</t>
  </si>
  <si>
    <t>-0,949999999999999</t>
  </si>
  <si>
    <t>-1,1</t>
  </si>
  <si>
    <t>-1,25</t>
  </si>
  <si>
    <t>-1,175</t>
  </si>
  <si>
    <t>-1,4</t>
  </si>
  <si>
    <t>-1,325</t>
  </si>
  <si>
    <t>-1,475</t>
  </si>
  <si>
    <t>-1,55</t>
  </si>
  <si>
    <t>-1,625</t>
  </si>
  <si>
    <t>-1,775</t>
  </si>
  <si>
    <t>-1,925</t>
  </si>
  <si>
    <t>-1,85</t>
  </si>
  <si>
    <t>-2</t>
  </si>
  <si>
    <t>-2,15</t>
  </si>
  <si>
    <t>-2,075</t>
  </si>
  <si>
    <t>-2,225</t>
  </si>
  <si>
    <t>-2,3</t>
  </si>
  <si>
    <t>-3,125</t>
  </si>
  <si>
    <t>-2,45</t>
  </si>
  <si>
    <t>-2,975</t>
  </si>
  <si>
    <t>-3,05</t>
  </si>
  <si>
    <t>-2,525</t>
  </si>
  <si>
    <t>-3,2</t>
  </si>
  <si>
    <t>-3,35</t>
  </si>
  <si>
    <t>-3,5</t>
  </si>
  <si>
    <t>-3,275</t>
  </si>
  <si>
    <t>-2,675</t>
  </si>
  <si>
    <t>-2,6</t>
  </si>
  <si>
    <t>-3,425</t>
  </si>
  <si>
    <t>-3,575</t>
  </si>
  <si>
    <t>-12,5</t>
  </si>
  <si>
    <t>-2,825</t>
  </si>
  <si>
    <t>-2,9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</si>
</sst>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4" x14ac:knownFonts="1">
    <font>
      <sz val="11"/>
      <color theme="1"/>
      <name val="Calibri"/>
      <family val="2"/>
      <charset val="204"/>
      <scheme val="minor"/>
    </font>
    <font>
      <b/>
      <sz val="11"/>
      <color theme="1"/>
      <name val="Calibri"/>
      <family val="2"/>
      <charset val="204"/>
      <scheme val="minor"/>
    </font>
    <font>
      <sz val="10"/>
      <name val="Arial Cyr"/>
      <charset val="204"/>
    </font>
    <font>
      <u/>
      <sz val="11"/>
      <color theme="10"/>
      <name val="Calibri"/>
      <family val="2"/>
      <charset val="204"/>
      <scheme val="minor"/>
    </font>
    <font>
      <b/>
      <u/>
      <sz val="14"/>
      <color theme="10"/>
      <name val="Calibri"/>
      <family val="2"/>
      <charset val="204"/>
      <scheme val="minor"/>
    </font>
    <font>
      <b/>
      <u/>
      <sz val="13"/>
      <color theme="10"/>
      <name val="Calibri"/>
      <family val="2"/>
      <charset val="204"/>
      <scheme val="minor"/>
    </font>
    <font>
      <sz val="11"/>
      <color theme="1"/>
      <name val="Cambria"/>
      <family val="1"/>
      <charset val="204"/>
    </font>
    <font>
      <sz val="18"/>
      <color theme="1"/>
      <name val="KGDEKONFONT"/>
    </font>
    <font>
      <sz val="11"/>
      <color theme="1"/>
      <name val="Times New Roman"/>
      <family val="1"/>
      <charset val="204"/>
    </font>
    <font>
      <sz val="8"/>
      <color theme="1"/>
      <name val="Calibri"/>
      <family val="2"/>
      <charset val="204"/>
      <scheme val="minor"/>
    </font>
    <font>
      <b/>
      <u/>
      <sz val="11"/>
      <color rgb="FFC00000"/>
      <name val="Calibri"/>
      <family val="2"/>
      <charset val="204"/>
      <scheme val="minor"/>
    </font>
    <font>
      <b/>
      <i/>
      <sz val="11"/>
      <color theme="1"/>
      <name val="Calibri"/>
      <family val="2"/>
      <charset val="204"/>
      <scheme val="minor"/>
    </font>
    <font>
      <i/>
      <sz val="11"/>
      <color theme="1"/>
      <name val="Calibri"/>
      <family val="2"/>
      <charset val="204"/>
      <scheme val="minor"/>
    </font>
    <font>
      <b/>
      <i/>
      <sz val="11"/>
      <color theme="0"/>
      <name val="Calibri"/>
      <family val="2"/>
      <charset val="204"/>
      <scheme val="minor"/>
    </font>
    <font>
      <sz val="11"/>
      <color theme="0"/>
      <name val="Calibri"/>
      <family val="2"/>
      <charset val="204"/>
      <scheme val="minor"/>
    </font>
    <font>
      <sz val="11"/>
      <color theme="9" tint="0.79998168889431442"/>
      <name val="Calibri"/>
      <family val="2"/>
      <charset val="204"/>
      <scheme val="minor"/>
    </font>
    <font>
      <sz val="11"/>
      <color rgb="FFFFCCCC"/>
      <name val="Calibri"/>
      <family val="2"/>
      <charset val="204"/>
      <scheme val="minor"/>
    </font>
    <font>
      <b/>
      <sz val="10"/>
      <color theme="1"/>
      <name val="Calibri"/>
      <family val="2"/>
      <charset val="204"/>
      <scheme val="minor"/>
    </font>
    <font>
      <sz val="9"/>
      <color theme="1"/>
      <name val="Calibri"/>
      <family val="2"/>
      <charset val="204"/>
      <scheme val="minor"/>
    </font>
    <font>
      <sz val="9"/>
      <color theme="1"/>
      <name val="Cambria"/>
      <family val="1"/>
      <charset val="204"/>
    </font>
    <font>
      <sz val="11"/>
      <color theme="1"/>
      <name val="Calibri"/>
      <family val="2"/>
      <charset val="204"/>
      <scheme val="minor"/>
    </font>
    <font>
      <i/>
      <sz val="11"/>
      <color theme="1"/>
      <name val="Calibri"/>
      <family val="2"/>
      <charset val="204"/>
      <scheme val="minor"/>
    </font>
    <font>
      <b/>
      <sz val="11"/>
      <color theme="0"/>
      <name val="Calibri"/>
      <family val="2"/>
      <charset val="204"/>
      <scheme val="minor"/>
    </font>
    <font>
      <sz val="11"/>
      <color theme="1"/>
      <name val="Calibri"/>
      <family val="2"/>
      <charset val="204"/>
      <scheme val="minor"/>
    </font>
    <font>
      <b/>
      <sz val="9"/>
      <color indexed="81"/>
      <name val="Tahoma"/>
      <family val="2"/>
      <charset val="204"/>
    </font>
    <font>
      <sz val="9"/>
      <color indexed="81"/>
      <name val="Tahoma"/>
      <family val="2"/>
      <charset val="204"/>
    </font>
    <font>
      <b/>
      <sz val="11"/>
      <color rgb="FFFF0000"/>
      <name val="Calibri"/>
      <family val="2"/>
      <charset val="204"/>
      <scheme val="minor"/>
    </font>
    <font>
      <sz val="11"/>
      <color theme="2"/>
      <name val="Calibri"/>
      <family val="2"/>
      <charset val="204"/>
      <scheme val="minor"/>
    </font>
    <font>
      <sz val="48"/>
      <color theme="1"/>
      <name val="Calibri"/>
      <family val="2"/>
      <charset val="204"/>
      <scheme val="minor"/>
    </font>
    <font>
      <sz val="11"/>
      <color rgb="FFFF0000"/>
      <name val="Calibri"/>
      <family val="2"/>
      <charset val="204"/>
      <scheme val="minor"/>
    </font>
    <font>
      <sz val="11"/>
      <color rgb="FF9C5700"/>
      <name val="Calibri"/>
      <family val="2"/>
      <charset val="204"/>
      <scheme val="minor"/>
    </font>
    <font>
      <sz val="8"/>
      <name val="Calibri"/>
      <family val="2"/>
      <charset val="204"/>
      <scheme val="minor"/>
    </font>
    <font>
      <sz val="11"/>
      <color theme="1"/>
      <name val="Calibri"/>
      <family val="2"/>
      <charset val="204"/>
      <scheme val="minor"/>
    </font>
    <font>
      <sz val="10"/>
      <color theme="1"/>
      <name val="Calibri"/>
      <family val="2"/>
      <charset val="204"/>
      <scheme val="minor"/>
    </font>
  </fonts>
  <fills count="18">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CCCC"/>
        <bgColor indexed="64"/>
      </patternFill>
    </fill>
    <fill>
      <patternFill patternType="solid">
        <fgColor theme="9" tint="0.59999389629810485"/>
        <bgColor indexed="64"/>
      </patternFill>
    </fill>
    <fill>
      <patternFill patternType="solid">
        <fgColor theme="0" tint="-0.14999847407452621"/>
        <bgColor theme="0" tint="-0.14999847407452621"/>
      </patternFill>
    </fill>
    <fill>
      <patternFill patternType="solid">
        <fgColor theme="7"/>
        <bgColor theme="7"/>
      </patternFill>
    </fill>
    <fill>
      <patternFill patternType="solid">
        <fgColor theme="0"/>
        <bgColor indexed="64"/>
      </patternFill>
    </fill>
    <fill>
      <patternFill patternType="solid">
        <fgColor theme="9"/>
        <bgColor theme="9"/>
      </patternFill>
    </fill>
    <fill>
      <patternFill patternType="solid">
        <fgColor theme="7"/>
        <bgColor indexed="64"/>
      </patternFill>
    </fill>
    <fill>
      <patternFill patternType="solid">
        <fgColor theme="2"/>
        <bgColor indexed="64"/>
      </patternFill>
    </fill>
    <fill>
      <patternFill patternType="solid">
        <fgColor rgb="FFC00000"/>
        <bgColor indexed="64"/>
      </patternFill>
    </fill>
    <fill>
      <patternFill patternType="solid">
        <fgColor rgb="FFFFEB9C"/>
      </patternFill>
    </fill>
    <fill>
      <patternFill patternType="solid">
        <fgColor rgb="FF0070C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ck">
        <color indexed="64"/>
      </left>
      <right style="medium">
        <color indexed="64"/>
      </right>
      <top style="thin">
        <color indexed="64"/>
      </top>
      <bottom/>
      <diagonal/>
    </border>
    <border>
      <left style="thin">
        <color indexed="64"/>
      </left>
      <right style="thick">
        <color indexed="64"/>
      </right>
      <top style="thin">
        <color indexed="64"/>
      </top>
      <bottom style="thin">
        <color indexed="64"/>
      </bottom>
      <diagonal/>
    </border>
    <border>
      <left style="thick">
        <color indexed="64"/>
      </left>
      <right style="medium">
        <color indexed="64"/>
      </right>
      <top style="medium">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medium">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top/>
      <bottom style="thick">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right/>
      <top style="medium">
        <color indexed="64"/>
      </top>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theme="1"/>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style="dotted">
        <color auto="1"/>
      </top>
      <bottom style="medium">
        <color auto="1"/>
      </bottom>
      <diagonal/>
    </border>
    <border>
      <left style="thick">
        <color auto="1"/>
      </left>
      <right style="dotted">
        <color auto="1"/>
      </right>
      <top style="thick">
        <color auto="1"/>
      </top>
      <bottom style="dotted">
        <color auto="1"/>
      </bottom>
      <diagonal/>
    </border>
    <border>
      <left/>
      <right/>
      <top style="thick">
        <color auto="1"/>
      </top>
      <bottom style="dotted">
        <color auto="1"/>
      </bottom>
      <diagonal/>
    </border>
    <border>
      <left style="dotted">
        <color auto="1"/>
      </left>
      <right style="thick">
        <color auto="1"/>
      </right>
      <top style="thick">
        <color auto="1"/>
      </top>
      <bottom style="dotted">
        <color auto="1"/>
      </bottom>
      <diagonal/>
    </border>
    <border>
      <left style="thick">
        <color auto="1"/>
      </left>
      <right style="dotted">
        <color auto="1"/>
      </right>
      <top style="dotted">
        <color auto="1"/>
      </top>
      <bottom style="medium">
        <color auto="1"/>
      </bottom>
      <diagonal/>
    </border>
    <border>
      <left style="dotted">
        <color auto="1"/>
      </left>
      <right style="thick">
        <color auto="1"/>
      </right>
      <top style="dotted">
        <color auto="1"/>
      </top>
      <bottom style="medium">
        <color auto="1"/>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right/>
      <top style="thick">
        <color indexed="64"/>
      </top>
      <bottom style="thick">
        <color indexed="64"/>
      </bottom>
      <diagonal/>
    </border>
    <border>
      <left style="thick">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ck">
        <color indexed="64"/>
      </right>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bottom style="medium">
        <color theme="1"/>
      </bottom>
      <diagonal/>
    </border>
    <border>
      <left/>
      <right/>
      <top style="dotted">
        <color auto="1"/>
      </top>
      <bottom style="dotted">
        <color auto="1"/>
      </bottom>
      <diagonal/>
    </border>
    <border>
      <left style="dotted">
        <color auto="1"/>
      </left>
      <right style="dotted">
        <color auto="1"/>
      </right>
      <top style="dotted">
        <color auto="1"/>
      </top>
      <bottom style="dotted">
        <color auto="1"/>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dotted">
        <color auto="1"/>
      </top>
      <bottom/>
      <diagonal/>
    </border>
    <border>
      <left style="dotted">
        <color auto="1"/>
      </left>
      <right style="dotted">
        <color auto="1"/>
      </right>
      <top style="dotted">
        <color auto="1"/>
      </top>
      <bottom/>
      <diagonal/>
    </border>
    <border>
      <left style="medium">
        <color indexed="64"/>
      </left>
      <right style="medium">
        <color indexed="64"/>
      </right>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medium">
        <color indexed="64"/>
      </right>
      <top style="thick">
        <color indexed="64"/>
      </top>
      <bottom style="thin">
        <color indexed="64"/>
      </bottom>
      <diagonal/>
    </border>
  </borders>
  <cellStyleXfs count="4">
    <xf numFmtId="0" fontId="0" fillId="0" borderId="0"/>
    <xf numFmtId="0" fontId="2" fillId="0" borderId="0"/>
    <xf numFmtId="0" fontId="3" fillId="0" borderId="0" applyNumberFormat="0" applyFill="0" applyBorder="0" applyAlignment="0" applyProtection="0"/>
    <xf numFmtId="0" fontId="30" fillId="16" borderId="0" applyNumberFormat="0" applyBorder="0" applyAlignment="0" applyProtection="0"/>
  </cellStyleXfs>
  <cellXfs count="262">
    <xf numFmtId="0" fontId="0" fillId="0" borderId="0" xfId="0"/>
    <xf numFmtId="0" fontId="0" fillId="0" borderId="10" xfId="0" applyBorder="1"/>
    <xf numFmtId="0" fontId="0" fillId="0" borderId="0" xfId="0" applyAlignment="1">
      <alignment vertical="center"/>
    </xf>
    <xf numFmtId="0" fontId="1" fillId="0" borderId="0" xfId="0" applyFont="1"/>
    <xf numFmtId="0" fontId="5" fillId="0" borderId="0" xfId="2" applyFont="1"/>
    <xf numFmtId="0" fontId="0" fillId="0" borderId="0" xfId="0" applyAlignment="1">
      <alignment horizontal="center" vertical="center"/>
    </xf>
    <xf numFmtId="0" fontId="0" fillId="0" borderId="1" xfId="0" applyBorder="1" applyAlignment="1">
      <alignment horizontal="center" vertical="center"/>
    </xf>
    <xf numFmtId="0" fontId="0" fillId="0" borderId="1" xfId="0" applyBorder="1"/>
    <xf numFmtId="0" fontId="0" fillId="0" borderId="13" xfId="0" applyBorder="1"/>
    <xf numFmtId="0" fontId="0" fillId="0" borderId="14" xfId="0" applyBorder="1"/>
    <xf numFmtId="0" fontId="0" fillId="0" borderId="15" xfId="0" applyBorder="1"/>
    <xf numFmtId="0" fontId="0" fillId="0" borderId="9" xfId="0" applyBorder="1"/>
    <xf numFmtId="0" fontId="6" fillId="0" borderId="1" xfId="0" applyFont="1" applyBorder="1" applyAlignment="1">
      <alignment horizontal="justify" vertical="center" wrapText="1"/>
    </xf>
    <xf numFmtId="0" fontId="6" fillId="0" borderId="9" xfId="0" applyFont="1" applyBorder="1" applyAlignment="1">
      <alignment horizontal="justify" vertical="center" wrapText="1"/>
    </xf>
    <xf numFmtId="0" fontId="6" fillId="0" borderId="7" xfId="0" applyFont="1" applyBorder="1" applyAlignment="1">
      <alignment horizontal="justify" vertical="center" wrapText="1"/>
    </xf>
    <xf numFmtId="0" fontId="0" fillId="0" borderId="12" xfId="0" applyBorder="1" applyAlignment="1">
      <alignment horizontal="center" vertical="center"/>
    </xf>
    <xf numFmtId="0" fontId="0" fillId="2" borderId="0" xfId="0" applyFill="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14" xfId="0" applyFill="1" applyBorder="1" applyAlignment="1">
      <alignment horizontal="center" vertical="center"/>
    </xf>
    <xf numFmtId="0" fontId="0" fillId="3" borderId="0" xfId="0" applyFill="1" applyAlignment="1">
      <alignment horizontal="center" vertical="center"/>
    </xf>
    <xf numFmtId="0" fontId="0" fillId="3" borderId="12" xfId="0" applyFill="1" applyBorder="1" applyAlignment="1">
      <alignment horizontal="center" vertical="center"/>
    </xf>
    <xf numFmtId="0" fontId="0" fillId="3" borderId="1" xfId="0" applyFill="1" applyBorder="1" applyAlignment="1">
      <alignment horizontal="center" vertical="center"/>
    </xf>
    <xf numFmtId="0" fontId="0" fillId="3" borderId="14" xfId="0" applyFill="1" applyBorder="1" applyAlignment="1">
      <alignment horizontal="center" vertical="center"/>
    </xf>
    <xf numFmtId="0" fontId="0" fillId="4" borderId="0" xfId="0" applyFill="1" applyAlignment="1">
      <alignment horizontal="center" vertical="center"/>
    </xf>
    <xf numFmtId="0" fontId="0" fillId="4" borderId="12" xfId="0" applyFill="1" applyBorder="1" applyAlignment="1">
      <alignment horizontal="center" vertical="center"/>
    </xf>
    <xf numFmtId="0" fontId="0" fillId="4" borderId="1" xfId="0" applyFill="1" applyBorder="1" applyAlignment="1">
      <alignment horizontal="center" vertical="center"/>
    </xf>
    <xf numFmtId="0" fontId="0" fillId="4" borderId="14" xfId="0" applyFill="1" applyBorder="1" applyAlignment="1">
      <alignment horizontal="center" vertical="center"/>
    </xf>
    <xf numFmtId="0" fontId="0" fillId="5" borderId="0" xfId="0" applyFill="1" applyAlignment="1">
      <alignment horizontal="center" vertical="center"/>
    </xf>
    <xf numFmtId="0" fontId="0" fillId="5" borderId="12" xfId="0" applyFill="1" applyBorder="1" applyAlignment="1">
      <alignment horizontal="center" vertical="center"/>
    </xf>
    <xf numFmtId="0" fontId="0" fillId="5" borderId="1" xfId="0" applyFill="1" applyBorder="1" applyAlignment="1">
      <alignment horizontal="center" vertical="center"/>
    </xf>
    <xf numFmtId="0" fontId="0" fillId="5" borderId="14" xfId="0" applyFill="1" applyBorder="1" applyAlignment="1">
      <alignment horizontal="center" vertical="center"/>
    </xf>
    <xf numFmtId="0" fontId="0" fillId="6" borderId="0" xfId="0" applyFill="1" applyAlignment="1">
      <alignment horizontal="center" vertical="center"/>
    </xf>
    <xf numFmtId="0" fontId="0" fillId="6" borderId="12" xfId="0" applyFill="1" applyBorder="1" applyAlignment="1">
      <alignment horizontal="center" vertical="center"/>
    </xf>
    <xf numFmtId="0" fontId="0" fillId="6" borderId="1" xfId="0" applyFill="1" applyBorder="1" applyAlignment="1">
      <alignment horizontal="center" vertical="center"/>
    </xf>
    <xf numFmtId="0" fontId="0" fillId="6" borderId="14" xfId="0" applyFill="1" applyBorder="1" applyAlignment="1">
      <alignment horizontal="center" vertical="center"/>
    </xf>
    <xf numFmtId="0" fontId="6" fillId="0" borderId="0" xfId="0" applyFont="1" applyAlignment="1">
      <alignment horizontal="justify" vertical="center" wrapText="1"/>
    </xf>
    <xf numFmtId="2" fontId="0" fillId="0" borderId="0" xfId="0" applyNumberFormat="1"/>
    <xf numFmtId="0" fontId="0" fillId="0" borderId="0" xfId="0" applyAlignment="1">
      <alignment shrinkToFit="1"/>
    </xf>
    <xf numFmtId="0" fontId="0" fillId="0" borderId="0" xfId="0" applyProtection="1">
      <protection locked="0"/>
    </xf>
    <xf numFmtId="0" fontId="0" fillId="0" borderId="34" xfId="0" applyBorder="1" applyAlignment="1" applyProtection="1">
      <alignment horizontal="center"/>
      <protection locked="0"/>
    </xf>
    <xf numFmtId="0" fontId="0" fillId="0" borderId="0" xfId="0" applyAlignment="1" applyProtection="1">
      <alignment horizontal="center"/>
      <protection locked="0"/>
    </xf>
    <xf numFmtId="0" fontId="0" fillId="0" borderId="35" xfId="0" applyBorder="1" applyAlignment="1" applyProtection="1">
      <alignment horizontal="center"/>
      <protection locked="0"/>
    </xf>
    <xf numFmtId="0" fontId="0" fillId="0" borderId="34" xfId="0" applyBorder="1" applyProtection="1">
      <protection locked="0"/>
    </xf>
    <xf numFmtId="0" fontId="0" fillId="0" borderId="29" xfId="0" applyBorder="1" applyProtection="1">
      <protection locked="0"/>
    </xf>
    <xf numFmtId="0" fontId="0" fillId="0" borderId="35" xfId="0" applyBorder="1" applyProtection="1">
      <protection locked="0"/>
    </xf>
    <xf numFmtId="4" fontId="0" fillId="4" borderId="16" xfId="0" applyNumberFormat="1" applyFill="1" applyBorder="1" applyAlignment="1" applyProtection="1">
      <alignment horizontal="center" vertical="center"/>
      <protection locked="0"/>
    </xf>
    <xf numFmtId="0" fontId="0" fillId="4" borderId="11" xfId="0"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7" xfId="0" applyFill="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1" xfId="0" applyFont="1" applyBorder="1" applyAlignment="1" applyProtection="1">
      <alignment horizontal="center" vertical="center"/>
      <protection locked="0"/>
    </xf>
    <xf numFmtId="0" fontId="7" fillId="0" borderId="17" xfId="0" applyFont="1" applyBorder="1" applyAlignment="1" applyProtection="1">
      <alignment horizontal="center" vertical="center"/>
      <protection locked="0"/>
    </xf>
    <xf numFmtId="4" fontId="0" fillId="7" borderId="18" xfId="0" applyNumberFormat="1" applyFill="1" applyBorder="1" applyAlignment="1" applyProtection="1">
      <alignment horizontal="center" vertical="center"/>
      <protection locked="0"/>
    </xf>
    <xf numFmtId="0" fontId="0" fillId="4" borderId="19" xfId="0" applyFill="1" applyBorder="1" applyAlignment="1" applyProtection="1">
      <alignment horizontal="center" vertical="center"/>
      <protection locked="0"/>
    </xf>
    <xf numFmtId="0" fontId="0" fillId="4" borderId="20" xfId="0" applyFill="1" applyBorder="1" applyAlignment="1" applyProtection="1">
      <alignment horizontal="center" vertical="center"/>
      <protection locked="0"/>
    </xf>
    <xf numFmtId="0" fontId="0" fillId="4" borderId="21" xfId="0" applyFill="1" applyBorder="1" applyAlignment="1" applyProtection="1">
      <alignment horizontal="center" vertical="center"/>
      <protection locked="0"/>
    </xf>
    <xf numFmtId="0" fontId="7" fillId="0" borderId="22" xfId="0" applyFont="1" applyBorder="1" applyAlignment="1" applyProtection="1">
      <alignment horizontal="center" vertical="center"/>
      <protection locked="0"/>
    </xf>
    <xf numFmtId="0" fontId="7" fillId="0" borderId="20" xfId="0" applyFont="1" applyBorder="1" applyAlignment="1" applyProtection="1">
      <alignment horizontal="center" vertical="center"/>
      <protection locked="0"/>
    </xf>
    <xf numFmtId="0" fontId="7" fillId="0" borderId="23" xfId="0" applyFont="1" applyBorder="1" applyAlignment="1" applyProtection="1">
      <alignment horizontal="center" vertical="center"/>
      <protection locked="0"/>
    </xf>
    <xf numFmtId="0" fontId="8" fillId="0" borderId="10" xfId="0" applyFont="1" applyBorder="1" applyProtection="1">
      <protection locked="0"/>
    </xf>
    <xf numFmtId="0" fontId="8" fillId="0" borderId="10" xfId="0" applyFont="1" applyBorder="1" applyAlignment="1" applyProtection="1">
      <alignment horizontal="center" vertical="center"/>
      <protection locked="0"/>
    </xf>
    <xf numFmtId="3" fontId="8" fillId="0" borderId="10" xfId="0" applyNumberFormat="1" applyFont="1" applyBorder="1" applyProtection="1">
      <protection locked="0"/>
    </xf>
    <xf numFmtId="0" fontId="8" fillId="0" borderId="8" xfId="0" applyFont="1" applyBorder="1" applyProtection="1">
      <protection locked="0"/>
    </xf>
    <xf numFmtId="0" fontId="8" fillId="0" borderId="0" xfId="0" applyFont="1" applyProtection="1">
      <protection locked="0"/>
    </xf>
    <xf numFmtId="2" fontId="0" fillId="0" borderId="0" xfId="0" applyNumberFormat="1" applyAlignment="1">
      <alignment shrinkToFit="1"/>
    </xf>
    <xf numFmtId="0" fontId="0" fillId="0" borderId="0" xfId="0" applyAlignment="1">
      <alignment horizontal="center"/>
    </xf>
    <xf numFmtId="0" fontId="0" fillId="0" borderId="0" xfId="0" applyAlignment="1">
      <alignment horizontal="center" shrinkToFit="1"/>
    </xf>
    <xf numFmtId="0" fontId="0" fillId="0" borderId="2" xfId="0" applyBorder="1"/>
    <xf numFmtId="0" fontId="1" fillId="0" borderId="3" xfId="0" applyFont="1" applyBorder="1" applyAlignment="1">
      <alignment horizontal="center"/>
    </xf>
    <xf numFmtId="0" fontId="0" fillId="0" borderId="4" xfId="0" applyBorder="1"/>
    <xf numFmtId="0" fontId="0" fillId="0" borderId="37" xfId="0" applyBorder="1"/>
    <xf numFmtId="0" fontId="1" fillId="0" borderId="6" xfId="0" applyFont="1" applyBorder="1" applyAlignment="1">
      <alignment horizontal="center"/>
    </xf>
    <xf numFmtId="0" fontId="11" fillId="0" borderId="40" xfId="0" applyFont="1" applyBorder="1" applyAlignment="1">
      <alignment horizontal="center"/>
    </xf>
    <xf numFmtId="2" fontId="0" fillId="8" borderId="1" xfId="0" applyNumberFormat="1" applyFill="1" applyBorder="1"/>
    <xf numFmtId="2" fontId="0" fillId="8" borderId="7" xfId="0" applyNumberFormat="1" applyFill="1" applyBorder="1"/>
    <xf numFmtId="2" fontId="0" fillId="7" borderId="25" xfId="0" applyNumberFormat="1" applyFill="1" applyBorder="1" applyAlignment="1">
      <alignment horizontal="center" vertical="center"/>
    </xf>
    <xf numFmtId="0" fontId="0" fillId="4" borderId="31" xfId="0" applyFill="1" applyBorder="1" applyAlignment="1">
      <alignment horizontal="center" vertical="center"/>
    </xf>
    <xf numFmtId="0" fontId="0" fillId="4" borderId="20" xfId="0" applyFill="1" applyBorder="1" applyAlignment="1">
      <alignment horizontal="center" vertical="center"/>
    </xf>
    <xf numFmtId="0" fontId="0" fillId="4" borderId="27" xfId="0" applyFill="1" applyBorder="1" applyAlignment="1">
      <alignment horizontal="center" vertical="center"/>
    </xf>
    <xf numFmtId="0" fontId="0" fillId="4" borderId="26" xfId="0" applyFill="1" applyBorder="1" applyAlignment="1">
      <alignment horizontal="center" vertical="center"/>
    </xf>
    <xf numFmtId="0" fontId="0" fillId="0" borderId="30"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2" fontId="12" fillId="0" borderId="0" xfId="0" applyNumberFormat="1" applyFont="1" applyAlignment="1">
      <alignment horizontal="center"/>
    </xf>
    <xf numFmtId="0" fontId="0" fillId="9" borderId="43" xfId="0" applyFill="1" applyBorder="1" applyAlignment="1">
      <alignment shrinkToFit="1"/>
    </xf>
    <xf numFmtId="0" fontId="12" fillId="0" borderId="0" xfId="0" applyFont="1" applyAlignment="1">
      <alignment horizontal="left"/>
    </xf>
    <xf numFmtId="0" fontId="12" fillId="0" borderId="0" xfId="0" applyFont="1" applyAlignment="1">
      <alignment horizontal="center"/>
    </xf>
    <xf numFmtId="0" fontId="12" fillId="0" borderId="0" xfId="0" applyFont="1" applyAlignment="1">
      <alignment horizontal="center" vertical="center"/>
    </xf>
    <xf numFmtId="0" fontId="13" fillId="10" borderId="43" xfId="0" applyFont="1" applyFill="1" applyBorder="1" applyAlignment="1">
      <alignment horizontal="center" vertical="center"/>
    </xf>
    <xf numFmtId="0" fontId="13" fillId="10" borderId="43" xfId="0" applyFont="1" applyFill="1" applyBorder="1" applyAlignment="1">
      <alignment horizontal="left" vertical="center"/>
    </xf>
    <xf numFmtId="0" fontId="0" fillId="0" borderId="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14" fillId="11" borderId="46" xfId="0" applyFont="1" applyFill="1" applyBorder="1" applyAlignment="1">
      <alignment horizontal="center" vertical="center"/>
    </xf>
    <xf numFmtId="0" fontId="8" fillId="0" borderId="34" xfId="0" applyFont="1" applyBorder="1" applyProtection="1">
      <protection locked="0"/>
    </xf>
    <xf numFmtId="0" fontId="8" fillId="0" borderId="35" xfId="0" applyFont="1" applyBorder="1" applyProtection="1">
      <protection locked="0"/>
    </xf>
    <xf numFmtId="0" fontId="15" fillId="0" borderId="0" xfId="0" applyFont="1" applyAlignment="1">
      <alignment horizontal="center" vertical="center"/>
    </xf>
    <xf numFmtId="0" fontId="0" fillId="0" borderId="36" xfId="0" applyBorder="1" applyProtection="1">
      <protection locked="0"/>
    </xf>
    <xf numFmtId="0" fontId="0" fillId="0" borderId="10" xfId="0" applyBorder="1" applyProtection="1">
      <protection locked="0"/>
    </xf>
    <xf numFmtId="0" fontId="0" fillId="0" borderId="8" xfId="0" applyBorder="1" applyProtection="1">
      <protection locked="0"/>
    </xf>
    <xf numFmtId="0" fontId="17" fillId="4" borderId="47" xfId="0" applyFont="1" applyFill="1" applyBorder="1" applyAlignment="1">
      <alignment horizontal="center" vertical="center"/>
    </xf>
    <xf numFmtId="0" fontId="17" fillId="4" borderId="48" xfId="0" applyFont="1" applyFill="1" applyBorder="1" applyAlignment="1">
      <alignment horizontal="center" vertical="center"/>
    </xf>
    <xf numFmtId="0" fontId="17" fillId="4" borderId="49" xfId="0" applyFont="1" applyFill="1" applyBorder="1" applyAlignment="1">
      <alignment horizontal="center" vertical="center"/>
    </xf>
    <xf numFmtId="0" fontId="0" fillId="0" borderId="50" xfId="0" applyBorder="1" applyAlignment="1">
      <alignment horizontal="center" vertical="center"/>
    </xf>
    <xf numFmtId="0" fontId="0" fillId="0" borderId="51" xfId="0" applyBorder="1" applyAlignment="1">
      <alignment horizontal="center" vertical="center"/>
    </xf>
    <xf numFmtId="0" fontId="0" fillId="0" borderId="29"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16" fillId="0" borderId="24" xfId="0" applyFont="1" applyBorder="1" applyAlignment="1">
      <alignment horizontal="center" vertical="center"/>
    </xf>
    <xf numFmtId="0" fontId="0" fillId="0" borderId="54" xfId="0" applyBorder="1" applyAlignment="1">
      <alignment horizontal="center" vertical="center"/>
    </xf>
    <xf numFmtId="4" fontId="0" fillId="4" borderId="56" xfId="0" applyNumberFormat="1" applyFill="1" applyBorder="1" applyAlignment="1" applyProtection="1">
      <alignment horizontal="center" vertical="center"/>
      <protection locked="0"/>
    </xf>
    <xf numFmtId="0" fontId="0" fillId="4" borderId="57" xfId="0" applyFill="1" applyBorder="1" applyAlignment="1" applyProtection="1">
      <alignment horizontal="center" vertical="center"/>
      <protection locked="0"/>
    </xf>
    <xf numFmtId="0" fontId="0" fillId="4" borderId="58" xfId="0" applyFill="1" applyBorder="1" applyAlignment="1" applyProtection="1">
      <alignment horizontal="center" vertical="center"/>
      <protection locked="0"/>
    </xf>
    <xf numFmtId="0" fontId="0" fillId="4" borderId="59" xfId="0" applyFill="1" applyBorder="1" applyAlignment="1" applyProtection="1">
      <alignment horizontal="center" vertical="center"/>
      <protection locked="0"/>
    </xf>
    <xf numFmtId="0" fontId="7" fillId="0" borderId="60" xfId="0" applyFont="1" applyBorder="1" applyAlignment="1" applyProtection="1">
      <alignment horizontal="center" vertical="center"/>
      <protection locked="0"/>
    </xf>
    <xf numFmtId="0" fontId="7" fillId="0" borderId="58" xfId="0" applyFont="1" applyBorder="1" applyAlignment="1" applyProtection="1">
      <alignment horizontal="center" vertical="center"/>
      <protection locked="0"/>
    </xf>
    <xf numFmtId="0" fontId="7" fillId="0" borderId="61" xfId="0" applyFont="1" applyBorder="1" applyAlignment="1" applyProtection="1">
      <alignment horizontal="center" vertical="center"/>
      <protection locked="0"/>
    </xf>
    <xf numFmtId="0" fontId="0" fillId="0" borderId="64" xfId="0" applyBorder="1"/>
    <xf numFmtId="0" fontId="0" fillId="9" borderId="0" xfId="0" applyFill="1" applyAlignment="1">
      <alignment shrinkToFit="1"/>
    </xf>
    <xf numFmtId="0" fontId="1" fillId="0" borderId="0" xfId="0" applyFont="1" applyAlignment="1">
      <alignment horizontal="center"/>
    </xf>
    <xf numFmtId="49" fontId="0" fillId="0" borderId="0" xfId="0" applyNumberFormat="1"/>
    <xf numFmtId="0" fontId="9" fillId="0" borderId="0" xfId="0" applyFont="1" applyAlignment="1">
      <alignment horizontal="center" vertical="center"/>
    </xf>
    <xf numFmtId="0" fontId="18" fillId="0" borderId="0" xfId="0" applyFont="1" applyAlignment="1">
      <alignment horizontal="center" vertical="center"/>
    </xf>
    <xf numFmtId="2" fontId="18" fillId="0" borderId="0" xfId="0" applyNumberFormat="1" applyFont="1" applyAlignment="1">
      <alignment horizontal="center" vertical="center"/>
    </xf>
    <xf numFmtId="2" fontId="19" fillId="0" borderId="0" xfId="0" applyNumberFormat="1" applyFont="1" applyAlignment="1">
      <alignment horizontal="center" vertical="center"/>
    </xf>
    <xf numFmtId="0" fontId="14" fillId="11" borderId="0" xfId="0" applyFont="1" applyFill="1" applyAlignment="1">
      <alignment horizontal="center" vertical="center"/>
    </xf>
    <xf numFmtId="0" fontId="20" fillId="0" borderId="0" xfId="0" applyFont="1" applyAlignment="1">
      <alignment horizontal="center"/>
    </xf>
    <xf numFmtId="2" fontId="21" fillId="0" borderId="0" xfId="0" applyNumberFormat="1" applyFont="1" applyAlignment="1">
      <alignment horizontal="center"/>
    </xf>
    <xf numFmtId="0" fontId="0" fillId="9" borderId="0" xfId="0" applyFill="1"/>
    <xf numFmtId="0" fontId="0" fillId="9" borderId="0" xfId="0" applyFill="1" applyAlignment="1">
      <alignment horizontal="center"/>
    </xf>
    <xf numFmtId="0" fontId="0" fillId="0" borderId="0" xfId="0" applyAlignment="1">
      <alignment vertical="center" shrinkToFit="1"/>
    </xf>
    <xf numFmtId="0" fontId="0" fillId="0" borderId="0" xfId="0" applyAlignment="1">
      <alignment horizontal="center" vertical="center" shrinkToFit="1"/>
    </xf>
    <xf numFmtId="4" fontId="0" fillId="0" borderId="0" xfId="0" applyNumberFormat="1" applyAlignment="1">
      <alignment horizontal="center" vertical="center"/>
    </xf>
    <xf numFmtId="2" fontId="0" fillId="0" borderId="0" xfId="0" applyNumberFormat="1" applyAlignment="1">
      <alignment horizontal="center" vertical="center"/>
    </xf>
    <xf numFmtId="0" fontId="1" fillId="0" borderId="0" xfId="0" applyFont="1" applyAlignment="1">
      <alignment horizontal="center" vertical="center"/>
    </xf>
    <xf numFmtId="0" fontId="22" fillId="12" borderId="67" xfId="0" applyFont="1" applyFill="1" applyBorder="1" applyAlignment="1">
      <alignment horizontal="center"/>
    </xf>
    <xf numFmtId="0" fontId="22" fillId="12" borderId="67" xfId="0" applyFont="1" applyFill="1" applyBorder="1" applyAlignment="1">
      <alignment horizontal="center" vertical="center"/>
    </xf>
    <xf numFmtId="0" fontId="0" fillId="9" borderId="0" xfId="0" applyFill="1" applyAlignment="1">
      <alignment horizontal="center" vertical="center"/>
    </xf>
    <xf numFmtId="0" fontId="20" fillId="9" borderId="0" xfId="0" applyFont="1" applyFill="1" applyAlignment="1">
      <alignment horizontal="center"/>
    </xf>
    <xf numFmtId="0" fontId="20" fillId="9" borderId="0" xfId="0" applyFont="1" applyFill="1" applyAlignment="1">
      <alignment horizontal="center" vertical="center"/>
    </xf>
    <xf numFmtId="0" fontId="20" fillId="9" borderId="0" xfId="0" applyFont="1" applyFill="1"/>
    <xf numFmtId="4" fontId="0" fillId="0" borderId="0" xfId="0" applyNumberFormat="1"/>
    <xf numFmtId="0" fontId="0" fillId="0" borderId="0" xfId="0" quotePrefix="1"/>
    <xf numFmtId="0" fontId="20" fillId="0" borderId="0" xfId="0" applyFont="1"/>
    <xf numFmtId="0" fontId="20" fillId="0" borderId="0" xfId="0" applyFont="1" applyAlignment="1">
      <alignment horizontal="center" vertical="center"/>
    </xf>
    <xf numFmtId="2" fontId="20" fillId="0" borderId="0" xfId="0" applyNumberFormat="1" applyFont="1" applyAlignment="1">
      <alignment horizontal="center" vertical="center"/>
    </xf>
    <xf numFmtId="0" fontId="20" fillId="0" borderId="0" xfId="0" applyFont="1" applyAlignment="1">
      <alignment vertical="center" shrinkToFit="1"/>
    </xf>
    <xf numFmtId="0" fontId="20" fillId="0" borderId="0" xfId="0" applyFont="1" applyAlignment="1">
      <alignment horizontal="center" vertical="center" shrinkToFit="1"/>
    </xf>
    <xf numFmtId="4" fontId="20" fillId="0" borderId="0" xfId="0" applyNumberFormat="1" applyFont="1" applyAlignment="1">
      <alignment horizontal="center" vertical="center"/>
    </xf>
    <xf numFmtId="0" fontId="23" fillId="0" borderId="0" xfId="0" applyFont="1" applyAlignment="1">
      <alignment horizontal="center"/>
    </xf>
    <xf numFmtId="0" fontId="23" fillId="0" borderId="0" xfId="0" applyFont="1"/>
    <xf numFmtId="0" fontId="0" fillId="0" borderId="68" xfId="0" applyBorder="1" applyAlignment="1">
      <alignment horizontal="center" vertical="center"/>
    </xf>
    <xf numFmtId="0" fontId="14" fillId="11" borderId="69" xfId="0" applyFont="1" applyFill="1" applyBorder="1" applyAlignment="1">
      <alignment horizontal="center" vertical="center"/>
    </xf>
    <xf numFmtId="0" fontId="1" fillId="4" borderId="70" xfId="0" applyFont="1" applyFill="1" applyBorder="1" applyAlignment="1">
      <alignment horizontal="center" vertical="center"/>
    </xf>
    <xf numFmtId="0" fontId="1" fillId="4" borderId="71" xfId="0" applyFont="1" applyFill="1" applyBorder="1" applyAlignment="1">
      <alignment horizontal="center" vertical="center"/>
    </xf>
    <xf numFmtId="0" fontId="1" fillId="4" borderId="72" xfId="0" applyFont="1" applyFill="1" applyBorder="1" applyAlignment="1">
      <alignment horizontal="center" vertical="center"/>
    </xf>
    <xf numFmtId="0" fontId="1" fillId="4" borderId="73" xfId="0" applyFont="1" applyFill="1" applyBorder="1" applyAlignment="1">
      <alignment horizontal="center" vertical="center"/>
    </xf>
    <xf numFmtId="0" fontId="1" fillId="4" borderId="74" xfId="0" applyFont="1" applyFill="1" applyBorder="1" applyAlignment="1">
      <alignment horizontal="center" vertical="center"/>
    </xf>
    <xf numFmtId="0" fontId="0" fillId="0" borderId="75" xfId="0" applyBorder="1" applyAlignment="1">
      <alignment horizontal="center" vertical="center"/>
    </xf>
    <xf numFmtId="0" fontId="14" fillId="11" borderId="76" xfId="0" applyFont="1" applyFill="1" applyBorder="1" applyAlignment="1">
      <alignment horizontal="center" vertical="center"/>
    </xf>
    <xf numFmtId="0" fontId="0" fillId="4" borderId="77" xfId="0" applyFill="1" applyBorder="1" applyAlignment="1">
      <alignment horizontal="center" vertical="center"/>
    </xf>
    <xf numFmtId="0" fontId="0" fillId="0" borderId="57" xfId="0"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1" fillId="7" borderId="40" xfId="0" applyFont="1" applyFill="1" applyBorder="1" applyAlignment="1">
      <alignment horizontal="center" vertical="center"/>
    </xf>
    <xf numFmtId="0" fontId="0" fillId="4" borderId="41" xfId="0" applyFill="1" applyBorder="1" applyAlignment="1">
      <alignment horizontal="center" vertical="center"/>
    </xf>
    <xf numFmtId="0" fontId="0" fillId="0" borderId="11" xfId="0" applyBorder="1" applyAlignment="1">
      <alignment horizontal="center" vertical="center"/>
    </xf>
    <xf numFmtId="0" fontId="0" fillId="0" borderId="7" xfId="0" applyBorder="1" applyAlignment="1">
      <alignment horizontal="center" vertical="center"/>
    </xf>
    <xf numFmtId="0" fontId="1" fillId="7" borderId="41" xfId="0" applyFont="1" applyFill="1" applyBorder="1" applyAlignment="1">
      <alignment horizontal="center" vertical="center"/>
    </xf>
    <xf numFmtId="0" fontId="0" fillId="4" borderId="42" xfId="0" applyFill="1" applyBorder="1" applyAlignment="1">
      <alignment horizontal="center" vertical="center"/>
    </xf>
    <xf numFmtId="0" fontId="1" fillId="7" borderId="42" xfId="0" applyFont="1" applyFill="1" applyBorder="1" applyAlignment="1">
      <alignment horizontal="center" vertical="center"/>
    </xf>
    <xf numFmtId="0" fontId="9" fillId="0" borderId="0" xfId="0" applyFont="1"/>
    <xf numFmtId="0" fontId="9" fillId="4" borderId="57" xfId="0" applyFont="1" applyFill="1" applyBorder="1" applyAlignment="1" applyProtection="1">
      <alignment horizontal="center" vertical="center"/>
      <protection locked="0"/>
    </xf>
    <xf numFmtId="0" fontId="9" fillId="4" borderId="11" xfId="0" applyFont="1" applyFill="1" applyBorder="1" applyAlignment="1" applyProtection="1">
      <alignment horizontal="center" vertical="center"/>
      <protection locked="0"/>
    </xf>
    <xf numFmtId="0" fontId="9" fillId="4" borderId="19" xfId="0" applyFont="1" applyFill="1" applyBorder="1" applyAlignment="1" applyProtection="1">
      <alignment horizontal="center" vertical="center"/>
      <protection locked="0"/>
    </xf>
    <xf numFmtId="0" fontId="9" fillId="0" borderId="1" xfId="0" applyFont="1" applyBorder="1" applyAlignment="1" applyProtection="1">
      <alignment horizontal="center" vertical="center"/>
      <protection locked="0"/>
    </xf>
    <xf numFmtId="0" fontId="9" fillId="4" borderId="20" xfId="0" applyFont="1" applyFill="1" applyBorder="1" applyAlignment="1">
      <alignment horizontal="center" vertical="center"/>
    </xf>
    <xf numFmtId="0" fontId="9" fillId="0" borderId="5" xfId="0" applyFont="1" applyBorder="1" applyAlignment="1" applyProtection="1">
      <alignment horizontal="center" vertical="center"/>
      <protection locked="0"/>
    </xf>
    <xf numFmtId="0" fontId="9" fillId="4" borderId="27" xfId="0" applyFont="1" applyFill="1" applyBorder="1" applyAlignment="1">
      <alignment horizontal="center" vertical="center"/>
    </xf>
    <xf numFmtId="4" fontId="0" fillId="4" borderId="26" xfId="0" applyNumberFormat="1" applyFill="1" applyBorder="1" applyAlignment="1">
      <alignment horizontal="center" vertical="center"/>
    </xf>
    <xf numFmtId="2" fontId="0" fillId="4" borderId="26" xfId="0" applyNumberFormat="1" applyFill="1" applyBorder="1" applyAlignment="1">
      <alignment horizontal="center" vertical="center"/>
    </xf>
    <xf numFmtId="0" fontId="7" fillId="2" borderId="1" xfId="0" applyFont="1" applyFill="1" applyBorder="1" applyAlignment="1" applyProtection="1">
      <alignment horizontal="center" vertical="center"/>
      <protection locked="0"/>
    </xf>
    <xf numFmtId="0" fontId="7" fillId="2" borderId="17" xfId="0" applyFont="1" applyFill="1" applyBorder="1" applyAlignment="1" applyProtection="1">
      <alignment horizontal="center" vertical="center"/>
      <protection locked="0"/>
    </xf>
    <xf numFmtId="0" fontId="7" fillId="2" borderId="20" xfId="0" applyFont="1" applyFill="1" applyBorder="1" applyAlignment="1" applyProtection="1">
      <alignment horizontal="center" vertical="center"/>
      <protection locked="0"/>
    </xf>
    <xf numFmtId="0" fontId="7" fillId="2" borderId="22" xfId="0" applyFont="1" applyFill="1" applyBorder="1" applyAlignment="1" applyProtection="1">
      <alignment horizontal="center" vertical="center"/>
      <protection locked="0"/>
    </xf>
    <xf numFmtId="0" fontId="7" fillId="13" borderId="23" xfId="0" applyFont="1" applyFill="1" applyBorder="1" applyAlignment="1" applyProtection="1">
      <alignment horizontal="center" vertical="center"/>
      <protection locked="0"/>
    </xf>
    <xf numFmtId="0" fontId="0" fillId="0" borderId="0" xfId="0" applyAlignment="1">
      <alignment horizontal="right" vertical="center"/>
    </xf>
    <xf numFmtId="0" fontId="0" fillId="0" borderId="0" xfId="0" applyAlignment="1">
      <alignment horizontal="left" indent="3"/>
    </xf>
    <xf numFmtId="0" fontId="27" fillId="14" borderId="1" xfId="0" applyFont="1" applyFill="1" applyBorder="1"/>
    <xf numFmtId="0" fontId="0" fillId="0" borderId="0" xfId="0" applyFill="1"/>
    <xf numFmtId="0" fontId="28" fillId="0" borderId="0" xfId="0" applyFont="1" applyAlignment="1"/>
    <xf numFmtId="0" fontId="28" fillId="0" borderId="0" xfId="0" applyFont="1" applyBorder="1" applyAlignment="1"/>
    <xf numFmtId="0" fontId="0" fillId="0" borderId="0" xfId="0" applyAlignment="1"/>
    <xf numFmtId="0" fontId="7" fillId="0" borderId="22" xfId="0" applyFont="1" applyFill="1" applyBorder="1" applyAlignment="1" applyProtection="1">
      <alignment horizontal="center" vertical="center"/>
      <protection locked="0"/>
    </xf>
    <xf numFmtId="0" fontId="7" fillId="0" borderId="20" xfId="0" applyFont="1" applyFill="1" applyBorder="1" applyAlignment="1" applyProtection="1">
      <alignment horizontal="center" vertical="center"/>
      <protection locked="0"/>
    </xf>
    <xf numFmtId="0" fontId="7" fillId="0" borderId="23" xfId="0" applyFont="1" applyFill="1" applyBorder="1" applyAlignment="1" applyProtection="1">
      <alignment horizontal="center" vertical="center"/>
      <protection locked="0"/>
    </xf>
    <xf numFmtId="0" fontId="0" fillId="0" borderId="0" xfId="0" applyFill="1" applyAlignment="1"/>
    <xf numFmtId="0" fontId="28" fillId="0" borderId="0" xfId="0" applyFont="1" applyFill="1" applyBorder="1" applyAlignment="1"/>
    <xf numFmtId="0" fontId="28" fillId="0" borderId="0" xfId="0" applyFont="1" applyFill="1" applyAlignment="1"/>
    <xf numFmtId="0" fontId="29" fillId="15" borderId="0" xfId="0" applyFont="1" applyFill="1"/>
    <xf numFmtId="0" fontId="30" fillId="16" borderId="1" xfId="3" applyBorder="1" applyAlignment="1">
      <alignment horizontal="center" vertical="center"/>
    </xf>
    <xf numFmtId="0" fontId="0" fillId="0" borderId="0" xfId="0" quotePrefix="1" applyAlignment="1">
      <alignment horizontal="center" vertical="center"/>
    </xf>
    <xf numFmtId="3" fontId="0" fillId="0" borderId="0" xfId="0" applyNumberFormat="1"/>
    <xf numFmtId="0" fontId="0" fillId="0" borderId="0" xfId="0" applyNumberFormat="1"/>
    <xf numFmtId="0" fontId="0" fillId="0" borderId="0" xfId="0" applyNumberFormat="1" applyAlignment="1">
      <alignment horizontal="center"/>
    </xf>
    <xf numFmtId="14" fontId="0" fillId="0" borderId="0" xfId="0" applyNumberFormat="1"/>
    <xf numFmtId="0" fontId="32" fillId="0" borderId="0" xfId="0" applyNumberFormat="1" applyFont="1" applyAlignment="1">
      <alignment horizontal="center"/>
    </xf>
    <xf numFmtId="0" fontId="0" fillId="0" borderId="0" xfId="0" applyNumberFormat="1" applyAlignment="1">
      <alignment horizontal="center" shrinkToFit="1"/>
    </xf>
    <xf numFmtId="0" fontId="11" fillId="0" borderId="0" xfId="0" applyFont="1" applyAlignment="1">
      <alignment horizontal="center"/>
    </xf>
    <xf numFmtId="0" fontId="33" fillId="0" borderId="30" xfId="0" applyFont="1" applyBorder="1" applyAlignment="1" applyProtection="1">
      <alignment horizontal="center" vertical="center"/>
      <protection locked="0"/>
    </xf>
    <xf numFmtId="0" fontId="33" fillId="0" borderId="1" xfId="0" applyFont="1" applyBorder="1" applyAlignment="1" applyProtection="1">
      <alignment horizontal="center" vertical="center"/>
      <protection locked="0"/>
    </xf>
    <xf numFmtId="0" fontId="33" fillId="0" borderId="5" xfId="0" applyFont="1" applyBorder="1" applyAlignment="1" applyProtection="1">
      <alignment horizontal="center" vertical="center"/>
      <protection locked="0"/>
    </xf>
    <xf numFmtId="2" fontId="33" fillId="7" borderId="25" xfId="0" applyNumberFormat="1" applyFont="1" applyFill="1" applyBorder="1" applyAlignment="1">
      <alignment horizontal="center" vertical="center"/>
    </xf>
    <xf numFmtId="0" fontId="33" fillId="4" borderId="31" xfId="0" applyFont="1" applyFill="1" applyBorder="1" applyAlignment="1">
      <alignment horizontal="center" vertical="center"/>
    </xf>
    <xf numFmtId="0" fontId="33" fillId="4" borderId="20" xfId="0" applyFont="1" applyFill="1" applyBorder="1" applyAlignment="1">
      <alignment horizontal="center" vertical="center"/>
    </xf>
    <xf numFmtId="0" fontId="33" fillId="4" borderId="27" xfId="0" applyFont="1" applyFill="1" applyBorder="1" applyAlignment="1">
      <alignment horizontal="center" vertical="center"/>
    </xf>
    <xf numFmtId="0" fontId="33" fillId="4" borderId="26" xfId="0" applyFont="1" applyFill="1" applyBorder="1" applyAlignment="1">
      <alignment horizontal="center" vertical="center"/>
    </xf>
    <xf numFmtId="0" fontId="32" fillId="0" borderId="0" xfId="0" applyNumberFormat="1" applyFont="1" applyFill="1" applyAlignment="1">
      <alignment horizontal="center" shrinkToFit="1"/>
    </xf>
    <xf numFmtId="0" fontId="0" fillId="0" borderId="0" xfId="0" applyNumberFormat="1" applyFont="1" applyFill="1" applyAlignment="1">
      <alignment horizontal="center" shrinkToFit="1"/>
    </xf>
    <xf numFmtId="0" fontId="0" fillId="0" borderId="0" xfId="0" applyNumberFormat="1" applyFont="1" applyAlignment="1">
      <alignment horizontal="center"/>
    </xf>
    <xf numFmtId="0" fontId="0" fillId="0" borderId="0" xfId="0" applyAlignment="1">
      <alignment horizontal="right"/>
    </xf>
    <xf numFmtId="11" fontId="0" fillId="0" borderId="0" xfId="0" applyNumberFormat="1" applyAlignment="1">
      <alignment horizontal="right"/>
    </xf>
    <xf numFmtId="0" fontId="1" fillId="0" borderId="0" xfId="0" applyFont="1" applyFill="1" applyAlignment="1">
      <alignment horizontal="right"/>
    </xf>
    <xf numFmtId="11" fontId="1" fillId="0" borderId="0" xfId="0" applyNumberFormat="1" applyFont="1" applyFill="1" applyAlignment="1">
      <alignment horizontal="right"/>
    </xf>
    <xf numFmtId="0" fontId="0" fillId="4" borderId="0" xfId="0" applyFill="1" applyBorder="1" applyAlignment="1">
      <alignment horizontal="center" vertical="center"/>
    </xf>
    <xf numFmtId="0" fontId="0" fillId="0" borderId="0" xfId="0" applyNumberFormat="1" applyAlignment="1">
      <alignment horizontal="right"/>
    </xf>
    <xf numFmtId="0" fontId="0" fillId="17" borderId="0" xfId="0" applyFill="1"/>
    <xf numFmtId="0" fontId="11" fillId="17" borderId="0" xfId="0" applyFont="1" applyFill="1" applyAlignment="1">
      <alignment horizontal="center"/>
    </xf>
    <xf numFmtId="0" fontId="0" fillId="17" borderId="0" xfId="0" applyNumberFormat="1" applyFill="1"/>
    <xf numFmtId="11" fontId="0" fillId="0" borderId="0" xfId="0" applyNumberFormat="1"/>
    <xf numFmtId="2" fontId="0" fillId="8" borderId="39" xfId="0" applyNumberFormat="1" applyFill="1" applyBorder="1" applyAlignment="1">
      <alignment horizontal="center"/>
    </xf>
    <xf numFmtId="2" fontId="0" fillId="8" borderId="38" xfId="0" applyNumberFormat="1" applyFill="1" applyBorder="1" applyAlignment="1">
      <alignment horizontal="center"/>
    </xf>
    <xf numFmtId="0" fontId="0" fillId="0" borderId="41" xfId="0" applyBorder="1" applyAlignment="1">
      <alignment horizontal="center" vertical="center"/>
    </xf>
    <xf numFmtId="0" fontId="0" fillId="0" borderId="42" xfId="0" applyBorder="1" applyAlignment="1">
      <alignment horizontal="center" vertical="center"/>
    </xf>
    <xf numFmtId="0" fontId="1" fillId="0" borderId="65" xfId="0" applyFont="1" applyBorder="1" applyAlignment="1" applyProtection="1">
      <alignment horizontal="center" vertical="center"/>
      <protection locked="0"/>
    </xf>
    <xf numFmtId="0" fontId="1" fillId="0" borderId="55" xfId="0" applyFont="1" applyBorder="1" applyAlignment="1" applyProtection="1">
      <alignment horizontal="center" vertical="center"/>
      <protection locked="0"/>
    </xf>
    <xf numFmtId="0" fontId="1" fillId="0" borderId="66" xfId="0" applyFont="1" applyBorder="1" applyAlignment="1" applyProtection="1">
      <alignment horizontal="center" vertical="center"/>
      <protection locked="0"/>
    </xf>
    <xf numFmtId="0" fontId="0" fillId="4" borderId="62" xfId="0" applyFill="1" applyBorder="1" applyAlignment="1">
      <alignment horizontal="center" vertical="center"/>
    </xf>
    <xf numFmtId="0" fontId="0" fillId="4" borderId="58" xfId="0" applyFill="1" applyBorder="1" applyAlignment="1">
      <alignment horizontal="center" vertical="center"/>
    </xf>
    <xf numFmtId="0" fontId="0" fillId="4" borderId="63" xfId="0" applyFill="1" applyBorder="1" applyAlignment="1">
      <alignment horizontal="center" vertical="center"/>
    </xf>
    <xf numFmtId="0" fontId="0" fillId="4" borderId="78" xfId="0" applyFill="1" applyBorder="1" applyAlignment="1">
      <alignment horizontal="center" vertical="center"/>
    </xf>
    <xf numFmtId="0" fontId="0" fillId="4" borderId="79" xfId="0" applyFill="1" applyBorder="1" applyAlignment="1">
      <alignment horizontal="center" vertical="center"/>
    </xf>
    <xf numFmtId="0" fontId="0" fillId="4" borderId="80" xfId="0" applyFill="1" applyBorder="1" applyAlignment="1">
      <alignment horizontal="center" vertical="center"/>
    </xf>
    <xf numFmtId="10" fontId="0" fillId="0" borderId="0" xfId="0" applyNumberFormat="1" applyAlignment="1">
      <alignment horizontal="center" vertical="center"/>
    </xf>
    <xf numFmtId="0" fontId="17" fillId="0" borderId="65" xfId="0" applyFont="1" applyBorder="1" applyAlignment="1" applyProtection="1">
      <alignment horizontal="center" vertical="center"/>
      <protection locked="0"/>
    </xf>
    <xf numFmtId="0" fontId="17" fillId="0" borderId="55" xfId="0" applyFont="1" applyBorder="1" applyAlignment="1" applyProtection="1">
      <alignment horizontal="center" vertical="center"/>
      <protection locked="0"/>
    </xf>
    <xf numFmtId="0" fontId="17" fillId="0" borderId="66" xfId="0" applyFont="1" applyBorder="1" applyAlignment="1" applyProtection="1">
      <alignment horizontal="center" vertical="center"/>
      <protection locked="0"/>
    </xf>
    <xf numFmtId="0" fontId="1" fillId="0" borderId="65" xfId="0" applyFont="1" applyBorder="1" applyAlignment="1" applyProtection="1">
      <alignment horizontal="center" vertical="center" wrapText="1"/>
      <protection locked="0"/>
    </xf>
    <xf numFmtId="0" fontId="1" fillId="0" borderId="55" xfId="0" applyFont="1" applyBorder="1" applyAlignment="1" applyProtection="1">
      <alignment horizontal="center" vertical="center" wrapText="1"/>
      <protection locked="0"/>
    </xf>
    <xf numFmtId="0" fontId="1" fillId="0" borderId="66" xfId="0" applyFont="1" applyBorder="1" applyAlignment="1" applyProtection="1">
      <alignment horizontal="center" vertical="center" wrapText="1"/>
      <protection locked="0"/>
    </xf>
    <xf numFmtId="0" fontId="26" fillId="0" borderId="0" xfId="0" applyFont="1" applyAlignment="1">
      <alignment horizontal="center" vertical="center"/>
    </xf>
    <xf numFmtId="0" fontId="1" fillId="0" borderId="0" xfId="0" applyFont="1" applyAlignment="1" applyProtection="1">
      <alignment horizontal="center" vertical="center"/>
      <protection locked="0"/>
    </xf>
    <xf numFmtId="0" fontId="10" fillId="0" borderId="32" xfId="0" applyFont="1" applyBorder="1" applyAlignment="1" applyProtection="1">
      <alignment horizontal="center" vertical="center"/>
      <protection locked="0"/>
    </xf>
    <xf numFmtId="0" fontId="10" fillId="0" borderId="28" xfId="0" applyFont="1" applyBorder="1" applyAlignment="1" applyProtection="1">
      <alignment horizontal="center" vertical="center"/>
      <protection locked="0"/>
    </xf>
    <xf numFmtId="0" fontId="10" fillId="0" borderId="33" xfId="0" applyFont="1" applyBorder="1" applyAlignment="1" applyProtection="1">
      <alignment horizontal="center" vertical="center"/>
      <protection locked="0"/>
    </xf>
    <xf numFmtId="0" fontId="9" fillId="0" borderId="0" xfId="0" quotePrefix="1" applyFont="1" applyAlignment="1">
      <alignment horizontal="left" vertical="top" wrapText="1"/>
    </xf>
    <xf numFmtId="0" fontId="4" fillId="0" borderId="0" xfId="2" applyFont="1" applyAlignment="1">
      <alignment horizontal="center" vertical="center"/>
    </xf>
  </cellXfs>
  <cellStyles count="4">
    <cellStyle name="Гиперссылка" xfId="2" builtinId="8"/>
    <cellStyle name="Нейтральный" xfId="3" builtinId="28"/>
    <cellStyle name="Обычный" xfId="0" builtinId="0"/>
    <cellStyle name="Обычный 2" xfId="1" xr:uid="{00000000-0005-0000-0000-000002000000}"/>
  </cellStyles>
  <dxfs count="1809">
    <dxf>
      <fill>
        <patternFill>
          <bgColor theme="8"/>
        </patternFill>
      </fill>
    </dxf>
    <dxf>
      <fill>
        <patternFill>
          <bgColor theme="8"/>
        </patternFill>
      </fill>
    </dxf>
    <dxf>
      <fill>
        <patternFill>
          <bgColor theme="8"/>
        </patternFill>
      </fill>
    </dxf>
    <dxf>
      <numFmt numFmtId="0" formatCode="General"/>
    </dxf>
    <dxf>
      <fill>
        <patternFill>
          <bgColor theme="8"/>
        </patternFill>
      </fill>
    </dxf>
    <dxf>
      <numFmt numFmtId="0" formatCode="General"/>
    </dxf>
    <dxf>
      <numFmt numFmtId="0" formatCode="General"/>
    </dxf>
    <dxf>
      <numFmt numFmtId="0" formatCode="General"/>
    </dxf>
    <dxf>
      <font>
        <b/>
        <i/>
      </font>
      <alignment horizontal="center" vertical="bottom" textRotation="0" wrapText="0" indent="0" justifyLastLine="0" shrinkToFit="0" readingOrder="0"/>
    </dxf>
    <dxf>
      <font>
        <b/>
        <i/>
        <color theme="0"/>
      </font>
      <fill>
        <patternFill>
          <bgColor theme="2" tint="-0.89996032593768116"/>
        </patternFill>
      </fill>
    </dxf>
    <dxf>
      <font>
        <b/>
        <i/>
        <color theme="0"/>
      </font>
      <fill>
        <patternFill>
          <bgColor theme="1"/>
        </patternFill>
      </fill>
    </dxf>
    <dxf>
      <font>
        <b/>
        <i val="0"/>
        <color rgb="FFFF0000"/>
      </font>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bgColor rgb="FFFF9999"/>
        </patternFill>
      </fill>
    </dxf>
    <dxf>
      <fill>
        <patternFill>
          <bgColor rgb="FFFF9999"/>
        </patternFill>
      </fill>
    </dxf>
    <dxf>
      <fill>
        <patternFill>
          <bgColor theme="9"/>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ill>
        <patternFill>
          <bgColor theme="0" tint="-0.24994659260841701"/>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theme="1"/>
        </patternFill>
      </fill>
    </dxf>
    <dxf>
      <fill>
        <patternFill>
          <bgColor rgb="FFFF9999"/>
        </patternFill>
      </fill>
    </dxf>
    <dxf>
      <fill>
        <patternFill>
          <bgColor rgb="FFFF9999"/>
        </patternFill>
      </fill>
    </dxf>
    <dxf>
      <fill>
        <patternFill>
          <fgColor indexed="64"/>
          <bgColor rgb="FFFF9999"/>
        </patternFill>
      </fill>
    </dxf>
    <dxf>
      <fill>
        <patternFill>
          <bgColor rgb="FFFFCCCC"/>
        </patternFill>
      </fill>
    </dxf>
    <dxf>
      <fill>
        <patternFill>
          <bgColor theme="1"/>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fgColor indexed="64"/>
          <bgColor rgb="FFFF9999"/>
        </patternFill>
      </fill>
    </dxf>
    <dxf>
      <fill>
        <patternFill>
          <bgColor rgb="FFFFCCCC"/>
        </patternFill>
      </fill>
    </dxf>
    <dxf>
      <fill>
        <patternFill>
          <bgColor rgb="FFFFCCCC"/>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theme="1"/>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theme="1"/>
        </patternFill>
      </fill>
    </dxf>
    <dxf>
      <numFmt numFmtId="0" formatCode="General"/>
    </dxf>
    <dxf>
      <numFmt numFmtId="0" formatCode="General"/>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font>
        <strike val="0"/>
        <outline val="0"/>
        <shadow val="0"/>
        <u val="none"/>
        <vertAlign val="baseline"/>
        <sz val="9"/>
        <color theme="1"/>
        <name val="Calibri"/>
        <scheme val="minor"/>
      </font>
      <fill>
        <patternFill patternType="solid">
          <fgColor indexed="64"/>
          <bgColor indexed="2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name val="Cambria"/>
        <scheme val="none"/>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9"/>
        <color theme="1"/>
        <name val="Calibri"/>
        <scheme val="minor"/>
      </font>
      <alignment horizontal="center" vertical="center" textRotation="0" wrapText="0" indent="0" justifyLastLine="0" shrinkToFit="0" readingOrder="0"/>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9"/>
        <color theme="1"/>
        <name val="Calibri"/>
        <scheme val="minor"/>
      </font>
      <alignment horizontal="center" vertical="center" textRotation="0" wrapText="0" indent="0" justifyLastLine="0" shrinkToFit="0" readingOrder="0"/>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font>
        <strike val="0"/>
        <outline val="0"/>
        <shadow val="0"/>
        <u val="none"/>
        <vertAlign val="baseline"/>
        <sz val="9"/>
        <color theme="1"/>
        <name val="Calibri"/>
        <scheme val="minor"/>
      </font>
      <alignment horizontal="center" vertical="center" textRotation="0" wrapText="0" indent="0" justifyLastLine="0" shrinkToFit="0" readingOrder="0"/>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alignment horizontal="general" vertical="center" textRotation="0" wrapText="0" indent="0" justifyLastLine="0" shrinkToFit="0" readingOrder="0"/>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fill>
        <patternFill patternType="solid">
          <fgColor indexed="64"/>
          <bgColor indexed="22"/>
        </patternFill>
      </fill>
      <alignment horizontal="center" vertical="center" textRotation="0" wrapText="0" indent="0" justifyLastLine="0" shrinkToFit="0" readingOrder="0"/>
      <border diagonalUp="0" diagonalDown="0" outline="0">
        <left/>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numFmt numFmtId="2" formatCode="0.00"/>
      <alignment horizontal="center" vertical="center" textRotation="0" wrapText="0" indent="0" justifyLastLine="0" shrinkToFit="0" readingOrder="0"/>
    </dxf>
    <dxf>
      <border outline="0">
        <bottom style="medium">
          <color indexed="64"/>
        </bottom>
      </border>
    </dxf>
    <dxf>
      <font>
        <strike val="0"/>
        <outline val="0"/>
        <shadow val="0"/>
        <u val="none"/>
        <vertAlign val="baseline"/>
        <sz val="9"/>
        <color theme="1"/>
        <name val="Calibri"/>
        <scheme val="minor"/>
      </font>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dxf>
    <dxf>
      <numFmt numFmtId="30" formatCode="@"/>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center" textRotation="0" wrapText="0" indent="0" justifyLastLine="0" shrinkToFit="0" readingOrder="0"/>
      <border diagonalUp="0" diagonalDown="0" outline="0">
        <left/>
        <right style="thick">
          <color auto="1"/>
        </right>
        <top/>
        <bottom style="thick">
          <color auto="1"/>
        </bottom>
      </border>
    </dxf>
    <dxf>
      <alignment horizontal="center" vertical="center" textRotation="0" wrapText="0" indent="0" justifyLastLine="0" shrinkToFit="0" readingOrder="0"/>
      <border diagonalUp="0" diagonalDown="0" outline="0">
        <left/>
        <right/>
        <top style="dotted">
          <color auto="1"/>
        </top>
        <bottom style="dotted">
          <color auto="1"/>
        </bottom>
      </border>
    </dxf>
    <dxf>
      <font>
        <strike val="0"/>
        <outline val="0"/>
        <shadow val="0"/>
        <u val="none"/>
        <vertAlign val="baseline"/>
        <sz val="11"/>
        <color theme="0"/>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dotted">
          <color auto="1"/>
        </left>
        <right style="dotted">
          <color auto="1"/>
        </right>
        <top style="dotted">
          <color auto="1"/>
        </top>
        <bottom style="dotted">
          <color auto="1"/>
        </bottom>
      </border>
    </dxf>
    <dxf>
      <alignment horizontal="center" vertical="center" textRotation="0" wrapText="0" indent="0" justifyLastLine="0" shrinkToFit="0" readingOrder="0"/>
      <border diagonalUp="0" diagonalDown="0" outline="0">
        <left style="thick">
          <color auto="1"/>
        </left>
        <right/>
        <top/>
        <bottom style="thick">
          <color auto="1"/>
        </bottom>
      </border>
    </dxf>
    <dxf>
      <numFmt numFmtId="0" formatCode="General"/>
      <alignment horizontal="center" vertical="center" textRotation="0" wrapText="0" indent="0" justifyLastLine="0" shrinkToFit="0" readingOrder="0"/>
      <border diagonalUp="0" diagonalDown="0" outline="0">
        <left/>
        <right/>
        <top style="dotted">
          <color auto="1"/>
        </top>
        <bottom style="dotted">
          <color auto="1"/>
        </bottom>
      </border>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1" readingOrder="0"/>
    </dxf>
    <dxf>
      <font>
        <b val="0"/>
        <i/>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numFmt numFmtId="0" formatCode="General"/>
      <alignment horizontal="general" vertical="bottom" textRotation="0" wrapText="0" indent="0" justifyLastLine="0" shrinkToFit="1" readingOrder="0"/>
    </dxf>
    <dxf>
      <numFmt numFmtId="0" formatCode="General"/>
    </dxf>
    <dxf>
      <numFmt numFmtId="0" formatCode="General"/>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font>
        <i/>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dxf>
    <dxf>
      <font>
        <b/>
        <i/>
        <strike val="0"/>
        <condense val="0"/>
        <extend val="0"/>
        <outline val="0"/>
        <shadow val="0"/>
        <u val="none"/>
        <vertAlign val="baseline"/>
        <sz val="11"/>
        <color theme="0"/>
        <name val="Calibri"/>
        <scheme val="minor"/>
      </font>
      <fill>
        <patternFill patternType="solid">
          <fgColor theme="7"/>
          <bgColor theme="7"/>
        </patternFill>
      </fill>
      <alignment horizontal="center" vertical="center" textRotation="0" wrapText="0" indent="0" justifyLastLine="0" shrinkToFit="0" readingOrder="0"/>
    </dxf>
    <dxf>
      <numFmt numFmtId="0" formatCode="General"/>
    </dxf>
    <dxf>
      <numFmt numFmtId="0" formatCode="General"/>
    </dxf>
    <dxf>
      <alignment horizontal="center" vertical="center" textRotation="0" wrapText="0" relativeIndent="0" justifyLastLine="0" shrinkToFit="0" readingOrder="0"/>
      <border diagonalUp="0" diagonalDown="0" outline="0">
        <left/>
        <right style="thick">
          <color auto="1"/>
        </right>
        <top/>
        <bottom style="thick">
          <color auto="1"/>
        </bottom>
      </border>
    </dxf>
    <dxf>
      <alignment horizontal="center" vertical="center" textRotation="0" wrapText="0" indent="0" justifyLastLine="0" shrinkToFit="0" readingOrder="0"/>
      <border diagonalUp="0" diagonalDown="0" outline="0">
        <left/>
        <right/>
        <top style="dotted">
          <color auto="1"/>
        </top>
        <bottom style="dotted">
          <color auto="1"/>
        </bottom>
      </border>
    </dxf>
    <dxf>
      <font>
        <b val="0"/>
        <i val="0"/>
        <strike val="0"/>
        <condense val="0"/>
        <extend val="0"/>
        <outline val="0"/>
        <shadow val="0"/>
        <u val="none"/>
        <vertAlign val="baseline"/>
        <sz val="11"/>
        <color rgb="FFFFCCCC"/>
        <name val="Calibri"/>
        <scheme val="minor"/>
      </font>
      <alignment horizontal="center" vertical="center" textRotation="0" wrapText="0" relativeIndent="0" justifyLastLine="0" shrinkToFit="0" readingOrder="0"/>
      <border diagonalUp="0" diagonalDown="0" outline="0">
        <left/>
        <right/>
        <top/>
        <bottom style="thick">
          <color indexed="64"/>
        </bottom>
      </border>
    </dxf>
    <dxf>
      <font>
        <strike val="0"/>
        <outline val="0"/>
        <shadow val="0"/>
        <u val="none"/>
        <vertAlign val="baseline"/>
        <sz val="11"/>
        <color theme="0"/>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dotted">
          <color auto="1"/>
        </left>
        <right style="dotted">
          <color auto="1"/>
        </right>
        <top style="dotted">
          <color auto="1"/>
        </top>
        <bottom style="dotted">
          <color auto="1"/>
        </bottom>
      </border>
    </dxf>
    <dxf>
      <alignment horizontal="center" vertical="center" textRotation="0" wrapText="0" relativeIndent="0" justifyLastLine="0" shrinkToFit="0" readingOrder="0"/>
      <border diagonalUp="0" diagonalDown="0" outline="0">
        <left style="thick">
          <color auto="1"/>
        </left>
        <right/>
        <top/>
        <bottom style="thick">
          <color auto="1"/>
        </bottom>
      </border>
    </dxf>
    <dxf>
      <numFmt numFmtId="0" formatCode="General"/>
      <alignment horizontal="center" vertical="center" textRotation="0" wrapText="0" indent="0" justifyLastLine="0" shrinkToFit="0" readingOrder="0"/>
      <border diagonalUp="0" diagonalDown="0" outline="0">
        <left/>
        <right/>
        <top style="dotted">
          <color auto="1"/>
        </top>
        <bottom style="dotted">
          <color auto="1"/>
        </bottom>
      </border>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font>
        <b/>
        <i/>
      </font>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font>
      <alignment horizontal="center"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15" formatCode="0.00E+00"/>
      <alignment horizontal="right" vertical="bottom" textRotation="0" wrapText="0" indent="0" justifyLastLine="0" shrinkToFit="0" readingOrder="0"/>
    </dxf>
    <dxf>
      <numFmt numFmtId="15" formatCode="0.00E+00"/>
      <alignment horizontal="right" vertical="bottom" textRotation="0" wrapText="0" indent="0" justifyLastLine="0" shrinkToFit="0" readingOrder="0"/>
    </dxf>
    <dxf>
      <numFmt numFmtId="15" formatCode="0.00E+00"/>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1"/>
        <color theme="1"/>
        <name val="Calibri"/>
        <scheme val="minor"/>
      </font>
      <numFmt numFmtId="0" formatCode="General"/>
      <alignment horizontal="center" vertical="bottom" textRotation="0" wrapText="0" indent="0" justifyLastLine="0" shrinkToFit="0" readingOrder="0"/>
    </dxf>
    <dxf>
      <numFmt numFmtId="0" formatCode="General"/>
    </dxf>
    <dxf>
      <numFmt numFmtId="0" formatCode="General"/>
    </dxf>
    <dxf>
      <font>
        <i/>
      </font>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i/>
      </font>
      <alignment horizontal="center" vertical="bottom" textRotation="0" wrapText="0" indent="0" justifyLastLine="0" shrinkToFit="0" readingOrder="0"/>
    </dxf>
    <dxf>
      <numFmt numFmtId="0" formatCode="General"/>
      <alignment horizontal="center"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font>
        <i/>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1" readingOrder="0"/>
    </dxf>
    <dxf>
      <font>
        <b/>
        <i/>
        <strike val="0"/>
        <condense val="0"/>
        <extend val="0"/>
        <outline val="0"/>
        <shadow val="0"/>
        <u val="none"/>
        <vertAlign val="baseline"/>
        <sz val="11"/>
        <color theme="0"/>
        <name val="Calibri"/>
        <scheme val="minor"/>
      </font>
      <fill>
        <patternFill patternType="solid">
          <fgColor theme="7"/>
          <bgColor theme="7"/>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border outline="0">
        <top style="medium">
          <color theme="1"/>
        </top>
      </border>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border outline="0">
        <bottom style="medium">
          <color theme="1"/>
        </bottom>
      </border>
    </dxf>
    <dxf>
      <font>
        <b/>
        <i val="0"/>
        <strike val="0"/>
        <condense val="0"/>
        <extend val="0"/>
        <outline val="0"/>
        <shadow val="0"/>
        <u val="none"/>
        <vertAlign val="baseline"/>
        <sz val="11"/>
        <color theme="0"/>
        <name val="Calibri"/>
        <scheme val="minor"/>
      </font>
      <fill>
        <patternFill patternType="solid">
          <fgColor theme="9"/>
          <bgColor theme="9"/>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2" formatCode="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2" formatCode="0.0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border outline="0">
        <top style="medium">
          <color theme="1"/>
        </top>
      </border>
    </dxf>
    <dxf>
      <font>
        <b val="0"/>
        <i val="0"/>
        <strike val="0"/>
        <condense val="0"/>
        <extend val="0"/>
        <outline val="0"/>
        <shadow val="0"/>
        <u val="none"/>
        <vertAlign val="baseline"/>
        <sz val="11"/>
        <color theme="1"/>
        <name val="Calibri"/>
        <scheme val="minor"/>
      </font>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minor"/>
      </font>
      <fill>
        <patternFill patternType="solid">
          <fgColor theme="9"/>
          <bgColor theme="9"/>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fill>
        <patternFill patternType="none">
          <fgColor indexed="64"/>
          <bgColor auto="1"/>
        </patternFill>
      </fill>
    </dxf>
    <dxf>
      <numFmt numFmtId="2" formatCode="0.00"/>
      <alignment horizontal="center" vertic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font>
        <b/>
        <i val="0"/>
      </font>
      <fill>
        <patternFill>
          <bgColor rgb="FFFFCCCC"/>
        </patternFill>
      </fill>
      <border>
        <left style="medium">
          <color auto="1"/>
        </left>
        <right style="medium">
          <color auto="1"/>
        </right>
        <top style="medium">
          <color auto="1"/>
        </top>
        <bottom style="medium">
          <color auto="1"/>
        </bottom>
      </border>
    </dxf>
    <dxf>
      <font>
        <b/>
        <i val="0"/>
      </font>
      <fill>
        <patternFill>
          <bgColor theme="9" tint="0.79998168889431442"/>
        </patternFill>
      </fill>
      <border>
        <left style="medium">
          <color auto="1"/>
        </left>
        <right style="medium">
          <color auto="1"/>
        </right>
        <top style="medium">
          <color auto="1"/>
        </top>
        <bottom style="medium">
          <color auto="1"/>
        </bottom>
        <horizontal style="medium">
          <color auto="1"/>
        </horizontal>
      </border>
    </dxf>
    <dxf>
      <border>
        <left style="medium">
          <color auto="1"/>
        </left>
        <right style="medium">
          <color auto="1"/>
        </right>
        <top style="medium">
          <color auto="1"/>
        </top>
        <bottom style="medium">
          <color auto="1"/>
        </bottom>
        <vertical style="dotted">
          <color auto="1"/>
        </vertical>
        <horizontal style="dotted">
          <color auto="1"/>
        </horizontal>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00000000-0011-0000-FFFF-FFFF00000000}">
      <tableStyleElement type="wholeTable" dxfId="1808"/>
      <tableStyleElement type="headerRow" dxfId="1807"/>
    </tableStyle>
    <tableStyle name="Моя таблица" pivot="0" count="3" xr9:uid="{00000000-0011-0000-FFFF-FFFF01000000}">
      <tableStyleElement type="wholeTable" dxfId="1806"/>
      <tableStyleElement type="headerRow" dxfId="1805"/>
      <tableStyleElement type="totalRow" dxfId="1804"/>
    </tableStyle>
  </tableStyles>
  <colors>
    <mruColors>
      <color rgb="FFFFCCCC"/>
      <color rgb="FFFF9999"/>
      <color rgb="FF99FF99"/>
      <color rgb="FF00D6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manualLayout>
          <c:layoutTarget val="inner"/>
          <c:xMode val="edge"/>
          <c:yMode val="edge"/>
          <c:x val="4.5557693564571504E-2"/>
          <c:y val="0.1101917408812074"/>
          <c:w val="0.94664359282910493"/>
          <c:h val="0.83510972730304889"/>
        </c:manualLayout>
      </c:layout>
      <c:lineChart>
        <c:grouping val="standard"/>
        <c:varyColors val="0"/>
        <c:ser>
          <c:idx val="0"/>
          <c:order val="0"/>
          <c:spPr>
            <a:ln w="28575" cap="rnd">
              <a:solidFill>
                <a:schemeClr val="accent1"/>
              </a:solidFill>
              <a:round/>
            </a:ln>
            <a:effectLst/>
          </c:spPr>
          <c:marker>
            <c:symbol val="none"/>
          </c:marker>
          <c:val>
            <c:numRef>
              <c:f>Множество_202207112140401240!$AC$2:$AC$350</c:f>
              <c:numCache>
                <c:formatCode>General</c:formatCode>
                <c:ptCount val="349"/>
                <c:pt idx="0">
                  <c:v>2.8666666666666298</c:v>
                </c:pt>
                <c:pt idx="1">
                  <c:v>2.9749999999999703</c:v>
                </c:pt>
                <c:pt idx="2">
                  <c:v>3.0833333333333011</c:v>
                </c:pt>
                <c:pt idx="3">
                  <c:v>3.17500000000003</c:v>
                </c:pt>
                <c:pt idx="4">
                  <c:v>3.2833333333333705</c:v>
                </c:pt>
                <c:pt idx="5">
                  <c:v>3.375</c:v>
                </c:pt>
                <c:pt idx="6">
                  <c:v>3.4833333333333307</c:v>
                </c:pt>
                <c:pt idx="7">
                  <c:v>3.5916666666666694</c:v>
                </c:pt>
                <c:pt idx="8">
                  <c:v>4.1333333333333</c:v>
                </c:pt>
                <c:pt idx="9">
                  <c:v>4.1333333333333</c:v>
                </c:pt>
                <c:pt idx="10">
                  <c:v>4.2083333333333295</c:v>
                </c:pt>
                <c:pt idx="11">
                  <c:v>4.3416666666666988</c:v>
                </c:pt>
                <c:pt idx="12">
                  <c:v>4.4166666666666305</c:v>
                </c:pt>
                <c:pt idx="13">
                  <c:v>4.4666666666666313</c:v>
                </c:pt>
                <c:pt idx="14">
                  <c:v>4.4416666666667002</c:v>
                </c:pt>
                <c:pt idx="15">
                  <c:v>4.4833333333332996</c:v>
                </c:pt>
                <c:pt idx="16">
                  <c:v>4.5666666666667002</c:v>
                </c:pt>
                <c:pt idx="17">
                  <c:v>4.55833333333337</c:v>
                </c:pt>
                <c:pt idx="18">
                  <c:v>4.5416666666666998</c:v>
                </c:pt>
                <c:pt idx="19">
                  <c:v>4.4916666666666707</c:v>
                </c:pt>
                <c:pt idx="20">
                  <c:v>4.4749999999999703</c:v>
                </c:pt>
                <c:pt idx="21">
                  <c:v>4.5166666666666693</c:v>
                </c:pt>
                <c:pt idx="22">
                  <c:v>4.5500000000000291</c:v>
                </c:pt>
                <c:pt idx="23">
                  <c:v>4.5083333333333302</c:v>
                </c:pt>
                <c:pt idx="24">
                  <c:v>4.69999999999997</c:v>
                </c:pt>
                <c:pt idx="25">
                  <c:v>4.7749999999999995</c:v>
                </c:pt>
                <c:pt idx="26">
                  <c:v>4.8500000000000307</c:v>
                </c:pt>
                <c:pt idx="27">
                  <c:v>4.9833333333333005</c:v>
                </c:pt>
                <c:pt idx="28">
                  <c:v>4.9249999999999705</c:v>
                </c:pt>
                <c:pt idx="29">
                  <c:v>5.05833333333333</c:v>
                </c:pt>
                <c:pt idx="30">
                  <c:v>5.1333333333333693</c:v>
                </c:pt>
                <c:pt idx="31">
                  <c:v>5.2083333333332993</c:v>
                </c:pt>
                <c:pt idx="32">
                  <c:v>5.3416666666666703</c:v>
                </c:pt>
                <c:pt idx="33">
                  <c:v>5.4166666666666998</c:v>
                </c:pt>
                <c:pt idx="34">
                  <c:v>5.4916666666666298</c:v>
                </c:pt>
                <c:pt idx="35">
                  <c:v>5.56666666666667</c:v>
                </c:pt>
                <c:pt idx="36">
                  <c:v>5.7000000000000295</c:v>
                </c:pt>
                <c:pt idx="37">
                  <c:v>5.625</c:v>
                </c:pt>
                <c:pt idx="38">
                  <c:v>5.774999999999971</c:v>
                </c:pt>
                <c:pt idx="39">
                  <c:v>5.8500000000000005</c:v>
                </c:pt>
                <c:pt idx="40">
                  <c:v>5.9833333333333698</c:v>
                </c:pt>
                <c:pt idx="41">
                  <c:v>6.0583333333332998</c:v>
                </c:pt>
                <c:pt idx="42">
                  <c:v>6.1333333333333293</c:v>
                </c:pt>
                <c:pt idx="43">
                  <c:v>6.2083333333333703</c:v>
                </c:pt>
                <c:pt idx="44">
                  <c:v>6.2666666666667004</c:v>
                </c:pt>
                <c:pt idx="45">
                  <c:v>6.3416666666666304</c:v>
                </c:pt>
                <c:pt idx="46">
                  <c:v>6.4166666666666696</c:v>
                </c:pt>
                <c:pt idx="47">
                  <c:v>6.4916666666666991</c:v>
                </c:pt>
                <c:pt idx="48">
                  <c:v>6.6249999999999698</c:v>
                </c:pt>
                <c:pt idx="49">
                  <c:v>6.5666666666666291</c:v>
                </c:pt>
                <c:pt idx="50">
                  <c:v>6.7750000000000306</c:v>
                </c:pt>
                <c:pt idx="51">
                  <c:v>6.7000000000000011</c:v>
                </c:pt>
                <c:pt idx="52">
                  <c:v>6.8499999999999703</c:v>
                </c:pt>
                <c:pt idx="53">
                  <c:v>6.9083333333333004</c:v>
                </c:pt>
                <c:pt idx="54">
                  <c:v>6.9833333333333298</c:v>
                </c:pt>
                <c:pt idx="55">
                  <c:v>7.0583333333333691</c:v>
                </c:pt>
                <c:pt idx="56">
                  <c:v>7.15</c:v>
                </c:pt>
                <c:pt idx="57">
                  <c:v>7.2250000000000298</c:v>
                </c:pt>
                <c:pt idx="58">
                  <c:v>7.2999999999999696</c:v>
                </c:pt>
                <c:pt idx="59">
                  <c:v>7.3916666666667004</c:v>
                </c:pt>
                <c:pt idx="60">
                  <c:v>7.5083333333333284</c:v>
                </c:pt>
                <c:pt idx="61">
                  <c:v>7.4666666666666996</c:v>
                </c:pt>
                <c:pt idx="62">
                  <c:v>7.5416666666666696</c:v>
                </c:pt>
                <c:pt idx="63">
                  <c:v>7.4666666666666304</c:v>
                </c:pt>
                <c:pt idx="64">
                  <c:v>7.6500000000000288</c:v>
                </c:pt>
                <c:pt idx="65">
                  <c:v>7.6083333333333005</c:v>
                </c:pt>
                <c:pt idx="66">
                  <c:v>7.6166666666666991</c:v>
                </c:pt>
                <c:pt idx="67">
                  <c:v>7.7333333333333005</c:v>
                </c:pt>
                <c:pt idx="68">
                  <c:v>7.6916666666666718</c:v>
                </c:pt>
                <c:pt idx="69">
                  <c:v>7.7083333333333304</c:v>
                </c:pt>
                <c:pt idx="70">
                  <c:v>7.8000000000000309</c:v>
                </c:pt>
                <c:pt idx="71">
                  <c:v>7.8166666666666993</c:v>
                </c:pt>
                <c:pt idx="72">
                  <c:v>7.7750000000000004</c:v>
                </c:pt>
                <c:pt idx="73">
                  <c:v>7.8333333333333686</c:v>
                </c:pt>
                <c:pt idx="74">
                  <c:v>7.875</c:v>
                </c:pt>
                <c:pt idx="75">
                  <c:v>7.7833333333333705</c:v>
                </c:pt>
                <c:pt idx="76">
                  <c:v>7.8916666666666684</c:v>
                </c:pt>
                <c:pt idx="77">
                  <c:v>7.8499999999999694</c:v>
                </c:pt>
                <c:pt idx="78">
                  <c:v>7.93333333333333</c:v>
                </c:pt>
                <c:pt idx="79">
                  <c:v>7.8583333333333005</c:v>
                </c:pt>
                <c:pt idx="80">
                  <c:v>7.80833333333337</c:v>
                </c:pt>
                <c:pt idx="81">
                  <c:v>7.8833333333333293</c:v>
                </c:pt>
                <c:pt idx="82">
                  <c:v>7.8416666666666304</c:v>
                </c:pt>
                <c:pt idx="83">
                  <c:v>7.9166666666666297</c:v>
                </c:pt>
                <c:pt idx="84">
                  <c:v>7.8750000000000009</c:v>
                </c:pt>
                <c:pt idx="85">
                  <c:v>8.05833333333333</c:v>
                </c:pt>
                <c:pt idx="86">
                  <c:v>8.0166666666667012</c:v>
                </c:pt>
                <c:pt idx="87">
                  <c:v>7.9583333333333712</c:v>
                </c:pt>
                <c:pt idx="88">
                  <c:v>8.0249999999999702</c:v>
                </c:pt>
                <c:pt idx="89">
                  <c:v>8.1000000000000014</c:v>
                </c:pt>
                <c:pt idx="90">
                  <c:v>8.1416666666667012</c:v>
                </c:pt>
                <c:pt idx="91">
                  <c:v>8.0999999999999694</c:v>
                </c:pt>
                <c:pt idx="92">
                  <c:v>8.2416666666666689</c:v>
                </c:pt>
                <c:pt idx="93">
                  <c:v>8.1750000000000291</c:v>
                </c:pt>
                <c:pt idx="94">
                  <c:v>8.2666666666666693</c:v>
                </c:pt>
                <c:pt idx="95">
                  <c:v>8.3666666666666689</c:v>
                </c:pt>
                <c:pt idx="96">
                  <c:v>8.3250000000000295</c:v>
                </c:pt>
                <c:pt idx="97">
                  <c:v>8.2833333333333012</c:v>
                </c:pt>
                <c:pt idx="98">
                  <c:v>8.3416666666667005</c:v>
                </c:pt>
                <c:pt idx="99">
                  <c:v>8.4666666666666313</c:v>
                </c:pt>
                <c:pt idx="100">
                  <c:v>8.4166666666666305</c:v>
                </c:pt>
                <c:pt idx="101">
                  <c:v>8.4249999999999989</c:v>
                </c:pt>
                <c:pt idx="102">
                  <c:v>8.5500000000000007</c:v>
                </c:pt>
                <c:pt idx="103">
                  <c:v>8.5083333333333684</c:v>
                </c:pt>
                <c:pt idx="104">
                  <c:v>8.4916666666666707</c:v>
                </c:pt>
                <c:pt idx="105">
                  <c:v>8.5833333333333002</c:v>
                </c:pt>
                <c:pt idx="106">
                  <c:v>8.6583333333333314</c:v>
                </c:pt>
                <c:pt idx="107">
                  <c:v>8.6499999999999702</c:v>
                </c:pt>
                <c:pt idx="108">
                  <c:v>8.7749999999999702</c:v>
                </c:pt>
                <c:pt idx="109">
                  <c:v>8.7333333333333307</c:v>
                </c:pt>
                <c:pt idx="110">
                  <c:v>8.6916666666666984</c:v>
                </c:pt>
                <c:pt idx="111">
                  <c:v>8.7333333333333698</c:v>
                </c:pt>
                <c:pt idx="112">
                  <c:v>8.8249999999999993</c:v>
                </c:pt>
                <c:pt idx="113">
                  <c:v>8.8333333333333002</c:v>
                </c:pt>
                <c:pt idx="114">
                  <c:v>8.875000000000032</c:v>
                </c:pt>
                <c:pt idx="115">
                  <c:v>8.9749999999999712</c:v>
                </c:pt>
                <c:pt idx="116">
                  <c:v>8.9000000000000288</c:v>
                </c:pt>
                <c:pt idx="117">
                  <c:v>8.9583333333332984</c:v>
                </c:pt>
                <c:pt idx="118">
                  <c:v>8.9166666666666696</c:v>
                </c:pt>
                <c:pt idx="119">
                  <c:v>9.0000000000000302</c:v>
                </c:pt>
                <c:pt idx="120">
                  <c:v>9.0583333333333709</c:v>
                </c:pt>
                <c:pt idx="121">
                  <c:v>9.0500000000000007</c:v>
                </c:pt>
                <c:pt idx="122">
                  <c:v>9.1833333333333691</c:v>
                </c:pt>
                <c:pt idx="123">
                  <c:v>9.1416666666666302</c:v>
                </c:pt>
                <c:pt idx="124">
                  <c:v>9.1</c:v>
                </c:pt>
                <c:pt idx="125">
                  <c:v>9.141666666666632</c:v>
                </c:pt>
                <c:pt idx="126">
                  <c:v>9.1333333333333009</c:v>
                </c:pt>
                <c:pt idx="127">
                  <c:v>9.2833333333333279</c:v>
                </c:pt>
                <c:pt idx="128">
                  <c:v>9.2416666666666991</c:v>
                </c:pt>
                <c:pt idx="129">
                  <c:v>9.2166666666666686</c:v>
                </c:pt>
                <c:pt idx="130">
                  <c:v>9.2916666666666998</c:v>
                </c:pt>
                <c:pt idx="131">
                  <c:v>9.3666666666666316</c:v>
                </c:pt>
                <c:pt idx="132">
                  <c:v>9.3500000000000014</c:v>
                </c:pt>
                <c:pt idx="133">
                  <c:v>9.3249999999999709</c:v>
                </c:pt>
                <c:pt idx="134">
                  <c:v>9.4583333333333002</c:v>
                </c:pt>
                <c:pt idx="135">
                  <c:v>9.3916666666666302</c:v>
                </c:pt>
                <c:pt idx="136">
                  <c:v>9.4333333333333691</c:v>
                </c:pt>
                <c:pt idx="137">
                  <c:v>9.4666666666666313</c:v>
                </c:pt>
                <c:pt idx="138">
                  <c:v>9.4583333333333695</c:v>
                </c:pt>
                <c:pt idx="139">
                  <c:v>9.4416666666667002</c:v>
                </c:pt>
                <c:pt idx="140">
                  <c:v>9.4833333333332988</c:v>
                </c:pt>
                <c:pt idx="141">
                  <c:v>9.5583333333333691</c:v>
                </c:pt>
                <c:pt idx="142">
                  <c:v>9.5416666666666998</c:v>
                </c:pt>
                <c:pt idx="143">
                  <c:v>9.500000000000032</c:v>
                </c:pt>
                <c:pt idx="144">
                  <c:v>9.5166666666666693</c:v>
                </c:pt>
                <c:pt idx="145">
                  <c:v>9.5416666666666696</c:v>
                </c:pt>
                <c:pt idx="146">
                  <c:v>9.5333333333332995</c:v>
                </c:pt>
                <c:pt idx="147">
                  <c:v>9.5333333333332995</c:v>
                </c:pt>
                <c:pt idx="148">
                  <c:v>9.4749999999999694</c:v>
                </c:pt>
                <c:pt idx="149">
                  <c:v>9.5083333333333293</c:v>
                </c:pt>
                <c:pt idx="150">
                  <c:v>9.5500000000000291</c:v>
                </c:pt>
                <c:pt idx="151">
                  <c:v>9.608333333333329</c:v>
                </c:pt>
                <c:pt idx="152">
                  <c:v>9.6333333333333009</c:v>
                </c:pt>
                <c:pt idx="153">
                  <c:v>9.5833333333333002</c:v>
                </c:pt>
                <c:pt idx="154">
                  <c:v>9.5916666666667005</c:v>
                </c:pt>
                <c:pt idx="155">
                  <c:v>9.7333333333333307</c:v>
                </c:pt>
                <c:pt idx="156">
                  <c:v>9.6916666666667002</c:v>
                </c:pt>
                <c:pt idx="157">
                  <c:v>9.6499999999999702</c:v>
                </c:pt>
                <c:pt idx="158">
                  <c:v>9.6916666666667002</c:v>
                </c:pt>
                <c:pt idx="159">
                  <c:v>9.8000000000000007</c:v>
                </c:pt>
                <c:pt idx="160">
                  <c:v>9.7583333333333684</c:v>
                </c:pt>
                <c:pt idx="161">
                  <c:v>9.8083333333332998</c:v>
                </c:pt>
                <c:pt idx="162">
                  <c:v>9.75</c:v>
                </c:pt>
                <c:pt idx="163">
                  <c:v>9.8666666666666707</c:v>
                </c:pt>
                <c:pt idx="164">
                  <c:v>9.9083333333333012</c:v>
                </c:pt>
                <c:pt idx="165">
                  <c:v>9.8416666666666295</c:v>
                </c:pt>
                <c:pt idx="166">
                  <c:v>9.8500000000000014</c:v>
                </c:pt>
                <c:pt idx="167">
                  <c:v>9.9500000000000295</c:v>
                </c:pt>
                <c:pt idx="168">
                  <c:v>9.9083333333332995</c:v>
                </c:pt>
                <c:pt idx="169">
                  <c:v>10.025</c:v>
                </c:pt>
                <c:pt idx="170">
                  <c:v>10.05833333333333</c:v>
                </c:pt>
                <c:pt idx="171">
                  <c:v>9.9666666666666988</c:v>
                </c:pt>
                <c:pt idx="172">
                  <c:v>9.9916666666666707</c:v>
                </c:pt>
                <c:pt idx="173">
                  <c:v>10.016666666666701</c:v>
                </c:pt>
                <c:pt idx="174">
                  <c:v>10.125</c:v>
                </c:pt>
                <c:pt idx="175">
                  <c:v>10.0666666666667</c:v>
                </c:pt>
                <c:pt idx="176">
                  <c:v>10.099999999999969</c:v>
                </c:pt>
                <c:pt idx="177">
                  <c:v>10.125</c:v>
                </c:pt>
                <c:pt idx="178">
                  <c:v>10.208333333333369</c:v>
                </c:pt>
                <c:pt idx="179">
                  <c:v>10.166666666666631</c:v>
                </c:pt>
                <c:pt idx="180">
                  <c:v>10.1833333333333</c:v>
                </c:pt>
                <c:pt idx="181">
                  <c:v>10.275000000000031</c:v>
                </c:pt>
                <c:pt idx="182">
                  <c:v>10.283333333333301</c:v>
                </c:pt>
                <c:pt idx="183">
                  <c:v>10.225</c:v>
                </c:pt>
                <c:pt idx="184">
                  <c:v>10.25</c:v>
                </c:pt>
                <c:pt idx="185">
                  <c:v>10.341666666666701</c:v>
                </c:pt>
                <c:pt idx="186">
                  <c:v>10.399999999999999</c:v>
                </c:pt>
                <c:pt idx="187">
                  <c:v>10.400000000000031</c:v>
                </c:pt>
                <c:pt idx="188">
                  <c:v>10.358333333333299</c:v>
                </c:pt>
                <c:pt idx="189">
                  <c:v>10.31666666666667</c:v>
                </c:pt>
                <c:pt idx="190">
                  <c:v>10.466666666666701</c:v>
                </c:pt>
                <c:pt idx="191">
                  <c:v>10.5</c:v>
                </c:pt>
                <c:pt idx="192">
                  <c:v>10.424999999999971</c:v>
                </c:pt>
                <c:pt idx="193">
                  <c:v>10.4416666666667</c:v>
                </c:pt>
                <c:pt idx="194">
                  <c:v>10.558333333333302</c:v>
                </c:pt>
                <c:pt idx="195">
                  <c:v>10.558333333333302</c:v>
                </c:pt>
                <c:pt idx="196">
                  <c:v>10.6666666666667</c:v>
                </c:pt>
                <c:pt idx="197">
                  <c:v>10.600000000000003</c:v>
                </c:pt>
                <c:pt idx="198">
                  <c:v>10.658333333333299</c:v>
                </c:pt>
                <c:pt idx="199">
                  <c:v>10.716666666666702</c:v>
                </c:pt>
                <c:pt idx="200">
                  <c:v>10.775000000000002</c:v>
                </c:pt>
                <c:pt idx="201">
                  <c:v>10.758333333333299</c:v>
                </c:pt>
                <c:pt idx="202">
                  <c:v>10.875</c:v>
                </c:pt>
                <c:pt idx="203">
                  <c:v>10.8166666666667</c:v>
                </c:pt>
                <c:pt idx="204">
                  <c:v>10.850000000000001</c:v>
                </c:pt>
                <c:pt idx="205">
                  <c:v>10.9416666666667</c:v>
                </c:pt>
                <c:pt idx="206">
                  <c:v>10.991666666666699</c:v>
                </c:pt>
                <c:pt idx="207">
                  <c:v>10.9333333333333</c:v>
                </c:pt>
                <c:pt idx="208">
                  <c:v>11.033333333333298</c:v>
                </c:pt>
                <c:pt idx="209">
                  <c:v>11.141666666666699</c:v>
                </c:pt>
                <c:pt idx="210">
                  <c:v>11.05</c:v>
                </c:pt>
                <c:pt idx="211">
                  <c:v>11.091666666666701</c:v>
                </c:pt>
                <c:pt idx="212">
                  <c:v>11.15</c:v>
                </c:pt>
                <c:pt idx="213">
                  <c:v>11.191666666666702</c:v>
                </c:pt>
                <c:pt idx="214">
                  <c:v>11.249999999999998</c:v>
                </c:pt>
                <c:pt idx="215">
                  <c:v>11.233333333333301</c:v>
                </c:pt>
                <c:pt idx="216">
                  <c:v>11.325000000000001</c:v>
                </c:pt>
                <c:pt idx="217">
                  <c:v>11.383333333333297</c:v>
                </c:pt>
                <c:pt idx="218">
                  <c:v>11.308333333333302</c:v>
                </c:pt>
                <c:pt idx="219">
                  <c:v>11.4333333333333</c:v>
                </c:pt>
                <c:pt idx="220">
                  <c:v>11.4416666666667</c:v>
                </c:pt>
                <c:pt idx="221">
                  <c:v>11.524999999999999</c:v>
                </c:pt>
                <c:pt idx="222">
                  <c:v>11.558333333333302</c:v>
                </c:pt>
                <c:pt idx="223">
                  <c:v>11.5</c:v>
                </c:pt>
                <c:pt idx="224">
                  <c:v>11.616666666666701</c:v>
                </c:pt>
                <c:pt idx="225">
                  <c:v>11.6916666666667</c:v>
                </c:pt>
                <c:pt idx="226">
                  <c:v>11.633333333333297</c:v>
                </c:pt>
                <c:pt idx="227">
                  <c:v>11.75</c:v>
                </c:pt>
                <c:pt idx="228">
                  <c:v>11.725</c:v>
                </c:pt>
                <c:pt idx="229">
                  <c:v>11.808333333333303</c:v>
                </c:pt>
                <c:pt idx="230">
                  <c:v>11.8166666666667</c:v>
                </c:pt>
                <c:pt idx="231">
                  <c:v>11.941666666666702</c:v>
                </c:pt>
                <c:pt idx="232">
                  <c:v>11.866666666666699</c:v>
                </c:pt>
                <c:pt idx="233">
                  <c:v>12</c:v>
                </c:pt>
                <c:pt idx="234">
                  <c:v>11.908333333333299</c:v>
                </c:pt>
                <c:pt idx="235">
                  <c:v>11.999999999999996</c:v>
                </c:pt>
                <c:pt idx="236">
                  <c:v>12.0583333333333</c:v>
                </c:pt>
                <c:pt idx="237">
                  <c:v>12.116666666666699</c:v>
                </c:pt>
                <c:pt idx="238">
                  <c:v>12.2</c:v>
                </c:pt>
                <c:pt idx="239">
                  <c:v>12.108333333333301</c:v>
                </c:pt>
                <c:pt idx="240">
                  <c:v>12.25</c:v>
                </c:pt>
                <c:pt idx="241">
                  <c:v>12.366666666666699</c:v>
                </c:pt>
                <c:pt idx="242">
                  <c:v>12.2916666666667</c:v>
                </c:pt>
                <c:pt idx="243">
                  <c:v>12.308333333333302</c:v>
                </c:pt>
                <c:pt idx="244">
                  <c:v>12.5</c:v>
                </c:pt>
                <c:pt idx="245">
                  <c:v>12.424999999999999</c:v>
                </c:pt>
                <c:pt idx="246">
                  <c:v>12.400000000000004</c:v>
                </c:pt>
                <c:pt idx="247">
                  <c:v>12.491666666666699</c:v>
                </c:pt>
                <c:pt idx="248">
                  <c:v>12.5583333333333</c:v>
                </c:pt>
                <c:pt idx="249">
                  <c:v>12.583333333333302</c:v>
                </c:pt>
                <c:pt idx="250">
                  <c:v>12.675000000000001</c:v>
                </c:pt>
                <c:pt idx="251">
                  <c:v>12.616666666666701</c:v>
                </c:pt>
                <c:pt idx="252">
                  <c:v>12.675000000000001</c:v>
                </c:pt>
                <c:pt idx="253">
                  <c:v>12.8083333333333</c:v>
                </c:pt>
                <c:pt idx="254">
                  <c:v>12.783333333333301</c:v>
                </c:pt>
                <c:pt idx="255">
                  <c:v>12.875</c:v>
                </c:pt>
                <c:pt idx="256">
                  <c:v>12.925000000000001</c:v>
                </c:pt>
                <c:pt idx="257">
                  <c:v>12.866666666666699</c:v>
                </c:pt>
                <c:pt idx="258">
                  <c:v>12.966666666666701</c:v>
                </c:pt>
                <c:pt idx="259">
                  <c:v>12.983333333333301</c:v>
                </c:pt>
                <c:pt idx="260">
                  <c:v>13.058333333333298</c:v>
                </c:pt>
                <c:pt idx="261">
                  <c:v>13.116666666666701</c:v>
                </c:pt>
                <c:pt idx="262">
                  <c:v>13.0583333333333</c:v>
                </c:pt>
                <c:pt idx="263">
                  <c:v>13.166666666666696</c:v>
                </c:pt>
                <c:pt idx="264">
                  <c:v>13.174999999999999</c:v>
                </c:pt>
                <c:pt idx="265">
                  <c:v>13.233333333333301</c:v>
                </c:pt>
                <c:pt idx="266">
                  <c:v>13.375</c:v>
                </c:pt>
                <c:pt idx="267">
                  <c:v>13.366666666666699</c:v>
                </c:pt>
                <c:pt idx="268">
                  <c:v>13.324999999999999</c:v>
                </c:pt>
                <c:pt idx="269">
                  <c:v>13.258333333333301</c:v>
                </c:pt>
                <c:pt idx="270">
                  <c:v>13.350000000000001</c:v>
                </c:pt>
                <c:pt idx="271">
                  <c:v>13.350000000000001</c:v>
                </c:pt>
                <c:pt idx="272">
                  <c:v>13.425000000000001</c:v>
                </c:pt>
                <c:pt idx="273">
                  <c:v>13.4166666666667</c:v>
                </c:pt>
                <c:pt idx="274">
                  <c:v>13.483333333333301</c:v>
                </c:pt>
                <c:pt idx="275">
                  <c:v>13.533333333333299</c:v>
                </c:pt>
                <c:pt idx="276">
                  <c:v>13.549999999999997</c:v>
                </c:pt>
                <c:pt idx="277">
                  <c:v>13.4416666666667</c:v>
                </c:pt>
                <c:pt idx="278">
                  <c:v>13.458333333333304</c:v>
                </c:pt>
                <c:pt idx="279">
                  <c:v>13.5416666666667</c:v>
                </c:pt>
                <c:pt idx="280">
                  <c:v>13.483333333333301</c:v>
                </c:pt>
                <c:pt idx="281">
                  <c:v>13.508333333333301</c:v>
                </c:pt>
                <c:pt idx="282">
                  <c:v>13.574999999999999</c:v>
                </c:pt>
                <c:pt idx="283">
                  <c:v>13.674999999999999</c:v>
                </c:pt>
                <c:pt idx="284">
                  <c:v>13.641666666666701</c:v>
                </c:pt>
                <c:pt idx="285">
                  <c:v>13.716666666666697</c:v>
                </c:pt>
                <c:pt idx="286">
                  <c:v>13.733333333333301</c:v>
                </c:pt>
                <c:pt idx="287">
                  <c:v>13.733333333333301</c:v>
                </c:pt>
                <c:pt idx="288">
                  <c:v>13.808333333333302</c:v>
                </c:pt>
                <c:pt idx="289">
                  <c:v>13.991666666666703</c:v>
                </c:pt>
                <c:pt idx="290">
                  <c:v>13.899999999999999</c:v>
                </c:pt>
                <c:pt idx="291">
                  <c:v>14.066666666666698</c:v>
                </c:pt>
                <c:pt idx="292">
                  <c:v>14.158333333333299</c:v>
                </c:pt>
                <c:pt idx="293">
                  <c:v>14.2916666666667</c:v>
                </c:pt>
                <c:pt idx="294">
                  <c:v>14.25</c:v>
                </c:pt>
                <c:pt idx="295">
                  <c:v>14.341666666666704</c:v>
                </c:pt>
                <c:pt idx="296">
                  <c:v>14.4166666666667</c:v>
                </c:pt>
                <c:pt idx="297">
                  <c:v>14.433333333333298</c:v>
                </c:pt>
                <c:pt idx="298">
                  <c:v>14.508333333333301</c:v>
                </c:pt>
                <c:pt idx="299">
                  <c:v>14.5416666666667</c:v>
                </c:pt>
                <c:pt idx="300">
                  <c:v>14.599999999999998</c:v>
                </c:pt>
                <c:pt idx="301">
                  <c:v>14.649999999999999</c:v>
                </c:pt>
                <c:pt idx="302">
                  <c:v>14.691666666666698</c:v>
                </c:pt>
                <c:pt idx="303">
                  <c:v>14.783333333333299</c:v>
                </c:pt>
                <c:pt idx="304">
                  <c:v>14.775</c:v>
                </c:pt>
                <c:pt idx="305">
                  <c:v>14.883333333333299</c:v>
                </c:pt>
                <c:pt idx="306">
                  <c:v>14.950000000000001</c:v>
                </c:pt>
                <c:pt idx="307">
                  <c:v>15.008333333333301</c:v>
                </c:pt>
                <c:pt idx="308">
                  <c:v>15.133333333333301</c:v>
                </c:pt>
                <c:pt idx="309">
                  <c:v>15.0416666666667</c:v>
                </c:pt>
                <c:pt idx="310">
                  <c:v>15.133333333333301</c:v>
                </c:pt>
                <c:pt idx="311">
                  <c:v>15.224999999999998</c:v>
                </c:pt>
                <c:pt idx="312">
                  <c:v>15.299999999999999</c:v>
                </c:pt>
                <c:pt idx="313">
                  <c:v>15.241666666666699</c:v>
                </c:pt>
                <c:pt idx="314">
                  <c:v>15.391666666666699</c:v>
                </c:pt>
                <c:pt idx="315">
                  <c:v>15.574999999999999</c:v>
                </c:pt>
                <c:pt idx="316">
                  <c:v>15.483333333333302</c:v>
                </c:pt>
                <c:pt idx="317">
                  <c:v>15.741666666666701</c:v>
                </c:pt>
                <c:pt idx="318">
                  <c:v>15.833333333333298</c:v>
                </c:pt>
                <c:pt idx="319">
                  <c:v>15.925000000000001</c:v>
                </c:pt>
                <c:pt idx="320">
                  <c:v>16.016666666666701</c:v>
                </c:pt>
                <c:pt idx="321">
                  <c:v>16.091666666666701</c:v>
                </c:pt>
                <c:pt idx="322">
                  <c:v>16.183333333333302</c:v>
                </c:pt>
                <c:pt idx="323">
                  <c:v>16.366666666666699</c:v>
                </c:pt>
                <c:pt idx="324">
                  <c:v>16.274999999999999</c:v>
                </c:pt>
                <c:pt idx="325">
                  <c:v>16.533333333333299</c:v>
                </c:pt>
                <c:pt idx="326">
                  <c:v>16.625</c:v>
                </c:pt>
                <c:pt idx="327">
                  <c:v>16.808333333333302</c:v>
                </c:pt>
                <c:pt idx="328">
                  <c:v>16.716666666666697</c:v>
                </c:pt>
                <c:pt idx="329">
                  <c:v>16.974999999999998</c:v>
                </c:pt>
                <c:pt idx="330">
                  <c:v>17.066666666666698</c:v>
                </c:pt>
                <c:pt idx="331">
                  <c:v>17.625</c:v>
                </c:pt>
                <c:pt idx="332">
                  <c:v>17.75</c:v>
                </c:pt>
                <c:pt idx="333">
                  <c:v>17.875</c:v>
                </c:pt>
                <c:pt idx="334">
                  <c:v>17.983333333333299</c:v>
                </c:pt>
                <c:pt idx="335">
                  <c:v>18.108333333333299</c:v>
                </c:pt>
                <c:pt idx="336">
                  <c:v>18.216666666666697</c:v>
                </c:pt>
                <c:pt idx="337">
                  <c:v>18.341666666666701</c:v>
                </c:pt>
                <c:pt idx="338">
                  <c:v>18.466666666666701</c:v>
                </c:pt>
                <c:pt idx="339">
                  <c:v>18.574999999999999</c:v>
                </c:pt>
                <c:pt idx="340">
                  <c:v>18.733333333333299</c:v>
                </c:pt>
                <c:pt idx="341">
                  <c:v>19.2916666666667</c:v>
                </c:pt>
                <c:pt idx="342">
                  <c:v>19.4166666666667</c:v>
                </c:pt>
                <c:pt idx="343">
                  <c:v>19.5416666666667</c:v>
                </c:pt>
                <c:pt idx="344">
                  <c:v>19.649999999999999</c:v>
                </c:pt>
                <c:pt idx="345">
                  <c:v>19.774999999999999</c:v>
                </c:pt>
                <c:pt idx="346">
                  <c:v>19.883333333333297</c:v>
                </c:pt>
                <c:pt idx="347">
                  <c:v>20.008333333333301</c:v>
                </c:pt>
                <c:pt idx="348">
                  <c:v>20.133333333333301</c:v>
                </c:pt>
              </c:numCache>
            </c:numRef>
          </c:val>
          <c:smooth val="0"/>
          <c:extLst>
            <c:ext xmlns:c16="http://schemas.microsoft.com/office/drawing/2014/chart" uri="{C3380CC4-5D6E-409C-BE32-E72D297353CC}">
              <c16:uniqueId val="{00000000-8189-40D7-B55B-E38002BA371C}"/>
            </c:ext>
          </c:extLst>
        </c:ser>
        <c:dLbls>
          <c:showLegendKey val="0"/>
          <c:showVal val="0"/>
          <c:showCatName val="0"/>
          <c:showSerName val="0"/>
          <c:showPercent val="0"/>
          <c:showBubbleSize val="0"/>
        </c:dLbls>
        <c:smooth val="0"/>
        <c:axId val="1025031264"/>
        <c:axId val="1025016288"/>
      </c:lineChart>
      <c:catAx>
        <c:axId val="102503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16288"/>
        <c:crosses val="autoZero"/>
        <c:auto val="1"/>
        <c:lblAlgn val="ctr"/>
        <c:lblOffset val="100"/>
        <c:noMultiLvlLbl val="0"/>
      </c:catAx>
      <c:valAx>
        <c:axId val="1025016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31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Множество_202207112140401240!$W$2:$W$350</c:f>
              <c:numCache>
                <c:formatCode>General</c:formatCode>
                <c:ptCount val="349"/>
                <c:pt idx="0">
                  <c:v>2.8666666666666298</c:v>
                </c:pt>
                <c:pt idx="1">
                  <c:v>2.9749999999999703</c:v>
                </c:pt>
                <c:pt idx="2">
                  <c:v>3.0833333333333011</c:v>
                </c:pt>
                <c:pt idx="3">
                  <c:v>3.17500000000003</c:v>
                </c:pt>
                <c:pt idx="4">
                  <c:v>3.2833333333333705</c:v>
                </c:pt>
                <c:pt idx="5">
                  <c:v>3.375</c:v>
                </c:pt>
                <c:pt idx="6">
                  <c:v>3.4833333333333307</c:v>
                </c:pt>
                <c:pt idx="7">
                  <c:v>3.5916666666666694</c:v>
                </c:pt>
                <c:pt idx="8">
                  <c:v>4.1333333333333</c:v>
                </c:pt>
                <c:pt idx="9">
                  <c:v>4.1333333333333</c:v>
                </c:pt>
                <c:pt idx="10">
                  <c:v>4.2083333333333295</c:v>
                </c:pt>
                <c:pt idx="11">
                  <c:v>4.3416666666666988</c:v>
                </c:pt>
                <c:pt idx="12">
                  <c:v>4.4166666666666305</c:v>
                </c:pt>
                <c:pt idx="13">
                  <c:v>4.4666666666666313</c:v>
                </c:pt>
                <c:pt idx="14">
                  <c:v>4.4833333333332996</c:v>
                </c:pt>
                <c:pt idx="15">
                  <c:v>4.4416666666667002</c:v>
                </c:pt>
                <c:pt idx="16">
                  <c:v>4.5666666666667002</c:v>
                </c:pt>
                <c:pt idx="17">
                  <c:v>4.5416666666666998</c:v>
                </c:pt>
                <c:pt idx="18">
                  <c:v>4.55833333333337</c:v>
                </c:pt>
                <c:pt idx="19">
                  <c:v>4.4916666666666707</c:v>
                </c:pt>
                <c:pt idx="20">
                  <c:v>4.4749999999999703</c:v>
                </c:pt>
                <c:pt idx="21">
                  <c:v>4.5166666666666693</c:v>
                </c:pt>
                <c:pt idx="22">
                  <c:v>4.5500000000000291</c:v>
                </c:pt>
                <c:pt idx="23">
                  <c:v>4.5083333333333302</c:v>
                </c:pt>
                <c:pt idx="24">
                  <c:v>4.69999999999997</c:v>
                </c:pt>
                <c:pt idx="25">
                  <c:v>4.7749999999999995</c:v>
                </c:pt>
                <c:pt idx="26">
                  <c:v>4.8500000000000307</c:v>
                </c:pt>
                <c:pt idx="27">
                  <c:v>4.9833333333333005</c:v>
                </c:pt>
                <c:pt idx="28">
                  <c:v>4.9249999999999705</c:v>
                </c:pt>
                <c:pt idx="29">
                  <c:v>5.05833333333333</c:v>
                </c:pt>
                <c:pt idx="30">
                  <c:v>5.1333333333333693</c:v>
                </c:pt>
                <c:pt idx="31">
                  <c:v>5.2083333333332993</c:v>
                </c:pt>
                <c:pt idx="32">
                  <c:v>5.3416666666666703</c:v>
                </c:pt>
                <c:pt idx="33">
                  <c:v>5.4166666666666998</c:v>
                </c:pt>
                <c:pt idx="34">
                  <c:v>5.4916666666666298</c:v>
                </c:pt>
                <c:pt idx="35">
                  <c:v>5.56666666666667</c:v>
                </c:pt>
                <c:pt idx="36">
                  <c:v>5.7000000000000295</c:v>
                </c:pt>
                <c:pt idx="37">
                  <c:v>5.625</c:v>
                </c:pt>
                <c:pt idx="38">
                  <c:v>5.774999999999971</c:v>
                </c:pt>
                <c:pt idx="39">
                  <c:v>5.8500000000000005</c:v>
                </c:pt>
                <c:pt idx="40">
                  <c:v>5.9833333333333698</c:v>
                </c:pt>
                <c:pt idx="41">
                  <c:v>6.0583333333332998</c:v>
                </c:pt>
                <c:pt idx="42">
                  <c:v>6.1333333333333293</c:v>
                </c:pt>
                <c:pt idx="43">
                  <c:v>6.2083333333333703</c:v>
                </c:pt>
                <c:pt idx="44">
                  <c:v>6.2666666666667004</c:v>
                </c:pt>
                <c:pt idx="45">
                  <c:v>6.3416666666666304</c:v>
                </c:pt>
                <c:pt idx="46">
                  <c:v>6.4166666666666696</c:v>
                </c:pt>
                <c:pt idx="47">
                  <c:v>6.4916666666666991</c:v>
                </c:pt>
                <c:pt idx="48">
                  <c:v>6.6249999999999698</c:v>
                </c:pt>
                <c:pt idx="49">
                  <c:v>6.5666666666666291</c:v>
                </c:pt>
                <c:pt idx="50">
                  <c:v>6.7750000000000306</c:v>
                </c:pt>
                <c:pt idx="51">
                  <c:v>6.7000000000000011</c:v>
                </c:pt>
                <c:pt idx="52">
                  <c:v>6.8499999999999703</c:v>
                </c:pt>
                <c:pt idx="53">
                  <c:v>6.9083333333333004</c:v>
                </c:pt>
                <c:pt idx="54">
                  <c:v>6.9833333333333298</c:v>
                </c:pt>
                <c:pt idx="55">
                  <c:v>7.0583333333333691</c:v>
                </c:pt>
                <c:pt idx="56">
                  <c:v>7.15</c:v>
                </c:pt>
                <c:pt idx="57">
                  <c:v>7.2250000000000298</c:v>
                </c:pt>
                <c:pt idx="58">
                  <c:v>7.2999999999999696</c:v>
                </c:pt>
                <c:pt idx="59">
                  <c:v>7.3916666666667004</c:v>
                </c:pt>
                <c:pt idx="60">
                  <c:v>7.5083333333333284</c:v>
                </c:pt>
                <c:pt idx="61">
                  <c:v>7.4666666666666996</c:v>
                </c:pt>
                <c:pt idx="62">
                  <c:v>7.5416666666666696</c:v>
                </c:pt>
                <c:pt idx="63">
                  <c:v>7.4666666666666304</c:v>
                </c:pt>
                <c:pt idx="64">
                  <c:v>7.6500000000000288</c:v>
                </c:pt>
                <c:pt idx="65">
                  <c:v>7.6083333333333005</c:v>
                </c:pt>
                <c:pt idx="66">
                  <c:v>7.6166666666666991</c:v>
                </c:pt>
                <c:pt idx="67">
                  <c:v>7.7333333333333005</c:v>
                </c:pt>
                <c:pt idx="68">
                  <c:v>7.6916666666666718</c:v>
                </c:pt>
                <c:pt idx="69">
                  <c:v>7.7083333333333304</c:v>
                </c:pt>
                <c:pt idx="70">
                  <c:v>7.8000000000000309</c:v>
                </c:pt>
                <c:pt idx="71">
                  <c:v>7.8166666666666993</c:v>
                </c:pt>
                <c:pt idx="72">
                  <c:v>7.7750000000000004</c:v>
                </c:pt>
                <c:pt idx="73">
                  <c:v>7.8333333333333686</c:v>
                </c:pt>
                <c:pt idx="74">
                  <c:v>7.8916666666666684</c:v>
                </c:pt>
                <c:pt idx="75">
                  <c:v>7.875</c:v>
                </c:pt>
                <c:pt idx="76">
                  <c:v>7.7833333333333705</c:v>
                </c:pt>
                <c:pt idx="77">
                  <c:v>7.80833333333337</c:v>
                </c:pt>
                <c:pt idx="78">
                  <c:v>7.8583333333333005</c:v>
                </c:pt>
                <c:pt idx="79">
                  <c:v>7.93333333333333</c:v>
                </c:pt>
                <c:pt idx="80">
                  <c:v>7.8499999999999694</c:v>
                </c:pt>
                <c:pt idx="81">
                  <c:v>7.8833333333333293</c:v>
                </c:pt>
                <c:pt idx="82">
                  <c:v>7.8416666666666304</c:v>
                </c:pt>
                <c:pt idx="83">
                  <c:v>7.9166666666666297</c:v>
                </c:pt>
                <c:pt idx="84">
                  <c:v>7.8750000000000009</c:v>
                </c:pt>
                <c:pt idx="85">
                  <c:v>8.05833333333333</c:v>
                </c:pt>
                <c:pt idx="86">
                  <c:v>8.0166666666667012</c:v>
                </c:pt>
                <c:pt idx="87">
                  <c:v>7.9583333333333712</c:v>
                </c:pt>
                <c:pt idx="88">
                  <c:v>8.0249999999999702</c:v>
                </c:pt>
                <c:pt idx="89">
                  <c:v>8.1000000000000014</c:v>
                </c:pt>
                <c:pt idx="90">
                  <c:v>8.1416666666667012</c:v>
                </c:pt>
                <c:pt idx="91">
                  <c:v>8.0999999999999694</c:v>
                </c:pt>
                <c:pt idx="92">
                  <c:v>8.2416666666666689</c:v>
                </c:pt>
                <c:pt idx="93">
                  <c:v>8.1750000000000291</c:v>
                </c:pt>
                <c:pt idx="94">
                  <c:v>8.2666666666666693</c:v>
                </c:pt>
                <c:pt idx="95">
                  <c:v>8.3666666666666689</c:v>
                </c:pt>
                <c:pt idx="96">
                  <c:v>8.3250000000000295</c:v>
                </c:pt>
                <c:pt idx="97">
                  <c:v>8.2833333333333012</c:v>
                </c:pt>
                <c:pt idx="98">
                  <c:v>8.3416666666667005</c:v>
                </c:pt>
                <c:pt idx="99">
                  <c:v>8.4166666666666305</c:v>
                </c:pt>
                <c:pt idx="100">
                  <c:v>8.4666666666666313</c:v>
                </c:pt>
                <c:pt idx="101">
                  <c:v>8.4249999999999989</c:v>
                </c:pt>
                <c:pt idx="102">
                  <c:v>8.5083333333333684</c:v>
                </c:pt>
                <c:pt idx="103">
                  <c:v>8.5500000000000007</c:v>
                </c:pt>
                <c:pt idx="104">
                  <c:v>8.4916666666666707</c:v>
                </c:pt>
                <c:pt idx="105">
                  <c:v>8.5833333333333002</c:v>
                </c:pt>
                <c:pt idx="106">
                  <c:v>8.6583333333333314</c:v>
                </c:pt>
                <c:pt idx="107">
                  <c:v>8.6499999999999702</c:v>
                </c:pt>
                <c:pt idx="108">
                  <c:v>8.7749999999999702</c:v>
                </c:pt>
                <c:pt idx="109">
                  <c:v>8.7333333333333307</c:v>
                </c:pt>
                <c:pt idx="110">
                  <c:v>8.6916666666666984</c:v>
                </c:pt>
                <c:pt idx="111">
                  <c:v>8.7333333333333698</c:v>
                </c:pt>
                <c:pt idx="112">
                  <c:v>8.8249999999999993</c:v>
                </c:pt>
                <c:pt idx="113">
                  <c:v>8.8333333333333002</c:v>
                </c:pt>
                <c:pt idx="114">
                  <c:v>8.875000000000032</c:v>
                </c:pt>
                <c:pt idx="115">
                  <c:v>8.9583333333332984</c:v>
                </c:pt>
                <c:pt idx="116">
                  <c:v>8.9749999999999712</c:v>
                </c:pt>
                <c:pt idx="117">
                  <c:v>8.9000000000000288</c:v>
                </c:pt>
                <c:pt idx="118">
                  <c:v>8.9166666666666696</c:v>
                </c:pt>
                <c:pt idx="119">
                  <c:v>9.0000000000000302</c:v>
                </c:pt>
                <c:pt idx="120">
                  <c:v>9.0583333333333709</c:v>
                </c:pt>
                <c:pt idx="121">
                  <c:v>9.0500000000000007</c:v>
                </c:pt>
                <c:pt idx="122">
                  <c:v>9.1416666666666302</c:v>
                </c:pt>
                <c:pt idx="123">
                  <c:v>9.1833333333333691</c:v>
                </c:pt>
                <c:pt idx="124">
                  <c:v>9.1333333333333009</c:v>
                </c:pt>
                <c:pt idx="125">
                  <c:v>9.1</c:v>
                </c:pt>
                <c:pt idx="126">
                  <c:v>9.141666666666632</c:v>
                </c:pt>
                <c:pt idx="127">
                  <c:v>9.2833333333333279</c:v>
                </c:pt>
                <c:pt idx="128">
                  <c:v>9.2166666666666686</c:v>
                </c:pt>
                <c:pt idx="129">
                  <c:v>9.2416666666666991</c:v>
                </c:pt>
                <c:pt idx="130">
                  <c:v>9.2916666666666998</c:v>
                </c:pt>
                <c:pt idx="131">
                  <c:v>9.3500000000000014</c:v>
                </c:pt>
                <c:pt idx="132">
                  <c:v>9.3666666666666316</c:v>
                </c:pt>
                <c:pt idx="133">
                  <c:v>9.3249999999999709</c:v>
                </c:pt>
                <c:pt idx="134">
                  <c:v>9.4583333333333002</c:v>
                </c:pt>
                <c:pt idx="135">
                  <c:v>9.4666666666666313</c:v>
                </c:pt>
                <c:pt idx="136">
                  <c:v>9.3916666666666302</c:v>
                </c:pt>
                <c:pt idx="137">
                  <c:v>9.4333333333333691</c:v>
                </c:pt>
                <c:pt idx="138">
                  <c:v>9.4833333333332988</c:v>
                </c:pt>
                <c:pt idx="139">
                  <c:v>9.4583333333333695</c:v>
                </c:pt>
                <c:pt idx="140">
                  <c:v>9.4416666666667002</c:v>
                </c:pt>
                <c:pt idx="141">
                  <c:v>9.500000000000032</c:v>
                </c:pt>
                <c:pt idx="142">
                  <c:v>9.5583333333333691</c:v>
                </c:pt>
                <c:pt idx="143">
                  <c:v>9.5416666666666696</c:v>
                </c:pt>
                <c:pt idx="144">
                  <c:v>9.5333333333332995</c:v>
                </c:pt>
                <c:pt idx="145">
                  <c:v>9.5416666666666998</c:v>
                </c:pt>
                <c:pt idx="146">
                  <c:v>9.5166666666666693</c:v>
                </c:pt>
                <c:pt idx="147">
                  <c:v>9.5333333333332995</c:v>
                </c:pt>
                <c:pt idx="148">
                  <c:v>9.4749999999999694</c:v>
                </c:pt>
                <c:pt idx="149">
                  <c:v>9.608333333333329</c:v>
                </c:pt>
                <c:pt idx="150">
                  <c:v>9.5083333333333293</c:v>
                </c:pt>
                <c:pt idx="151">
                  <c:v>9.5500000000000291</c:v>
                </c:pt>
                <c:pt idx="152">
                  <c:v>9.5916666666667005</c:v>
                </c:pt>
                <c:pt idx="153">
                  <c:v>9.5833333333333002</c:v>
                </c:pt>
                <c:pt idx="154">
                  <c:v>9.6333333333333009</c:v>
                </c:pt>
                <c:pt idx="155">
                  <c:v>9.7333333333333307</c:v>
                </c:pt>
                <c:pt idx="156">
                  <c:v>9.6916666666667002</c:v>
                </c:pt>
                <c:pt idx="157">
                  <c:v>9.6499999999999702</c:v>
                </c:pt>
                <c:pt idx="158">
                  <c:v>9.6916666666667002</c:v>
                </c:pt>
                <c:pt idx="159">
                  <c:v>9.8000000000000007</c:v>
                </c:pt>
                <c:pt idx="160">
                  <c:v>9.7583333333333684</c:v>
                </c:pt>
                <c:pt idx="161">
                  <c:v>9.75</c:v>
                </c:pt>
                <c:pt idx="162">
                  <c:v>9.8083333333332998</c:v>
                </c:pt>
                <c:pt idx="163">
                  <c:v>9.8666666666666707</c:v>
                </c:pt>
                <c:pt idx="164">
                  <c:v>9.8416666666666295</c:v>
                </c:pt>
                <c:pt idx="165">
                  <c:v>9.9083333333333012</c:v>
                </c:pt>
                <c:pt idx="166">
                  <c:v>9.8500000000000014</c:v>
                </c:pt>
                <c:pt idx="167">
                  <c:v>9.9500000000000295</c:v>
                </c:pt>
                <c:pt idx="168">
                  <c:v>10.025</c:v>
                </c:pt>
                <c:pt idx="169">
                  <c:v>9.9083333333332995</c:v>
                </c:pt>
                <c:pt idx="170">
                  <c:v>10.05833333333333</c:v>
                </c:pt>
                <c:pt idx="171">
                  <c:v>9.9666666666666988</c:v>
                </c:pt>
                <c:pt idx="172">
                  <c:v>10.016666666666701</c:v>
                </c:pt>
                <c:pt idx="173">
                  <c:v>9.9916666666666707</c:v>
                </c:pt>
                <c:pt idx="174">
                  <c:v>10.125</c:v>
                </c:pt>
                <c:pt idx="175">
                  <c:v>10.0666666666667</c:v>
                </c:pt>
                <c:pt idx="176">
                  <c:v>10.099999999999969</c:v>
                </c:pt>
                <c:pt idx="177">
                  <c:v>10.125</c:v>
                </c:pt>
                <c:pt idx="178">
                  <c:v>10.208333333333369</c:v>
                </c:pt>
                <c:pt idx="179">
                  <c:v>10.1833333333333</c:v>
                </c:pt>
                <c:pt idx="180">
                  <c:v>10.166666666666631</c:v>
                </c:pt>
                <c:pt idx="181">
                  <c:v>10.283333333333301</c:v>
                </c:pt>
                <c:pt idx="182">
                  <c:v>10.275000000000031</c:v>
                </c:pt>
                <c:pt idx="183">
                  <c:v>10.225</c:v>
                </c:pt>
                <c:pt idx="184">
                  <c:v>10.25</c:v>
                </c:pt>
                <c:pt idx="185">
                  <c:v>10.358333333333299</c:v>
                </c:pt>
                <c:pt idx="186">
                  <c:v>10.400000000000031</c:v>
                </c:pt>
                <c:pt idx="187">
                  <c:v>10.399999999999999</c:v>
                </c:pt>
                <c:pt idx="188">
                  <c:v>10.341666666666701</c:v>
                </c:pt>
                <c:pt idx="189">
                  <c:v>10.31666666666667</c:v>
                </c:pt>
                <c:pt idx="190">
                  <c:v>10.5</c:v>
                </c:pt>
                <c:pt idx="191">
                  <c:v>10.466666666666701</c:v>
                </c:pt>
                <c:pt idx="192">
                  <c:v>10.4416666666667</c:v>
                </c:pt>
                <c:pt idx="193">
                  <c:v>10.424999999999971</c:v>
                </c:pt>
                <c:pt idx="194">
                  <c:v>10.558333333333302</c:v>
                </c:pt>
                <c:pt idx="195">
                  <c:v>10.558333333333302</c:v>
                </c:pt>
                <c:pt idx="196">
                  <c:v>10.6666666666667</c:v>
                </c:pt>
                <c:pt idx="197">
                  <c:v>10.600000000000003</c:v>
                </c:pt>
                <c:pt idx="198">
                  <c:v>10.658333333333299</c:v>
                </c:pt>
                <c:pt idx="199">
                  <c:v>10.758333333333299</c:v>
                </c:pt>
                <c:pt idx="200">
                  <c:v>10.775000000000002</c:v>
                </c:pt>
                <c:pt idx="201">
                  <c:v>10.716666666666702</c:v>
                </c:pt>
                <c:pt idx="202">
                  <c:v>10.875</c:v>
                </c:pt>
                <c:pt idx="203">
                  <c:v>10.8166666666667</c:v>
                </c:pt>
                <c:pt idx="204">
                  <c:v>10.850000000000001</c:v>
                </c:pt>
                <c:pt idx="205">
                  <c:v>10.9416666666667</c:v>
                </c:pt>
                <c:pt idx="206">
                  <c:v>10.991666666666699</c:v>
                </c:pt>
                <c:pt idx="207">
                  <c:v>10.9333333333333</c:v>
                </c:pt>
                <c:pt idx="208">
                  <c:v>11.033333333333298</c:v>
                </c:pt>
                <c:pt idx="209">
                  <c:v>11.141666666666699</c:v>
                </c:pt>
                <c:pt idx="210">
                  <c:v>11.05</c:v>
                </c:pt>
                <c:pt idx="211">
                  <c:v>11.091666666666701</c:v>
                </c:pt>
                <c:pt idx="212">
                  <c:v>11.15</c:v>
                </c:pt>
                <c:pt idx="213">
                  <c:v>11.191666666666702</c:v>
                </c:pt>
                <c:pt idx="214">
                  <c:v>11.249999999999998</c:v>
                </c:pt>
                <c:pt idx="215">
                  <c:v>11.233333333333301</c:v>
                </c:pt>
                <c:pt idx="216">
                  <c:v>11.325000000000001</c:v>
                </c:pt>
                <c:pt idx="217">
                  <c:v>11.383333333333297</c:v>
                </c:pt>
                <c:pt idx="218">
                  <c:v>11.308333333333302</c:v>
                </c:pt>
                <c:pt idx="219">
                  <c:v>11.4416666666667</c:v>
                </c:pt>
                <c:pt idx="220">
                  <c:v>11.4333333333333</c:v>
                </c:pt>
                <c:pt idx="221">
                  <c:v>11.524999999999999</c:v>
                </c:pt>
                <c:pt idx="222">
                  <c:v>11.558333333333302</c:v>
                </c:pt>
                <c:pt idx="223">
                  <c:v>11.5</c:v>
                </c:pt>
                <c:pt idx="224">
                  <c:v>11.616666666666701</c:v>
                </c:pt>
                <c:pt idx="225">
                  <c:v>11.6916666666667</c:v>
                </c:pt>
                <c:pt idx="226">
                  <c:v>11.633333333333297</c:v>
                </c:pt>
                <c:pt idx="227">
                  <c:v>11.75</c:v>
                </c:pt>
                <c:pt idx="228">
                  <c:v>11.725</c:v>
                </c:pt>
                <c:pt idx="229">
                  <c:v>11.808333333333303</c:v>
                </c:pt>
                <c:pt idx="230">
                  <c:v>11.8166666666667</c:v>
                </c:pt>
                <c:pt idx="231">
                  <c:v>11.941666666666702</c:v>
                </c:pt>
                <c:pt idx="232">
                  <c:v>11.866666666666699</c:v>
                </c:pt>
                <c:pt idx="233">
                  <c:v>12</c:v>
                </c:pt>
                <c:pt idx="234">
                  <c:v>11.908333333333299</c:v>
                </c:pt>
                <c:pt idx="235">
                  <c:v>11.999999999999996</c:v>
                </c:pt>
                <c:pt idx="236">
                  <c:v>12.0583333333333</c:v>
                </c:pt>
                <c:pt idx="237">
                  <c:v>12.116666666666699</c:v>
                </c:pt>
                <c:pt idx="238">
                  <c:v>12.2</c:v>
                </c:pt>
                <c:pt idx="239">
                  <c:v>12.108333333333301</c:v>
                </c:pt>
                <c:pt idx="240">
                  <c:v>12.25</c:v>
                </c:pt>
                <c:pt idx="241">
                  <c:v>12.366666666666699</c:v>
                </c:pt>
                <c:pt idx="242">
                  <c:v>12.2916666666667</c:v>
                </c:pt>
                <c:pt idx="243">
                  <c:v>12.308333333333302</c:v>
                </c:pt>
                <c:pt idx="244">
                  <c:v>12.5</c:v>
                </c:pt>
                <c:pt idx="245">
                  <c:v>12.424999999999999</c:v>
                </c:pt>
                <c:pt idx="246">
                  <c:v>12.400000000000004</c:v>
                </c:pt>
                <c:pt idx="247">
                  <c:v>12.491666666666699</c:v>
                </c:pt>
                <c:pt idx="248">
                  <c:v>12.5583333333333</c:v>
                </c:pt>
                <c:pt idx="249">
                  <c:v>12.583333333333302</c:v>
                </c:pt>
                <c:pt idx="250">
                  <c:v>12.675000000000001</c:v>
                </c:pt>
                <c:pt idx="251">
                  <c:v>12.616666666666701</c:v>
                </c:pt>
                <c:pt idx="252">
                  <c:v>12.675000000000001</c:v>
                </c:pt>
                <c:pt idx="253">
                  <c:v>12.8083333333333</c:v>
                </c:pt>
                <c:pt idx="254">
                  <c:v>12.783333333333301</c:v>
                </c:pt>
                <c:pt idx="255">
                  <c:v>12.875</c:v>
                </c:pt>
                <c:pt idx="256">
                  <c:v>12.925000000000001</c:v>
                </c:pt>
                <c:pt idx="257">
                  <c:v>12.866666666666699</c:v>
                </c:pt>
                <c:pt idx="258">
                  <c:v>12.966666666666701</c:v>
                </c:pt>
                <c:pt idx="259">
                  <c:v>12.983333333333301</c:v>
                </c:pt>
                <c:pt idx="260">
                  <c:v>13.058333333333298</c:v>
                </c:pt>
                <c:pt idx="261">
                  <c:v>13.116666666666701</c:v>
                </c:pt>
                <c:pt idx="262">
                  <c:v>13.0583333333333</c:v>
                </c:pt>
                <c:pt idx="263">
                  <c:v>13.166666666666696</c:v>
                </c:pt>
                <c:pt idx="264">
                  <c:v>13.174999999999999</c:v>
                </c:pt>
                <c:pt idx="265">
                  <c:v>13.233333333333301</c:v>
                </c:pt>
                <c:pt idx="266">
                  <c:v>13.375</c:v>
                </c:pt>
                <c:pt idx="267">
                  <c:v>13.366666666666699</c:v>
                </c:pt>
                <c:pt idx="268">
                  <c:v>13.324999999999999</c:v>
                </c:pt>
                <c:pt idx="269">
                  <c:v>13.258333333333301</c:v>
                </c:pt>
                <c:pt idx="270">
                  <c:v>13.350000000000001</c:v>
                </c:pt>
                <c:pt idx="271">
                  <c:v>13.350000000000001</c:v>
                </c:pt>
                <c:pt idx="272">
                  <c:v>13.425000000000001</c:v>
                </c:pt>
                <c:pt idx="273">
                  <c:v>13.4166666666667</c:v>
                </c:pt>
                <c:pt idx="274">
                  <c:v>13.483333333333301</c:v>
                </c:pt>
                <c:pt idx="275">
                  <c:v>13.533333333333299</c:v>
                </c:pt>
                <c:pt idx="276">
                  <c:v>13.549999999999997</c:v>
                </c:pt>
                <c:pt idx="277">
                  <c:v>13.4416666666667</c:v>
                </c:pt>
                <c:pt idx="278">
                  <c:v>13.458333333333304</c:v>
                </c:pt>
                <c:pt idx="279">
                  <c:v>13.5416666666667</c:v>
                </c:pt>
                <c:pt idx="280">
                  <c:v>13.483333333333301</c:v>
                </c:pt>
                <c:pt idx="281">
                  <c:v>13.508333333333301</c:v>
                </c:pt>
                <c:pt idx="282">
                  <c:v>13.574999999999999</c:v>
                </c:pt>
                <c:pt idx="283">
                  <c:v>13.674999999999999</c:v>
                </c:pt>
                <c:pt idx="284">
                  <c:v>13.641666666666701</c:v>
                </c:pt>
                <c:pt idx="285">
                  <c:v>13.716666666666697</c:v>
                </c:pt>
                <c:pt idx="286">
                  <c:v>13.733333333333301</c:v>
                </c:pt>
                <c:pt idx="287">
                  <c:v>13.733333333333301</c:v>
                </c:pt>
                <c:pt idx="288">
                  <c:v>13.808333333333302</c:v>
                </c:pt>
                <c:pt idx="289">
                  <c:v>13.991666666666703</c:v>
                </c:pt>
                <c:pt idx="290">
                  <c:v>13.899999999999999</c:v>
                </c:pt>
                <c:pt idx="291">
                  <c:v>14.066666666666698</c:v>
                </c:pt>
                <c:pt idx="292">
                  <c:v>14.158333333333299</c:v>
                </c:pt>
                <c:pt idx="293">
                  <c:v>14.2916666666667</c:v>
                </c:pt>
                <c:pt idx="294">
                  <c:v>14.25</c:v>
                </c:pt>
                <c:pt idx="295">
                  <c:v>14.341666666666704</c:v>
                </c:pt>
                <c:pt idx="296">
                  <c:v>14.4166666666667</c:v>
                </c:pt>
                <c:pt idx="297">
                  <c:v>14.433333333333298</c:v>
                </c:pt>
                <c:pt idx="298">
                  <c:v>14.508333333333301</c:v>
                </c:pt>
                <c:pt idx="299">
                  <c:v>14.5416666666667</c:v>
                </c:pt>
                <c:pt idx="300">
                  <c:v>14.599999999999998</c:v>
                </c:pt>
                <c:pt idx="301">
                  <c:v>14.649999999999999</c:v>
                </c:pt>
                <c:pt idx="302">
                  <c:v>14.691666666666698</c:v>
                </c:pt>
                <c:pt idx="303">
                  <c:v>14.783333333333299</c:v>
                </c:pt>
                <c:pt idx="304">
                  <c:v>14.775</c:v>
                </c:pt>
                <c:pt idx="305">
                  <c:v>14.883333333333299</c:v>
                </c:pt>
                <c:pt idx="306">
                  <c:v>14.950000000000001</c:v>
                </c:pt>
                <c:pt idx="307">
                  <c:v>15.008333333333301</c:v>
                </c:pt>
                <c:pt idx="308">
                  <c:v>15.133333333333301</c:v>
                </c:pt>
                <c:pt idx="309">
                  <c:v>15.0416666666667</c:v>
                </c:pt>
                <c:pt idx="310">
                  <c:v>15.133333333333301</c:v>
                </c:pt>
                <c:pt idx="311">
                  <c:v>15.224999999999998</c:v>
                </c:pt>
                <c:pt idx="312">
                  <c:v>15.299999999999999</c:v>
                </c:pt>
                <c:pt idx="313">
                  <c:v>15.241666666666699</c:v>
                </c:pt>
                <c:pt idx="314">
                  <c:v>15.391666666666699</c:v>
                </c:pt>
                <c:pt idx="315">
                  <c:v>15.574999999999999</c:v>
                </c:pt>
                <c:pt idx="316">
                  <c:v>15.483333333333302</c:v>
                </c:pt>
                <c:pt idx="317">
                  <c:v>15.741666666666701</c:v>
                </c:pt>
                <c:pt idx="318">
                  <c:v>15.833333333333298</c:v>
                </c:pt>
                <c:pt idx="319">
                  <c:v>15.925000000000001</c:v>
                </c:pt>
                <c:pt idx="320">
                  <c:v>16.016666666666701</c:v>
                </c:pt>
                <c:pt idx="321">
                  <c:v>16.091666666666701</c:v>
                </c:pt>
                <c:pt idx="322">
                  <c:v>16.183333333333302</c:v>
                </c:pt>
                <c:pt idx="323">
                  <c:v>16.366666666666699</c:v>
                </c:pt>
                <c:pt idx="324">
                  <c:v>16.274999999999999</c:v>
                </c:pt>
                <c:pt idx="325">
                  <c:v>16.533333333333299</c:v>
                </c:pt>
                <c:pt idx="326">
                  <c:v>16.625</c:v>
                </c:pt>
                <c:pt idx="327">
                  <c:v>16.808333333333302</c:v>
                </c:pt>
                <c:pt idx="328">
                  <c:v>16.716666666666697</c:v>
                </c:pt>
                <c:pt idx="329">
                  <c:v>16.974999999999998</c:v>
                </c:pt>
                <c:pt idx="330">
                  <c:v>17.066666666666698</c:v>
                </c:pt>
                <c:pt idx="331">
                  <c:v>17.625</c:v>
                </c:pt>
                <c:pt idx="332">
                  <c:v>17.75</c:v>
                </c:pt>
                <c:pt idx="333">
                  <c:v>17.875</c:v>
                </c:pt>
                <c:pt idx="334">
                  <c:v>17.983333333333299</c:v>
                </c:pt>
                <c:pt idx="335">
                  <c:v>18.108333333333299</c:v>
                </c:pt>
                <c:pt idx="336">
                  <c:v>18.216666666666697</c:v>
                </c:pt>
                <c:pt idx="337">
                  <c:v>18.341666666666701</c:v>
                </c:pt>
                <c:pt idx="338">
                  <c:v>18.466666666666701</c:v>
                </c:pt>
                <c:pt idx="339">
                  <c:v>18.574999999999999</c:v>
                </c:pt>
                <c:pt idx="340">
                  <c:v>18.733333333333299</c:v>
                </c:pt>
                <c:pt idx="341">
                  <c:v>19.2916666666667</c:v>
                </c:pt>
                <c:pt idx="342">
                  <c:v>19.4166666666667</c:v>
                </c:pt>
                <c:pt idx="343">
                  <c:v>19.5416666666667</c:v>
                </c:pt>
                <c:pt idx="344">
                  <c:v>19.649999999999999</c:v>
                </c:pt>
                <c:pt idx="345">
                  <c:v>19.774999999999999</c:v>
                </c:pt>
                <c:pt idx="346">
                  <c:v>19.883333333333297</c:v>
                </c:pt>
                <c:pt idx="347">
                  <c:v>20.008333333333301</c:v>
                </c:pt>
                <c:pt idx="348">
                  <c:v>20.133333333333301</c:v>
                </c:pt>
              </c:numCache>
            </c:numRef>
          </c:val>
          <c:smooth val="0"/>
          <c:extLst>
            <c:ext xmlns:c16="http://schemas.microsoft.com/office/drawing/2014/chart" uri="{C3380CC4-5D6E-409C-BE32-E72D297353CC}">
              <c16:uniqueId val="{00000000-2667-415B-95C0-DFE8558C69E7}"/>
            </c:ext>
          </c:extLst>
        </c:ser>
        <c:dLbls>
          <c:showLegendKey val="0"/>
          <c:showVal val="0"/>
          <c:showCatName val="0"/>
          <c:showSerName val="0"/>
          <c:showPercent val="0"/>
          <c:showBubbleSize val="0"/>
        </c:dLbls>
        <c:smooth val="0"/>
        <c:axId val="1025023360"/>
        <c:axId val="1025020032"/>
      </c:lineChart>
      <c:catAx>
        <c:axId val="102502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20032"/>
        <c:crosses val="autoZero"/>
        <c:auto val="1"/>
        <c:lblAlgn val="ctr"/>
        <c:lblOffset val="100"/>
        <c:noMultiLvlLbl val="0"/>
      </c:catAx>
      <c:valAx>
        <c:axId val="102502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23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51</xdr:col>
      <xdr:colOff>129540</xdr:colOff>
      <xdr:row>8</xdr:row>
      <xdr:rowOff>38100</xdr:rowOff>
    </xdr:from>
    <xdr:to>
      <xdr:col>53</xdr:col>
      <xdr:colOff>525780</xdr:colOff>
      <xdr:row>10</xdr:row>
      <xdr:rowOff>144780</xdr:rowOff>
    </xdr:to>
    <xdr:sp macro="[0]!sensitivity2" textlink="">
      <xdr:nvSpPr>
        <xdr:cNvPr id="2" name="Скругленный прямоугольник 1">
          <a:extLst>
            <a:ext uri="{FF2B5EF4-FFF2-40B4-BE49-F238E27FC236}">
              <a16:creationId xmlns:a16="http://schemas.microsoft.com/office/drawing/2014/main" id="{00000000-0008-0000-0200-000002000000}"/>
            </a:ext>
          </a:extLst>
        </xdr:cNvPr>
        <xdr:cNvSpPr/>
      </xdr:nvSpPr>
      <xdr:spPr>
        <a:xfrm>
          <a:off x="8397240" y="38100"/>
          <a:ext cx="2034540" cy="497205"/>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Начать</a:t>
          </a:r>
          <a:r>
            <a:rPr lang="ru-RU" sz="1100" b="1" baseline="0">
              <a:latin typeface="Cambria" panose="02040503050406030204" pitchFamily="18" charset="0"/>
            </a:rPr>
            <a:t> анализ и построение</a:t>
          </a:r>
          <a:endParaRPr lang="ru-RU" sz="1100" b="1">
            <a:latin typeface="Cambria" panose="020405030504060302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99646</xdr:colOff>
      <xdr:row>7</xdr:row>
      <xdr:rowOff>29308</xdr:rowOff>
    </xdr:from>
    <xdr:to>
      <xdr:col>22</xdr:col>
      <xdr:colOff>568569</xdr:colOff>
      <xdr:row>8</xdr:row>
      <xdr:rowOff>158261</xdr:rowOff>
    </xdr:to>
    <xdr:sp macro="[0]!sensitivity" textlink="">
      <xdr:nvSpPr>
        <xdr:cNvPr id="2" name="Скругленный прямоугольник 1">
          <a:extLst>
            <a:ext uri="{FF2B5EF4-FFF2-40B4-BE49-F238E27FC236}">
              <a16:creationId xmlns:a16="http://schemas.microsoft.com/office/drawing/2014/main" id="{00000000-0008-0000-0300-000002000000}"/>
            </a:ext>
          </a:extLst>
        </xdr:cNvPr>
        <xdr:cNvSpPr/>
      </xdr:nvSpPr>
      <xdr:spPr>
        <a:xfrm>
          <a:off x="6183923" y="29308"/>
          <a:ext cx="1688123" cy="310661"/>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Провести анализ</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51</xdr:col>
      <xdr:colOff>129540</xdr:colOff>
      <xdr:row>8</xdr:row>
      <xdr:rowOff>38100</xdr:rowOff>
    </xdr:from>
    <xdr:to>
      <xdr:col>53</xdr:col>
      <xdr:colOff>525780</xdr:colOff>
      <xdr:row>10</xdr:row>
      <xdr:rowOff>144780</xdr:rowOff>
    </xdr:to>
    <xdr:sp macro="[0]!sensitivity2" textlink="">
      <xdr:nvSpPr>
        <xdr:cNvPr id="2" name="Скругленный прямоугольник 1">
          <a:extLst>
            <a:ext uri="{FF2B5EF4-FFF2-40B4-BE49-F238E27FC236}">
              <a16:creationId xmlns:a16="http://schemas.microsoft.com/office/drawing/2014/main" id="{00000000-0008-0000-0800-000002000000}"/>
            </a:ext>
          </a:extLst>
        </xdr:cNvPr>
        <xdr:cNvSpPr/>
      </xdr:nvSpPr>
      <xdr:spPr>
        <a:xfrm>
          <a:off x="6949440" y="38100"/>
          <a:ext cx="2072640" cy="480060"/>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Начать</a:t>
          </a:r>
          <a:r>
            <a:rPr lang="ru-RU" sz="1100" b="1" baseline="0">
              <a:latin typeface="Cambria" panose="02040503050406030204" pitchFamily="18" charset="0"/>
            </a:rPr>
            <a:t> анализ и построение</a:t>
          </a:r>
          <a:endParaRPr lang="ru-RU" sz="1100" b="1">
            <a:latin typeface="Cambria" panose="020405030504060302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28</xdr:col>
      <xdr:colOff>175261</xdr:colOff>
      <xdr:row>8</xdr:row>
      <xdr:rowOff>68580</xdr:rowOff>
    </xdr:from>
    <xdr:to>
      <xdr:col>31</xdr:col>
      <xdr:colOff>419101</xdr:colOff>
      <xdr:row>10</xdr:row>
      <xdr:rowOff>7033</xdr:rowOff>
    </xdr:to>
    <xdr:sp macro="[0]!setcalculation" textlink="">
      <xdr:nvSpPr>
        <xdr:cNvPr id="2" name="Скругленный прямоугольник 1">
          <a:extLst>
            <a:ext uri="{FF2B5EF4-FFF2-40B4-BE49-F238E27FC236}">
              <a16:creationId xmlns:a16="http://schemas.microsoft.com/office/drawing/2014/main" id="{00000000-0008-0000-0400-000002000000}"/>
            </a:ext>
          </a:extLst>
        </xdr:cNvPr>
        <xdr:cNvSpPr/>
      </xdr:nvSpPr>
      <xdr:spPr>
        <a:xfrm>
          <a:off x="3825241" y="1539240"/>
          <a:ext cx="2072640" cy="311833"/>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Прочсчитать</a:t>
          </a:r>
          <a:r>
            <a:rPr lang="ru-RU" sz="1100" b="1" baseline="0">
              <a:latin typeface="Cambria" panose="02040503050406030204" pitchFamily="18" charset="0"/>
            </a:rPr>
            <a:t> множество</a:t>
          </a:r>
          <a:endParaRPr lang="ru-RU" sz="1100" b="1">
            <a:latin typeface="Cambria" panose="020405030504060302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30</xdr:col>
      <xdr:colOff>51445</xdr:colOff>
      <xdr:row>5</xdr:row>
      <xdr:rowOff>184388</xdr:rowOff>
    </xdr:from>
    <xdr:to>
      <xdr:col>43</xdr:col>
      <xdr:colOff>495096</xdr:colOff>
      <xdr:row>31</xdr:row>
      <xdr:rowOff>82414</xdr:rowOff>
    </xdr:to>
    <xdr:graphicFrame macro="">
      <xdr:nvGraphicFramePr>
        <xdr:cNvPr id="2" name="Диаграмма 1">
          <a:extLst>
            <a:ext uri="{FF2B5EF4-FFF2-40B4-BE49-F238E27FC236}">
              <a16:creationId xmlns:a16="http://schemas.microsoft.com/office/drawing/2014/main" id="{E57EE0E6-3661-CAB7-1008-61E065A994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92353</xdr:colOff>
      <xdr:row>334</xdr:row>
      <xdr:rowOff>37443</xdr:rowOff>
    </xdr:from>
    <xdr:to>
      <xdr:col>21</xdr:col>
      <xdr:colOff>405344</xdr:colOff>
      <xdr:row>348</xdr:row>
      <xdr:rowOff>113643</xdr:rowOff>
    </xdr:to>
    <xdr:graphicFrame macro="">
      <xdr:nvGraphicFramePr>
        <xdr:cNvPr id="3" name="Диаграмма 2">
          <a:extLst>
            <a:ext uri="{FF2B5EF4-FFF2-40B4-BE49-F238E27FC236}">
              <a16:creationId xmlns:a16="http://schemas.microsoft.com/office/drawing/2014/main" id="{8C3C7955-AD42-55EA-1A95-D180E337ED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14</xdr:col>
      <xdr:colOff>76706</xdr:colOff>
      <xdr:row>24</xdr:row>
      <xdr:rowOff>241813</xdr:rowOff>
    </xdr:from>
    <xdr:to>
      <xdr:col>14</xdr:col>
      <xdr:colOff>82073</xdr:colOff>
      <xdr:row>28</xdr:row>
      <xdr:rowOff>83510</xdr:rowOff>
    </xdr:to>
    <xdr:cxnSp macro="">
      <xdr:nvCxnSpPr>
        <xdr:cNvPr id="2" name="Прямая со стрелкой 1">
          <a:extLst>
            <a:ext uri="{FF2B5EF4-FFF2-40B4-BE49-F238E27FC236}">
              <a16:creationId xmlns:a16="http://schemas.microsoft.com/office/drawing/2014/main" id="{00000000-0008-0000-0100-000002000000}"/>
            </a:ext>
          </a:extLst>
        </xdr:cNvPr>
        <xdr:cNvCxnSpPr/>
      </xdr:nvCxnSpPr>
      <xdr:spPr>
        <a:xfrm flipV="1">
          <a:off x="4458206" y="7099813"/>
          <a:ext cx="5367" cy="98469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10</xdr:col>
      <xdr:colOff>304004</xdr:colOff>
      <xdr:row>28</xdr:row>
      <xdr:rowOff>73304</xdr:rowOff>
    </xdr:from>
    <xdr:to>
      <xdr:col>14</xdr:col>
      <xdr:colOff>82265</xdr:colOff>
      <xdr:row>28</xdr:row>
      <xdr:rowOff>78672</xdr:rowOff>
    </xdr:to>
    <xdr:cxnSp macro="">
      <xdr:nvCxnSpPr>
        <xdr:cNvPr id="3" name="Прямая со стрелкой 2">
          <a:extLst>
            <a:ext uri="{FF2B5EF4-FFF2-40B4-BE49-F238E27FC236}">
              <a16:creationId xmlns:a16="http://schemas.microsoft.com/office/drawing/2014/main" id="{00000000-0008-0000-0100-000003000000}"/>
            </a:ext>
          </a:extLst>
        </xdr:cNvPr>
        <xdr:cNvCxnSpPr/>
      </xdr:nvCxnSpPr>
      <xdr:spPr>
        <a:xfrm flipH="1">
          <a:off x="3433647" y="8074304"/>
          <a:ext cx="1030118" cy="5368"/>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193185</xdr:colOff>
      <xdr:row>25</xdr:row>
      <xdr:rowOff>45615</xdr:rowOff>
    </xdr:from>
    <xdr:to>
      <xdr:col>15</xdr:col>
      <xdr:colOff>265628</xdr:colOff>
      <xdr:row>28</xdr:row>
      <xdr:rowOff>75129</xdr:rowOff>
    </xdr:to>
    <xdr:sp macro="" textlink="">
      <xdr:nvSpPr>
        <xdr:cNvPr id="4" name="Прямоугольник 3">
          <a:extLst>
            <a:ext uri="{FF2B5EF4-FFF2-40B4-BE49-F238E27FC236}">
              <a16:creationId xmlns:a16="http://schemas.microsoft.com/office/drawing/2014/main" id="{00000000-0008-0000-0100-000004000000}"/>
            </a:ext>
          </a:extLst>
        </xdr:cNvPr>
        <xdr:cNvSpPr/>
      </xdr:nvSpPr>
      <xdr:spPr>
        <a:xfrm rot="16200000">
          <a:off x="4343737" y="2581613"/>
          <a:ext cx="886764" cy="3867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Верхний критерий</a:t>
          </a:r>
        </a:p>
      </xdr:txBody>
    </xdr:sp>
    <xdr:clientData/>
  </xdr:twoCellAnchor>
  <xdr:twoCellAnchor>
    <xdr:from>
      <xdr:col>11</xdr:col>
      <xdr:colOff>125572</xdr:colOff>
      <xdr:row>28</xdr:row>
      <xdr:rowOff>157768</xdr:rowOff>
    </xdr:from>
    <xdr:to>
      <xdr:col>14</xdr:col>
      <xdr:colOff>74594</xdr:colOff>
      <xdr:row>29</xdr:row>
      <xdr:rowOff>257042</xdr:rowOff>
    </xdr:to>
    <xdr:sp macro="" textlink="">
      <xdr:nvSpPr>
        <xdr:cNvPr id="5" name="Прямоугольник 4">
          <a:extLst>
            <a:ext uri="{FF2B5EF4-FFF2-40B4-BE49-F238E27FC236}">
              <a16:creationId xmlns:a16="http://schemas.microsoft.com/office/drawing/2014/main" id="{00000000-0008-0000-0100-000005000000}"/>
            </a:ext>
          </a:extLst>
        </xdr:cNvPr>
        <xdr:cNvSpPr/>
      </xdr:nvSpPr>
      <xdr:spPr>
        <a:xfrm>
          <a:off x="3583147" y="3301018"/>
          <a:ext cx="891997" cy="3850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Нижний критерий</a:t>
          </a:r>
        </a:p>
      </xdr:txBody>
    </xdr:sp>
    <xdr:clientData/>
  </xdr:twoCellAnchor>
  <xdr:twoCellAnchor>
    <xdr:from>
      <xdr:col>17</xdr:col>
      <xdr:colOff>38102</xdr:colOff>
      <xdr:row>28</xdr:row>
      <xdr:rowOff>21772</xdr:rowOff>
    </xdr:from>
    <xdr:to>
      <xdr:col>17</xdr:col>
      <xdr:colOff>239490</xdr:colOff>
      <xdr:row>29</xdr:row>
      <xdr:rowOff>266700</xdr:rowOff>
    </xdr:to>
    <xdr:cxnSp macro="">
      <xdr:nvCxnSpPr>
        <xdr:cNvPr id="6" name="Скругленная соединительная линия 5">
          <a:extLst>
            <a:ext uri="{FF2B5EF4-FFF2-40B4-BE49-F238E27FC236}">
              <a16:creationId xmlns:a16="http://schemas.microsoft.com/office/drawing/2014/main" id="{00000000-0008-0000-0100-000006000000}"/>
            </a:ext>
          </a:extLst>
        </xdr:cNvPr>
        <xdr:cNvCxnSpPr/>
      </xdr:nvCxnSpPr>
      <xdr:spPr>
        <a:xfrm rot="16200000" flipV="1">
          <a:off x="5378907" y="3329667"/>
          <a:ext cx="530678" cy="201388"/>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19</xdr:col>
      <xdr:colOff>70756</xdr:colOff>
      <xdr:row>28</xdr:row>
      <xdr:rowOff>10888</xdr:rowOff>
    </xdr:from>
    <xdr:to>
      <xdr:col>19</xdr:col>
      <xdr:colOff>152399</xdr:colOff>
      <xdr:row>29</xdr:row>
      <xdr:rowOff>277587</xdr:rowOff>
    </xdr:to>
    <xdr:cxnSp macro="">
      <xdr:nvCxnSpPr>
        <xdr:cNvPr id="7" name="Скругленная соединительная линия 6">
          <a:extLst>
            <a:ext uri="{FF2B5EF4-FFF2-40B4-BE49-F238E27FC236}">
              <a16:creationId xmlns:a16="http://schemas.microsoft.com/office/drawing/2014/main" id="{00000000-0008-0000-0100-000007000000}"/>
            </a:ext>
          </a:extLst>
        </xdr:cNvPr>
        <xdr:cNvCxnSpPr/>
      </xdr:nvCxnSpPr>
      <xdr:spPr>
        <a:xfrm rot="5400000" flipH="1" flipV="1">
          <a:off x="5969453" y="3389541"/>
          <a:ext cx="552449" cy="81643"/>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20</xdr:col>
      <xdr:colOff>16328</xdr:colOff>
      <xdr:row>28</xdr:row>
      <xdr:rowOff>5448</xdr:rowOff>
    </xdr:from>
    <xdr:to>
      <xdr:col>20</xdr:col>
      <xdr:colOff>223155</xdr:colOff>
      <xdr:row>37</xdr:row>
      <xdr:rowOff>168729</xdr:rowOff>
    </xdr:to>
    <xdr:cxnSp macro="">
      <xdr:nvCxnSpPr>
        <xdr:cNvPr id="8" name="Скругленная соединительная линия 7">
          <a:extLst>
            <a:ext uri="{FF2B5EF4-FFF2-40B4-BE49-F238E27FC236}">
              <a16:creationId xmlns:a16="http://schemas.microsoft.com/office/drawing/2014/main" id="{00000000-0008-0000-0100-000008000000}"/>
            </a:ext>
          </a:extLst>
        </xdr:cNvPr>
        <xdr:cNvCxnSpPr/>
      </xdr:nvCxnSpPr>
      <xdr:spPr>
        <a:xfrm rot="5400000" flipH="1" flipV="1">
          <a:off x="5200651" y="4412800"/>
          <a:ext cx="2735031" cy="206827"/>
        </a:xfrm>
        <a:prstGeom prst="curvedConnector3">
          <a:avLst>
            <a:gd name="adj1" fmla="val -99"/>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8285</xdr:colOff>
      <xdr:row>21</xdr:row>
      <xdr:rowOff>173935</xdr:rowOff>
    </xdr:from>
    <xdr:to>
      <xdr:col>16</xdr:col>
      <xdr:colOff>0</xdr:colOff>
      <xdr:row>26</xdr:row>
      <xdr:rowOff>140806</xdr:rowOff>
    </xdr:to>
    <xdr:cxnSp macro="">
      <xdr:nvCxnSpPr>
        <xdr:cNvPr id="9" name="Скругленная соединительная линия 8">
          <a:extLst>
            <a:ext uri="{FF2B5EF4-FFF2-40B4-BE49-F238E27FC236}">
              <a16:creationId xmlns:a16="http://schemas.microsoft.com/office/drawing/2014/main" id="{00000000-0008-0000-0100-000009000000}"/>
            </a:ext>
          </a:extLst>
        </xdr:cNvPr>
        <xdr:cNvCxnSpPr/>
      </xdr:nvCxnSpPr>
      <xdr:spPr>
        <a:xfrm rot="10800000" flipV="1">
          <a:off x="2522885" y="1316935"/>
          <a:ext cx="2668240" cy="1395621"/>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6</xdr:col>
      <xdr:colOff>281609</xdr:colOff>
      <xdr:row>21</xdr:row>
      <xdr:rowOff>289890</xdr:rowOff>
    </xdr:from>
    <xdr:to>
      <xdr:col>7</xdr:col>
      <xdr:colOff>182217</xdr:colOff>
      <xdr:row>25</xdr:row>
      <xdr:rowOff>33130</xdr:rowOff>
    </xdr:to>
    <xdr:cxnSp macro="">
      <xdr:nvCxnSpPr>
        <xdr:cNvPr id="10" name="Скругленная соединительная линия 9">
          <a:extLst>
            <a:ext uri="{FF2B5EF4-FFF2-40B4-BE49-F238E27FC236}">
              <a16:creationId xmlns:a16="http://schemas.microsoft.com/office/drawing/2014/main" id="{00000000-0008-0000-0100-00000A000000}"/>
            </a:ext>
          </a:extLst>
        </xdr:cNvPr>
        <xdr:cNvCxnSpPr/>
      </xdr:nvCxnSpPr>
      <xdr:spPr>
        <a:xfrm rot="16200000" flipH="1">
          <a:off x="1831906" y="1768543"/>
          <a:ext cx="886240" cy="214933"/>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7</xdr:col>
      <xdr:colOff>151542</xdr:colOff>
      <xdr:row>28</xdr:row>
      <xdr:rowOff>2170</xdr:rowOff>
    </xdr:from>
    <xdr:to>
      <xdr:col>7</xdr:col>
      <xdr:colOff>157655</xdr:colOff>
      <xdr:row>30</xdr:row>
      <xdr:rowOff>275897</xdr:rowOff>
    </xdr:to>
    <xdr:cxnSp macro="">
      <xdr:nvCxnSpPr>
        <xdr:cNvPr id="11" name="Скругленная соединительная линия 10">
          <a:extLst>
            <a:ext uri="{FF2B5EF4-FFF2-40B4-BE49-F238E27FC236}">
              <a16:creationId xmlns:a16="http://schemas.microsoft.com/office/drawing/2014/main" id="{00000000-0008-0000-0100-00000B000000}"/>
            </a:ext>
          </a:extLst>
        </xdr:cNvPr>
        <xdr:cNvCxnSpPr/>
      </xdr:nvCxnSpPr>
      <xdr:spPr>
        <a:xfrm rot="16200000" flipH="1">
          <a:off x="1932260" y="3564977"/>
          <a:ext cx="845227" cy="6113"/>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26276</xdr:colOff>
      <xdr:row>26</xdr:row>
      <xdr:rowOff>175248</xdr:rowOff>
    </xdr:from>
    <xdr:to>
      <xdr:col>20</xdr:col>
      <xdr:colOff>14454</xdr:colOff>
      <xdr:row>32</xdr:row>
      <xdr:rowOff>170793</xdr:rowOff>
    </xdr:to>
    <xdr:cxnSp macro="">
      <xdr:nvCxnSpPr>
        <xdr:cNvPr id="12" name="Скругленная соединительная линия 11">
          <a:extLst>
            <a:ext uri="{FF2B5EF4-FFF2-40B4-BE49-F238E27FC236}">
              <a16:creationId xmlns:a16="http://schemas.microsoft.com/office/drawing/2014/main" id="{00000000-0008-0000-0100-00000C000000}"/>
            </a:ext>
          </a:extLst>
        </xdr:cNvPr>
        <xdr:cNvCxnSpPr/>
      </xdr:nvCxnSpPr>
      <xdr:spPr>
        <a:xfrm rot="10800000" flipV="1">
          <a:off x="2540876" y="2746998"/>
          <a:ext cx="3922003" cy="1710045"/>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121776</xdr:colOff>
      <xdr:row>30</xdr:row>
      <xdr:rowOff>260371</xdr:rowOff>
    </xdr:from>
    <xdr:to>
      <xdr:col>14</xdr:col>
      <xdr:colOff>127143</xdr:colOff>
      <xdr:row>34</xdr:row>
      <xdr:rowOff>102068</xdr:rowOff>
    </xdr:to>
    <xdr:cxnSp macro="">
      <xdr:nvCxnSpPr>
        <xdr:cNvPr id="13" name="Прямая со стрелкой 12">
          <a:extLst>
            <a:ext uri="{FF2B5EF4-FFF2-40B4-BE49-F238E27FC236}">
              <a16:creationId xmlns:a16="http://schemas.microsoft.com/office/drawing/2014/main" id="{00000000-0008-0000-0100-00000D000000}"/>
            </a:ext>
          </a:extLst>
        </xdr:cNvPr>
        <xdr:cNvCxnSpPr/>
      </xdr:nvCxnSpPr>
      <xdr:spPr>
        <a:xfrm flipV="1">
          <a:off x="4522326" y="3975121"/>
          <a:ext cx="5367" cy="98469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22502</xdr:colOff>
      <xdr:row>34</xdr:row>
      <xdr:rowOff>102068</xdr:rowOff>
    </xdr:from>
    <xdr:to>
      <xdr:col>14</xdr:col>
      <xdr:colOff>113727</xdr:colOff>
      <xdr:row>34</xdr:row>
      <xdr:rowOff>107436</xdr:rowOff>
    </xdr:to>
    <xdr:cxnSp macro="">
      <xdr:nvCxnSpPr>
        <xdr:cNvPr id="14" name="Прямая со стрелкой 13">
          <a:extLst>
            <a:ext uri="{FF2B5EF4-FFF2-40B4-BE49-F238E27FC236}">
              <a16:creationId xmlns:a16="http://schemas.microsoft.com/office/drawing/2014/main" id="{00000000-0008-0000-0100-00000E000000}"/>
            </a:ext>
          </a:extLst>
        </xdr:cNvPr>
        <xdr:cNvCxnSpPr/>
      </xdr:nvCxnSpPr>
      <xdr:spPr>
        <a:xfrm flipH="1">
          <a:off x="3480077" y="4959818"/>
          <a:ext cx="1034200" cy="5368"/>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207637</xdr:colOff>
      <xdr:row>31</xdr:row>
      <xdr:rowOff>40359</xdr:rowOff>
    </xdr:from>
    <xdr:to>
      <xdr:col>15</xdr:col>
      <xdr:colOff>280080</xdr:colOff>
      <xdr:row>34</xdr:row>
      <xdr:rowOff>69873</xdr:rowOff>
    </xdr:to>
    <xdr:sp macro="" textlink="">
      <xdr:nvSpPr>
        <xdr:cNvPr id="15" name="Прямоугольник 14">
          <a:extLst>
            <a:ext uri="{FF2B5EF4-FFF2-40B4-BE49-F238E27FC236}">
              <a16:creationId xmlns:a16="http://schemas.microsoft.com/office/drawing/2014/main" id="{00000000-0008-0000-0100-00000F000000}"/>
            </a:ext>
          </a:extLst>
        </xdr:cNvPr>
        <xdr:cNvSpPr/>
      </xdr:nvSpPr>
      <xdr:spPr>
        <a:xfrm rot="16200000">
          <a:off x="4358189" y="4290857"/>
          <a:ext cx="886764" cy="3867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Верхний критерий</a:t>
          </a:r>
        </a:p>
      </xdr:txBody>
    </xdr:sp>
    <xdr:clientData/>
  </xdr:twoCellAnchor>
  <xdr:twoCellAnchor>
    <xdr:from>
      <xdr:col>11</xdr:col>
      <xdr:colOff>140024</xdr:colOff>
      <xdr:row>34</xdr:row>
      <xdr:rowOff>152512</xdr:rowOff>
    </xdr:from>
    <xdr:to>
      <xdr:col>14</xdr:col>
      <xdr:colOff>89046</xdr:colOff>
      <xdr:row>35</xdr:row>
      <xdr:rowOff>251786</xdr:rowOff>
    </xdr:to>
    <xdr:sp macro="" textlink="">
      <xdr:nvSpPr>
        <xdr:cNvPr id="16" name="Прямоугольник 15">
          <a:extLst>
            <a:ext uri="{FF2B5EF4-FFF2-40B4-BE49-F238E27FC236}">
              <a16:creationId xmlns:a16="http://schemas.microsoft.com/office/drawing/2014/main" id="{00000000-0008-0000-0100-000010000000}"/>
            </a:ext>
          </a:extLst>
        </xdr:cNvPr>
        <xdr:cNvSpPr/>
      </xdr:nvSpPr>
      <xdr:spPr>
        <a:xfrm>
          <a:off x="3597599" y="5010262"/>
          <a:ext cx="891997" cy="3850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Нижний критерий</a:t>
          </a:r>
        </a:p>
      </xdr:txBody>
    </xdr:sp>
    <xdr:clientData/>
  </xdr:twoCellAnchor>
  <xdr:twoCellAnchor>
    <xdr:from>
      <xdr:col>14</xdr:col>
      <xdr:colOff>205154</xdr:colOff>
      <xdr:row>59</xdr:row>
      <xdr:rowOff>271095</xdr:rowOff>
    </xdr:from>
    <xdr:to>
      <xdr:col>19</xdr:col>
      <xdr:colOff>58616</xdr:colOff>
      <xdr:row>64</xdr:row>
      <xdr:rowOff>278422</xdr:rowOff>
    </xdr:to>
    <xdr:cxnSp macro="">
      <xdr:nvCxnSpPr>
        <xdr:cNvPr id="18" name="Скругленная соединительная линия 17">
          <a:extLst>
            <a:ext uri="{FF2B5EF4-FFF2-40B4-BE49-F238E27FC236}">
              <a16:creationId xmlns:a16="http://schemas.microsoft.com/office/drawing/2014/main" id="{00000000-0008-0000-0100-000012000000}"/>
            </a:ext>
          </a:extLst>
        </xdr:cNvPr>
        <xdr:cNvCxnSpPr/>
      </xdr:nvCxnSpPr>
      <xdr:spPr>
        <a:xfrm rot="16200000" flipH="1">
          <a:off x="4608635" y="17137672"/>
          <a:ext cx="1436077" cy="1421423"/>
        </a:xfrm>
        <a:prstGeom prst="curved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199712</xdr:colOff>
      <xdr:row>59</xdr:row>
      <xdr:rowOff>271096</xdr:rowOff>
    </xdr:from>
    <xdr:to>
      <xdr:col>19</xdr:col>
      <xdr:colOff>53174</xdr:colOff>
      <xdr:row>64</xdr:row>
      <xdr:rowOff>278423</xdr:rowOff>
    </xdr:to>
    <xdr:cxnSp macro="">
      <xdr:nvCxnSpPr>
        <xdr:cNvPr id="19" name="Скругленная соединительная линия 18">
          <a:extLst>
            <a:ext uri="{FF2B5EF4-FFF2-40B4-BE49-F238E27FC236}">
              <a16:creationId xmlns:a16="http://schemas.microsoft.com/office/drawing/2014/main" id="{00000000-0008-0000-0100-000013000000}"/>
            </a:ext>
          </a:extLst>
        </xdr:cNvPr>
        <xdr:cNvCxnSpPr/>
      </xdr:nvCxnSpPr>
      <xdr:spPr>
        <a:xfrm rot="16200000" flipH="1">
          <a:off x="4624023" y="17286199"/>
          <a:ext cx="1449684" cy="1459105"/>
        </a:xfrm>
        <a:prstGeom prst="curved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86061</xdr:colOff>
      <xdr:row>9</xdr:row>
      <xdr:rowOff>58681</xdr:rowOff>
    </xdr:from>
    <xdr:to>
      <xdr:col>12</xdr:col>
      <xdr:colOff>705318</xdr:colOff>
      <xdr:row>10</xdr:row>
      <xdr:rowOff>152663</xdr:rowOff>
    </xdr:to>
    <xdr:sp macro="[0]!ReadCriteriumsAndMatrix" textlink="">
      <xdr:nvSpPr>
        <xdr:cNvPr id="2" name="Скругленный прямоугольник 1">
          <a:extLst>
            <a:ext uri="{FF2B5EF4-FFF2-40B4-BE49-F238E27FC236}">
              <a16:creationId xmlns:a16="http://schemas.microsoft.com/office/drawing/2014/main" id="{00000000-0008-0000-0500-000002000000}"/>
            </a:ext>
          </a:extLst>
        </xdr:cNvPr>
        <xdr:cNvSpPr/>
      </xdr:nvSpPr>
      <xdr:spPr>
        <a:xfrm>
          <a:off x="3279737" y="58681"/>
          <a:ext cx="2120846" cy="295688"/>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Подбор вариантов</a:t>
          </a:r>
        </a:p>
      </xdr:txBody>
    </xdr:sp>
    <xdr:clientData/>
  </xdr:twoCellAnchor>
  <xdr:twoCellAnchor>
    <xdr:from>
      <xdr:col>10</xdr:col>
      <xdr:colOff>86061</xdr:colOff>
      <xdr:row>11</xdr:row>
      <xdr:rowOff>45793</xdr:rowOff>
    </xdr:from>
    <xdr:to>
      <xdr:col>12</xdr:col>
      <xdr:colOff>710901</xdr:colOff>
      <xdr:row>12</xdr:row>
      <xdr:rowOff>149076</xdr:rowOff>
    </xdr:to>
    <xdr:sp macro="[0]!SetUpdatingTrue" textlink="">
      <xdr:nvSpPr>
        <xdr:cNvPr id="3" name="Скругленный прямоугольник 1">
          <a:extLst>
            <a:ext uri="{FF2B5EF4-FFF2-40B4-BE49-F238E27FC236}">
              <a16:creationId xmlns:a16="http://schemas.microsoft.com/office/drawing/2014/main" id="{8D605D83-B4C8-493B-864B-59361F8017DA}"/>
            </a:ext>
          </a:extLst>
        </xdr:cNvPr>
        <xdr:cNvSpPr/>
      </xdr:nvSpPr>
      <xdr:spPr>
        <a:xfrm>
          <a:off x="3279737" y="437999"/>
          <a:ext cx="2126429" cy="293783"/>
        </a:xfrm>
        <a:prstGeom prst="roundRect">
          <a:avLst/>
        </a:prstGeom>
        <a:solidFill>
          <a:srgbClr val="00B0F0"/>
        </a:solidFill>
        <a:ln>
          <a:solidFill>
            <a:schemeClr val="accent5">
              <a:lumMod val="40000"/>
              <a:lumOff val="60000"/>
            </a:schemeClr>
          </a:solidFill>
        </a:ln>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Перезапуск</a:t>
          </a:r>
          <a:r>
            <a:rPr lang="ru-RU" sz="1100" b="1" baseline="0">
              <a:latin typeface="Cambria" panose="02040503050406030204" pitchFamily="18" charset="0"/>
            </a:rPr>
            <a:t> отрисовки</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215153</xdr:colOff>
      <xdr:row>2</xdr:row>
      <xdr:rowOff>17930</xdr:rowOff>
    </xdr:from>
    <xdr:to>
      <xdr:col>21</xdr:col>
      <xdr:colOff>282458</xdr:colOff>
      <xdr:row>3</xdr:row>
      <xdr:rowOff>42892</xdr:rowOff>
    </xdr:to>
    <xdr:sp macro="[0]!Findareaofnumberibmatrix_1" textlink="">
      <xdr:nvSpPr>
        <xdr:cNvPr id="10" name="Скругленный прямоугольник 9">
          <a:extLst>
            <a:ext uri="{FF2B5EF4-FFF2-40B4-BE49-F238E27FC236}">
              <a16:creationId xmlns:a16="http://schemas.microsoft.com/office/drawing/2014/main" id="{00000000-0008-0000-0900-00000A000000}"/>
            </a:ext>
          </a:extLst>
        </xdr:cNvPr>
        <xdr:cNvSpPr/>
      </xdr:nvSpPr>
      <xdr:spPr>
        <a:xfrm>
          <a:off x="4802393" y="597050"/>
          <a:ext cx="2360925" cy="314522"/>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Область по искомому значению</a:t>
          </a:r>
        </a:p>
      </xdr:txBody>
    </xdr:sp>
    <xdr:clientData/>
  </xdr:twoCellAnchor>
  <xdr:twoCellAnchor>
    <xdr:from>
      <xdr:col>14</xdr:col>
      <xdr:colOff>233083</xdr:colOff>
      <xdr:row>3</xdr:row>
      <xdr:rowOff>188259</xdr:rowOff>
    </xdr:from>
    <xdr:to>
      <xdr:col>21</xdr:col>
      <xdr:colOff>300388</xdr:colOff>
      <xdr:row>4</xdr:row>
      <xdr:rowOff>213222</xdr:rowOff>
    </xdr:to>
    <xdr:sp macro="[0]!RangeSelectByCellsAddress" textlink="">
      <xdr:nvSpPr>
        <xdr:cNvPr id="11" name="Скругленный прямоугольник 10">
          <a:extLst>
            <a:ext uri="{FF2B5EF4-FFF2-40B4-BE49-F238E27FC236}">
              <a16:creationId xmlns:a16="http://schemas.microsoft.com/office/drawing/2014/main" id="{00000000-0008-0000-0900-00000B000000}"/>
            </a:ext>
          </a:extLst>
        </xdr:cNvPr>
        <xdr:cNvSpPr/>
      </xdr:nvSpPr>
      <xdr:spPr>
        <a:xfrm>
          <a:off x="4820323" y="1056939"/>
          <a:ext cx="2360925" cy="314523"/>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Выделение</a:t>
          </a:r>
          <a:r>
            <a:rPr lang="ru-RU" sz="1100" b="1" baseline="0">
              <a:latin typeface="Cambria" panose="02040503050406030204" pitchFamily="18" charset="0"/>
            </a:rPr>
            <a:t> области</a:t>
          </a:r>
          <a:endParaRPr lang="ru-RU" sz="1100" b="1">
            <a:latin typeface="Cambria" panose="020405030504060302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1056;&#1072;&#1073;&#1086;&#1095;&#1080;&#1081;%20&#1089;&#1090;&#1086;&#1083;\Excel_Dekon_v_4_4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одержание"/>
      <sheetName val="Модель"/>
      <sheetName val="Чувствительность (Мини)"/>
      <sheetName val="Множество"/>
      <sheetName val="Чувствительность"/>
      <sheetName val="Модель - Формы"/>
      <sheetName val="Подбор 2"/>
      <sheetName val="Перебор_2_20170709140117"/>
      <sheetName val="123"/>
      <sheetName val="ну_тест20171011122046"/>
      <sheetName val="Перебор"/>
      <sheetName val="Лист9"/>
      <sheetName val="F0"/>
      <sheetName val="F1"/>
      <sheetName val="F2"/>
      <sheetName val="F3"/>
      <sheetName val="F4"/>
      <sheetName val="F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7" xr:uid="{00000000-000C-0000-FFFF-FFFF01000000}" name="Критерий_Чувствительность" displayName="Критерий_Чувствительность" ref="A9:R15" totalsRowShown="0" headerRowDxfId="1803">
  <autoFilter ref="A9:R15" xr:uid="{00000000-0009-0000-0100-00000B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100-000001000000}" name="№" dataDxfId="1802">
      <calculatedColumnFormula>IF(AND(Критерий_Чувствительность[[#This Row],[Критерий]]&lt;&gt;"",Критерий_Чувствительность[[#This Row],[O.K.Критерий]]=1),ROW()-ROW(Критерий_Чувствительность[[#Headers],[№]]),"")</calculatedColumnFormula>
    </tableColumn>
    <tableColumn id="2" xr3:uid="{00000000-0010-0000-0100-000002000000}" name="Критерий" dataDxfId="1801"/>
    <tableColumn id="3" xr3:uid="{00000000-0010-0000-0100-000003000000}" name="Скритерий" dataDxfId="1800">
      <calculatedColumnFormula>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calculatedColumnFormula>
    </tableColumn>
    <tableColumn id="4" xr3:uid="{00000000-0010-0000-0100-000004000000}" name="ВидКритерий">
      <calculatedColumnFormula>IFERROR(IF(LEFT(Критерий_Чувствительность[[#This Row],[Фкритерий]],5)="=Прив","Критерий",IF(LEFT(Критерий_Чувствительность[[#This Row],[Фкритерий]],5)="=Матр","ошибка","ошибка")),"ошибка")</calculatedColumnFormula>
    </tableColumn>
    <tableColumn id="5" xr3:uid="{00000000-0010-0000-0100-000005000000}" name="Наименование">
      <calculatedColumnFormula>IFERROR(IF(LEN((INDIRECT(Критерий_Чувствительность[[#This Row],[СНаименование]],FALSE)))=0,"ошибка",IFERROR(INDIRECT(Критерий_Чувствительность[[#This Row],[СНаименование]],FALSE),"ошибка")),"ошибка")</calculatedColumnFormula>
    </tableColumn>
    <tableColumn id="6" xr3:uid="{00000000-0010-0000-0100-000006000000}" name="СНаименование">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calculatedColumnFormula>
    </tableColumn>
    <tableColumn id="7" xr3:uid="{00000000-0010-0000-0100-000007000000}" name="ФизКритерий">
      <calculatedColumnFormula>IFERROR(IF(N(INDIRECT(Критерий_Чувствительность[[#This Row],[СФизКритерий]],FALSE))=0,"ошибка",IFERROR(INDIRECT(Критерий_Чувствительность[[#This Row],[СФизКритерий]],FALSE),"ошибка")),"ошибка")</calculatedColumnFormula>
    </tableColumn>
    <tableColumn id="8" xr3:uid="{00000000-0010-0000-0100-000008000000}" name="СФиз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calculatedColumnFormula>
    </tableColumn>
    <tableColumn id="9" xr3:uid="{00000000-0010-0000-0100-000009000000}" name="ТипКритерий"/>
    <tableColumn id="10" xr3:uid="{00000000-0010-0000-0100-00000A000000}" name="СТип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calculatedColumnFormula>
    </tableColumn>
    <tableColumn id="11" xr3:uid="{00000000-0010-0000-0100-00000B000000}" name="Фкритерий">
      <calculatedColumnFormula>IFERROR(_xlfn.FORMULATEXT(INDIRECT(Критерий_Чувствительность[[#This Row],[Скритерий]],FALSE)),"ошибка")</calculatedColumnFormula>
    </tableColumn>
    <tableColumn id="12" xr3:uid="{00000000-0010-0000-0100-00000C000000}" name="МинФизКритерий" dataDxfId="1799">
      <calculatedColumnFormula>IFERROR(IF(N(INDIRECT(Критерий_Чувствительность[[#This Row],[СМинФизКритерий]],FALSE))="","ошибка",IFERROR(INDIRECT(Критерий_Чувствительность[[#This Row],[СМинФизКритерий]],FALSE),"ошибка")),"ошибка")</calculatedColumnFormula>
    </tableColumn>
    <tableColumn id="13" xr3:uid="{00000000-0010-0000-0100-00000D000000}" name="СМинФиз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calculatedColumnFormula>
    </tableColumn>
    <tableColumn id="14" xr3:uid="{00000000-0010-0000-0100-00000E000000}" name="МаксФизКритерий" dataDxfId="1798">
      <calculatedColumnFormula>IFERROR(IF(N(INDIRECT(Критерий_Чувствительность[[#This Row],[СМаксФизКритерий]],FALSE))="","ошибка",IFERROR(INDIRECT(Критерий_Чувствительность[[#This Row],[СМаксФизКритерий]],FALSE),"ошибка")),"ошибка")</calculatedColumnFormula>
    </tableColumn>
    <tableColumn id="15" xr3:uid="{00000000-0010-0000-0100-00000F000000}" name="СМаксФиз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calculatedColumnFormula>
    </tableColumn>
    <tableColumn id="16" xr3:uid="{00000000-0010-0000-0100-000010000000}" name="СрФизКритерий">
      <calculatedColumnFormula>IFERROR(IF(N(INDIRECT(Критерий_Чувствительность[[#This Row],[ССрФизКритерий]],FALSE))=0,"ошибка",IFERROR(INDIRECT(Критерий_Чувствительность[[#This Row],[ССрФизКритерий]],FALSE),"ошибка")),"")</calculatedColumnFormula>
    </tableColumn>
    <tableColumn id="17" xr3:uid="{00000000-0010-0000-0100-000011000000}" name="ССрФизКритерий"/>
    <tableColumn id="18" xr3:uid="{00000000-0010-0000-0100-000012000000}" name="O.K.Критерий" dataDxfId="1797">
      <calculatedColumnFormula>IFERROR(IF(AND(Критерий_Чувствительность[[#This Row],[ВидКритерий]]="Критерий",Критерий_Чувствительность[[#This Row],[Фкритерий]]="=Приведение"),1,-1),-1)</calculatedColumnFormula>
    </tableColumn>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8" xr:uid="{00000000-000C-0000-FFFF-FFFF02000000}" name="Свёртка_Чувствительность" displayName="Свёртка_Чувствительность" ref="T9:AY13" totalsRowShown="0" headerRowDxfId="1796">
  <autoFilter ref="T9:AY13" xr:uid="{00000000-0009-0000-0100-00000C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autoFilter>
  <tableColumns count="32">
    <tableColumn id="1" xr3:uid="{00000000-0010-0000-0200-000001000000}" name="№" dataDxfId="1795" totalsRowDxfId="1794">
      <calculatedColumnFormula>IF(AND(Свёртка_Чувствительность[[#This Row],[Свёртка]]&lt;&gt;"",Свёртка_Чувствительность[[#This Row],[O.K.Свёртка]]=1),ROW()-ROW(Свёртка_Чувствительность[[#Headers],[№]]),"")</calculatedColumnFormula>
    </tableColumn>
    <tableColumn id="2" xr3:uid="{00000000-0010-0000-0200-000002000000}" name="Свёртка" dataDxfId="1793" totalsRowDxfId="1792">
      <calculatedColumnFormula>Модель!H34</calculatedColumnFormula>
    </tableColumn>
    <tableColumn id="3" xr3:uid="{00000000-0010-0000-0200-000003000000}" name="ССвёртка" totalsRowDxfId="1791">
      <calculatedColumnFormula>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calculatedColumnFormula>
    </tableColumn>
    <tableColumn id="4" xr3:uid="{00000000-0010-0000-0200-000004000000}" name="ФСвёртка" totalsRowDxfId="1790">
      <calculatedColumnFormula>IFERROR(_xlfn.FORMULATEXT(INDIRECT(Свёртка_Чувствительность[[#This Row],[ССвёртка]],FALSE)),"ошибка")</calculatedColumnFormula>
    </tableColumn>
    <tableColumn id="5" xr3:uid="{00000000-0010-0000-0200-000005000000}" name="ВидСвёртка" totalsRowDxfId="1789">
      <calculatedColumnFormula>IFERROR(IF(LEFT(Свёртка_Чувствительность[[#This Row],[ФСвёртка]],5)="=Прив","ошибка",IF(LEFT(Свёртка_Чувствительность[[#This Row],[ФСвёртка]],5)="=Матр","Свёртка","ошибка")),"ошибка")</calculatedColumnFormula>
    </tableColumn>
    <tableColumn id="6" xr3:uid="{00000000-0010-0000-0200-000006000000}" name="Наименование" totalsRowDxfId="1788">
      <calculatedColumnFormula>IFERROR(IF(LEN((INDIRECT(Свёртка_Чувствительность[[#This Row],[СНаименование]],FALSE)))=0,"ошибка",IFERROR(INDIRECT(Свёртка_Чувствительность[[#This Row],[СНаименование]],FALSE),"ошибка")),"ошибка")</calculatedColumnFormula>
    </tableColumn>
    <tableColumn id="7" xr3:uid="{00000000-0010-0000-0200-000007000000}" name="СНаименование" totalsRowDxfId="1787">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calculatedColumnFormula>
    </tableColumn>
    <tableColumn id="8" xr3:uid="{00000000-0010-0000-0200-000008000000}" name="СВ_1_1" dataDxfId="1786" totalsRowDxfId="1785">
      <calculatedColumnFormula>IFERROR(IF(LEN((INDIRECT(Свёртка_Чувствительность[[#This Row],[ССВ_1_1]],FALSE)))=0,"ошибка",IFERROR(INDIRECT(Свёртка_Чувствительность[[#This Row],[ССВ_1_1]],FALSE),"ошибка")),"ошибка")</calculatedColumnFormula>
    </tableColumn>
    <tableColumn id="9" xr3:uid="{00000000-0010-0000-0200-000009000000}" name="ССВ_1_1" totalsRowDxfId="1784">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calculatedColumnFormula>
    </tableColumn>
    <tableColumn id="13" xr3:uid="{00000000-0010-0000-0200-00000D000000}" name="СВ_2_1" dataDxfId="1783" totalsRowDxfId="1782">
      <calculatedColumnFormula>IFERROR(IF(LEN((INDIRECT(Свёртка_Чувствительность[[#This Row],[ССВ_2_1]],FALSE)))=0,"ошибка",IFERROR(INDIRECT(Свёртка_Чувствительность[[#This Row],[ССВ_2_1]],FALSE),"ошибка")),"ошибка")</calculatedColumnFormula>
    </tableColumn>
    <tableColumn id="14" xr3:uid="{00000000-0010-0000-0200-00000E000000}" name="ССВ_2_1" totalsRowDxfId="1781">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calculatedColumnFormula>
    </tableColumn>
    <tableColumn id="18" xr3:uid="{00000000-0010-0000-0200-000012000000}" name="СВ_1_2" dataDxfId="1780" totalsRowDxfId="1779">
      <calculatedColumnFormula>IFERROR(IF(LEN((INDIRECT(Свёртка_Чувствительность[[#This Row],[ССВ_1_2]],FALSE)))=0,"ошибка",IFERROR(INDIRECT(Свёртка_Чувствительность[[#This Row],[ССВ_1_2]],FALSE),"ошибка")),"ошибка")</calculatedColumnFormula>
    </tableColumn>
    <tableColumn id="19" xr3:uid="{00000000-0010-0000-0200-000013000000}" name="ССВ_1_2" totalsRowDxfId="1778">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calculatedColumnFormula>
    </tableColumn>
    <tableColumn id="23" xr3:uid="{00000000-0010-0000-0200-000017000000}" name="СВ_2_2" dataDxfId="1777" totalsRowDxfId="1776">
      <calculatedColumnFormula>IFERROR(IF(LEN((INDIRECT(Свёртка_Чувствительность[[#This Row],[ССВ_2_2]],FALSE)))=0,"ошибка",IFERROR(INDIRECT(Свёртка_Чувствительность[[#This Row],[ССВ_2_2]],FALSE),"ошибка")),"ошибка")</calculatedColumnFormula>
    </tableColumn>
    <tableColumn id="24" xr3:uid="{00000000-0010-0000-0200-000018000000}" name="ССВ_2_2" totalsRowDxfId="1775">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calculatedColumnFormula>
    </tableColumn>
    <tableColumn id="28" xr3:uid="{00000000-0010-0000-0200-00001C000000}" name="СВ_3_1" dataDxfId="1774" totalsRowDxfId="1773">
      <calculatedColumnFormula>IFERROR(IF(LEN((INDIRECT(Свёртка_Чувствительность[[#This Row],[ССВ_3_1]],FALSE)))=0,"ошибка",IFERROR(INDIRECT(Свёртка_Чувствительность[[#This Row],[ССВ_3_1]],FALSE),"ошибка")),"ошибка")</calculatedColumnFormula>
    </tableColumn>
    <tableColumn id="29" xr3:uid="{00000000-0010-0000-0200-00001D000000}" name="ССВ_3_1" totalsRowDxfId="1772">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calculatedColumnFormula>
    </tableColumn>
    <tableColumn id="33" xr3:uid="{00000000-0010-0000-0200-000021000000}" name="СВ_1_3" dataDxfId="1771" totalsRowDxfId="1770">
      <calculatedColumnFormula>IFERROR(IF(LEN((INDIRECT(Свёртка_Чувствительность[[#This Row],[ССВ_1_3]],FALSE)))=0,"ошибка",IFERROR(INDIRECT(Свёртка_Чувствительность[[#This Row],[ССВ_1_3]],FALSE),"ошибка")),"ошибка")</calculatedColumnFormula>
    </tableColumn>
    <tableColumn id="34" xr3:uid="{00000000-0010-0000-0200-000022000000}" name="ССВ_1_3" totalsRowDxfId="1769">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calculatedColumnFormula>
    </tableColumn>
    <tableColumn id="38" xr3:uid="{00000000-0010-0000-0200-000026000000}" name="СВ_3_2" dataDxfId="1768" totalsRowDxfId="1767">
      <calculatedColumnFormula>IFERROR(IF(LEN((INDIRECT(Свёртка_Чувствительность[[#This Row],[ССВ_3_2]],FALSE)))=0,"ошибка",IFERROR(INDIRECT(Свёртка_Чувствительность[[#This Row],[ССВ_3_2]],FALSE),"ошибка")),"ошибка")</calculatedColumnFormula>
    </tableColumn>
    <tableColumn id="39" xr3:uid="{00000000-0010-0000-0200-000027000000}" name="ССВ_3_2" totalsRowDxfId="1766">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calculatedColumnFormula>
    </tableColumn>
    <tableColumn id="43" xr3:uid="{00000000-0010-0000-0200-00002B000000}" name="СВ_2_3" dataDxfId="1765" totalsRowDxfId="1764">
      <calculatedColumnFormula>IFERROR(IF(LEN((INDIRECT(Свёртка_Чувствительность[[#This Row],[ССВ_2_3]],FALSE)))=0,"ошибка",IFERROR(INDIRECT(Свёртка_Чувствительность[[#This Row],[ССВ_2_3]],FALSE),"ошибка")),"ошибка")</calculatedColumnFormula>
    </tableColumn>
    <tableColumn id="44" xr3:uid="{00000000-0010-0000-0200-00002C000000}" name="ССВ_2_3" totalsRowDxfId="1763">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calculatedColumnFormula>
    </tableColumn>
    <tableColumn id="48" xr3:uid="{00000000-0010-0000-0200-000030000000}" name="СВ_3_3" dataDxfId="1762" totalsRowDxfId="1761">
      <calculatedColumnFormula>IFERROR(IF(LEN((INDIRECT(Свёртка_Чувствительность[[#This Row],[ССВ_3_3]],FALSE)))=0,"ошибка",IFERROR(INDIRECT(Свёртка_Чувствительность[[#This Row],[ССВ_3_3]],FALSE),"ошибка")),"ошибка")</calculatedColumnFormula>
    </tableColumn>
    <tableColumn id="49" xr3:uid="{00000000-0010-0000-0200-000031000000}" name="ССВ_3_3" totalsRowDxfId="1760">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calculatedColumnFormula>
    </tableColumn>
    <tableColumn id="54" xr3:uid="{00000000-0010-0000-0200-000036000000}" name="Л" totalsRowDxfId="1759">
      <calculatedColumnFormula>IFERROR(IF(LEN((INDIRECT(Свёртка_Чувствительность[[#This Row],[СЛ]],FALSE)))=0,"ошибка",IFERROR(INDIRECT(Свёртка_Чувствительность[[#This Row],[СЛ]],FALSE),"ошибка")),"ошибка")</calculatedColumnFormula>
    </tableColumn>
    <tableColumn id="55" xr3:uid="{00000000-0010-0000-0200-000037000000}" name="СЛ" totalsRowDxfId="1758">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calculatedColumnFormula>
    </tableColumn>
    <tableColumn id="56" xr3:uid="{00000000-0010-0000-0200-000038000000}" name="ФСЛ" totalsRowDxfId="1757">
      <calculatedColumnFormula>IFERROR(_xlfn.FORMULATEXT(INDIRECT(Свёртка_Чувствительность[[#This Row],[СЛ]],FALSE)),"ошибка")</calculatedColumnFormula>
    </tableColumn>
    <tableColumn id="57" xr3:uid="{00000000-0010-0000-0200-000039000000}" name="П" totalsRowDxfId="1756">
      <calculatedColumnFormula>IFERROR(IF(LEN((INDIRECT(Свёртка_Чувствительность[[#This Row],[СП]],FALSE)))=0,"ошибка",IFERROR(INDIRECT(Свёртка_Чувствительность[[#This Row],[СП]],FALSE),"ошибка")),"ошибка")</calculatedColumnFormula>
    </tableColumn>
    <tableColumn id="58" xr3:uid="{00000000-0010-0000-0200-00003A000000}" name="СП" totalsRowDxfId="1755">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calculatedColumnFormula>
    </tableColumn>
    <tableColumn id="59" xr3:uid="{00000000-0010-0000-0200-00003B000000}" name="ФСП" totalsRowDxfId="1754">
      <calculatedColumnFormula>IFERROR(_xlfn.FORMULATEXT(INDIRECT(Свёртка_Чувствительность[[#This Row],[СП]],FALSE)),"ошибка")</calculatedColumnFormula>
    </tableColumn>
    <tableColumn id="60" xr3:uid="{00000000-0010-0000-0200-00003C000000}" name="O.K.Свёртка" dataDxfId="1753" totalsRowDxfId="1752">
      <calculatedColumnFormula>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calculatedColumnFormula>
    </tableColumn>
  </tableColumns>
  <tableStyleInfo name="TableStyleMedium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9" xr:uid="{00000000-000C-0000-FFFF-FFFF03000000}" name="Анализ_Чувствительность" displayName="Анализ_Чувствительность" ref="BC9:CO17" totalsRowShown="0" headerRowDxfId="1751" dataDxfId="1749" headerRowBorderDxfId="1750" tableBorderDxfId="1748">
  <autoFilter ref="BC9:CO17" xr:uid="{00000000-0009-0000-0100-00000D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00000000-0010-0000-0300-000001000000}" name="№" dataDxfId="1747">
      <calculatedColumnFormula>IF(AND(Анализ_Чувствительность[[#This Row],[Y]]=1),ROW()-ROW(Анализ_Чувствительность[[#Headers],[№]]),"")</calculatedColumnFormula>
    </tableColumn>
    <tableColumn id="2" xr3:uid="{00000000-0010-0000-0300-000002000000}" name="Оценки" dataDxfId="1746"/>
    <tableColumn id="37" xr3:uid="{00000000-0010-0000-0300-000025000000}" name="Шаг" dataDxfId="1745"/>
    <tableColumn id="35" xr3:uid="{00000000-0010-0000-0300-000023000000}" name="Представление" dataDxfId="1744"/>
    <tableColumn id="36" xr3:uid="{00000000-0010-0000-0300-000024000000}" name="Размещение" dataDxfId="1743"/>
    <tableColumn id="3" xr3:uid="{00000000-0010-0000-0300-000003000000}" name="Свёртка" dataDxfId="1742"/>
    <tableColumn id="4" xr3:uid="{00000000-0010-0000-0300-000004000000}" name="_" dataDxfId="1741">
      <calculatedColumnFormula>IF(LEN(Анализ_Чувствительность[[#This Row],[Свёртка]])&gt;0,1,-1)</calculatedColumnFormula>
    </tableColumn>
    <tableColumn id="33" xr3:uid="{00000000-0010-0000-0300-000021000000}" name="Критерий" dataDxfId="1740"/>
    <tableColumn id="34" xr3:uid="{00000000-0010-0000-0300-000022000000}" name="___" dataDxfId="1739">
      <calculatedColumnFormula>IF(LEN(Анализ_Чувствительность[[#This Row],[Критерий]])&gt;0,1,-1)</calculatedColumnFormula>
    </tableColumn>
    <tableColumn id="5" xr3:uid="{00000000-0010-0000-0300-000005000000}" name="Критерии" dataDxfId="1738"/>
    <tableColumn id="6" xr3:uid="{00000000-0010-0000-0300-000006000000}" name="__" dataDxfId="1737">
      <calculatedColumnFormula>IF(LEN(Анализ_Чувствительность[[#This Row],[Критерии]])&gt;0,1,-1)</calculatedColumnFormula>
    </tableColumn>
    <tableColumn id="7" xr3:uid="{00000000-0010-0000-0300-000007000000}" name="Y" dataDxfId="1736">
      <calculatedColumnFormula>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calculatedColumnFormula>
    </tableColumn>
    <tableColumn id="39" xr3:uid="{00000000-0010-0000-0300-000027000000}" name="min" dataDxfId="1735"/>
    <tableColumn id="38" xr3:uid="{00000000-0010-0000-0300-000026000000}" name="max" dataDxfId="1734"/>
    <tableColumn id="8" xr3:uid="{00000000-0010-0000-0300-000008000000}" name="1" dataDxfId="1733"/>
    <tableColumn id="9" xr3:uid="{00000000-0010-0000-0300-000009000000}" name="2" dataDxfId="1732"/>
    <tableColumn id="10" xr3:uid="{00000000-0010-0000-0300-00000A000000}" name="3" dataDxfId="1731"/>
    <tableColumn id="11" xr3:uid="{00000000-0010-0000-0300-00000B000000}" name="4" dataDxfId="1730"/>
    <tableColumn id="12" xr3:uid="{00000000-0010-0000-0300-00000C000000}" name="5" dataDxfId="1729"/>
    <tableColumn id="13" xr3:uid="{00000000-0010-0000-0300-00000D000000}" name="6" dataDxfId="1728"/>
    <tableColumn id="14" xr3:uid="{00000000-0010-0000-0300-00000E000000}" name="7" dataDxfId="1727"/>
    <tableColumn id="15" xr3:uid="{00000000-0010-0000-0300-00000F000000}" name="8" dataDxfId="1726"/>
    <tableColumn id="16" xr3:uid="{00000000-0010-0000-0300-000010000000}" name="9" dataDxfId="1725"/>
    <tableColumn id="17" xr3:uid="{00000000-0010-0000-0300-000011000000}" name="10" dataDxfId="1724"/>
    <tableColumn id="18" xr3:uid="{00000000-0010-0000-0300-000012000000}" name="11" dataDxfId="1723"/>
    <tableColumn id="19" xr3:uid="{00000000-0010-0000-0300-000013000000}" name="12" dataDxfId="1722"/>
    <tableColumn id="20" xr3:uid="{00000000-0010-0000-0300-000014000000}" name="13" dataDxfId="1721"/>
    <tableColumn id="21" xr3:uid="{00000000-0010-0000-0300-000015000000}" name="14" dataDxfId="1720"/>
    <tableColumn id="22" xr3:uid="{00000000-0010-0000-0300-000016000000}" name="15" dataDxfId="1719"/>
    <tableColumn id="23" xr3:uid="{00000000-0010-0000-0300-000017000000}" name="16" dataDxfId="1718"/>
    <tableColumn id="24" xr3:uid="{00000000-0010-0000-0300-000018000000}" name="17" dataDxfId="1717"/>
    <tableColumn id="25" xr3:uid="{00000000-0010-0000-0300-000019000000}" name="18" dataDxfId="1716"/>
    <tableColumn id="26" xr3:uid="{00000000-0010-0000-0300-00001A000000}" name="19" dataDxfId="1715"/>
    <tableColumn id="27" xr3:uid="{00000000-0010-0000-0300-00001B000000}" name="20" dataDxfId="1714"/>
    <tableColumn id="28" xr3:uid="{00000000-0010-0000-0300-00001C000000}" name="21" dataDxfId="1713"/>
    <tableColumn id="29" xr3:uid="{00000000-0010-0000-0300-00001D000000}" name="22" dataDxfId="1712"/>
    <tableColumn id="30" xr3:uid="{00000000-0010-0000-0300-00001E000000}" name="23" dataDxfId="1711"/>
    <tableColumn id="31" xr3:uid="{00000000-0010-0000-0300-00001F000000}" name="24" dataDxfId="1710"/>
    <tableColumn id="32" xr3:uid="{00000000-0010-0000-0300-000020000000}" name="25" dataDxfId="1709"/>
  </tableColumns>
  <tableStyleInfo name="TableStyleMedium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3" xr:uid="{00000000-000C-0000-FFFF-FFFF04000000}" name="Измен_Отслеж" displayName="Измен_Отслеж" ref="A8:T19" totalsRowShown="0" headerRowDxfId="1708">
  <autoFilter ref="A8:T19" xr:uid="{00000000-0009-0000-0100-0000FD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00000000-0010-0000-0400-000001000000}" name="Изменяем" dataDxfId="1707"/>
    <tableColumn id="2" xr3:uid="{00000000-0010-0000-0400-000002000000}" name="СИзменяем" dataDxfId="1706">
      <calculatedColumnFormula>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calculatedColumnFormula>
    </tableColumn>
    <tableColumn id="13" xr3:uid="{00000000-0010-0000-0400-00000D000000}" name="ВидИзменяем" dataDxfId="1705">
      <calculatedColumnFormula>IFERROR(IF(LEFT(Измен_Отслеж[[#This Row],[ФИзменяем]],5)="=Прив","Критерий",IF(LEFT(Измен_Отслеж[[#This Row],[ФИзменяем]],5)="=Матр","Матрица","ошибка")),"ошибка")</calculatedColumnFormula>
    </tableColumn>
    <tableColumn id="7" xr3:uid="{00000000-0010-0000-0400-000007000000}" name="ФизИзменяем" dataDxfId="1704">
      <calculatedColumnFormula>IFERROR(IF(N(INDIRECT(Измен_Отслеж[[#This Row],[СФизИзменяем]],FALSE))=0,"ошибка",IFERROR(INDIRECT(Измен_Отслеж[[#This Row],[СФизИзменяем]],FALSE),"ошибка")),"ошибка")</calculatedColumnFormula>
    </tableColumn>
    <tableColumn id="3" xr3:uid="{00000000-0010-0000-0400-000003000000}" name="СФизИзменяем" dataDxfId="1703">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calculatedColumnFormula>
    </tableColumn>
    <tableColumn id="4" xr3:uid="{00000000-0010-0000-0400-000004000000}" name="ТипИзменяем" dataDxfId="1702">
      <calculatedColumnFormula>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calculatedColumnFormula>
    </tableColumn>
    <tableColumn id="5" xr3:uid="{00000000-0010-0000-0400-000005000000}" name="СТипИзменяем" dataDxfId="1701">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calculatedColumnFormula>
    </tableColumn>
    <tableColumn id="12" xr3:uid="{00000000-0010-0000-0400-00000C000000}" name="ФИзменяем" dataDxfId="1700">
      <calculatedColumnFormula>IFERROR(_xlfn.FORMULATEXT(INDIRECT(Измен_Отслеж[[#This Row],[СИзменяем]],FALSE)),"ошибка")</calculatedColumnFormula>
    </tableColumn>
    <tableColumn id="9" xr3:uid="{00000000-0010-0000-0400-000009000000}" name="МинФизИзменяем" dataDxfId="1699">
      <calculatedColumnFormula>IFERROR(IF(N(INDIRECT(Измен_Отслеж[[#This Row],[СМинФизИзменяем]],FALSE))=0,"ошибка",IFERROR(INDIRECT(Измен_Отслеж[[#This Row],[СМинФизИзменяем]],FALSE),"ошибка")),"ошибка")</calculatedColumnFormula>
    </tableColumn>
    <tableColumn id="10" xr3:uid="{00000000-0010-0000-0400-00000A000000}" name="СМинФизИзменяем" dataDxfId="1698">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calculatedColumnFormula>
    </tableColumn>
    <tableColumn id="6" xr3:uid="{00000000-0010-0000-0400-000006000000}" name="МаксФизИзменяем" dataDxfId="1697">
      <calculatedColumnFormula>IFERROR(IF(N(INDIRECT(Измен_Отслеж[[#This Row],[СМаксФизИзменяем]],FALSE))=0,"ошибка",IFERROR(INDIRECT(Измен_Отслеж[[#This Row],[СМаксФизИзменяем]],FALSE),"ошибка")),"ошибка")</calculatedColumnFormula>
    </tableColumn>
    <tableColumn id="8" xr3:uid="{00000000-0010-0000-0400-000008000000}" name="СМаксФизИзменяем" dataDxfId="1696">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calculatedColumnFormula>
    </tableColumn>
    <tableColumn id="14" xr3:uid="{00000000-0010-0000-0400-00000E000000}" name="СрФизИзменяем" dataDxfId="1695">
      <calculatedColumnFormula>IFERROR(IF(N(INDIRECT(Измен_Отслеж[[#This Row],[ССрФизИзменяем]],FALSE))=0,"ошибка",IFERROR(INDIRECT(Измен_Отслеж[[#This Row],[ССрФизИзменяем]],FALSE),"ошибка")),"ошибка")</calculatedColumnFormula>
    </tableColumn>
    <tableColumn id="15" xr3:uid="{00000000-0010-0000-0400-00000F000000}" name="ССрФизИзменяем" dataDxfId="1694">
      <calculatedColumnFormula>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calculatedColumnFormula>
    </tableColumn>
    <tableColumn id="16" xr3:uid="{00000000-0010-0000-0400-000010000000}" name="Отслеживаем" dataDxfId="1693"/>
    <tableColumn id="17" xr3:uid="{00000000-0010-0000-0400-000011000000}" name="СОтслеживаем" dataDxfId="1692">
      <calculatedColumnFormula>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calculatedColumnFormula>
    </tableColumn>
    <tableColumn id="18" xr3:uid="{00000000-0010-0000-0400-000012000000}" name="ФОтслеживаем" dataDxfId="1691">
      <calculatedColumnFormula>IFERROR(_xlfn.FORMULATEXT(INDIRECT(Измен_Отслеж[[#This Row],[СОтслеживаем]],FALSE)),"ошибка")</calculatedColumnFormula>
    </tableColumn>
    <tableColumn id="19" xr3:uid="{00000000-0010-0000-0400-000013000000}" name="ВидОтслеживаем" dataDxfId="1690">
      <calculatedColumnFormula>IFERROR(IF(LEFT(Измен_Отслеж[[#This Row],[ФОтслеживаем]],5)="=Прив","Критерий",IF(LEFT(Измен_Отслеж[[#This Row],[ФОтслеживаем]],5)="=Матр","Матрица","ошибка")),"ошибка")</calculatedColumnFormula>
    </tableColumn>
    <tableColumn id="20" xr3:uid="{00000000-0010-0000-0400-000014000000}" name="Сопоставление" dataDxfId="1689">
      <calculatedColumnFormula>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calculatedColumnFormula>
    </tableColumn>
    <tableColumn id="11" xr3:uid="{00000000-0010-0000-0400-00000B000000}" name="O.K." dataDxfId="1688">
      <calculatedColumnFormula>IF(Измен_Отслеж[[#This Row],[Сопоставление]]="Отслеживаем",1,-1)</calculatedColumnFormula>
    </tableColumn>
  </tableColumns>
  <tableStyleInfo name="TableStyleMedium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7" xr:uid="{00000000-000C-0000-FFFF-FFFF05000000}" name="Критерий_Чувствительность_2" displayName="Критерий_Чувствительность_2" ref="A9:R21" totalsRowShown="0" headerRowDxfId="1687">
  <autoFilter ref="A9:R21" xr:uid="{00000000-0009-0000-0100-000001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500-000001000000}" name="№" dataDxfId="1686">
      <calculatedColumnFormula>IF(AND(Критерий_Чувствительность_2[[#This Row],[Критерий]]&lt;&gt;"",Критерий_Чувствительность_2[[#This Row],[O.K.Критерий]]=1),ROW()-ROW(Критерий_Чувствительность_2[[#Headers],[№]]),"")</calculatedColumnFormula>
    </tableColumn>
    <tableColumn id="2" xr3:uid="{00000000-0010-0000-0500-000002000000}" name="Критерий" dataDxfId="1685">
      <calculatedColumnFormula>Модель!#REF!</calculatedColumnFormula>
    </tableColumn>
    <tableColumn id="3" xr3:uid="{00000000-0010-0000-0500-000003000000}" name="Скритерий" dataDxfId="1684">
      <calculatedColumnFormula>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calculatedColumnFormula>
    </tableColumn>
    <tableColumn id="4" xr3:uid="{00000000-0010-0000-0500-000004000000}" name="ВидКритерий">
      <calculatedColumnFormula>IFERROR(IF(LEFT(Критерий_Чувствительность_2[[#This Row],[Фкритерий]],5)="=Прив","Критерий",IF(LEFT(Критерий_Чувствительность_2[[#This Row],[Фкритерий]],5)="=Матр","ошибка","ошибка")),"ошибка")</calculatedColumnFormula>
    </tableColumn>
    <tableColumn id="5" xr3:uid="{00000000-0010-0000-0500-000005000000}" name="Наименование">
      <calculatedColumnFormula>IFERROR(IF(LEN((INDIRECT(Критерий_Чувствительность_2[[#This Row],[СНаименование]],FALSE)))=0,"ошибка",IFERROR(INDIRECT(Критерий_Чувствительность_2[[#This Row],[СНаименование]],FALSE),"ошибка")),"ошибка")</calculatedColumnFormula>
    </tableColumn>
    <tableColumn id="6" xr3:uid="{00000000-0010-0000-0500-000006000000}" name="СНаименование">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calculatedColumnFormula>
    </tableColumn>
    <tableColumn id="7" xr3:uid="{00000000-0010-0000-0500-000007000000}" name="ФизКритерий">
      <calculatedColumnFormula>IFERROR(IF(N(INDIRECT(Критерий_Чувствительность_2[[#This Row],[СФизКритерий]],FALSE))=0,"ошибка",IFERROR(INDIRECT(Критерий_Чувствительность_2[[#This Row],[СФизКритерий]],FALSE),"ошибка")),"ошибка")</calculatedColumnFormula>
    </tableColumn>
    <tableColumn id="8" xr3:uid="{00000000-0010-0000-0500-000008000000}" name="СФиз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calculatedColumnFormula>
    </tableColumn>
    <tableColumn id="9" xr3:uid="{00000000-0010-0000-0500-000009000000}" name="ТипКритерий">
      <calculatedColumnFormula>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calculatedColumnFormula>
    </tableColumn>
    <tableColumn id="10" xr3:uid="{00000000-0010-0000-0500-00000A000000}" name="СТип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calculatedColumnFormula>
    </tableColumn>
    <tableColumn id="11" xr3:uid="{00000000-0010-0000-0500-00000B000000}" name="Фкритерий">
      <calculatedColumnFormula>IFERROR(_xlfn.FORMULATEXT(INDIRECT(Критерий_Чувствительность_2[[#This Row],[Скритерий]],FALSE)),"ошибка")</calculatedColumnFormula>
    </tableColumn>
    <tableColumn id="12" xr3:uid="{00000000-0010-0000-0500-00000C000000}" name="МинФизКритерий" dataDxfId="1683">
      <calculatedColumnFormula>IFERROR(IF(N(INDIRECT(Критерий_Чувствительность_2[[#This Row],[СМинФизКритерий]],FALSE))="","ошибка",IFERROR(INDIRECT(Критерий_Чувствительность_2[[#This Row],[СМинФизКритерий]],FALSE),"ошибка")),"ошибка")</calculatedColumnFormula>
    </tableColumn>
    <tableColumn id="13" xr3:uid="{00000000-0010-0000-0500-00000D000000}" name="СМинФиз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calculatedColumnFormula>
    </tableColumn>
    <tableColumn id="14" xr3:uid="{00000000-0010-0000-0500-00000E000000}" name="МаксФизКритерий" dataDxfId="1682">
      <calculatedColumnFormula>IFERROR(IF(N(INDIRECT(Критерий_Чувствительность_2[[#This Row],[СМаксФизКритерий]],FALSE))="","ошибка",IFERROR(INDIRECT(Критерий_Чувствительность_2[[#This Row],[СМаксФизКритерий]],FALSE),"ошибка")),"ошибка")</calculatedColumnFormula>
    </tableColumn>
    <tableColumn id="15" xr3:uid="{00000000-0010-0000-0500-00000F000000}" name="СМаксФиз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calculatedColumnFormula>
    </tableColumn>
    <tableColumn id="16" xr3:uid="{00000000-0010-0000-0500-000010000000}" name="СрФизКритерий">
      <calculatedColumnFormula>IFERROR(IF(N(INDIRECT(Критерий_Чувствительность_2[[#This Row],[ССрФизКритерий]],FALSE))=0,"ошибка",IFERROR(INDIRECT(Критерий_Чувствительность_2[[#This Row],[ССрФизКритерий]],FALSE),"ошибка")),"")</calculatedColumnFormula>
    </tableColumn>
    <tableColumn id="17" xr3:uid="{00000000-0010-0000-0500-000011000000}" name="ССрФизКритерий">
      <calculatedColumnFormula>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calculatedColumnFormula>
    </tableColumn>
    <tableColumn id="18" xr3:uid="{00000000-0010-0000-0500-000012000000}" name="O.K.Критерий" dataDxfId="1681">
      <calculatedColumnFormula>IFERROR(IF(AND(Критерий_Чувствительность_2[[#This Row],[ВидКритерий]]="Критерий",Критерий_Чувствительность_2[[#This Row],[Фкритерий]]="=Приведение"),1,-1),-1)</calculatedColumnFormula>
    </tableColumn>
  </tableColumns>
  <tableStyleInfo name="TableStyleMedium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1" xr:uid="{00000000-000C-0000-FFFF-FFFF06000000}" name="Свёртка_Чувствительность_2" displayName="Свёртка_Чувствительность_2" ref="T9:AY18" totalsRowShown="0" headerRowDxfId="1680">
  <autoFilter ref="T9:AY18" xr:uid="{00000000-0009-0000-0100-000005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autoFilter>
  <tableColumns count="32">
    <tableColumn id="1" xr3:uid="{00000000-0010-0000-0600-000001000000}" name="№" dataDxfId="1679">
      <calculatedColumnFormula>IF(AND(Свёртка_Чувствительность_2[[#This Row],[Свёртка]]&lt;&gt;"",Свёртка_Чувствительность_2[[#This Row],[O.K.Свёртка]]=1),ROW()-ROW(Свёртка_Чувствительность_2[[#Headers],[№]]),"")</calculatedColumnFormula>
    </tableColumn>
    <tableColumn id="2" xr3:uid="{00000000-0010-0000-0600-000002000000}" name="Свёртка" dataDxfId="1678">
      <calculatedColumnFormula>Модель!#REF!</calculatedColumnFormula>
    </tableColumn>
    <tableColumn id="3" xr3:uid="{00000000-0010-0000-0600-000003000000}" name="ССвёртка">
      <calculatedColumnFormula>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calculatedColumnFormula>
    </tableColumn>
    <tableColumn id="4" xr3:uid="{00000000-0010-0000-0600-000004000000}" name="ФСвёртка">
      <calculatedColumnFormula>IFERROR(_xlfn.FORMULATEXT(INDIRECT(Свёртка_Чувствительность_2[[#This Row],[ССвёртка]],FALSE)),"ошибка")</calculatedColumnFormula>
    </tableColumn>
    <tableColumn id="5" xr3:uid="{00000000-0010-0000-0600-000005000000}" name="ВидСвёртка">
      <calculatedColumnFormula>IFERROR(IF(LEFT(Свёртка_Чувствительность_2[[#This Row],[ФСвёртка]],5)="=Прив","ошибка",IF(LEFT(Свёртка_Чувствительность_2[[#This Row],[ФСвёртка]],5)="=Матр","Свёртка","ошибка")),"ошибка")</calculatedColumnFormula>
    </tableColumn>
    <tableColumn id="6" xr3:uid="{00000000-0010-0000-0600-000006000000}" name="Наименование">
      <calculatedColumnFormula>IFERROR(IF(LEN((INDIRECT(Свёртка_Чувствительность_2[[#This Row],[СНаименование]],FALSE)))=0,"ошибка",IFERROR(INDIRECT(Свёртка_Чувствительность_2[[#This Row],[СНаименование]],FALSE),"ошибка")),"ошибка")</calculatedColumnFormula>
    </tableColumn>
    <tableColumn id="7" xr3:uid="{00000000-0010-0000-0600-000007000000}" name="СНаименование">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calculatedColumnFormula>
    </tableColumn>
    <tableColumn id="8" xr3:uid="{00000000-0010-0000-0600-000008000000}" name="СВ_1_1" dataDxfId="1677">
      <calculatedColumnFormula>IFERROR(IF(LEN((INDIRECT(Свёртка_Чувствительность_2[[#This Row],[ССВ_1_1]],FALSE)))=0,"ошибка",IFERROR(INDIRECT(Свёртка_Чувствительность_2[[#This Row],[ССВ_1_1]],FALSE),"ошибка")),"ошибка")</calculatedColumnFormula>
    </tableColumn>
    <tableColumn id="9" xr3:uid="{00000000-0010-0000-0600-000009000000}" name="ССВ_1_1">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calculatedColumnFormula>
    </tableColumn>
    <tableColumn id="13" xr3:uid="{00000000-0010-0000-0600-00000D000000}" name="СВ_2_1" dataDxfId="1676">
      <calculatedColumnFormula>IFERROR(IF(LEN((INDIRECT(Свёртка_Чувствительность_2[[#This Row],[ССВ_2_1]],FALSE)))=0,"ошибка",IFERROR(INDIRECT(Свёртка_Чувствительность_2[[#This Row],[ССВ_2_1]],FALSE),"ошибка")),"ошибка")</calculatedColumnFormula>
    </tableColumn>
    <tableColumn id="14" xr3:uid="{00000000-0010-0000-0600-00000E000000}" name="ССВ_2_1">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calculatedColumnFormula>
    </tableColumn>
    <tableColumn id="18" xr3:uid="{00000000-0010-0000-0600-000012000000}" name="СВ_1_2" dataDxfId="1675">
      <calculatedColumnFormula>IFERROR(IF(LEN((INDIRECT(Свёртка_Чувствительность_2[[#This Row],[ССВ_1_2]],FALSE)))=0,"ошибка",IFERROR(INDIRECT(Свёртка_Чувствительность_2[[#This Row],[ССВ_1_2]],FALSE),"ошибка")),"ошибка")</calculatedColumnFormula>
    </tableColumn>
    <tableColumn id="19" xr3:uid="{00000000-0010-0000-0600-000013000000}" name="ССВ_1_2">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calculatedColumnFormula>
    </tableColumn>
    <tableColumn id="23" xr3:uid="{00000000-0010-0000-0600-000017000000}" name="СВ_2_2" dataDxfId="1674">
      <calculatedColumnFormula>IFERROR(IF(LEN((INDIRECT(Свёртка_Чувствительность_2[[#This Row],[ССВ_2_2]],FALSE)))=0,"ошибка",IFERROR(INDIRECT(Свёртка_Чувствительность_2[[#This Row],[ССВ_2_2]],FALSE),"ошибка")),"ошибка")</calculatedColumnFormula>
    </tableColumn>
    <tableColumn id="24" xr3:uid="{00000000-0010-0000-0600-000018000000}" name="ССВ_2_2">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calculatedColumnFormula>
    </tableColumn>
    <tableColumn id="28" xr3:uid="{00000000-0010-0000-0600-00001C000000}" name="СВ_3_1" dataDxfId="1673">
      <calculatedColumnFormula>IFERROR(IF(LEN((INDIRECT(Свёртка_Чувствительность_2[[#This Row],[ССВ_3_1]],FALSE)))=0,"ошибка",IFERROR(INDIRECT(Свёртка_Чувствительность_2[[#This Row],[ССВ_3_1]],FALSE),"ошибка")),"ошибка")</calculatedColumnFormula>
    </tableColumn>
    <tableColumn id="29" xr3:uid="{00000000-0010-0000-0600-00001D000000}" name="ССВ_3_1">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calculatedColumnFormula>
    </tableColumn>
    <tableColumn id="33" xr3:uid="{00000000-0010-0000-0600-000021000000}" name="СВ_1_3" dataDxfId="1672">
      <calculatedColumnFormula>IFERROR(IF(LEN((INDIRECT(Свёртка_Чувствительность_2[[#This Row],[ССВ_1_3]],FALSE)))=0,"ошибка",IFERROR(INDIRECT(Свёртка_Чувствительность_2[[#This Row],[ССВ_1_3]],FALSE),"ошибка")),"ошибка")</calculatedColumnFormula>
    </tableColumn>
    <tableColumn id="34" xr3:uid="{00000000-0010-0000-0600-000022000000}" name="ССВ_1_3">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calculatedColumnFormula>
    </tableColumn>
    <tableColumn id="38" xr3:uid="{00000000-0010-0000-0600-000026000000}" name="СВ_3_2" dataDxfId="1671">
      <calculatedColumnFormula>IFERROR(IF(LEN((INDIRECT(Свёртка_Чувствительность_2[[#This Row],[ССВ_3_2]],FALSE)))=0,"ошибка",IFERROR(INDIRECT(Свёртка_Чувствительность_2[[#This Row],[ССВ_3_2]],FALSE),"ошибка")),"ошибка")</calculatedColumnFormula>
    </tableColumn>
    <tableColumn id="39" xr3:uid="{00000000-0010-0000-0600-000027000000}" name="ССВ_3_2">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calculatedColumnFormula>
    </tableColumn>
    <tableColumn id="43" xr3:uid="{00000000-0010-0000-0600-00002B000000}" name="СВ_2_3" dataDxfId="1670">
      <calculatedColumnFormula>IFERROR(IF(LEN((INDIRECT(Свёртка_Чувствительность_2[[#This Row],[ССВ_2_3]],FALSE)))=0,"ошибка",IFERROR(INDIRECT(Свёртка_Чувствительность_2[[#This Row],[ССВ_2_3]],FALSE),"ошибка")),"ошибка")</calculatedColumnFormula>
    </tableColumn>
    <tableColumn id="44" xr3:uid="{00000000-0010-0000-0600-00002C000000}" name="ССВ_2_3">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calculatedColumnFormula>
    </tableColumn>
    <tableColumn id="48" xr3:uid="{00000000-0010-0000-0600-000030000000}" name="СВ_3_3" dataDxfId="1669">
      <calculatedColumnFormula>IFERROR(IF(LEN((INDIRECT(Свёртка_Чувствительность_2[[#This Row],[ССВ_3_3]],FALSE)))=0,"ошибка",IFERROR(INDIRECT(Свёртка_Чувствительность_2[[#This Row],[ССВ_3_3]],FALSE),"ошибка")),"ошибка")</calculatedColumnFormula>
    </tableColumn>
    <tableColumn id="49" xr3:uid="{00000000-0010-0000-0600-000031000000}" name="ССВ_3_3">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calculatedColumnFormula>
    </tableColumn>
    <tableColumn id="54" xr3:uid="{00000000-0010-0000-0600-000036000000}" name="Л">
      <calculatedColumnFormula>IFERROR(IF(LEN((INDIRECT(Свёртка_Чувствительность_2[[#This Row],[СЛ]],FALSE)))=0,"ошибка",IFERROR(INDIRECT(Свёртка_Чувствительность_2[[#This Row],[СЛ]],FALSE),"ошибка")),"ошибка")</calculatedColumnFormula>
    </tableColumn>
    <tableColumn id="55" xr3:uid="{00000000-0010-0000-0600-000037000000}" name="СЛ">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calculatedColumnFormula>
    </tableColumn>
    <tableColumn id="56" xr3:uid="{00000000-0010-0000-0600-000038000000}" name="ФСЛ">
      <calculatedColumnFormula>IFERROR(_xlfn.FORMULATEXT(INDIRECT(Свёртка_Чувствительность_2[[#This Row],[СЛ]],FALSE)),"ошибка")</calculatedColumnFormula>
    </tableColumn>
    <tableColumn id="57" xr3:uid="{00000000-0010-0000-0600-000039000000}" name="П">
      <calculatedColumnFormula>IFERROR(IF(LEN((INDIRECT(Свёртка_Чувствительность_2[[#This Row],[СП]],FALSE)))=0,"ошибка",IFERROR(INDIRECT(Свёртка_Чувствительность_2[[#This Row],[СП]],FALSE),"ошибка")),"ошибка")</calculatedColumnFormula>
    </tableColumn>
    <tableColumn id="58" xr3:uid="{00000000-0010-0000-0600-00003A000000}" name="СП">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calculatedColumnFormula>
    </tableColumn>
    <tableColumn id="59" xr3:uid="{00000000-0010-0000-0600-00003B000000}" name="ФСП">
      <calculatedColumnFormula>IFERROR(_xlfn.FORMULATEXT(INDIRECT(Свёртка_Чувствительность_2[[#This Row],[СП]],FALSE)),"ошибка")</calculatedColumnFormula>
    </tableColumn>
    <tableColumn id="60" xr3:uid="{00000000-0010-0000-0600-00003C000000}" name="O.K.Свёртка" dataDxfId="1668">
      <calculatedColumnFormula>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calculatedColumn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3" xr:uid="{00000000-000C-0000-FFFF-FFFF07000000}" name="Анализ_Чувствительность_2" displayName="Анализ_Чувствительность_2" ref="BC9:CO11" totalsRowShown="0" headerRowDxfId="1667" dataDxfId="1665" headerRowBorderDxfId="1666" tableBorderDxfId="1664">
  <autoFilter ref="BC9:CO11" xr:uid="{00000000-0009-0000-0100-000007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00000000-0010-0000-0700-000001000000}" name="№" dataDxfId="1663">
      <calculatedColumnFormula>IF(AND(Множество[[#This Row],[Y]]=1),ROW()-ROW(Множество[[#Headers],[№]]),"")</calculatedColumnFormula>
    </tableColumn>
    <tableColumn id="2" xr3:uid="{00000000-0010-0000-0700-000002000000}" name="Оценки" dataDxfId="1662"/>
    <tableColumn id="37" xr3:uid="{00000000-0010-0000-0700-000025000000}" name="Шаг" dataDxfId="1661"/>
    <tableColumn id="35" xr3:uid="{00000000-0010-0000-0700-000023000000}" name="Представление" dataDxfId="1660"/>
    <tableColumn id="36" xr3:uid="{00000000-0010-0000-0700-000024000000}" name="Размещение" dataDxfId="1659"/>
    <tableColumn id="3" xr3:uid="{00000000-0010-0000-0700-000003000000}" name="Свёртка" dataDxfId="1658"/>
    <tableColumn id="4" xr3:uid="{00000000-0010-0000-0700-000004000000}" name="_" dataDxfId="1657">
      <calculatedColumnFormula>IF(LEN(Анализ_Чувствительность_2[[#This Row],[Свёртка]])&gt;0,1,-1)</calculatedColumnFormula>
    </tableColumn>
    <tableColumn id="33" xr3:uid="{00000000-0010-0000-0700-000021000000}" name="Критерий" dataDxfId="1656"/>
    <tableColumn id="34" xr3:uid="{00000000-0010-0000-0700-000022000000}" name="___" dataDxfId="1655">
      <calculatedColumnFormula>IF(LEN(Анализ_Чувствительность_2[[#This Row],[Критерий]])&gt;0,1,-1)</calculatedColumnFormula>
    </tableColumn>
    <tableColumn id="5" xr3:uid="{00000000-0010-0000-0700-000005000000}" name="Критерии" dataDxfId="1654"/>
    <tableColumn id="6" xr3:uid="{00000000-0010-0000-0700-000006000000}" name="__" dataDxfId="1653">
      <calculatedColumnFormula>IF(LEN(Анализ_Чувствительность_2[[#This Row],[Критерии]])&gt;0,1,-1)</calculatedColumnFormula>
    </tableColumn>
    <tableColumn id="7" xr3:uid="{00000000-0010-0000-0700-000007000000}" name="Y" dataDxfId="1652">
      <calculatedColumnFormula>IF(AND(LEN(Анализ_Чувствительность_2[[#This Row],[Свёртка]])&gt;0,LEN(Анализ_Чувствительность_2[[#This Row],[Критерии]])&gt;0,LEN(Анализ_Чувствительность_2[[#This Row],[Оценки]])&gt;0,LEN(Анализ_Чувствительность_2[[#This Row],[Представление]])&gt;0,LEN(Анализ_Чувствительность_2[[#This Row],[Критерий]])&gt;0,LEN(Анализ_Чувствительность_2[[#This Row],[Размещение]])&gt;0,LEN(Анализ_Чувствительность_2[[#This Row],[Шаг]])&gt;0,LEN(Анализ_Чувствительность_2[[#This Row],[min]])&gt;0,LEN(Анализ_Чувствительность_2[[#This Row],[max]])&gt;0,(Анализ_Чувствительность_2[[#This Row],[min]]&lt;&gt;Анализ_Чувствительность_2[[#This Row],[max]])),1,-1)</calculatedColumnFormula>
    </tableColumn>
    <tableColumn id="39" xr3:uid="{00000000-0010-0000-0700-000027000000}" name="min" dataDxfId="1651"/>
    <tableColumn id="38" xr3:uid="{00000000-0010-0000-0700-000026000000}" name="max" dataDxfId="1650"/>
    <tableColumn id="8" xr3:uid="{00000000-0010-0000-0700-000008000000}" name="1" dataDxfId="1649"/>
    <tableColumn id="9" xr3:uid="{00000000-0010-0000-0700-000009000000}" name="2" dataDxfId="1648"/>
    <tableColumn id="10" xr3:uid="{00000000-0010-0000-0700-00000A000000}" name="3" dataDxfId="1647"/>
    <tableColumn id="11" xr3:uid="{00000000-0010-0000-0700-00000B000000}" name="4" dataDxfId="1646"/>
    <tableColumn id="12" xr3:uid="{00000000-0010-0000-0700-00000C000000}" name="5" dataDxfId="1645"/>
    <tableColumn id="13" xr3:uid="{00000000-0010-0000-0700-00000D000000}" name="6" dataDxfId="1644"/>
    <tableColumn id="14" xr3:uid="{00000000-0010-0000-0700-00000E000000}" name="7" dataDxfId="1643"/>
    <tableColumn id="15" xr3:uid="{00000000-0010-0000-0700-00000F000000}" name="8" dataDxfId="1642"/>
    <tableColumn id="16" xr3:uid="{00000000-0010-0000-0700-000010000000}" name="9" dataDxfId="1641"/>
    <tableColumn id="17" xr3:uid="{00000000-0010-0000-0700-000011000000}" name="10" dataDxfId="1640"/>
    <tableColumn id="18" xr3:uid="{00000000-0010-0000-0700-000012000000}" name="11" dataDxfId="1639"/>
    <tableColumn id="19" xr3:uid="{00000000-0010-0000-0700-000013000000}" name="12" dataDxfId="1638"/>
    <tableColumn id="20" xr3:uid="{00000000-0010-0000-0700-000014000000}" name="13" dataDxfId="1637"/>
    <tableColumn id="21" xr3:uid="{00000000-0010-0000-0700-000015000000}" name="14" dataDxfId="1636"/>
    <tableColumn id="22" xr3:uid="{00000000-0010-0000-0700-000016000000}" name="15" dataDxfId="1635"/>
    <tableColumn id="23" xr3:uid="{00000000-0010-0000-0700-000017000000}" name="16" dataDxfId="1634"/>
    <tableColumn id="24" xr3:uid="{00000000-0010-0000-0700-000018000000}" name="17" dataDxfId="1633"/>
    <tableColumn id="25" xr3:uid="{00000000-0010-0000-0700-000019000000}" name="18" dataDxfId="1632"/>
    <tableColumn id="26" xr3:uid="{00000000-0010-0000-0700-00001A000000}" name="19" dataDxfId="1631"/>
    <tableColumn id="27" xr3:uid="{00000000-0010-0000-0700-00001B000000}" name="20" dataDxfId="1630"/>
    <tableColumn id="28" xr3:uid="{00000000-0010-0000-0700-00001C000000}" name="21" dataDxfId="1629"/>
    <tableColumn id="29" xr3:uid="{00000000-0010-0000-0700-00001D000000}" name="22" dataDxfId="1628"/>
    <tableColumn id="30" xr3:uid="{00000000-0010-0000-0700-00001E000000}" name="23" dataDxfId="1627"/>
    <tableColumn id="31" xr3:uid="{00000000-0010-0000-0700-00001F000000}" name="24" dataDxfId="1626"/>
    <tableColumn id="32" xr3:uid="{00000000-0010-0000-0700-000020000000}" name="25" dataDxfId="1625"/>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1" xr:uid="{00000000-000C-0000-FFFF-FFFF08000000}" name="Свёртка" displayName="Свёртка" ref="U9:AB66" totalsRowShown="0" headerRowDxfId="1624">
  <autoFilter ref="U9:AB66" xr:uid="{00000000-0009-0000-0100-0000FB000000}">
    <filterColumn colId="0" hiddenButton="1"/>
    <filterColumn colId="1" hiddenButton="1"/>
    <filterColumn colId="2" hiddenButton="1"/>
    <filterColumn colId="3" hiddenButton="1"/>
    <filterColumn colId="4" hiddenButton="1"/>
    <filterColumn colId="7" hiddenButton="1"/>
  </autoFilter>
  <tableColumns count="8">
    <tableColumn id="1" xr3:uid="{00000000-0010-0000-0800-000001000000}" name="№" dataDxfId="1623">
      <calculatedColumnFormula>IF(AND(Свёртка[[#This Row],[Свёртка]]&lt;&gt;"",Свёртка[[#This Row],[O.K.Свёртка]]=1),ROW()-ROW(Свёртка[[#Headers],[№]]),"")</calculatedColumnFormula>
    </tableColumn>
    <tableColumn id="2" xr3:uid="{00000000-0010-0000-0800-000002000000}" name="Свёртка" dataDxfId="1622">
      <calculatedColumnFormula>Модель!CF5</calculatedColumnFormula>
    </tableColumn>
    <tableColumn id="3" xr3:uid="{00000000-0010-0000-0800-000003000000}" name="ССвёртка" dataDxfId="1621">
      <calculatedColumnFormula>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calculatedColumnFormula>
    </tableColumn>
    <tableColumn id="4" xr3:uid="{00000000-0010-0000-0800-000004000000}" name="ФСвёртка" dataDxfId="1620">
      <calculatedColumnFormula>IFERROR(_xlfn.FORMULATEXT(INDIRECT(Свёртка[[#This Row],[ССвёртка]],FALSE)),"ошибка")</calculatedColumnFormula>
    </tableColumn>
    <tableColumn id="5" xr3:uid="{00000000-0010-0000-0800-000005000000}" name="ВидСвёртка" dataDxfId="1619">
      <calculatedColumnFormula>IFERROR(IF(IFERROR(SEARCH("Прив",Свёртка[[#This Row],[ФСвёртка]]),0)&gt;0,"ошибка",IF(IFERROR(SEARCH("Матр",Свёртка[[#This Row],[ФСвёртка]]),0)&gt;0,"Свёртка","ошибка")),"ошибка")</calculatedColumnFormula>
    </tableColumn>
    <tableColumn id="8" xr3:uid="{00000000-0010-0000-0800-000008000000}" name="Наименование" dataDxfId="1618">
      <calculatedColumnFormula>IFERROR(IF(LEN((INDIRECT(Свёртка[[#This Row],[СНаименование]],FALSE)))=0,"ошибка",IFERROR(INDIRECT(Свёртка[[#This Row],[СНаименование]],FALSE),"ошибка")),"ошибка")</calculatedColumnFormula>
    </tableColumn>
    <tableColumn id="7" xr3:uid="{00000000-0010-0000-0800-000007000000}" name="СНаименование" dataDxfId="1617">
      <calculatedColumnFormula>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calculatedColumnFormula>
    </tableColumn>
    <tableColumn id="6" xr3:uid="{00000000-0010-0000-0800-000006000000}" name="O.K.Свёртка" dataDxfId="1616">
      <calculatedColumnFormula>IF(Свёртка[[#This Row],[ВидСвёртка]]="Свёртка",1,-1)</calculatedColumnFormula>
    </tableColumn>
  </tableColumns>
  <tableStyleInfo name="TableStyleMedium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4" xr:uid="{00000000-000C-0000-FFFF-FFFF09000000}" name="Критерий" displayName="Критерий" ref="B9:S123" totalsRowShown="0" headerRowDxfId="1615">
  <autoFilter ref="B9:S123" xr:uid="{00000000-0009-0000-0100-0000FE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900-000001000000}" name="№" dataDxfId="1614">
      <calculatedColumnFormula>IF(AND(Критерий[[#This Row],[Критерий]]&lt;&gt;"",Критерий[[#This Row],[O.K.Критерий]]=1),ROW()-ROW(Критерий[[#Headers],[№]]),"")</calculatedColumnFormula>
    </tableColumn>
    <tableColumn id="2" xr3:uid="{00000000-0010-0000-0900-000002000000}" name="Критерий" dataDxfId="1613">
      <calculatedColumnFormula>Модель!BL41</calculatedColumnFormula>
    </tableColumn>
    <tableColumn id="3" xr3:uid="{00000000-0010-0000-0900-000003000000}" name="Скритерий" dataDxfId="1612">
      <calculatedColumnFormula>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calculatedColumnFormula>
    </tableColumn>
    <tableColumn id="4" xr3:uid="{00000000-0010-0000-0900-000004000000}" name="ВидКритерий" dataDxfId="1611">
      <calculatedColumnFormula>IFERROR(IF(IFERROR(SEARCH("Прив",Критерий[[#This Row],[Фкритерий]]),0)&gt;0,"Критерий",IF(IFERROR(SEARCH("Матр",Критерий[[#This Row],[Фкритерий]]),0)&gt;0,"ошибка","ошибка")),"ошибка")</calculatedColumnFormula>
    </tableColumn>
    <tableColumn id="18" xr3:uid="{00000000-0010-0000-0900-000012000000}" name="Наименование" dataDxfId="1610">
      <calculatedColumnFormula>IFERROR(IF(LEN((INDIRECT(Критерий[[#This Row],[СНаименование]],FALSE)))=0,"ошибка",IFERROR(INDIRECT(Критерий[[#This Row],[СНаименование]],FALSE),"ошибка")),"ошибка")</calculatedColumnFormula>
    </tableColumn>
    <tableColumn id="17" xr3:uid="{00000000-0010-0000-0900-000011000000}" name="СНаименование" dataDxfId="1609">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calculatedColumnFormula>
    </tableColumn>
    <tableColumn id="5" xr3:uid="{00000000-0010-0000-0900-000005000000}" name="ФизКритерий" dataDxfId="1608">
      <calculatedColumnFormula>IFERROR(IF(N(INDIRECT(Критерий[[#This Row],[СФизКритерий]],FALSE))=0,"ошибка",IFERROR(INDIRECT(Критерий[[#This Row],[СФизКритерий]],FALSE),"ошибка")),"ошибка")</calculatedColumnFormula>
    </tableColumn>
    <tableColumn id="6" xr3:uid="{00000000-0010-0000-0900-000006000000}" name="СФизКритерий" dataDxfId="1607">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calculatedColumnFormula>
    </tableColumn>
    <tableColumn id="7" xr3:uid="{00000000-0010-0000-0900-000007000000}" name="ТипКритерий" dataDxfId="1606">
      <calculatedColumnFormula>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calculatedColumnFormula>
    </tableColumn>
    <tableColumn id="8" xr3:uid="{00000000-0010-0000-0900-000008000000}" name="СТипКритерий" dataDxfId="1605">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calculatedColumnFormula>
    </tableColumn>
    <tableColumn id="9" xr3:uid="{00000000-0010-0000-0900-000009000000}" name="Фкритерий" dataDxfId="1604">
      <calculatedColumnFormula>IFERROR(_xlfn.FORMULATEXT(INDIRECT(Критерий[[#This Row],[Скритерий]],FALSE)),"ошибка")</calculatedColumnFormula>
    </tableColumn>
    <tableColumn id="10" xr3:uid="{00000000-0010-0000-0900-00000A000000}" name="МинФизКритерий" dataDxfId="1603">
      <calculatedColumnFormula>IFERROR(IF(N(INDIRECT(Критерий[[#This Row],[СМинФизКритерий]],FALSE))=0,"ошибка",IFERROR(INDIRECT(Критерий[[#This Row],[СМинФизКритерий]],FALSE),"ошибка")),"ошибка")</calculatedColumnFormula>
    </tableColumn>
    <tableColumn id="11" xr3:uid="{00000000-0010-0000-0900-00000B000000}" name="СМинФизКритерий" dataDxfId="1602">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calculatedColumnFormula>
    </tableColumn>
    <tableColumn id="12" xr3:uid="{00000000-0010-0000-0900-00000C000000}" name="МаксФизКритерий" dataDxfId="1601">
      <calculatedColumnFormula>IFERROR(IF(N(INDIRECT(Критерий[[#This Row],[СМаксФизКритерий]],FALSE))=0,"ошибка",IFERROR(INDIRECT(Критерий[[#This Row],[СМаксФизКритерий]],FALSE),"ошибка")),"ошибка")</calculatedColumnFormula>
    </tableColumn>
    <tableColumn id="13" xr3:uid="{00000000-0010-0000-0900-00000D000000}" name="СМаксФизКритерий" dataDxfId="1600">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calculatedColumnFormula>
    </tableColumn>
    <tableColumn id="14" xr3:uid="{00000000-0010-0000-0900-00000E000000}" name="СрФизКритерий" dataDxfId="1599">
      <calculatedColumnFormula>IFERROR(IF(N(INDIRECT(Критерий[[#This Row],[ССрФизКритерий]],FALSE))=0,"ошибка",IFERROR(INDIRECT(Критерий[[#This Row],[ССрФизКритерий]],FALSE),"ошибка")),"")</calculatedColumnFormula>
    </tableColumn>
    <tableColumn id="15" xr3:uid="{00000000-0010-0000-0900-00000F000000}" name="ССрФизКритерий" dataDxfId="1598">
      <calculatedColumnFormula>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calculatedColumnFormula>
    </tableColumn>
    <tableColumn id="16" xr3:uid="{00000000-0010-0000-0900-000010000000}" name="O.K.Критерий" dataDxfId="1597">
      <calculatedColumnFormula>IFERROR(IF(AND(Критерий[[#This Row],[ВидКритерий]]="Критерий",IFERROR(SEARCH("Приведение",Критерий[[#This Row],[Фкритерий]]),0)&gt;0),1,-1),-1)</calculatedColumnFormula>
    </tableColumn>
  </tableColumns>
  <tableStyleInfo name="TableStyleMedium2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2" xr:uid="{00000000-000C-0000-FFFF-FFFF0A000000}" name="Множество" displayName="Множество" ref="AG9:BL1009" totalsRowShown="0">
  <autoFilter ref="AG9:BL1009" xr:uid="{00000000-0009-0000-0100-0000FC000000}"/>
  <tableColumns count="32">
    <tableColumn id="32" xr3:uid="{00000000-0010-0000-0A00-000020000000}" name="№" dataDxfId="1596">
      <calculatedColumnFormula>IF(AND(Множество[[#This Row],[Y]]=1),ROW()-ROW(Множество[[#Headers],[№]]),"")</calculatedColumnFormula>
    </tableColumn>
    <tableColumn id="1" xr3:uid="{00000000-0010-0000-0A00-000001000000}" name="Оценки"/>
    <tableColumn id="2" xr3:uid="{00000000-0010-0000-0A00-000002000000}" name="Свёртка" dataDxfId="1595"/>
    <tableColumn id="29" xr3:uid="{00000000-0010-0000-0A00-00001D000000}" name="_" dataDxfId="1594">
      <calculatedColumnFormula>IF(LEN(Множество[[#This Row],[Свёртка]])&gt;0,1,-1)</calculatedColumnFormula>
    </tableColumn>
    <tableColumn id="3" xr3:uid="{00000000-0010-0000-0A00-000003000000}" name="Критерии" dataDxfId="1593"/>
    <tableColumn id="30" xr3:uid="{00000000-0010-0000-0A00-00001E000000}" name="__" dataDxfId="1592">
      <calculatedColumnFormula>IF(LEN(Множество[[#This Row],[Критерии]])&gt;0,1,-1)</calculatedColumnFormula>
    </tableColumn>
    <tableColumn id="31" xr3:uid="{00000000-0010-0000-0A00-00001F000000}" name="Y" dataDxfId="1591">
      <calculatedColumnFormula>IF(AND(LEN(Множество[[#This Row],[Свёртка]])&gt;0,LEN(Множество[[#This Row],[Критерии]])&gt;0,LEN(Множество[[#This Row],[Оценки]])&gt;0),1,-1)</calculatedColumnFormula>
    </tableColumn>
    <tableColumn id="4" xr3:uid="{00000000-0010-0000-0A00-000004000000}" name="1" dataDxfId="1590"/>
    <tableColumn id="5" xr3:uid="{00000000-0010-0000-0A00-000005000000}" name="2" dataDxfId="1589"/>
    <tableColumn id="6" xr3:uid="{00000000-0010-0000-0A00-000006000000}" name="3" dataDxfId="1588"/>
    <tableColumn id="7" xr3:uid="{00000000-0010-0000-0A00-000007000000}" name="4" dataDxfId="1587"/>
    <tableColumn id="8" xr3:uid="{00000000-0010-0000-0A00-000008000000}" name="5" dataDxfId="1586"/>
    <tableColumn id="9" xr3:uid="{00000000-0010-0000-0A00-000009000000}" name="6" dataDxfId="1585"/>
    <tableColumn id="10" xr3:uid="{00000000-0010-0000-0A00-00000A000000}" name="7" dataDxfId="1584"/>
    <tableColumn id="11" xr3:uid="{00000000-0010-0000-0A00-00000B000000}" name="8" dataDxfId="1583"/>
    <tableColumn id="12" xr3:uid="{00000000-0010-0000-0A00-00000C000000}" name="9" dataDxfId="1582"/>
    <tableColumn id="13" xr3:uid="{00000000-0010-0000-0A00-00000D000000}" name="10" dataDxfId="1581"/>
    <tableColumn id="14" xr3:uid="{00000000-0010-0000-0A00-00000E000000}" name="11" dataDxfId="1580"/>
    <tableColumn id="15" xr3:uid="{00000000-0010-0000-0A00-00000F000000}" name="12" dataDxfId="1579"/>
    <tableColumn id="16" xr3:uid="{00000000-0010-0000-0A00-000010000000}" name="13"/>
    <tableColumn id="17" xr3:uid="{00000000-0010-0000-0A00-000011000000}" name="14"/>
    <tableColumn id="18" xr3:uid="{00000000-0010-0000-0A00-000012000000}" name="15"/>
    <tableColumn id="19" xr3:uid="{00000000-0010-0000-0A00-000013000000}" name="16"/>
    <tableColumn id="20" xr3:uid="{00000000-0010-0000-0A00-000014000000}" name="17"/>
    <tableColumn id="21" xr3:uid="{00000000-0010-0000-0A00-000015000000}" name="18"/>
    <tableColumn id="22" xr3:uid="{00000000-0010-0000-0A00-000016000000}" name="19"/>
    <tableColumn id="23" xr3:uid="{00000000-0010-0000-0A00-000017000000}" name="20"/>
    <tableColumn id="24" xr3:uid="{00000000-0010-0000-0A00-000018000000}" name="21"/>
    <tableColumn id="25" xr3:uid="{00000000-0010-0000-0A00-000019000000}" name="22"/>
    <tableColumn id="26" xr3:uid="{00000000-0010-0000-0A00-00001A000000}" name="23"/>
    <tableColumn id="27" xr3:uid="{00000000-0010-0000-0A00-00001B000000}" name="24"/>
    <tableColumn id="28" xr3:uid="{00000000-0010-0000-0A00-00001C000000}" name="25"/>
  </tableColumns>
  <tableStyleInfo name="TableStyleMedium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4" xr:uid="{4EFA0135-3488-49A6-B776-02F2072BF39E}" name="Множество_202208012240571257" displayName="Множество_202208012240571257" ref="A1:H350" totalsRowShown="0">
  <autoFilter ref="A1:H350" xr:uid="{4EFA0135-3488-49A6-B776-02F2072BF39E}"/>
  <tableColumns count="8">
    <tableColumn id="1" xr3:uid="{2916B108-A14E-4D63-ADA3-54B13637B446}" name="№"/>
    <tableColumn id="2" xr3:uid="{A055531B-69D7-49F9-AE1A-88D1FAB92A1F}" name="Свёртка"/>
    <tableColumn id="3" xr3:uid="{520774BA-FA30-4384-A725-070F32739440}" name="Наимен_Св"/>
    <tableColumn id="4" xr3:uid="{2ECF71AF-F16E-4123-BB42-C5E1558CD9BF}" name="Критерии"/>
    <tableColumn id="5" xr3:uid="{A5DE3553-A807-4DF6-96F5-055BE7773A74}" name="Наимен_Кр"/>
    <tableColumn id="6" xr3:uid="{8B1F1EBE-F075-49B4-86E1-31829834F69E}" name="1" dataDxfId="8"/>
    <tableColumn id="7" xr3:uid="{1644A3FB-C345-48B2-9EC6-02AF59F39D80}" name="2"/>
    <tableColumn id="8" xr3:uid="{C6579431-14D1-46CC-8059-87499A3673DE}" name="3"/>
  </tableColumns>
  <tableStyleInfo name="TableStyleMedium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2" xr:uid="{09A9F3B6-6588-4FDB-B001-B11284EC0BA0}" name="Множество_202207112140401240" displayName="Множество_202207112140401240" ref="A1:AC350" totalsRowShown="0">
  <tableColumns count="29">
    <tableColumn id="1" xr3:uid="{06212CC3-8D99-4E55-B21D-4FB1517B43F6}" name="№"/>
    <tableColumn id="2" xr3:uid="{58803833-A83E-4682-8EFD-A36E55C35904}" name="Свёртка"/>
    <tableColumn id="3" xr3:uid="{DDC4762C-3E3A-41A3-BB4A-0978059ACC3B}" name="Наимен_Св"/>
    <tableColumn id="4" xr3:uid="{BEDC5BED-866B-4E4B-9954-2C08E3967790}" name="Критерии"/>
    <tableColumn id="5" xr3:uid="{5D078A4A-57E9-41B5-ACE5-3B70B17523CA}" name="Наимен_Кр"/>
    <tableColumn id="6" xr3:uid="{069EDE6A-4912-4435-AF15-91382029596D}" name="1" dataDxfId="1578"/>
    <tableColumn id="7" xr3:uid="{A646C2BD-C5A1-4774-9956-AB102C503DCB}" name="2"/>
    <tableColumn id="8" xr3:uid="{216DBFD0-D318-4F0E-BB94-351EEE35D091}" name="3"/>
    <tableColumn id="9" xr3:uid="{511D447B-1223-470E-8A68-97F6192FECB0}" name="4"/>
    <tableColumn id="10" xr3:uid="{ADE252A0-97F7-4A61-A160-69BAAC9C904B}" name="5"/>
    <tableColumn id="11" xr3:uid="{643F3B71-DEA4-43D3-8A68-99FE46371B73}" name="6" dataDxfId="1577">
      <calculatedColumnFormula>Множество_202207112140401240[[#This Row],[2]]-Множество_202207112140401240[[#This Row],[4]]</calculatedColumnFormula>
    </tableColumn>
    <tableColumn id="12" xr3:uid="{25AE5F56-27CC-4500-8976-8CEACA1D0B5D}" name="7" dataDxfId="1576">
      <calculatedColumnFormula>Множество_202207112140401240[[#This Row],[3]]-Множество_202207112140401240[[#This Row],[5]]</calculatedColumnFormula>
    </tableColumn>
    <tableColumn id="13" xr3:uid="{1F2CF093-74EA-4A64-80F3-498E587472A4}" name="8" dataDxfId="1575">
      <calculatedColumnFormula>Множество_202207112140401240[[#This Row],[7]]+Множество_202207112140401240[[#This Row],[6]]</calculatedColumnFormula>
    </tableColumn>
    <tableColumn id="14" xr3:uid="{28328E01-7F79-4C49-A894-4AE743D2C5BB}" name="9" dataDxfId="1574">
      <calculatedColumnFormula>CONCATENATE(Множество_202207112140401240[[#This Row],[2]],Множество_202207112140401240[[#This Row],[3]])</calculatedColumnFormula>
    </tableColumn>
    <tableColumn id="23" xr3:uid="{81F659A1-89D2-45E1-AFC8-86527972CA78}" name="93" dataDxfId="1573"/>
    <tableColumn id="22" xr3:uid="{73D7CCCF-D9A3-45AD-AA06-8230BA3E7609}" name="92" dataDxfId="1572"/>
    <tableColumn id="15" xr3:uid="{E506CA14-1B96-4140-86E7-E3308A2004E0}" name="10" dataDxfId="1571"/>
    <tableColumn id="16" xr3:uid="{67F4F3A4-B58E-49E4-A748-D616A32CC495}" name="11" dataDxfId="1570"/>
    <tableColumn id="17" xr3:uid="{6EE5907C-6E61-4E15-83D0-082C86646412}" name="12" dataDxfId="1569"/>
    <tableColumn id="18" xr3:uid="{CE15FCB0-6664-4229-AD13-D6DE385798B8}" name="13" dataDxfId="1568"/>
    <tableColumn id="19" xr3:uid="{48DD02C1-A59E-46B1-A41F-09099F31141C}" name="14" dataDxfId="1567">
      <calculatedColumnFormula>ABS(Множество_202207112140401240[[#This Row],[10]]-Множество_202207112140401240[[#This Row],[12]])</calculatedColumnFormula>
    </tableColumn>
    <tableColumn id="20" xr3:uid="{2E53DAFD-9B5D-4CD8-A78B-5A9AE2741F69}" name="15" dataDxfId="1566">
      <calculatedColumnFormula>ABS(Множество_202207112140401240[[#This Row],[11]]-Множество_202207112140401240[[#This Row],[13]])</calculatedColumnFormula>
    </tableColumn>
    <tableColumn id="21" xr3:uid="{9E4CF234-518E-426F-BC3B-B270367F5FAA}" name="16" dataDxfId="1565">
      <calculatedColumnFormula>Множество_202207112140401240[[#This Row],[15]]+Множество_202207112140401240[[#This Row],[14]]</calculatedColumnFormula>
    </tableColumn>
    <tableColumn id="24" xr3:uid="{B7232E20-627E-4A50-BC36-58EC92D75C18}" name="17" dataDxfId="3">
      <calculatedColumnFormula>IF(ROW()-ROW(Множество_202207112140401240[[#Headers],[17]])&gt;1,Множество_202207112140401240[[#This Row],[16]]-OFFSET(Множество_202207112140401240[[#This Row],[16]],-1,0),0)</calculatedColumnFormula>
    </tableColumn>
    <tableColumn id="25" xr3:uid="{6714C3DB-63BF-43AA-8C01-BB3F63734946}" name="18" dataDxfId="827"/>
    <tableColumn id="26" xr3:uid="{D0CCCAA8-D28E-4538-82E5-7850D562E4AC}" name="19" dataDxfId="826"/>
    <tableColumn id="27" xr3:uid="{D7F561EB-8604-45DA-8652-4D064239875A}" name="20" dataDxfId="6">
      <calculatedColumnFormula>ABS(Множество_202207112140401240[[#This Row],[18]]-Множество_202207112140401240[[#This Row],[12]])</calculatedColumnFormula>
    </tableColumn>
    <tableColumn id="28" xr3:uid="{3465A9AE-3AE9-4BED-8628-67255BCB8EEF}" name="21" dataDxfId="5">
      <calculatedColumnFormula>ABS(Множество_202207112140401240[[#This Row],[19]]-Множество_202207112140401240[[#This Row],[13]])</calculatedColumnFormula>
    </tableColumn>
    <tableColumn id="29" xr3:uid="{E219D95C-29E0-4466-9511-CCA5DB391403}" name="22" dataDxfId="7">
      <calculatedColumnFormula>Множество_202207112140401240[[#This Row],[20]]+Множество_202207112140401240[[#This Row],[21]]</calculatedColumnFormula>
    </tableColumn>
  </tableColumns>
  <tableStyleInfo name="TableStyleMedium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0" xr:uid="{7B554926-C43F-4EEB-B064-93DE98488297}" name="Множество_202110192249441244" displayName="Множество_202110192249441244" ref="A1:O1001" totalsRowShown="0">
  <autoFilter ref="A1:O1001" xr:uid="{7B554926-C43F-4EEB-B064-93DE98488297}"/>
  <tableColumns count="15">
    <tableColumn id="1" xr3:uid="{15FAD782-54C7-4A25-BAE1-EE49E14AE643}" name="№"/>
    <tableColumn id="2" xr3:uid="{A79F6844-A5DB-46C4-907D-367AE64A2812}" name="Свёртка"/>
    <tableColumn id="3" xr3:uid="{9CB2619F-F617-44C8-AB3F-E02C8A38E47C}" name="Наимен_Св"/>
    <tableColumn id="4" xr3:uid="{6FCAD69D-13DD-4CAC-BF1C-E0319EAE664E}" name="Критерии"/>
    <tableColumn id="5" xr3:uid="{0E6E58C4-43EC-4F8E-A261-8AEEED04D212}" name="Наимен_Кр"/>
    <tableColumn id="6" xr3:uid="{7FFF4A11-FD51-495B-86D9-F5C753986BF7}" name="1" dataDxfId="1564"/>
    <tableColumn id="7" xr3:uid="{0C29E531-75CA-44A9-B17C-B2C2BC48EA13}" name="2"/>
    <tableColumn id="8" xr3:uid="{C4A1AC79-40EE-402E-AA65-93AB86EE36DC}" name="3"/>
    <tableColumn id="9" xr3:uid="{35E991D4-015E-4B5C-910A-11C13B17167C}" name="4"/>
    <tableColumn id="10" xr3:uid="{828048E4-AB1C-43EB-9272-F3FF5350F26E}" name="5"/>
    <tableColumn id="11" xr3:uid="{288B1414-5DAC-480C-9B3B-F538B28A0EB8}" name="6"/>
    <tableColumn id="12" xr3:uid="{FEAE6FEB-D0F4-469D-927F-59AB72995EA2}" name="7"/>
    <tableColumn id="13" xr3:uid="{BBD75AD2-00DA-4EC5-B4F2-2AFBED378604}" name="8"/>
    <tableColumn id="14" xr3:uid="{68ABC44D-BA39-45B1-8EB5-B603B960E96A}" name="9"/>
    <tableColumn id="15" xr3:uid="{CFDA32BD-9B71-4062-A556-F22832D8F75E}" name="10"/>
  </tableColumns>
  <tableStyleInfo name="TableStyleMedium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6" xr:uid="{00000000-000C-0000-FFFF-FFFF00000000}" name="Таблица1372257259" displayName="Таблица1372257259" ref="R32:T38" totalsRowCount="1" headerRowDxfId="1563" dataDxfId="1562" totalsRowDxfId="1561">
  <autoFilter ref="R32:T37" xr:uid="{00000000-0009-0000-0100-000014010000}"/>
  <tableColumns count="3">
    <tableColumn id="1" xr3:uid="{00000000-0010-0000-0000-000001000000}" name="№_Э" totalsRowLabel="Итог" dataDxfId="1560" totalsRowDxfId="1559">
      <calculatedColumnFormula>ROW()-ROW(Таблица1372257259[#Headers])</calculatedColumnFormula>
    </tableColumn>
    <tableColumn id="3" xr3:uid="{00000000-0010-0000-0000-000003000000}" name="_" totalsRowFunction="custom" dataDxfId="1558" totalsRowDxfId="1557">
      <calculatedColumnFormula>Фантом</calculatedColumnFormula>
      <totalsRowFormula>MAX(Таблица1372257259[№_Э])</totalsRowFormula>
    </tableColumn>
    <tableColumn id="2" xr3:uid="{00000000-0010-0000-0000-000002000000}" name="О" totalsRowFunction="custom" dataDxfId="1556" totalsRowDxfId="1555">
      <totalsRowFormula>MEDIAN(Таблица1372257259[_]:Таблица1372257259[О])</totalsRowFormula>
    </tableColumn>
  </tableColumns>
  <tableStyleInfo name="Моя таблица"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8" xr:uid="{18F1151C-FB34-4C09-981C-4C10A54C5E22}" name="Таблица258" displayName="Таблица258" ref="A1:C1001" totalsRowShown="0">
  <autoFilter ref="A1:C1001" xr:uid="{AE1FDDD5-11CE-4320-9DC6-A33F330789C2}"/>
  <sortState xmlns:xlrd2="http://schemas.microsoft.com/office/spreadsheetml/2017/richdata2" ref="A2:C1001">
    <sortCondition ref="B1:B1001"/>
  </sortState>
  <tableColumns count="3">
    <tableColumn id="1" xr3:uid="{D88A851F-CCC7-44E7-A788-469FAF950F53}" name="Столбец1"/>
    <tableColumn id="2" xr3:uid="{9CDB4478-689D-415A-923E-D98812A54289}" name="Столбец2"/>
    <tableColumn id="3" xr3:uid="{CF828117-0E36-40E9-863E-3745067D0448}" name="Столбец3" dataDxfId="1554">
      <calculatedColumnFormula>CONCATENATE(Таблица258[[#This Row],[Столбец1]],Таблица258[[#This Row],[Столбец2]])</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1" xr:uid="{CD38F3B6-A1FF-414A-8AD9-35A90A9ABDA8}" name="Таблица271" displayName="Таблица271" ref="E1:G1001" totalsRowShown="0">
  <autoFilter ref="E1:G1001" xr:uid="{294CE420-7ACB-4200-AADE-5C19BC25D672}"/>
  <sortState xmlns:xlrd2="http://schemas.microsoft.com/office/spreadsheetml/2017/richdata2" ref="E2:G1001">
    <sortCondition ref="F1:F1001"/>
  </sortState>
  <tableColumns count="3">
    <tableColumn id="1" xr3:uid="{17AC7BA5-3D1E-4D02-A3FB-9393A3B6119B}" name="Столбец1"/>
    <tableColumn id="2" xr3:uid="{143663D6-D263-4213-BC5E-4DE78F19AA9E}" name="Столбец2"/>
    <tableColumn id="3" xr3:uid="{12338914-827F-4F4D-8F64-3A80B34F299A}" name="Столбец3" dataDxfId="1553">
      <calculatedColumnFormula>CONCATENATE(Таблица271[[#This Row],[Столбец1]],Таблица271[[#This Row],[Столбец2]])</calculatedColumnFormula>
    </tableColumn>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5" xr:uid="{00000000-000C-0000-FFFF-FFFF0B000000}" name="Свёртка_Подбор_2" displayName="Свёртка_Подбор_2" ref="B10:J16" totalsRowShown="0" headerRowDxfId="1552">
  <autoFilter ref="B10:J16" xr:uid="{00000000-0009-0000-0100-0000FF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B00-000001000000}" name="№" dataDxfId="1551">
      <calculatedColumnFormula>IF(AND(Свёртка_Подбор_2[[#This Row],[Свёртка]]&lt;&gt;"",Свёртка_Подбор_2[[#This Row],[O.K.Свёртка]]=1),ROW()-ROW(Свёртка_Подбор_2[[#Headers],[№]]),"")</calculatedColumnFormula>
    </tableColumn>
    <tableColumn id="2" xr3:uid="{00000000-0010-0000-0B00-000002000000}" name="Свёртка" dataDxfId="1550">
      <calculatedColumnFormula>Модель!CF5</calculatedColumnFormula>
    </tableColumn>
    <tableColumn id="3" xr3:uid="{00000000-0010-0000-0B00-000003000000}" name="ССвёртка" dataDxfId="1549">
      <calculatedColumnFormula>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calculatedColumnFormula>
    </tableColumn>
    <tableColumn id="4" xr3:uid="{00000000-0010-0000-0B00-000004000000}" name="ФСвёртка" dataDxfId="1548">
      <calculatedColumnFormula>IFERROR(_xlfn.FORMULATEXT(INDIRECT(Свёртка_Подбор_2[[#This Row],[ССвёртка]],FALSE)),"ошибка")</calculatedColumnFormula>
    </tableColumn>
    <tableColumn id="5" xr3:uid="{00000000-0010-0000-0B00-000005000000}" name="ВидСвёртка" dataDxfId="1547">
      <calculatedColumnFormula>IFERROR(IF(LEFT(Свёртка_Подбор_2[[#This Row],[ФСвёртка]],5)="=Прив","ошибка",IF(LEFT(Свёртка_Подбор_2[[#This Row],[ФСвёртка]],5)="=Матр","Свёртка","ошибка")),"ошибка")</calculatedColumnFormula>
    </tableColumn>
    <tableColumn id="7" xr3:uid="{00000000-0010-0000-0B00-000007000000}" name="Наименование" dataDxfId="1546">
      <calculatedColumnFormula>IFERROR(IF(LEN((INDIRECT(Свёртка_Подбор_2[[#This Row],[СНаименование]],FALSE)))=0,"ошибка",IFERROR(INDIRECT(Свёртка_Подбор_2[[#This Row],[СНаименование]],FALSE),"ошибка")),"ошибка")</calculatedColumnFormula>
    </tableColumn>
    <tableColumn id="8" xr3:uid="{00000000-0010-0000-0B00-000008000000}" name="СНаименование" dataDxfId="1545">
      <calculatedColumnFormula>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calculatedColumnFormula>
    </tableColumn>
    <tableColumn id="10" xr3:uid="{00000000-0010-0000-0B00-00000A000000}" name="Искомое" dataDxfId="1544"/>
    <tableColumn id="6" xr3:uid="{00000000-0010-0000-0B00-000006000000}" name="O.K.Свёртка" dataDxfId="1543">
      <calculatedColumnFormula>IF(AND(Свёртка_Подбор_2[[#This Row],[ВидСвёртка]]="Свёртка",LEN(Свёртка_Подбор_2[[#This Row],[Искомое]])&lt;&gt;0,AND(Свёртка_Подбор_2[[#This Row],[Искомое]]&gt;=1,Свёртка_Подбор_2[[#This Row],[Искомое]]&lt;=4)),1,-1)</calculatedColumnFormula>
    </tableColumn>
  </tableColumns>
  <tableStyleInfo name="TableStyleMedium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0" xr:uid="{00000000-000C-0000-FFFF-FFFF0C000000}" name="Критерий_Перебор_2_20170709140117" displayName="Критерий_Перебор_2_20170709140117" ref="B9:S12" totalsRowShown="0">
  <autoFilter ref="B9:S12" xr:uid="{00000000-0009-0000-0100-000004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C00-000001000000}" name="№">
      <calculatedColumnFormula>IF(AND(Критерий_Перебор_2_20170709140117[[#This Row],[Критерий]]&lt;&gt;"",Критерий_Перебор_2_20170709140117[[#This Row],[O.K.Критерий]]=1),ROW()-ROW(Критерий_Перебор_2_20170709140117[[#Headers],[№]]),"")</calculatedColumnFormula>
    </tableColumn>
    <tableColumn id="2" xr3:uid="{00000000-0010-0000-0C00-000002000000}" name="Критерий">
      <calculatedColumnFormula>Модель!#REF!</calculatedColumnFormula>
    </tableColumn>
    <tableColumn id="3" xr3:uid="{00000000-0010-0000-0C00-000003000000}" name="Скритерий">
      <calculatedColumnFormula>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calculatedColumnFormula>
    </tableColumn>
    <tableColumn id="4" xr3:uid="{00000000-0010-0000-0C00-000004000000}" name="ВидКритерий">
      <calculatedColumnFormula>IFERROR(IF(LEFT(Критерий_Перебор_2_20170709140117[[#This Row],[Фкритерий]],5)="=Прив","Критерий",IF(LEFT(Критерий_Перебор_2_20170709140117[[#This Row],[Фкритерий]],5)="=Матр","ошибка","ошибка")),"ошибка")</calculatedColumnFormula>
    </tableColumn>
    <tableColumn id="5" xr3:uid="{00000000-0010-0000-0C00-000005000000}" name="Наименование">
      <calculatedColumnFormula>IFERROR(IF(LEN((INDIRECT(Критерий_Перебор_2_20170709140117[[#This Row],[СНаименование]],FALSE)))=0,"ошибка",IFERROR(INDIRECT(Критерий_Перебор_2_20170709140117[[#This Row],[СНаименование]],FALSE),"ошибка")),"ошибка")</calculatedColumnFormula>
    </tableColumn>
    <tableColumn id="6" xr3:uid="{00000000-0010-0000-0C00-000006000000}" name="СНаименование">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calculatedColumnFormula>
    </tableColumn>
    <tableColumn id="7" xr3:uid="{00000000-0010-0000-0C00-000007000000}" name="ФизКритерий">
      <calculatedColumnFormula>IFERROR(IF(N(INDIRECT(Критерий_Перебор_2_20170709140117[[#This Row],[СФизКритерий]],FALSE))=0,"ошибка",IFERROR(INDIRECT(Критерий_Перебор_2_20170709140117[[#This Row],[СФизКритерий]],FALSE),"ошибка")),"ошибка")</calculatedColumnFormula>
    </tableColumn>
    <tableColumn id="8" xr3:uid="{00000000-0010-0000-0C00-000008000000}" name="СФиз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calculatedColumnFormula>
    </tableColumn>
    <tableColumn id="9" xr3:uid="{00000000-0010-0000-0C00-000009000000}" name="ТипКритерий">
      <calculatedColumnFormula>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calculatedColumnFormula>
    </tableColumn>
    <tableColumn id="10" xr3:uid="{00000000-0010-0000-0C00-00000A000000}" name="СТип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calculatedColumnFormula>
    </tableColumn>
    <tableColumn id="11" xr3:uid="{00000000-0010-0000-0C00-00000B000000}" name="Фкритерий">
      <calculatedColumnFormula>IFERROR(_xlfn.FORMULATEXT(INDIRECT(Критерий_Перебор_2_20170709140117[[#This Row],[Скритерий]],FALSE)),"ошибка")</calculatedColumnFormula>
    </tableColumn>
    <tableColumn id="12" xr3:uid="{00000000-0010-0000-0C00-00000C000000}" name="МинФизКритерий">
      <calculatedColumnFormula>IFERROR(IF(N(INDIRECT(Критерий_Перебор_2_20170709140117[[#This Row],[СМинФизКритерий]],FALSE))=0,"ошибка",IFERROR(INDIRECT(Критерий_Перебор_2_20170709140117[[#This Row],[СМинФизКритерий]],FALSE),"ошибка")),"ошибка")</calculatedColumnFormula>
    </tableColumn>
    <tableColumn id="13" xr3:uid="{00000000-0010-0000-0C00-00000D000000}" name="СМинФиз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calculatedColumnFormula>
    </tableColumn>
    <tableColumn id="14" xr3:uid="{00000000-0010-0000-0C00-00000E000000}" name="МаксФизКритерий">
      <calculatedColumnFormula>IFERROR(IF(N(INDIRECT(Критерий_Перебор_2_20170709140117[[#This Row],[СМаксФизКритерий]],FALSE))=0,"ошибка",IFERROR(INDIRECT(Критерий_Перебор_2_20170709140117[[#This Row],[СМаксФизКритерий]],FALSE),"ошибка")),"ошибка")</calculatedColumnFormula>
    </tableColumn>
    <tableColumn id="15" xr3:uid="{00000000-0010-0000-0C00-00000F000000}" name="СМаксФиз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calculatedColumnFormula>
    </tableColumn>
    <tableColumn id="16" xr3:uid="{00000000-0010-0000-0C00-000010000000}" name="СрФизКритерий">
      <calculatedColumnFormula>IFERROR(IF(N(INDIRECT(Критерий_Перебор_2_20170709140117[[#This Row],[ССрФизКритерий]],FALSE))=0,"ошибка",IFERROR(INDIRECT(Критерий_Перебор_2_20170709140117[[#This Row],[ССрФизКритерий]],FALSE),"ошибка")),"")</calculatedColumnFormula>
    </tableColumn>
    <tableColumn id="17" xr3:uid="{00000000-0010-0000-0C00-000011000000}" name="ССрФизКритерий">
      <calculatedColumnFormula>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calculatedColumnFormula>
    </tableColumn>
    <tableColumn id="18" xr3:uid="{00000000-0010-0000-0C00-000012000000}" name="O.K.Критерий" dataDxfId="1542">
      <calculatedColumnFormula>IFERROR(IF(AND(Критерий_Перебор_2_20170709140117[[#This Row],[ВидКритерий]]="Критерий",Критерий_Перебор_2_20170709140117[[#This Row],[Фкритерий]]="=Приведение"),1,-1),-1)</calculatedColumnFormula>
    </tableColumn>
  </tableColumns>
  <tableStyleInfo name="TableStyleMedium2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4" xr:uid="{00000000-000C-0000-FFFF-FFFF0D000000}" name="Свёртка_Перебор_2_20170709140117" displayName="Свёртка_Перебор_2_20170709140117" ref="V9:CJ11" totalsRowShown="0">
  <autoFilter ref="V9:CJ11" xr:uid="{00000000-0009-0000-0100-000008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autoFilter>
  <tableColumns count="67">
    <tableColumn id="1" xr3:uid="{00000000-0010-0000-0D00-000001000000}" name="№">
      <calculatedColumnFormula>IF(AND(Свёртка_Перебор_2_20170709140117[[#This Row],[Свёртка]]&lt;&gt;"",Свёртка_Перебор_2_20170709140117[[#This Row],[O.K.Свёртка]]=1),ROW()-ROW(Свёртка_Перебор_2_20170709140117[[#Headers],[№]]),"")</calculatedColumnFormula>
    </tableColumn>
    <tableColumn id="2" xr3:uid="{00000000-0010-0000-0D00-000002000000}" name="Свёртка">
      <calculatedColumnFormula>Модель!#REF!</calculatedColumnFormula>
    </tableColumn>
    <tableColumn id="3" xr3:uid="{00000000-0010-0000-0D00-000003000000}" name="ССвёртка">
      <calculatedColumnFormula>IFERROR(IF(AND(Свёртка_Перебор_2_20170709140117[[#This Row],[Свёртка]]&gt;=1,Свёртка_Перебор_2_20170709140117[[#This Row],[Свёртка]]&lt;=4),IF(IFERROR(FIND("!",_xlfn.FORMULATEXT(Свёртка_Перебор_2_20170709140117[[#This Row],[Свёртка]])),"на странице")="на странице",CONCATENATE("R",ROW((INDIRECT(RIGHT(_xlfn.FORMULATEXT(Свёртка_Перебор_2_20170709140117[[#This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Row],[Свёртка]]))-1),FALSE)))-X$6),CONCATENATE(RIGHT(LEFT(_xlfn.FORMULATEXT(Свёртка_Перебор_2_20170709140117[[#This Row],[Свёртка]]),FIND("!",_xlfn.FORMULATEXT(Свёртка_Перебор_2_20170709140117[[#This Row],[Свёртка]]))),LEN(LEFT(_xlfn.FORMULATEXT(Свёртка_Перебор_2_20170709140117[[#This Row],[Свёртка]]),FIND("!",_xlfn.FORMULATEXT(Свёртка_Перебор_2_20170709140117[[#This Row],[Свёртка]]))))-1),"R",ROW((INDIRECT(RIGHT(_xlfn.FORMULATEXT(Свёртка_Перебор_2_20170709140117[[#This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Row],[Свёртка]]))-1),FALSE)))-X$6)),"ошибка"),"ошибка")</calculatedColumnFormula>
    </tableColumn>
    <tableColumn id="4" xr3:uid="{00000000-0010-0000-0D00-000004000000}" name="ФСвёртка">
      <calculatedColumnFormula>IFERROR(_xlfn.FORMULATEXT(INDIRECT(Свёртка_Перебор_2_20170709140117[[#This Row],[ССвёртка]],FALSE)),"ошибка")</calculatedColumnFormula>
    </tableColumn>
    <tableColumn id="5" xr3:uid="{00000000-0010-0000-0D00-000005000000}" name="ВидСвёртка">
      <calculatedColumnFormula>IFERROR(IF(LEFT(Свёртка_Перебор_2_20170709140117[[#This Row],[ФСвёртка]],5)="=Прив","ошибка",IF(LEFT(Свёртка_Перебор_2_20170709140117[[#This Row],[ФСвёртка]],5)="=Матр","Свёртка","ошибка")),"ошибка")</calculatedColumnFormula>
    </tableColumn>
    <tableColumn id="6" xr3:uid="{00000000-0010-0000-0D00-000006000000}" name="Наименование">
      <calculatedColumnFormula>IFERROR(IF(LEN((INDIRECT(Свёртка_Перебор_2_20170709140117[[#This Row],[СНаименование]],FALSE)))=0,"ошибка",IFERROR(INDIRECT(Свёртка_Перебор_2_20170709140117[[#This Row],[СНаименование]],FALSE),"ошибка")),"ошибка")</calculatedColumnFormula>
    </tableColumn>
    <tableColumn id="7" xr3:uid="{00000000-0010-0000-0D00-000007000000}" name="СНаименование">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Row],[ССвёртка]])))+AB$7),FIND("R",Свёртка_Перебор_2_20170709140117[[#This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Row],[ССвёртка]])))+AB$6),"ошибка")</calculatedColumnFormula>
    </tableColumn>
    <tableColumn id="8" xr3:uid="{00000000-0010-0000-0D00-000008000000}" name="СВ_1_1">
      <calculatedColumnFormula>IFERROR(IF(LEN((INDIRECT(Свёртка_Перебор_2_20170709140117[[#This Row],[ССВ_1_1]],FALSE)))=0,"ошибка",IFERROR(INDIRECT(Свёртка_Перебор_2_20170709140117[[#This Row],[ССВ_1_1]],FALSE),"ошибка")),"ошибка")</calculatedColumnFormula>
    </tableColumn>
    <tableColumn id="9" xr3:uid="{00000000-0010-0000-0D00-000009000000}" name="ССВ_1_1">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Row],[ССвёртка]])))+AD$7),FIND("R",Свёртка_Перебор_2_20170709140117[[#This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Row],[ССвёртка]])))+AD$6),"ошибка")</calculatedColumnFormula>
    </tableColumn>
    <tableColumn id="10" xr3:uid="{00000000-0010-0000-0D00-00000A000000}" name="СВ_1_1_OK"/>
    <tableColumn id="11" xr3:uid="{00000000-0010-0000-0D00-00000B000000}" name="СВ_1_1_№"/>
    <tableColumn id="12" xr3:uid="{00000000-0010-0000-0D00-00000C000000}" name="ССВ_1_1_kolvo"/>
    <tableColumn id="13" xr3:uid="{00000000-0010-0000-0D00-00000D000000}" name="СВ_2_1">
      <calculatedColumnFormula>IFERROR(IF(LEN((INDIRECT(Свёртка_Перебор_2_20170709140117[[#This Row],[ССВ_2_1]],FALSE)))=0,"ошибка",IFERROR(INDIRECT(Свёртка_Перебор_2_20170709140117[[#This Row],[ССВ_2_1]],FALSE),"ошибка")),"ошибка")</calculatedColumnFormula>
    </tableColumn>
    <tableColumn id="14" xr3:uid="{00000000-0010-0000-0D00-00000E000000}" name="ССВ_2_1">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Row],[ССвёртка]])))+AI$7),FIND("R",Свёртка_Перебор_2_20170709140117[[#This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Row],[ССвёртка]])))+AI$6),"ошибка")</calculatedColumnFormula>
    </tableColumn>
    <tableColumn id="15" xr3:uid="{00000000-0010-0000-0D00-00000F000000}" name="СВ_2_1_OK"/>
    <tableColumn id="16" xr3:uid="{00000000-0010-0000-0D00-000010000000}" name="СВ_2_1_№"/>
    <tableColumn id="17" xr3:uid="{00000000-0010-0000-0D00-000011000000}" name="ССВ_2_1_kolvo"/>
    <tableColumn id="18" xr3:uid="{00000000-0010-0000-0D00-000012000000}" name="СВ_1_2">
      <calculatedColumnFormula>IFERROR(IF(LEN((INDIRECT(Свёртка_Перебор_2_20170709140117[[#This Row],[ССВ_1_2]],FALSE)))=0,"ошибка",IFERROR(INDIRECT(Свёртка_Перебор_2_20170709140117[[#This Row],[ССВ_1_2]],FALSE),"ошибка")),"ошибка")</calculatedColumnFormula>
    </tableColumn>
    <tableColumn id="19" xr3:uid="{00000000-0010-0000-0D00-000013000000}" name="ССВ_1_2">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Row],[ССвёртка]])))+AN$7),FIND("R",Свёртка_Перебор_2_20170709140117[[#This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Row],[ССвёртка]])))+AN$6),"ошибка")</calculatedColumnFormula>
    </tableColumn>
    <tableColumn id="20" xr3:uid="{00000000-0010-0000-0D00-000014000000}" name="СВ_1_2_OK"/>
    <tableColumn id="21" xr3:uid="{00000000-0010-0000-0D00-000015000000}" name="СВ_1_2_№"/>
    <tableColumn id="22" xr3:uid="{00000000-0010-0000-0D00-000016000000}" name="ССВ_1_2_kolvo"/>
    <tableColumn id="23" xr3:uid="{00000000-0010-0000-0D00-000017000000}" name="СВ_2_2">
      <calculatedColumnFormula>IFERROR(IF(LEN((INDIRECT(Свёртка_Перебор_2_20170709140117[[#This Row],[ССВ_2_2]],FALSE)))=0,"ошибка",IFERROR(INDIRECT(Свёртка_Перебор_2_20170709140117[[#This Row],[ССВ_2_2]],FALSE),"ошибка")),"ошибка")</calculatedColumnFormula>
    </tableColumn>
    <tableColumn id="24" xr3:uid="{00000000-0010-0000-0D00-000018000000}" name="ССВ_2_2">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Row],[ССвёртка]])))+AS$7),FIND("R",Свёртка_Перебор_2_20170709140117[[#This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Row],[ССвёртка]])))+AS$6),"ошибка")</calculatedColumnFormula>
    </tableColumn>
    <tableColumn id="25" xr3:uid="{00000000-0010-0000-0D00-000019000000}" name="СВ_2_2_OK"/>
    <tableColumn id="26" xr3:uid="{00000000-0010-0000-0D00-00001A000000}" name="СВ_2_2_№"/>
    <tableColumn id="27" xr3:uid="{00000000-0010-0000-0D00-00001B000000}" name="ССВ_2_2_kolvo"/>
    <tableColumn id="28" xr3:uid="{00000000-0010-0000-0D00-00001C000000}" name="СВ_3_1">
      <calculatedColumnFormula>IFERROR(IF(LEN((INDIRECT(Свёртка_Перебор_2_20170709140117[[#This Row],[ССВ_3_1]],FALSE)))=0,"ошибка",IFERROR(INDIRECT(Свёртка_Перебор_2_20170709140117[[#This Row],[ССВ_3_1]],FALSE),"ошибка")),"ошибка")</calculatedColumnFormula>
    </tableColumn>
    <tableColumn id="29" xr3:uid="{00000000-0010-0000-0D00-00001D000000}" name="ССВ_3_1">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Row],[ССвёртка]])))+AX$6),"ошибка")</calculatedColumnFormula>
    </tableColumn>
    <tableColumn id="30" xr3:uid="{00000000-0010-0000-0D00-00001E000000}" name="СВ_3_1_OK"/>
    <tableColumn id="31" xr3:uid="{00000000-0010-0000-0D00-00001F000000}" name="СВ_3_1_№"/>
    <tableColumn id="32" xr3:uid="{00000000-0010-0000-0D00-000020000000}" name="ССВ_3_1_kolvo"/>
    <tableColumn id="33" xr3:uid="{00000000-0010-0000-0D00-000021000000}" name="СВ_1_3">
      <calculatedColumnFormula>IFERROR(IF(LEN((INDIRECT(Свёртка_Перебор_2_20170709140117[[#This Row],[ССВ_1_3]],FALSE)))=0,"ошибка",IFERROR(INDIRECT(Свёртка_Перебор_2_20170709140117[[#This Row],[ССВ_1_3]],FALSE),"ошибка")),"ошибка")</calculatedColumnFormula>
    </tableColumn>
    <tableColumn id="34" xr3:uid="{00000000-0010-0000-0D00-000022000000}" name="ССВ_1_3">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Row],[ССвёртка]])))+BC$7),FIND("R",Свёртка_Перебор_2_20170709140117[[#This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Row],[ССвёртка]])))+BC$6),"ошибка")</calculatedColumnFormula>
    </tableColumn>
    <tableColumn id="35" xr3:uid="{00000000-0010-0000-0D00-000023000000}" name="СВ_1_3_OK"/>
    <tableColumn id="36" xr3:uid="{00000000-0010-0000-0D00-000024000000}" name="СВ_1_3_№"/>
    <tableColumn id="37" xr3:uid="{00000000-0010-0000-0D00-000025000000}" name="ССВ_1_3_kolvo"/>
    <tableColumn id="38" xr3:uid="{00000000-0010-0000-0D00-000026000000}" name="СВ_3_2">
      <calculatedColumnFormula>IFERROR(IF(LEN((INDIRECT(Свёртка_Перебор_2_20170709140117[[#This Row],[ССВ_3_2]],FALSE)))=0,"ошибка",IFERROR(INDIRECT(Свёртка_Перебор_2_20170709140117[[#This Row],[ССВ_3_2]],FALSE),"ошибка")),"ошибка")</calculatedColumnFormula>
    </tableColumn>
    <tableColumn id="39" xr3:uid="{00000000-0010-0000-0D00-000027000000}" name="ССВ_3_2">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Row],[ССвёртка]])))+BH$7),FIND("R",Свёртка_Перебор_2_20170709140117[[#This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Row],[ССвёртка]])))+BH$6),"ошибка")</calculatedColumnFormula>
    </tableColumn>
    <tableColumn id="40" xr3:uid="{00000000-0010-0000-0D00-000028000000}" name="СВ_3_2_OK"/>
    <tableColumn id="41" xr3:uid="{00000000-0010-0000-0D00-000029000000}" name="СВ_3_2_№"/>
    <tableColumn id="42" xr3:uid="{00000000-0010-0000-0D00-00002A000000}" name="ССВ_3_2_kolvo"/>
    <tableColumn id="43" xr3:uid="{00000000-0010-0000-0D00-00002B000000}" name="СВ_2_3">
      <calculatedColumnFormula>IFERROR(IF(LEN((INDIRECT(Свёртка_Перебор_2_20170709140117[[#This Row],[ССВ_2_3]],FALSE)))=0,"ошибка",IFERROR(INDIRECT(Свёртка_Перебор_2_20170709140117[[#This Row],[ССВ_2_3]],FALSE),"ошибка")),"ошибка")</calculatedColumnFormula>
    </tableColumn>
    <tableColumn id="44" xr3:uid="{00000000-0010-0000-0D00-00002C000000}" name="ССВ_2_3">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Row],[ССвёртка]])))+BM$7),FIND("R",Свёртка_Перебор_2_20170709140117[[#This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Row],[ССвёртка]])))+BM$6),"ошибка")</calculatedColumnFormula>
    </tableColumn>
    <tableColumn id="45" xr3:uid="{00000000-0010-0000-0D00-00002D000000}" name="СВ_2_3_OK"/>
    <tableColumn id="46" xr3:uid="{00000000-0010-0000-0D00-00002E000000}" name="СВ_2_3_№"/>
    <tableColumn id="47" xr3:uid="{00000000-0010-0000-0D00-00002F000000}" name="ССВ_2_3_kolvo"/>
    <tableColumn id="48" xr3:uid="{00000000-0010-0000-0D00-000030000000}" name="СВ_3_3">
      <calculatedColumnFormula>IFERROR(IF(LEN((INDIRECT(Свёртка_Перебор_2_20170709140117[[#This Row],[ССВ_3_3]],FALSE)))=0,"ошибка",IFERROR(INDIRECT(Свёртка_Перебор_2_20170709140117[[#This Row],[ССВ_3_3]],FALSE),"ошибка")),"ошибка")</calculatedColumnFormula>
    </tableColumn>
    <tableColumn id="49" xr3:uid="{00000000-0010-0000-0D00-000031000000}" name="ССВ_3_3">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Row],[ССвёртка]])))+BR$7),FIND("R",Свёртка_Перебор_2_20170709140117[[#This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Row],[ССвёртка]])))+BR$6),"ошибка")</calculatedColumnFormula>
    </tableColumn>
    <tableColumn id="50" xr3:uid="{00000000-0010-0000-0D00-000032000000}" name="СВ_3_3_OK"/>
    <tableColumn id="51" xr3:uid="{00000000-0010-0000-0D00-000033000000}" name="СВ_3_3_№"/>
    <tableColumn id="52" xr3:uid="{00000000-0010-0000-0D00-000034000000}" name="ССВ_3_3_kolvo"/>
    <tableColumn id="53" xr3:uid="{00000000-0010-0000-0D00-000035000000}" name="ИТОГО_СВ">
      <calculatedColumnFormula>Свёртка_Перебор_2_20170709140117[[#This Row],[ССВ_1_1_kolvo]]+Свёртка_Перебор_2_20170709140117[[#This Row],[ССВ_2_1_kolvo]]+Свёртка_Перебор_2_20170709140117[[#This Row],[ССВ_1_2_kolvo]]+Свёртка_Перебор_2_20170709140117[[#This Row],[ССВ_2_2_kolvo]]+Свёртка_Перебор_2_20170709140117[[#This Row],[ССВ_3_1_kolvo]]+Свёртка_Перебор_2_20170709140117[[#This Row],[ССВ_1_3_kolvo]]+Свёртка_Перебор_2_20170709140117[[#This Row],[ССВ_3_2_kolvo]]+Свёртка_Перебор_2_20170709140117[[#This Row],[ССВ_2_3_kolvo]]+Свёртка_Перебор_2_20170709140117[[#This Row],[ССВ_3_3_kolvo]]</calculatedColumnFormula>
    </tableColumn>
    <tableColumn id="54" xr3:uid="{00000000-0010-0000-0D00-000036000000}" name="Л">
      <calculatedColumnFormula>IFERROR(IF(LEN((INDIRECT(Свёртка_Перебор_2_20170709140117[[#This Row],[СЛ]],FALSE)))=0,"ошибка",IFERROR(INDIRECT(Свёртка_Перебор_2_20170709140117[[#This Row],[СЛ]],FALSE),"ошибка")),"ошибка")</calculatedColumnFormula>
    </tableColumn>
    <tableColumn id="55" xr3:uid="{00000000-0010-0000-0D00-000037000000}" name="СЛ">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Row],[ССвёртка]])))+BX$6),"ошибка")</calculatedColumnFormula>
    </tableColumn>
    <tableColumn id="56" xr3:uid="{00000000-0010-0000-0D00-000038000000}" name="ФСЛ">
      <calculatedColumnFormula>IFERROR(_xlfn.FORMULATEXT(INDIRECT(Свёртка_Перебор_2_20170709140117[[#This Row],[СЛ]],FALSE)),"ошибка")</calculatedColumnFormula>
    </tableColumn>
    <tableColumn id="57" xr3:uid="{00000000-0010-0000-0D00-000039000000}" name="П">
      <calculatedColumnFormula>IFERROR(IF(LEN((INDIRECT(Свёртка_Перебор_2_20170709140117[[#This Row],[СП]],FALSE)))=0,"ошибка",IFERROR(INDIRECT(Свёртка_Перебор_2_20170709140117[[#This Row],[СП]],FALSE),"ошибка")),"ошибка")</calculatedColumnFormula>
    </tableColumn>
    <tableColumn id="58" xr3:uid="{00000000-0010-0000-0D00-00003A000000}" name="СП">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Row],[ССвёртка]])))+CA$7),FIND("R",Свёртка_Перебор_2_20170709140117[[#This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Row],[ССвёртка]])))+CA$6),"ошибка")</calculatedColumnFormula>
    </tableColumn>
    <tableColumn id="59" xr3:uid="{00000000-0010-0000-0D00-00003B000000}" name="ФСП">
      <calculatedColumnFormula>IFERROR(_xlfn.FORMULATEXT(INDIRECT(Свёртка_Перебор_2_20170709140117[[#This Row],[СП]],FALSE)),"ошибка")</calculatedColumnFormula>
    </tableColumn>
    <tableColumn id="60" xr3:uid="{00000000-0010-0000-0D00-00003C000000}" name="O.K.Свёртка">
      <calculatedColumnFormula>IF(AND(Свёртка_Перебор_2_20170709140117[[#This Row],[ВидСвёртка]]="Свёртка",CONCATENATE(LEFT(Свёртка_Перебор_2_20170709140117[[#This Row],[СВ_1_1]],1),LEFT(Свёртка_Перебор_2_20170709140117[[#This Row],[СВ_2_1]],1),LEFT(Свёртка_Перебор_2_20170709140117[[#This Row],[СВ_1_2]],1),LEFT(Свёртка_Перебор_2_20170709140117[[#This Row],[СВ_2_2]],1),LEFT(Свёртка_Перебор_2_20170709140117[[#This Row],[СВ_3_1]],1),LEFT(Свёртка_Перебор_2_20170709140117[[#This Row],[СВ_1_3]],1),LEFT(Свёртка_Перебор_2_20170709140117[[#This Row],[СВ_3_2]],1),LEFT(Свёртка_Перебор_2_20170709140117[[#This Row],[СВ_2_3]],1),LEFT(Свёртка_Перебор_2_20170709140117[[#This Row],[СВ_3_3]],1))="FFFFFFFFF",AND(Свёртка_Перебор_2_20170709140117[[#This Row],[Л]]&gt;=1,Свёртка_Перебор_2_20170709140117[[#This Row],[Л]]&lt;=4),AND(Свёртка_Перебор_2_20170709140117[[#This Row],[П]]&gt;=1,Свёртка_Перебор_2_20170709140117[[#This Row],[П]]&lt;=4)),1,-1)</calculatedColumnFormula>
    </tableColumn>
    <tableColumn id="61" xr3:uid="{00000000-0010-0000-0D00-00003D000000}" name="F"/>
    <tableColumn id="62" xr3:uid="{00000000-0010-0000-0D00-00003E000000}" name="R!">
      <calculatedColumnFormula>_xlfn.NUMBERVALUE(MID(Свёртка_Перебор_2_20170709140117[[#This Row],[ССвёртка]],SEARCH("R",Свёртка_Перебор_2_20170709140117[[#This Row],[ССвёртка]])+1,SEARCH("C",Свёртка_Перебор_2_20170709140117[[#This Row],[ССвёртка]])-SEARCH("R",Свёртка_Перебор_2_20170709140117[[#This Row],[ССвёртка]])-1))</calculatedColumnFormula>
    </tableColumn>
    <tableColumn id="63" xr3:uid="{00000000-0010-0000-0D00-00003F000000}" name="C!">
      <calculatedColumnFormula>_xlfn.NUMBERVALUE(MID(Свёртка_Перебор_2_20170709140117[[#This Row],[ССвёртка]],SEARCH("C",Свёртка_Перебор_2_20170709140117[[#This Row],[ССвёртка]])+1,LEN(Свёртка_Перебор_2_20170709140117[[#This Row],[ССвёртка]])-SEARCH("C",Свёртка_Перебор_2_20170709140117[[#This Row],[ССвёртка]])))</calculatedColumnFormula>
    </tableColumn>
    <tableColumn id="64" xr3:uid="{00000000-0010-0000-0D00-000040000000}" name="Л!">
      <calculatedColumnFormula>IF(ISERR(SEARCH("!",Свёртка_Перебор_2_20170709140117[[#This Row],[ССвёртка]])),"",LEFT(Свёртка_Перебор_2_20170709140117[[#This Row],[ССвёртка]],SEARCH("!",Свёртка_Перебор_2_20170709140117[[#This Row],[ССвёртка]])))</calculatedColumnFormula>
    </tableColumn>
    <tableColumn id="65" xr3:uid="{00000000-0010-0000-0D00-000041000000}" name="С">
      <calculatedColumnFormula>Свёртка_Перебор_2_20170709140117[[#This Row],[ССвёртка]]</calculatedColumnFormula>
    </tableColumn>
    <tableColumn id="66" xr3:uid="{00000000-0010-0000-0D00-000042000000}" name="Цеол_матр">
      <calculatedColumnFormula>IF(SUM(IF(SUM(LOOKUP(--RIGHT(OFFSET(INDIRECT(Свёртка_Перебор_2_20170709140117[[#This Row],[ССвёртка]],FALSE),-2,1)),{0,1,2,3,4,5},{0,1,1,0,1,1.5}),LOOKUP(--RIGHT(OFFSET(INDIRECT(Свёртка_Перебор_2_20170709140117[[#This Row],[ССвёртка]],FALSE),-1,1)),{0,1,2,3,4,5},{0,1,1,0,1,1.5}),LOOKUP(--RIGHT(OFFSET(INDIRECT(Свёртка_Перебор_2_20170709140117[[#This Row],[ССвёртка]],FALSE),0,1)),{0,1,2,3,4,5},{0,1,1,0,1,1.5}))&gt;4,1,0),IF(SUM(LOOKUP(--RIGHT(OFFSET(INDIRECT(Свёртка_Перебор_2_20170709140117[[#This Row],[ССвёртка]],FALSE),-2,2)),{0,1,2,3,4,5},{0,1,1,0,1,1.5}),LOOKUP(--RIGHT(OFFSET(INDIRECT(Свёртка_Перебор_2_20170709140117[[#This Row],[ССвёртка]],FALSE),-1,2)),{0,1,2,3,4,5},{0,1,1,0,1,1.5}),LOOKUP(--RIGHT(OFFSET(INDIRECT(Свёртка_Перебор_2_20170709140117[[#This Row],[ССвёртка]],FALSE),0,2)),{0,1,2,3,4,5},{0,1,1,0,1,1.5}))&gt;4,1,0),IF(SUM(LOOKUP(--RIGHT(OFFSET(INDIRECT(Свёртка_Перебор_2_20170709140117[[#This Row],[ССвёртка]],FALSE),-2,3)),{0,1,2,3,4,5},{0,1,1,0,1,1.5}),LOOKUP(--RIGHT(OFFSET(INDIRECT(Свёртка_Перебор_2_20170709140117[[#This Row],[ССвёртка]],FALSE),-1,3)),{0,1,2,3,4,5},{0,1,1,0,1,1.5}),LOOKUP(--RIGHT(OFFSET(INDIRECT(Свёртка_Перебор_2_20170709140117[[#This Row],[ССвёртка]],FALSE),0,3)),{0,1,2,3,4,5},{0,1,1,0,1,1.5}))&gt;4,1,0),IF(SUM(LOOKUP(--RIGHT(OFFSET(INDIRECT(Свёртка_Перебор_2_20170709140117[[#This Row],[ССвёртка]],FALSE),-2,1)),{0,1,2,3,4,5},{0,1,1,1,1,2}),LOOKUP(--RIGHT(OFFSET(INDIRECT(Свёртка_Перебор_2_20170709140117[[#This Row],[ССвёртка]],FALSE),-1,2)),{0,1,2,3,4,5},{0,1,1,1,1,2}),LOOKUP(--RIGHT(OFFSET(INDIRECT(Свёртка_Перебор_2_20170709140117[[#This Row],[ССвёртка]],FALSE),0,3)),{0,1,2,3,4,5},{0,1,1,1,1,2}))&lt;&gt;3,1,0),IF(SUM(LOOKUP(--RIGHT(OFFSET(INDIRECT(Свёртка_Перебор_2_20170709140117[[#This Row],[ССвёртка]],FALSE),-2,1)),{0,1,2,3,4,5},{0,1,0,1,1,1.5}),LOOKUP(--RIGHT(OFFSET(INDIRECT(Свёртка_Перебор_2_20170709140117[[#This Row],[ССвёртка]],FALSE),-2,2)),{0,1,2,3,4,5},{0,1,0,1,1,1.5}),LOOKUP(--RIGHT(OFFSET(INDIRECT(Свёртка_Перебор_2_20170709140117[[#This Row],[ССвёртка]],FALSE),-2,3)),{0,1,2,3,4,5},{0,1,0,1,1,1.5}))&gt;4,1,0),IF(SUM(LOOKUP(--RIGHT(OFFSET(INDIRECT(Свёртка_Перебор_2_20170709140117[[#This Row],[ССвёртка]],FALSE),-1,1)),{0,1,2,3,4,5},{0,1,0,1,1,1.5}),LOOKUP(--RIGHT(OFFSET(INDIRECT(Свёртка_Перебор_2_20170709140117[[#This Row],[ССвёртка]],FALSE),-1,2)),{0,1,2,3,4,5},{0,1,0,1,1,1.5}),LOOKUP(--RIGHT(OFFSET(INDIRECT(Свёртка_Перебор_2_20170709140117[[#This Row],[ССвёртка]],FALSE),-1,3)),{0,1,2,3,4,5},{0,1,0,1,1,1.5}))&gt;4,1,0),IF(SUM(LOOKUP(--RIGHT(OFFSET(INDIRECT(Свёртка_Перебор_2_20170709140117[[#This Row],[ССвёртка]],FALSE),0,1)),{0,1,2,3,4,5},{0,1,0,1,1,1.5}),LOOKUP(--RIGHT(OFFSET(INDIRECT(Свёртка_Перебор_2_20170709140117[[#This Row],[ССвёртка]],FALSE),0,2)),{0,1,2,3,4,5},{0,1,0,1,1,1.5}),LOOKUP(--RIGHT(OFFSET(INDIRECT(Свёртка_Перебор_2_20170709140117[[#This Row],[ССвёртка]],FALSE),0,3)),{0,1,2,3,4,5},{0,1,0,1,1,1.5}))&gt;4,1,0))&lt;&gt;0,0,1)</calculatedColumnFormula>
    </tableColumn>
    <tableColumn id="67" xr3:uid="{00000000-0010-0000-0D00-000043000000}" name="Кол-во знач" dataDxfId="1541">
      <calculatedColumnFormula>COUNTIFS(OFFSET(INDIRECT((OFFSET(INDIRECT(Свёртка_Перебор_2_20170709140117[[#This Row],[С]],FALSE),-2,1)&amp;"!R2C2"),FALSE),,,101,101),"="&amp;(Свёртка_Перебор_2_20170709140117[[#This Row],[F]]-(1+(CHOOSE(--RIGHTB(OFFSET(INDIRECT(Свёртка_Перебор_2_20170709140117[[#This Row],[С]],FALSE),,3))+1,0,1,1,1,1,2)+CHOOSE(--RIGHTB(OFFSET(INDIRECT(Свёртка_Перебор_2_20170709140117[[#This Row],[С]],FALSE),-1,2))+1,0,1,1,1,1,2)))+1))*IF(AND(Свёртка_Перебор_2_20170709140117[[#This Row],[F]]&gt;=(1+(CHOOSE(--RIGHTB(OFFSET(INDIRECT(Свёртка_Перебор_2_20170709140117[[#This Row],[С]],FALSE),,3))+1,0,1,1,1,1,2)+CHOOSE(--RIGHTB(OFFSET(INDIRECT(Свёртка_Перебор_2_20170709140117[[#This Row],[С]],FALSE),-1,2))+1,0,1,1,1,1,2))),Свёртка_Перебор_2_20170709140117[[#This Row],[F]]&lt;=(1+(CHOOSE(--RIGHTB(OFFSET(INDIRECT(Свёртка_Перебор_2_20170709140117[[#This Row],[С]],FALSE),,3))+1,0,1,1,1,1,2)+CHOOSE(--RIGHTB(OFFSET(INDIRECT(Свёртка_Перебор_2_20170709140117[[#This Row],[С]],FALSE),-1,2))+1,0,1,1,1,1,2)+CHOOSE(--RIGHTB(OFFSET(INDIRECT(Свёртка_Перебор_2_20170709140117[[#This Row],[С]],FALSE),-2,1))+1,0,1,1,1,1,2)))),1,0)+COUNTIFS(OFFSET(INDIRECT((OFFSET(INDIRECT(Свёртка_Перебор_2_20170709140117[[#This Row],[С]],FALSE),-2,2)&amp;"!R2C2"),FALSE),,,101,101),"="&amp;(Свёртка_Перебор_2_20170709140117[[#This Row],[F]]-(1+(CHOOSE(--RIGHTB(OFFSET(INDIRECT(Свёртка_Перебор_2_20170709140117[[#This Row],[С]],FALSE),,3))+1,0,1,0,1,1,1)+CHOOSE(--RIGHTB(OFFSET(INDIRECT(Свёртка_Перебор_2_20170709140117[[#This Row],[С]],FALSE),-1,3))+1,0,1,1,1,1,2)))+1))*IF(AND(Свёртка_Перебор_2_20170709140117[[#This Row],[F]]&gt;=(1+(CHOOSE(--RIGHTB(OFFSET(INDIRECT(Свёртка_Перебор_2_20170709140117[[#This Row],[С]],FALSE),,3))+1,0,0,0,1,1,1)+CHOOSE(--RIGHTB(OFFSET(INDIRECT(Свёртка_Перебор_2_20170709140117[[#This Row],[С]],FALSE),-1,3))+1,0,1,1,1,1,2))),Свёртка_Перебор_2_20170709140117[[#This Row],[F]]&lt;=(1+(CHOOSE(--RIGHTB(OFFSET(INDIRECT(Свёртка_Перебор_2_20170709140117[[#This Row],[С]],FALSE),,3))+1,0,0,0,1,1,1)+CHOOSE(--RIGHTB(OFFSET(INDIRECT(Свёртка_Перебор_2_20170709140117[[#This Row],[С]],FALSE),-1,3))+1,0,1,1,1,1,2)+CHOOSE(--RIGHTB(OFFSET(INDIRECT(Свёртка_Перебор_2_20170709140117[[#This Row],[С]],FALSE),-2,2))+1,0,1,1,1,1,2)))),1,0)+COUNTIFS(OFFSET(INDIRECT((OFFSET(INDIRECT(Свёртка_Перебор_2_20170709140117[[#This Row],[С]],FALSE),-2,3)&amp;"!R2C2"),FALSE),,,101,101),"="&amp;(Свёртка_Перебор_2_20170709140117[[#This Row],[F]]-(1+(CHOOSE(--RIGHTB(OFFSET(INDIRECT(Свёртка_Перебор_2_20170709140117[[#This Row],[С]],FALSE),,3))+1,0,0,0,1,1,1)+CHOOSE(--RIGHTB(OFFSET(INDIRECT(Свёртка_Перебор_2_20170709140117[[#This Row],[С]],FALSE),-1,3))+1,0,0,0,1,1,1)))+1))*IF(AND(Свёртка_Перебор_2_20170709140117[[#This Row],[F]]&gt;=(1+(CHOOSE(--RIGHTB(OFFSET(INDIRECT(Свёртка_Перебор_2_20170709140117[[#This Row],[С]],FALSE),,3))+1,0,0,0,1,1,1)+CHOOSE(--RIGHTB(OFFSET(INDIRECT(Свёртка_Перебор_2_20170709140117[[#This Row],[С]],FALSE),-1,3))+1,0,0,0,1,1,1))),Свёртка_Перебор_2_20170709140117[[#This Row],[F]]&lt;=(1+(CHOOSE(--RIGHTB(OFFSET(INDIRECT(Свёртка_Перебор_2_20170709140117[[#This Row],[С]],FALSE),,3))+1,0,0,0,1,1,1)+CHOOSE(--RIGHTB(OFFSET(INDIRECT(Свёртка_Перебор_2_20170709140117[[#This Row],[С]],FALSE),-1,3))+1,0,0,0,1,1,1)+CHOOSE(--RIGHTB(OFFSET(INDIRECT(Свёртка_Перебор_2_20170709140117[[#This Row],[С]],FALSE),-2,3))+1,0,1,1,1,1,2)))),1,0)+COUNTIFS(OFFSET(INDIRECT((OFFSET(INDIRECT(Свёртка_Перебор_2_20170709140117[[#This Row],[С]],FALSE),-1,1)&amp;"!R2C2"),FALSE),,,101,101),"="&amp;(Свёртка_Перебор_2_20170709140117[[#This Row],[F]]-(1+(CHOOSE(--RIGHTB(OFFSET(INDIRECT(Свёртка_Перебор_2_20170709140117[[#This Row],[С]],FALSE),,3))+1,0,0,1,0,1,1)+CHOOSE(--RIGHTB(OFFSET(INDIRECT(Свёртка_Перебор_2_20170709140117[[#This Row],[С]],FALSE),0,2))+1,0,1,1,1,1,2)))+1))*IF(AND(Свёртка_Перебор_2_20170709140117[[#This Row],[F]]&gt;=(1+(CHOOSE(--RIGHTB(OFFSET(INDIRECT(Свёртка_Перебор_2_20170709140117[[#This Row],[С]],FALSE),,3))+1,0,0,1,0,1,1)+CHOOSE(--RIGHTB(OFFSET(INDIRECT(Свёртка_Перебор_2_20170709140117[[#This Row],[С]],FALSE),,2))+1,0,1,1,1,1,2))),Свёртка_Перебор_2_20170709140117[[#This Row],[F]]&lt;=(1+(CHOOSE(--RIGHTB(OFFSET(INDIRECT(Свёртка_Перебор_2_20170709140117[[#This Row],[С]],FALSE),,3))+1,0,0,1,0,1,1)+CHOOSE(--RIGHTB(OFFSET(INDIRECT(Свёртка_Перебор_2_20170709140117[[#This Row],[С]],FALSE),,2))+1,0,1,1,1,1,2)+CHOOSE(--RIGHTB(OFFSET(INDIRECT(Свёртка_Перебор_2_20170709140117[[#This Row],[С]],FALSE),-1,1))+1,0,1,1,1,1,2)))),1,0)+COUNTIFS(OFFSET(INDIRECT((OFFSET(INDIRECT(Свёртка_Перебор_2_20170709140117[[#This Row],[С]],FALSE),-1,2)&amp;"!R2C2"),FALSE),,,101,101),"="&amp;(Свёртка_Перебор_2_20170709140117[[#This Row],[F]]-(1+(CHOOSE(--RIGHTB(OFFSET(INDIRECT(Свёртка_Перебор_2_20170709140117[[#This Row],[С]],FALSE),,3))+1,0,1,1,1,1,2)))+1))*IF(AND(Свёртка_Перебор_2_20170709140117[[#This Row],[F]]&gt;=(1+(CHOOSE(--RIGHTB(OFFSET(INDIRECT(Свёртка_Перебор_2_20170709140117[[#This Row],[С]],FALSE),,3))+1,0,1,1,1,1,2))),Свёртка_Перебор_2_20170709140117[[#This Row],[F]]&lt;=(1+(CHOOSE(--RIGHTB(OFFSET(INDIRECT(Свёртка_Перебор_2_20170709140117[[#This Row],[С]],FALSE),,3))+1,0,1,1,1,1,2)+CHOOSE(--RIGHTB(OFFSET(INDIRECT(Свёртка_Перебор_2_20170709140117[[#This Row],[С]],FALSE),-1,2))+1,0,1,1,1,1,2)))),1,0)+COUNTIFS(OFFSET(INDIRECT((OFFSET(INDIRECT(Свёртка_Перебор_2_20170709140117[[#This Row],[С]],FALSE),-1,3)&amp;"!R2C2"),FALSE),,,101,101),"="&amp;(Свёртка_Перебор_2_20170709140117[[#This Row],[F]]-(1+(CHOOSE(--RIGHTB(OFFSET(INDIRECT(Свёртка_Перебор_2_20170709140117[[#This Row],[С]],FALSE),,3))+1,0,0,0,1,1,1)))+1))*IF(AND(Свёртка_Перебор_2_20170709140117[[#This Row],[F]]&gt;=(1+(CHOOSE(--RIGHTB(OFFSET(INDIRECT(Свёртка_Перебор_2_20170709140117[[#This Row],[С]],FALSE),,3))+1,0,0,0,1,1,1))),Свёртка_Перебор_2_20170709140117[[#This Row],[F]]&lt;=(1+(CHOOSE(--RIGHTB(OFFSET(INDIRECT(Свёртка_Перебор_2_20170709140117[[#This Row],[С]],FALSE),,3))+1,0,0,0,1,1,1)+CHOOSE(--RIGHTB(OFFSET(INDIRECT(Свёртка_Перебор_2_20170709140117[[#This Row],[С]],FALSE),-1,3))+1,0,1,1,1,1,2)))),1,0)+COUNTIFS(OFFSET(INDIRECT((OFFSET(INDIRECT(Свёртка_Перебор_2_20170709140117[[#This Row],[С]],FALSE),,1)&amp;"!R2C2"),FALSE),,,101,101),"="&amp;(Свёртка_Перебор_2_20170709140117[[#This Row],[F]]-(1+(CHOOSE(--RIGHTB(OFFSET(INDIRECT(Свёртка_Перебор_2_20170709140117[[#This Row],[С]],FALSE),,3))+1,0,0,1,0,1,1)+CHOOSE(--RIGHTB(OFFSET(INDIRECT(Свёртка_Перебор_2_20170709140117[[#This Row],[С]],FALSE),,2))+1,0,0,1,0,1,1)))+1))*IF(AND(Свёртка_Перебор_2_20170709140117[[#This Row],[F]]&gt;=(1+(CHOOSE(--RIGHTB(OFFSET(INDIRECT(Свёртка_Перебор_2_20170709140117[[#This Row],[С]],FALSE),,3))+1,0,0,1,0,1,1)+CHOOSE(--RIGHTB(OFFSET(INDIRECT(Свёртка_Перебор_2_20170709140117[[#This Row],[С]],FALSE),,2))+1,0,0,1,0,1,1))),Свёртка_Перебор_2_20170709140117[[#This Row],[F]]&lt;=(1+(CHOOSE(--RIGHTB(OFFSET(INDIRECT(Свёртка_Перебор_2_20170709140117[[#This Row],[С]],FALSE),,3))+1,0,0,1,0,1,1)+CHOOSE(--RIGHTB(OFFSET(INDIRECT(Свёртка_Перебор_2_20170709140117[[#This Row],[С]],FALSE),,2))+1,0,0,1,0,1,1)+CHOOSE(--RIGHTB(OFFSET(INDIRECT(Свёртка_Перебор_2_20170709140117[[#This Row],[С]],FALSE),,3))+1,0,1,1,1,1,2)))),1,0)+COUNTIFS(OFFSET(INDIRECT((OFFSET(INDIRECT(Свёртка_Перебор_2_20170709140117[[#This Row],[С]],FALSE),,2)&amp;"!R2C2"),FALSE),,,101,101),"="&amp;(Свёртка_Перебор_2_20170709140117[[#This Row],[F]]-(1+(CHOOSE(--RIGHTB(OFFSET(INDIRECT(Свёртка_Перебор_2_20170709140117[[#This Row],[С]],FALSE),,3))+1,0,0,1,0,1,1)))+1))*IF(AND(Свёртка_Перебор_2_20170709140117[[#This Row],[F]]&gt;=(1+(CHOOSE(--RIGHTB(OFFSET(INDIRECT(Свёртка_Перебор_2_20170709140117[[#This Row],[С]],FALSE),0,3))+1,0,0,1,0,1,1))),Свёртка_Перебор_2_20170709140117[[#This Row],[F]]&lt;=(1+(CHOOSE(--RIGHTB(OFFSET(INDIRECT(Свёртка_Перебор_2_20170709140117[[#This Row],[С]],FALSE),,3))+1,0,1,0,0,1,1)+CHOOSE(--RIGHTB(OFFSET(INDIRECT(Свёртка_Перебор_2_20170709140117[[#This Row],[С]],FALSE),,2))+1,0,1,1,1,1,2)))),1,0)+COUNTIFS(OFFSET(INDIRECT((OFFSET(INDIRECT(Свёртка_Перебор_2_20170709140117[[#This Row],[С]],FALSE),,3)&amp;"!R2C2"),FALSE),,,101,101),"="&amp;(Свёртка_Перебор_2_20170709140117[[#This Row],[F]]-1+1))*IF(AND(Свёртка_Перебор_2_20170709140117[[#This Row],[F]]&gt;=1,Свёртка_Перебор_2_20170709140117[[#This Row],[F]]&lt;=1+(CHOOSE(--RIGHTB(OFFSET(INDIRECT(Свёртка_Перебор_2_20170709140117[[#This Row],[С]],FALSE),,3))+1,0,1,1,1,1,2))),1,0)</calculatedColumnFormula>
    </tableColumn>
  </tableColumns>
  <tableStyleInfo name="TableStyleMedium1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5" xr:uid="{00000000-000C-0000-FFFF-FFFF0E000000}" name="Критерий_Перебор_2_20170602154411" displayName="Критерий_Перебор_2_20170602154411" ref="B9:S19" totalsRowShown="0">
  <autoFilter ref="B9:S19" xr:uid="{00000000-0009-0000-0100-000009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E00-000001000000}" name="№">
      <calculatedColumnFormula>IF(AND(Критерий_Перебор_2_20170602154411[[#This Row],[Критерий]]&lt;&gt;"",Критерий_Перебор_2_20170602154411[[#This Row],[O.K.Критерий]]=1),ROW()-ROW(Критерий_Перебор_2_20170602154411[[#Headers],[№]]),"")</calculatedColumnFormula>
    </tableColumn>
    <tableColumn id="2" xr3:uid="{00000000-0010-0000-0E00-000002000000}" name="Критерий">
      <calculatedColumnFormula>Модель!#REF!</calculatedColumnFormula>
    </tableColumn>
    <tableColumn id="3" xr3:uid="{00000000-0010-0000-0E00-000003000000}" name="Скритерий">
      <calculatedColumnFormula>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calculatedColumnFormula>
    </tableColumn>
    <tableColumn id="4" xr3:uid="{00000000-0010-0000-0E00-000004000000}" name="ВидКритерий">
      <calculatedColumnFormula>IFERROR(IF(LEFT(Критерий_Перебор_2_20170602154411[[#This Row],[Фкритерий]],5)="=Прив","Критерий",IF(LEFT(Критерий_Перебор_2_20170602154411[[#This Row],[Фкритерий]],5)="=Матр","ошибка","ошибка")),"ошибка")</calculatedColumnFormula>
    </tableColumn>
    <tableColumn id="5" xr3:uid="{00000000-0010-0000-0E00-000005000000}" name="Наименование">
      <calculatedColumnFormula>IFERROR(IF(LEN((INDIRECT(Критерий_Перебор_2_20170602154411[[#This Row],[СНаименование]],FALSE)))=0,"ошибка",IFERROR(INDIRECT(Критерий_Перебор_2_20170602154411[[#This Row],[СНаименование]],FALSE),"ошибка")),"ошибка")</calculatedColumnFormula>
    </tableColumn>
    <tableColumn id="6" xr3:uid="{00000000-0010-0000-0E00-000006000000}" name="СНаименование">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calculatedColumnFormula>
    </tableColumn>
    <tableColumn id="7" xr3:uid="{00000000-0010-0000-0E00-000007000000}" name="ФизКритерий">
      <calculatedColumnFormula>IFERROR(IF(N(INDIRECT(Критерий_Перебор_2_20170602154411[[#This Row],[СФизКритерий]],FALSE))=0,"ошибка",IFERROR(INDIRECT(Критерий_Перебор_2_20170602154411[[#This Row],[СФизКритерий]],FALSE),"ошибка")),"ошибка")</calculatedColumnFormula>
    </tableColumn>
    <tableColumn id="8" xr3:uid="{00000000-0010-0000-0E00-000008000000}" name="СФиз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calculatedColumnFormula>
    </tableColumn>
    <tableColumn id="9" xr3:uid="{00000000-0010-0000-0E00-000009000000}" name="ТипКритерий">
      <calculatedColumnFormula>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calculatedColumnFormula>
    </tableColumn>
    <tableColumn id="10" xr3:uid="{00000000-0010-0000-0E00-00000A000000}" name="СТип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calculatedColumnFormula>
    </tableColumn>
    <tableColumn id="11" xr3:uid="{00000000-0010-0000-0E00-00000B000000}" name="Фкритерий">
      <calculatedColumnFormula>IFERROR(_xlfn.FORMULATEXT(INDIRECT(Критерий_Перебор_2_20170602154411[[#This Row],[Скритерий]],FALSE)),"ошибка")</calculatedColumnFormula>
    </tableColumn>
    <tableColumn id="12" xr3:uid="{00000000-0010-0000-0E00-00000C000000}" name="МинФизКритерий">
      <calculatedColumnFormula>IFERROR(IF(N(INDIRECT(Критерий_Перебор_2_20170602154411[[#This Row],[СМинФизКритерий]],FALSE))=0,"ошибка",IFERROR(INDIRECT(Критерий_Перебор_2_20170602154411[[#This Row],[СМинФизКритерий]],FALSE),"ошибка")),"ошибка")</calculatedColumnFormula>
    </tableColumn>
    <tableColumn id="13" xr3:uid="{00000000-0010-0000-0E00-00000D000000}" name="СМинФиз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calculatedColumnFormula>
    </tableColumn>
    <tableColumn id="14" xr3:uid="{00000000-0010-0000-0E00-00000E000000}" name="МаксФизКритерий">
      <calculatedColumnFormula>IFERROR(IF(N(INDIRECT(Критерий_Перебор_2_20170602154411[[#This Row],[СМаксФизКритерий]],FALSE))=0,"ошибка",IFERROR(INDIRECT(Критерий_Перебор_2_20170602154411[[#This Row],[СМаксФизКритерий]],FALSE),"ошибка")),"ошибка")</calculatedColumnFormula>
    </tableColumn>
    <tableColumn id="15" xr3:uid="{00000000-0010-0000-0E00-00000F000000}" name="СМаксФиз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calculatedColumnFormula>
    </tableColumn>
    <tableColumn id="16" xr3:uid="{00000000-0010-0000-0E00-000010000000}" name="СрФизКритерий">
      <calculatedColumnFormula>IFERROR(IF(N(INDIRECT(Критерий_Перебор_2_20170602154411[[#This Row],[ССрФизКритерий]],FALSE))=0,"ошибка",IFERROR(INDIRECT(Критерий_Перебор_2_20170602154411[[#This Row],[ССрФизКритерий]],FALSE),"ошибка")),"")</calculatedColumnFormula>
    </tableColumn>
    <tableColumn id="17" xr3:uid="{00000000-0010-0000-0E00-000011000000}" name="ССрФизКритерий">
      <calculatedColumnFormula>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calculatedColumnFormula>
    </tableColumn>
    <tableColumn id="18" xr3:uid="{00000000-0010-0000-0E00-000012000000}" name="O.K.Критерий" dataDxfId="1540">
      <calculatedColumnFormula>IFERROR(IF(AND(Критерий_Перебор_2_20170602154411[[#This Row],[ВидКритерий]]="Критерий",Критерий_Перебор_2_20170602154411[[#This Row],[Фкритерий]]="=Приведение"),1,-1),-1)</calculatedColumnFormula>
    </tableColumn>
  </tableColumns>
  <tableStyleInfo name="TableStyleMedium20"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6" xr:uid="{00000000-000C-0000-FFFF-FFFF0F000000}" name="Свёртка_Перебор_2_20170602154411" displayName="Свёртка_Перебор_2_20170602154411" ref="V9:CK18" totalsRowShown="0">
  <autoFilter ref="V9:CK18" xr:uid="{00000000-0009-0000-0100-00000A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autoFilter>
  <tableColumns count="68">
    <tableColumn id="1" xr3:uid="{00000000-0010-0000-0F00-000001000000}" name="№">
      <calculatedColumnFormula>IF(AND(Свёртка_Перебор_2_20170602154411[[#This Row],[Свёртка]]&lt;&gt;"",Свёртка_Перебор_2_20170602154411[[#This Row],[O.K.Свёртка]]=1),ROW()-ROW(Свёртка_Перебор_2_20170602154411[[#Headers],[№]]),"")</calculatedColumnFormula>
    </tableColumn>
    <tableColumn id="2" xr3:uid="{00000000-0010-0000-0F00-000002000000}" name="Свёртка">
      <calculatedColumnFormula>Модель!#REF!</calculatedColumnFormula>
    </tableColumn>
    <tableColumn id="3" xr3:uid="{00000000-0010-0000-0F00-000003000000}" name="ССвёртка">
      <calculatedColumnFormula>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calculatedColumnFormula>
    </tableColumn>
    <tableColumn id="4" xr3:uid="{00000000-0010-0000-0F00-000004000000}" name="ФСвёртка">
      <calculatedColumnFormula>IFERROR(_xlfn.FORMULATEXT(INDIRECT(Свёртка_Перебор_2_20170602154411[[#This Row],[ССвёртка]],FALSE)),"ошибка")</calculatedColumnFormula>
    </tableColumn>
    <tableColumn id="5" xr3:uid="{00000000-0010-0000-0F00-000005000000}" name="ВидСвёртка">
      <calculatedColumnFormula>IFERROR(IF(LEFT(Свёртка_Перебор_2_20170602154411[[#This Row],[ФСвёртка]],5)="=Прив","ошибка",IF(LEFT(Свёртка_Перебор_2_20170602154411[[#This Row],[ФСвёртка]],5)="=Матр","Свёртка","ошибка")),"ошибка")</calculatedColumnFormula>
    </tableColumn>
    <tableColumn id="6" xr3:uid="{00000000-0010-0000-0F00-000006000000}" name="Наименование">
      <calculatedColumnFormula>IFERROR(IF(LEN((INDIRECT(Свёртка_Перебор_2_20170602154411[[#This Row],[СНаименование]],FALSE)))=0,"ошибка",IFERROR(INDIRECT(Свёртка_Перебор_2_20170602154411[[#This Row],[СНаименование]],FALSE),"ошибка")),"ошибка")</calculatedColumnFormula>
    </tableColumn>
    <tableColumn id="7" xr3:uid="{00000000-0010-0000-0F00-000007000000}" name="СНаименование">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calculatedColumnFormula>
    </tableColumn>
    <tableColumn id="61" xr3:uid="{00000000-0010-0000-0F00-00003D000000}" name="F"/>
    <tableColumn id="8" xr3:uid="{00000000-0010-0000-0F00-000008000000}" name="СВ_1_1">
      <calculatedColumnFormula>IFERROR(IF(LEN((INDIRECT(Свёртка_Перебор_2_20170602154411[[#This Row],[ССВ_1_1]],FALSE)))=0,"ошибка",IFERROR(INDIRECT(Свёртка_Перебор_2_20170602154411[[#This Row],[ССВ_1_1]],FALSE),"ошибка")),"ошибка")</calculatedColumnFormula>
    </tableColumn>
    <tableColumn id="9" xr3:uid="{00000000-0010-0000-0F00-000009000000}" name="ССВ_1_1">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calculatedColumnFormula>
    </tableColumn>
    <tableColumn id="10" xr3:uid="{00000000-0010-0000-0F00-00000A000000}" name="СВ_1_1_OK"/>
    <tableColumn id="11" xr3:uid="{00000000-0010-0000-0F00-00000B000000}" name="СВ_1_1_№"/>
    <tableColumn id="12" xr3:uid="{00000000-0010-0000-0F00-00000C000000}" name="ССВ_1_1_kolvo"/>
    <tableColumn id="13" xr3:uid="{00000000-0010-0000-0F00-00000D000000}" name="СВ_2_1">
      <calculatedColumnFormula>IFERROR(IF(LEN((INDIRECT(Свёртка_Перебор_2_20170602154411[[#This Row],[ССВ_2_1]],FALSE)))=0,"ошибка",IFERROR(INDIRECT(Свёртка_Перебор_2_20170602154411[[#This Row],[ССВ_2_1]],FALSE),"ошибка")),"ошибка")</calculatedColumnFormula>
    </tableColumn>
    <tableColumn id="14" xr3:uid="{00000000-0010-0000-0F00-00000E000000}" name="ССВ_2_1">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calculatedColumnFormula>
    </tableColumn>
    <tableColumn id="15" xr3:uid="{00000000-0010-0000-0F00-00000F000000}" name="СВ_2_1_OK"/>
    <tableColumn id="16" xr3:uid="{00000000-0010-0000-0F00-000010000000}" name="СВ_2_1_№"/>
    <tableColumn id="17" xr3:uid="{00000000-0010-0000-0F00-000011000000}" name="ССВ_2_1_kolvo"/>
    <tableColumn id="18" xr3:uid="{00000000-0010-0000-0F00-000012000000}" name="СВ_1_2">
      <calculatedColumnFormula>IFERROR(IF(LEN((INDIRECT(Свёртка_Перебор_2_20170602154411[[#This Row],[ССВ_1_2]],FALSE)))=0,"ошибка",IFERROR(INDIRECT(Свёртка_Перебор_2_20170602154411[[#This Row],[ССВ_1_2]],FALSE),"ошибка")),"ошибка")</calculatedColumnFormula>
    </tableColumn>
    <tableColumn id="19" xr3:uid="{00000000-0010-0000-0F00-000013000000}" name="ССВ_1_2">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calculatedColumnFormula>
    </tableColumn>
    <tableColumn id="20" xr3:uid="{00000000-0010-0000-0F00-000014000000}" name="СВ_1_2_OK"/>
    <tableColumn id="21" xr3:uid="{00000000-0010-0000-0F00-000015000000}" name="СВ_1_2_№"/>
    <tableColumn id="22" xr3:uid="{00000000-0010-0000-0F00-000016000000}" name="ССВ_1_2_kolvo"/>
    <tableColumn id="23" xr3:uid="{00000000-0010-0000-0F00-000017000000}" name="СВ_2_2">
      <calculatedColumnFormula>IFERROR(IF(LEN((INDIRECT(Свёртка_Перебор_2_20170602154411[[#This Row],[ССВ_2_2]],FALSE)))=0,"ошибка",IFERROR(INDIRECT(Свёртка_Перебор_2_20170602154411[[#This Row],[ССВ_2_2]],FALSE),"ошибка")),"ошибка")</calculatedColumnFormula>
    </tableColumn>
    <tableColumn id="24" xr3:uid="{00000000-0010-0000-0F00-000018000000}" name="ССВ_2_2">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calculatedColumnFormula>
    </tableColumn>
    <tableColumn id="25" xr3:uid="{00000000-0010-0000-0F00-000019000000}" name="СВ_2_2_OK"/>
    <tableColumn id="26" xr3:uid="{00000000-0010-0000-0F00-00001A000000}" name="СВ_2_2_№"/>
    <tableColumn id="27" xr3:uid="{00000000-0010-0000-0F00-00001B000000}" name="ССВ_2_2_kolvo"/>
    <tableColumn id="28" xr3:uid="{00000000-0010-0000-0F00-00001C000000}" name="СВ_3_1">
      <calculatedColumnFormula>IFERROR(IF(LEN((INDIRECT(Свёртка_Перебор_2_20170602154411[[#This Row],[ССВ_3_1]],FALSE)))=0,"ошибка",IFERROR(INDIRECT(Свёртка_Перебор_2_20170602154411[[#This Row],[ССВ_3_1]],FALSE),"ошибка")),"ошибка")</calculatedColumnFormula>
    </tableColumn>
    <tableColumn id="29" xr3:uid="{00000000-0010-0000-0F00-00001D000000}" name="ССВ_3_1">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calculatedColumnFormula>
    </tableColumn>
    <tableColumn id="30" xr3:uid="{00000000-0010-0000-0F00-00001E000000}" name="СВ_3_1_OK"/>
    <tableColumn id="31" xr3:uid="{00000000-0010-0000-0F00-00001F000000}" name="СВ_3_1_№"/>
    <tableColumn id="32" xr3:uid="{00000000-0010-0000-0F00-000020000000}" name="ССВ_3_1_kolvo"/>
    <tableColumn id="33" xr3:uid="{00000000-0010-0000-0F00-000021000000}" name="СВ_1_3">
      <calculatedColumnFormula>IFERROR(IF(LEN((INDIRECT(Свёртка_Перебор_2_20170602154411[[#This Row],[ССВ_1_3]],FALSE)))=0,"ошибка",IFERROR(INDIRECT(Свёртка_Перебор_2_20170602154411[[#This Row],[ССВ_1_3]],FALSE),"ошибка")),"ошибка")</calculatedColumnFormula>
    </tableColumn>
    <tableColumn id="34" xr3:uid="{00000000-0010-0000-0F00-000022000000}" name="ССВ_1_3">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calculatedColumnFormula>
    </tableColumn>
    <tableColumn id="35" xr3:uid="{00000000-0010-0000-0F00-000023000000}" name="СВ_1_3_OK"/>
    <tableColumn id="36" xr3:uid="{00000000-0010-0000-0F00-000024000000}" name="СВ_1_3_№"/>
    <tableColumn id="37" xr3:uid="{00000000-0010-0000-0F00-000025000000}" name="ССВ_1_3_kolvo"/>
    <tableColumn id="38" xr3:uid="{00000000-0010-0000-0F00-000026000000}" name="СВ_3_2">
      <calculatedColumnFormula>IFERROR(IF(LEN((INDIRECT(Свёртка_Перебор_2_20170602154411[[#This Row],[ССВ_3_2]],FALSE)))=0,"ошибка",IFERROR(INDIRECT(Свёртка_Перебор_2_20170602154411[[#This Row],[ССВ_3_2]],FALSE),"ошибка")),"ошибка")</calculatedColumnFormula>
    </tableColumn>
    <tableColumn id="39" xr3:uid="{00000000-0010-0000-0F00-000027000000}" name="ССВ_3_2">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calculatedColumnFormula>
    </tableColumn>
    <tableColumn id="40" xr3:uid="{00000000-0010-0000-0F00-000028000000}" name="СВ_3_2_OK"/>
    <tableColumn id="41" xr3:uid="{00000000-0010-0000-0F00-000029000000}" name="СВ_3_2_№"/>
    <tableColumn id="42" xr3:uid="{00000000-0010-0000-0F00-00002A000000}" name="ССВ_3_2_kolvo"/>
    <tableColumn id="43" xr3:uid="{00000000-0010-0000-0F00-00002B000000}" name="СВ_2_3">
      <calculatedColumnFormula>IFERROR(IF(LEN((INDIRECT(Свёртка_Перебор_2_20170602154411[[#This Row],[ССВ_2_3]],FALSE)))=0,"ошибка",IFERROR(INDIRECT(Свёртка_Перебор_2_20170602154411[[#This Row],[ССВ_2_3]],FALSE),"ошибка")),"ошибка")</calculatedColumnFormula>
    </tableColumn>
    <tableColumn id="44" xr3:uid="{00000000-0010-0000-0F00-00002C000000}" name="ССВ_2_3">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calculatedColumnFormula>
    </tableColumn>
    <tableColumn id="45" xr3:uid="{00000000-0010-0000-0F00-00002D000000}" name="СВ_2_3_OK"/>
    <tableColumn id="46" xr3:uid="{00000000-0010-0000-0F00-00002E000000}" name="СВ_2_3_№"/>
    <tableColumn id="47" xr3:uid="{00000000-0010-0000-0F00-00002F000000}" name="ССВ_2_3_kolvo"/>
    <tableColumn id="48" xr3:uid="{00000000-0010-0000-0F00-000030000000}" name="СВ_3_3">
      <calculatedColumnFormula>IFERROR(IF(LEN((INDIRECT(Свёртка_Перебор_2_20170602154411[[#This Row],[ССВ_3_3]],FALSE)))=0,"ошибка",IFERROR(INDIRECT(Свёртка_Перебор_2_20170602154411[[#This Row],[ССВ_3_3]],FALSE),"ошибка")),"ошибка")</calculatedColumnFormula>
    </tableColumn>
    <tableColumn id="49" xr3:uid="{00000000-0010-0000-0F00-000031000000}" name="ССВ_3_3">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calculatedColumnFormula>
    </tableColumn>
    <tableColumn id="50" xr3:uid="{00000000-0010-0000-0F00-000032000000}" name="СВ_3_3_OK"/>
    <tableColumn id="51" xr3:uid="{00000000-0010-0000-0F00-000033000000}" name="СВ_3_3_№"/>
    <tableColumn id="52" xr3:uid="{00000000-0010-0000-0F00-000034000000}" name="ССВ_3_3_kolvo"/>
    <tableColumn id="53" xr3:uid="{00000000-0010-0000-0F00-000035000000}" name="ИТОГО_СВ">
      <calculatedColumnFormula>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calculatedColumnFormula>
    </tableColumn>
    <tableColumn id="54" xr3:uid="{00000000-0010-0000-0F00-000036000000}" name="Л">
      <calculatedColumnFormula>IFERROR(IF(LEN((INDIRECT(Свёртка_Перебор_2_20170602154411[[#This Row],[СЛ]],FALSE)))=0,"ошибка",IFERROR(INDIRECT(Свёртка_Перебор_2_20170602154411[[#This Row],[СЛ]],FALSE),"ошибка")),"ошибка")</calculatedColumnFormula>
    </tableColumn>
    <tableColumn id="55" xr3:uid="{00000000-0010-0000-0F00-000037000000}" name="СЛ">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calculatedColumnFormula>
    </tableColumn>
    <tableColumn id="56" xr3:uid="{00000000-0010-0000-0F00-000038000000}" name="ФСЛ">
      <calculatedColumnFormula>IFERROR(_xlfn.FORMULATEXT(INDIRECT(Свёртка_Перебор_2_20170602154411[[#This Row],[СЛ]],FALSE)),"ошибка")</calculatedColumnFormula>
    </tableColumn>
    <tableColumn id="57" xr3:uid="{00000000-0010-0000-0F00-000039000000}" name="П">
      <calculatedColumnFormula>IFERROR(IF(LEN((INDIRECT(Свёртка_Перебор_2_20170602154411[[#This Row],[СП]],FALSE)))=0,"ошибка",IFERROR(INDIRECT(Свёртка_Перебор_2_20170602154411[[#This Row],[СП]],FALSE),"ошибка")),"ошибка")</calculatedColumnFormula>
    </tableColumn>
    <tableColumn id="58" xr3:uid="{00000000-0010-0000-0F00-00003A000000}" name="СП">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calculatedColumnFormula>
    </tableColumn>
    <tableColumn id="59" xr3:uid="{00000000-0010-0000-0F00-00003B000000}" name="ФСП">
      <calculatedColumnFormula>IFERROR(_xlfn.FORMULATEXT(INDIRECT(Свёртка_Перебор_2_20170602154411[[#This Row],[СП]],FALSE)),"ошибка")</calculatedColumnFormula>
    </tableColumn>
    <tableColumn id="60" xr3:uid="{00000000-0010-0000-0F00-00003C000000}" name="O.K.Свёртка" dataDxfId="1539">
      <calculatedColumnFormula>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calculatedColumnFormula>
    </tableColumn>
    <tableColumn id="62" xr3:uid="{00000000-0010-0000-0F00-00003E000000}" name="R!" dataDxfId="1538">
      <calculatedColumnFormula>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calculatedColumnFormula>
    </tableColumn>
    <tableColumn id="63" xr3:uid="{00000000-0010-0000-0F00-00003F000000}" name="C!" dataDxfId="1537">
      <calculatedColumnFormula>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calculatedColumnFormula>
    </tableColumn>
    <tableColumn id="64" xr3:uid="{00000000-0010-0000-0F00-000040000000}" name="Л!" dataDxfId="1536">
      <calculatedColumnFormula>IF(ISERR(SEARCH("!",Свёртка_Перебор_2_20170602154411[[#This Row],[ССвёртка]])),"",LEFT(Свёртка_Перебор_2_20170602154411[[#This Row],[ССвёртка]],SEARCH("!",Свёртка_Перебор_2_20170602154411[[#This Row],[ССвёртка]])))</calculatedColumnFormula>
    </tableColumn>
    <tableColumn id="67" xr3:uid="{00000000-0010-0000-0F00-000043000000}" name="С" dataDxfId="1535">
      <calculatedColumnFormula>Свёртка_Перебор_2_20170602154411[[#This Row],[ССвёртка]]</calculatedColumnFormula>
    </tableColumn>
    <tableColumn id="68" xr3:uid="{00000000-0010-0000-0F00-000044000000}" name="Цел_матр_обычн" dataDxfId="1534">
      <calculatedColumnFormula>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calculatedColumnFormula>
    </tableColumn>
    <tableColumn id="65" xr3:uid="{00000000-0010-0000-0F00-000041000000}" name="Цел_матр_мас" dataDxfId="1533">
      <calculatedColumnFormula array="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calculatedColumnFormula>
    </tableColumn>
    <tableColumn id="66" xr3:uid="{00000000-0010-0000-0F00-000042000000}" name="Кол-во знач" dataDxfId="1532">
      <calculatedColumnFormula>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calculatedColumnFormula>
    </tableColumn>
  </tableColumns>
  <tableStyleInfo name="TableStyleMedium1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6" xr:uid="{00000000-000C-0000-FFFF-FFFF10000000}" name="Таблица1372257" displayName="Таблица1372257" ref="B11:D14" totalsRowCount="1" headerRowDxfId="1531" dataDxfId="1530" totalsRowDxfId="1529">
  <autoFilter ref="B11:D13" xr:uid="{00000000-0009-0000-0100-000000010000}">
    <filterColumn colId="0" hiddenButton="1"/>
    <filterColumn colId="1" hiddenButton="1"/>
    <filterColumn colId="2" hiddenButton="1"/>
  </autoFilter>
  <tableColumns count="3">
    <tableColumn id="1" xr3:uid="{00000000-0010-0000-1000-000001000000}" name="№_Э" totalsRowLabel="Итог" dataDxfId="1528" totalsRowDxfId="1527">
      <calculatedColumnFormula>ROW()-ROW(Таблица1372257[#Headers])</calculatedColumnFormula>
    </tableColumn>
    <tableColumn id="3" xr3:uid="{00000000-0010-0000-1000-000003000000}" name="_" totalsRowFunction="custom" dataDxfId="1526">
      <calculatedColumnFormula>Фантом</calculatedColumnFormula>
      <totalsRowFormula>MAX(Таблица1372257[№_Э])</totalsRowFormula>
    </tableColumn>
    <tableColumn id="2" xr3:uid="{00000000-0010-0000-1000-000002000000}" name="О" totalsRowFunction="custom" dataDxfId="1525" totalsRowDxfId="1524">
      <totalsRowFormula>MEDIAN(Таблица1372257[_]:Таблица1372257[О])</totalsRowFormula>
    </tableColumn>
  </tableColumns>
  <tableStyleInfo name="Моя таблица"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П_Общий" displayName="П_Общий" ref="A1:A7" totalsRowShown="0" headerRowBorderDxfId="1523" tableBorderDxfId="1522" totalsRowBorderDxfId="1521">
  <autoFilter ref="A1:A7" xr:uid="{00000000-0009-0000-0100-00000B000000}"/>
  <tableColumns count="1">
    <tableColumn id="1" xr3:uid="{00000000-0010-0000-1100-000001000000}" name="Общий" dataDxfId="15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2000000}" name="П_Низ_F0" displayName="П_Низ_F0" ref="B1:B7" totalsRowShown="0" dataDxfId="1519" tableBorderDxfId="1518">
  <autoFilter ref="B1:B7" xr:uid="{00000000-0009-0000-0100-00000C000000}"/>
  <tableColumns count="1">
    <tableColumn id="1" xr3:uid="{00000000-0010-0000-1200-000001000000}" name="Низ_F0" dataDxfId="1517"/>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3000000}" name="П_Низ_F1" displayName="П_Низ_F1" ref="C1:C7" totalsRowShown="0" dataDxfId="1516" tableBorderDxfId="1515">
  <autoFilter ref="C1:C7" xr:uid="{00000000-0009-0000-0100-00000D000000}"/>
  <tableColumns count="1">
    <tableColumn id="1" xr3:uid="{00000000-0010-0000-1300-000001000000}" name="Низ_F1" dataDxfId="1514"/>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4000000}" name="П_Низ_F2" displayName="П_Низ_F2" ref="D1:D7" totalsRowShown="0">
  <autoFilter ref="D1:D7" xr:uid="{00000000-0009-0000-0100-00000E000000}">
    <filterColumn colId="0" hiddenButton="1"/>
  </autoFilter>
  <tableColumns count="1">
    <tableColumn id="1" xr3:uid="{00000000-0010-0000-1400-000001000000}" name="Низ_F2"/>
  </tableColumns>
  <tableStyleInfo name="TableStyleLight1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5000000}" name="П_Низ_F3" displayName="П_Низ_F3" ref="E1:E7" totalsRowShown="0">
  <autoFilter ref="E1:E7" xr:uid="{00000000-0009-0000-0100-00000F000000}"/>
  <tableColumns count="1">
    <tableColumn id="1" xr3:uid="{00000000-0010-0000-1500-000001000000}" name="Низ_F3"/>
  </tableColumns>
  <tableStyleInfo name="TableStyleLight1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6000000}" name="П_Низ_F4" displayName="П_Низ_F4" ref="F1:F7" totalsRowShown="0">
  <autoFilter ref="F1:F7" xr:uid="{00000000-0009-0000-0100-000010000000}"/>
  <tableColumns count="1">
    <tableColumn id="1" xr3:uid="{00000000-0010-0000-1600-000001000000}" name="Низ_F4"/>
  </tableColumns>
  <tableStyleInfo name="TableStyleLight1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7000000}" name="П_Низ_F5" displayName="П_Низ_F5" ref="G1:G7" totalsRowShown="0">
  <autoFilter ref="G1:G7" xr:uid="{00000000-0009-0000-0100-000011000000}"/>
  <tableColumns count="1">
    <tableColumn id="1" xr3:uid="{00000000-0010-0000-1700-000001000000}" name="Низ_F5"/>
  </tableColumns>
  <tableStyleInfo name="TableStyleLight1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П_Бок_F0" displayName="П_Бок_F0" ref="H1:H7" totalsRowShown="0" dataDxfId="1513" tableBorderDxfId="1512">
  <autoFilter ref="H1:H7" xr:uid="{00000000-0009-0000-0100-000013000000}"/>
  <tableColumns count="1">
    <tableColumn id="1" xr3:uid="{00000000-0010-0000-1800-000001000000}" name="Бок_F0" dataDxfId="1511"/>
  </tableColumns>
  <tableStyleInfo name="TableStyleLight1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9000000}" name="П_Бок_F1" displayName="П_Бок_F1" ref="I1:I7" totalsRowShown="0" dataDxfId="1510" tableBorderDxfId="1509">
  <autoFilter ref="I1:I7" xr:uid="{00000000-0009-0000-0100-000014000000}"/>
  <tableColumns count="1">
    <tableColumn id="1" xr3:uid="{00000000-0010-0000-1900-000001000000}" name="Бок_F1" dataDxfId="1508"/>
  </tableColumns>
  <tableStyleInfo name="TableStyleLight1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A000000}" name="П_Бок_F2" displayName="П_Бок_F2" ref="J1:J7" totalsRowShown="0" dataDxfId="1507" tableBorderDxfId="1506">
  <autoFilter ref="J1:J7" xr:uid="{00000000-0009-0000-0100-000015000000}"/>
  <tableColumns count="1">
    <tableColumn id="1" xr3:uid="{00000000-0010-0000-1A00-000001000000}" name="Бок_F2" dataDxfId="1505"/>
  </tableColumns>
  <tableStyleInfo name="TableStyleLight1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B000000}" name="П_Бок_F3" displayName="П_Бок_F3" ref="K1:K7" totalsRowShown="0" dataDxfId="1504" tableBorderDxfId="1503">
  <autoFilter ref="K1:K7" xr:uid="{00000000-0009-0000-0100-000016000000}"/>
  <tableColumns count="1">
    <tableColumn id="1" xr3:uid="{00000000-0010-0000-1B00-000001000000}" name="Бок_F3" dataDxfId="1502"/>
  </tableColumns>
  <tableStyleInfo name="TableStyleLight1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C000000}" name="П_Бок_F4" displayName="П_Бок_F4" ref="L1:L7" totalsRowShown="0" dataDxfId="1501" tableBorderDxfId="1500">
  <autoFilter ref="L1:L7" xr:uid="{00000000-0009-0000-0100-000017000000}"/>
  <tableColumns count="1">
    <tableColumn id="1" xr3:uid="{00000000-0010-0000-1C00-000001000000}" name="Бок_F4" dataDxfId="1499"/>
  </tableColumns>
  <tableStyleInfo name="TableStyleLight1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D000000}" name="П_Бок_F5" displayName="П_Бок_F5" ref="M1:M7" totalsRowShown="0" dataDxfId="1498" tableBorderDxfId="1497">
  <autoFilter ref="M1:M7" xr:uid="{00000000-0009-0000-0100-000018000000}"/>
  <tableColumns count="1">
    <tableColumn id="1" xr3:uid="{00000000-0010-0000-1D00-000001000000}" name="Бок_F5" dataDxfId="1496"/>
  </tableColumns>
  <tableStyleInfo name="TableStyleLight1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E000000}" name="П_В_F0_F0" displayName="П_В_F0_F0" ref="N1:N7" totalsRowShown="0">
  <autoFilter ref="N1:N7" xr:uid="{00000000-0009-0000-0100-000019000000}">
    <filterColumn colId="0" hiddenButton="1"/>
  </autoFilter>
  <tableColumns count="1">
    <tableColumn id="1" xr3:uid="{00000000-0010-0000-1E00-000001000000}" name="В_F0_F0"/>
  </tableColumns>
  <tableStyleInfo name="TableStyleLight1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F000000}" name="П_В_F0_F1" displayName="П_В_F0_F1" ref="O1:O7" totalsRowShown="0">
  <autoFilter ref="O1:O7" xr:uid="{00000000-0009-0000-0100-00001A000000}"/>
  <tableColumns count="1">
    <tableColumn id="1" xr3:uid="{00000000-0010-0000-1F00-000001000000}" name="В_F0_F1"/>
  </tableColumns>
  <tableStyleInfo name="TableStyleLight1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0000000}" name="П_В_F0_F2" displayName="П_В_F0_F2" ref="P1:P7" totalsRowShown="0">
  <autoFilter ref="P1:P7" xr:uid="{00000000-0009-0000-0100-00001B000000}"/>
  <tableColumns count="1">
    <tableColumn id="1" xr3:uid="{00000000-0010-0000-2000-000001000000}" name="В_F0_F2"/>
  </tableColumns>
  <tableStyleInfo name="TableStyleLight1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1000000}" name="П_В_F0_F3" displayName="П_В_F0_F3" ref="Q1:Q7" totalsRowShown="0">
  <autoFilter ref="Q1:Q7" xr:uid="{00000000-0009-0000-0100-00001C000000}"/>
  <tableColumns count="1">
    <tableColumn id="1" xr3:uid="{00000000-0010-0000-2100-000001000000}" name="В_F0_F3"/>
  </tableColumns>
  <tableStyleInfo name="TableStyleLight1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П_В_F0_F4" displayName="П_В_F0_F4" ref="R1:R7" totalsRowShown="0">
  <autoFilter ref="R1:R7" xr:uid="{00000000-0009-0000-0100-00001D000000}"/>
  <tableColumns count="1">
    <tableColumn id="1" xr3:uid="{00000000-0010-0000-2200-000001000000}" name="В_F0_F4"/>
  </tableColumns>
  <tableStyleInfo name="TableStyleLight1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3000000}" name="П_В_F0_F5" displayName="П_В_F0_F5" ref="S1:S7" totalsRowShown="0">
  <autoFilter ref="S1:S7" xr:uid="{00000000-0009-0000-0100-00001E000000}"/>
  <tableColumns count="1">
    <tableColumn id="1" xr3:uid="{00000000-0010-0000-2300-000001000000}" name="В_F0_F5"/>
  </tableColumns>
  <tableStyleInfo name="TableStyleLight1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24000000}" name="П­_В_F1_F0" displayName="П­_В_F1_F0" ref="T1:T7" totalsRowShown="0">
  <autoFilter ref="T1:T7" xr:uid="{00000000-0009-0000-0100-00001F000000}"/>
  <tableColumns count="1">
    <tableColumn id="1" xr3:uid="{00000000-0010-0000-2400-000001000000}" name="В_F1_F0"/>
  </tableColumns>
  <tableStyleInfo name="TableStyleLight1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5000000}" name="П_В_F1_F1" displayName="П_В_F1_F1" ref="U1:U7" totalsRowShown="0">
  <autoFilter ref="U1:U7" xr:uid="{00000000-0009-0000-0100-000020000000}"/>
  <tableColumns count="1">
    <tableColumn id="1" xr3:uid="{00000000-0010-0000-2500-000001000000}" name="В_F1_F1"/>
  </tableColumns>
  <tableStyleInfo name="TableStyleLight1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6000000}" name="П_В_F1_F2" displayName="П_В_F1_F2" ref="V1:V7" totalsRowShown="0">
  <autoFilter ref="V1:V7" xr:uid="{00000000-0009-0000-0100-000021000000}"/>
  <tableColumns count="1">
    <tableColumn id="1" xr3:uid="{00000000-0010-0000-2600-000001000000}" name="В_F1_F2"/>
  </tableColumns>
  <tableStyleInfo name="TableStyleLight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7000000}" name="П_В_F1_F3" displayName="П_В_F1_F3" ref="W1:W7" totalsRowShown="0">
  <autoFilter ref="W1:W7" xr:uid="{00000000-0009-0000-0100-000022000000}"/>
  <tableColumns count="1">
    <tableColumn id="1" xr3:uid="{00000000-0010-0000-2700-000001000000}" name="В_F1_F3"/>
  </tableColumns>
  <tableStyleInfo name="TableStyleLight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8000000}" name="П_В_F1_F4" displayName="П_В_F1_F4" ref="X1:X7" totalsRowShown="0">
  <autoFilter ref="X1:X7" xr:uid="{00000000-0009-0000-0100-000023000000}"/>
  <tableColumns count="1">
    <tableColumn id="1" xr3:uid="{00000000-0010-0000-2800-000001000000}" name="В_F1_F4"/>
  </tableColumns>
  <tableStyleInfo name="TableStyleLight1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9000000}" name="П_В_F1_F5" displayName="П_В_F1_F5" ref="Y1:Y7" totalsRowShown="0">
  <autoFilter ref="Y1:Y7" xr:uid="{00000000-0009-0000-0100-000024000000}"/>
  <tableColumns count="1">
    <tableColumn id="1" xr3:uid="{00000000-0010-0000-2900-000001000000}" name="В_F1_F5"/>
  </tableColumns>
  <tableStyleInfo name="TableStyleLight1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A000000}" name="П_В_F2_F0" displayName="П_В_F2_F0" ref="Z1:Z7" totalsRowShown="0">
  <autoFilter ref="Z1:Z7" xr:uid="{00000000-0009-0000-0100-000025000000}"/>
  <tableColumns count="1">
    <tableColumn id="1" xr3:uid="{00000000-0010-0000-2A00-000001000000}" name="В_F2_F0"/>
  </tableColumns>
  <tableStyleInfo name="TableStyleLight1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B000000}" name="П_В_F2_F1" displayName="П_В_F2_F1" ref="AA1:AA7" totalsRowShown="0">
  <autoFilter ref="AA1:AA7" xr:uid="{00000000-0009-0000-0100-000026000000}"/>
  <tableColumns count="1">
    <tableColumn id="1" xr3:uid="{00000000-0010-0000-2B00-000001000000}" name="В_F2_F1"/>
  </tableColumns>
  <tableStyleInfo name="TableStyleLight1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C000000}" name="П_В_F2_F2" displayName="П_В_F2_F2" ref="AB1:AB7" totalsRowShown="0">
  <autoFilter ref="AB1:AB7" xr:uid="{00000000-0009-0000-0100-000027000000}"/>
  <tableColumns count="1">
    <tableColumn id="1" xr3:uid="{00000000-0010-0000-2C00-000001000000}" name="В_F2_F2"/>
  </tableColumns>
  <tableStyleInfo name="TableStyleLight1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D000000}" name="П_В_F2_F3" displayName="П_В_F2_F3" ref="AC1:AC7" totalsRowShown="0">
  <autoFilter ref="AC1:AC7" xr:uid="{00000000-0009-0000-0100-000028000000}"/>
  <tableColumns count="1">
    <tableColumn id="1" xr3:uid="{00000000-0010-0000-2D00-000001000000}" name="В_F2_F3"/>
  </tableColumns>
  <tableStyleInfo name="TableStyleLight1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E000000}" name="П_В_F2_F4" displayName="П_В_F2_F4" ref="AD1:AD7" totalsRowShown="0">
  <autoFilter ref="AD1:AD7" xr:uid="{00000000-0009-0000-0100-000029000000}"/>
  <tableColumns count="1">
    <tableColumn id="1" xr3:uid="{00000000-0010-0000-2E00-000001000000}" name="В_F2_F4"/>
  </tableColumns>
  <tableStyleInfo name="TableStyleLight1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F000000}" name="П_В_F2_F5" displayName="П_В_F2_F5" ref="AE1:AE7" totalsRowShown="0">
  <autoFilter ref="AE1:AE7" xr:uid="{00000000-0009-0000-0100-00002A000000}"/>
  <tableColumns count="1">
    <tableColumn id="1" xr3:uid="{00000000-0010-0000-2F00-000001000000}" name="В_F2_F5"/>
  </tableColumns>
  <tableStyleInfo name="TableStyleLight1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30000000}" name="П_В_F3_F0" displayName="П_В_F3_F0" ref="AF1:AF7" totalsRowShown="0">
  <autoFilter ref="AF1:AF7" xr:uid="{00000000-0009-0000-0100-00002B000000}"/>
  <tableColumns count="1">
    <tableColumn id="1" xr3:uid="{00000000-0010-0000-3000-000001000000}" name="В_F3_F0"/>
  </tableColumns>
  <tableStyleInfo name="TableStyleLight1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31000000}" name="П_В_F3_F1" displayName="П_В_F3_F1" ref="AG1:AG7" totalsRowShown="0">
  <autoFilter ref="AG1:AG7" xr:uid="{00000000-0009-0000-0100-00002C000000}"/>
  <tableColumns count="1">
    <tableColumn id="1" xr3:uid="{00000000-0010-0000-3100-000001000000}" name="В_F3_F1"/>
  </tableColumns>
  <tableStyleInfo name="TableStyleLight1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32000000}" name="П_В_F3_F2" displayName="П_В_F3_F2" ref="AH1:AH7" totalsRowShown="0">
  <autoFilter ref="AH1:AH7" xr:uid="{00000000-0009-0000-0100-00002D000000}"/>
  <tableColumns count="1">
    <tableColumn id="1" xr3:uid="{00000000-0010-0000-3200-000001000000}" name="В_F3_F2"/>
  </tableColumns>
  <tableStyleInfo name="TableStyleLight1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33000000}" name="П_В_F3_F3" displayName="П_В_F3_F3" ref="AI1:AI7" totalsRowShown="0">
  <autoFilter ref="AI1:AI7" xr:uid="{00000000-0009-0000-0100-00002E000000}"/>
  <tableColumns count="1">
    <tableColumn id="1" xr3:uid="{00000000-0010-0000-3300-000001000000}" name="В_F3_F3"/>
  </tableColumns>
  <tableStyleInfo name="TableStyleLight1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34000000}" name="П_В_F3_F4" displayName="П_В_F3_F4" ref="AJ1:AJ7" totalsRowShown="0">
  <autoFilter ref="AJ1:AJ7" xr:uid="{00000000-0009-0000-0100-000030000000}"/>
  <tableColumns count="1">
    <tableColumn id="1" xr3:uid="{00000000-0010-0000-3400-000001000000}" name="В_F3_F4"/>
  </tableColumns>
  <tableStyleInfo name="TableStyleLight19"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5000000}" name="П_В_F3_F5" displayName="П_В_F3_F5" ref="AK1:AK7" totalsRowShown="0">
  <autoFilter ref="AK1:AK7" xr:uid="{00000000-0009-0000-0100-000031000000}"/>
  <tableColumns count="1">
    <tableColumn id="1" xr3:uid="{00000000-0010-0000-3500-000001000000}" name="В_F3_F5"/>
  </tableColumns>
  <tableStyleInfo name="TableStyleLight19"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6000000}" name="П_В_F4_F0" displayName="П_В_F4_F0" ref="AL1:AL7" totalsRowShown="0">
  <autoFilter ref="AL1:AL7" xr:uid="{00000000-0009-0000-0100-000032000000}"/>
  <tableColumns count="1">
    <tableColumn id="1" xr3:uid="{00000000-0010-0000-3600-000001000000}" name="В_F4_F0"/>
  </tableColumns>
  <tableStyleInfo name="TableStyleLight17"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7000000}" name="П_В_F4_F1" displayName="П_В_F4_F1" ref="AM1:AM7" totalsRowShown="0">
  <autoFilter ref="AM1:AM7" xr:uid="{00000000-0009-0000-0100-000033000000}"/>
  <tableColumns count="1">
    <tableColumn id="1" xr3:uid="{00000000-0010-0000-3700-000001000000}" name="В_F4_F1"/>
  </tableColumns>
  <tableStyleInfo name="TableStyleLight17"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8000000}" name="П_В_F4_F2" displayName="П_В_F4_F2" ref="AN1:AN7" totalsRowShown="0">
  <autoFilter ref="AN1:AN7" xr:uid="{00000000-0009-0000-0100-000034000000}"/>
  <tableColumns count="1">
    <tableColumn id="1" xr3:uid="{00000000-0010-0000-3800-000001000000}" name="В_F4_F2"/>
  </tableColumns>
  <tableStyleInfo name="TableStyleLight17"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9000000}" name="П_В_F4_F3" displayName="П_В_F4_F3" ref="AO1:AO7" totalsRowShown="0">
  <autoFilter ref="AO1:AO7" xr:uid="{00000000-0009-0000-0100-000035000000}"/>
  <tableColumns count="1">
    <tableColumn id="1" xr3:uid="{00000000-0010-0000-3900-000001000000}" name="В_F4_F3"/>
  </tableColumns>
  <tableStyleInfo name="TableStyleLight17"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A000000}" name="П_В_F4_F4" displayName="П_В_F4_F4" ref="AP1:AP7" totalsRowShown="0">
  <autoFilter ref="AP1:AP7" xr:uid="{00000000-0009-0000-0100-000036000000}"/>
  <tableColumns count="1">
    <tableColumn id="1" xr3:uid="{00000000-0010-0000-3A00-000001000000}" name="В_F4_F4"/>
  </tableColumns>
  <tableStyleInfo name="TableStyleLight17"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B000000}" name="П_В_F4_F5" displayName="П_В_F4_F5" ref="AQ1:AQ7" totalsRowShown="0">
  <autoFilter ref="AQ1:AQ7" xr:uid="{00000000-0009-0000-0100-000037000000}"/>
  <tableColumns count="1">
    <tableColumn id="1" xr3:uid="{00000000-0010-0000-3B00-000001000000}" name="В_F4_F5"/>
  </tableColumns>
  <tableStyleInfo name="TableStyleLight17"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C000000}" name="П_В_F5_F0" displayName="П_В_F5_F0" ref="AR1:AR7" totalsRowShown="0">
  <autoFilter ref="AR1:AR7" xr:uid="{00000000-0009-0000-0100-000038000000}"/>
  <tableColumns count="1">
    <tableColumn id="1" xr3:uid="{00000000-0010-0000-3C00-000001000000}" name="В_F5_F0"/>
  </tableColumns>
  <tableStyleInfo name="TableStyleLight19"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D000000}" name="П_В_F5_F1" displayName="П_В_F5_F1" ref="AS1:AS7" totalsRowShown="0">
  <autoFilter ref="AS1:AS7" xr:uid="{00000000-0009-0000-0100-000039000000}"/>
  <tableColumns count="1">
    <tableColumn id="1" xr3:uid="{00000000-0010-0000-3D00-000001000000}" name="В_F5_F1"/>
  </tableColumns>
  <tableStyleInfo name="TableStyleLight19"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E000000}" name="П_В_F5_F2" displayName="П_В_F5_F2" ref="AT1:AT7" totalsRowShown="0">
  <autoFilter ref="AT1:AT7" xr:uid="{00000000-0009-0000-0100-00003A000000}"/>
  <tableColumns count="1">
    <tableColumn id="1" xr3:uid="{00000000-0010-0000-3E00-000001000000}" name="В_F5_F2"/>
  </tableColumns>
  <tableStyleInfo name="TableStyleLight19"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F000000}" name="П_В_F5_F3" displayName="П_В_F5_F3" ref="AU1:AU7" totalsRowShown="0">
  <autoFilter ref="AU1:AU7" xr:uid="{00000000-0009-0000-0100-00003B000000}"/>
  <tableColumns count="1">
    <tableColumn id="1" xr3:uid="{00000000-0010-0000-3F00-000001000000}" name="В_F5_F3"/>
  </tableColumns>
  <tableStyleInfo name="TableStyleLight19"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40000000}" name="П_В_F5_F4" displayName="П_В_F5_F4" ref="AV1:AV7" totalsRowShown="0">
  <autoFilter ref="AV1:AV7" xr:uid="{00000000-0009-0000-0100-00003C000000}"/>
  <tableColumns count="1">
    <tableColumn id="1" xr3:uid="{00000000-0010-0000-4000-000001000000}" name="В_F5_F4"/>
  </tableColumns>
  <tableStyleInfo name="TableStyleLight19"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41000000}" name="П_В_F5_F5" displayName="П_В_F5_F5" ref="AW1:AW7" totalsRowShown="0">
  <autoFilter ref="AW1:AW7" xr:uid="{00000000-0009-0000-0100-00003D000000}"/>
  <tableColumns count="1">
    <tableColumn id="1" xr3:uid="{00000000-0010-0000-4100-000001000000}" name="В_F5_F5"/>
  </tableColumns>
  <tableStyleInfo name="TableStyleLight19"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42000000}" name="П_В_F0_F0_0" displayName="П_В_F0_F0_0" ref="N9:N15" totalsRowShown="0">
  <autoFilter ref="N9:N15" xr:uid="{00000000-0009-0000-0100-00003E000000}">
    <filterColumn colId="0" hiddenButton="1"/>
  </autoFilter>
  <tableColumns count="1">
    <tableColumn id="1" xr3:uid="{00000000-0010-0000-4200-000001000000}" name="В_F0_F0_0"/>
  </tableColumns>
  <tableStyleInfo name="TableStyleLight17"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43000000}" name="П_В_F0_F1_0" displayName="П_В_F0_F1_0" ref="O9:O15" totalsRowShown="0">
  <autoFilter ref="O9:O15" xr:uid="{00000000-0009-0000-0100-00003F000000}"/>
  <tableColumns count="1">
    <tableColumn id="1" xr3:uid="{00000000-0010-0000-4300-000001000000}" name="В_F0_F1_0"/>
  </tableColumns>
  <tableStyleInfo name="TableStyleLight17"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44000000}" name="П_В_F0_F2_0" displayName="П_В_F0_F2_0" ref="P9:P15" totalsRowShown="0">
  <autoFilter ref="P9:P15" xr:uid="{00000000-0009-0000-0100-000040000000}"/>
  <tableColumns count="1">
    <tableColumn id="1" xr3:uid="{00000000-0010-0000-4400-000001000000}" name="В_F0_F2_0"/>
  </tableColumns>
  <tableStyleInfo name="TableStyleLight17"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45000000}" name="П_В_F0_F3_0" displayName="П_В_F0_F3_0" ref="Q9:Q15" totalsRowShown="0">
  <autoFilter ref="Q9:Q15" xr:uid="{00000000-0009-0000-0100-000041000000}"/>
  <tableColumns count="1">
    <tableColumn id="1" xr3:uid="{00000000-0010-0000-4500-000001000000}" name="В_F0_F3_0"/>
  </tableColumns>
  <tableStyleInfo name="TableStyleLight17"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6000000}" name="П_В_F0_F4_0" displayName="П_В_F0_F4_0" ref="R9:R15" totalsRowShown="0">
  <autoFilter ref="R9:R15" xr:uid="{00000000-0009-0000-0100-000042000000}"/>
  <tableColumns count="1">
    <tableColumn id="1" xr3:uid="{00000000-0010-0000-4600-000001000000}" name="В_F0_F4_0"/>
  </tableColumns>
  <tableStyleInfo name="TableStyleLight17"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7000000}" name="П_В_F0_F5_0" displayName="П_В_F0_F5_0" ref="S9:S15" totalsRowShown="0">
  <autoFilter ref="S9:S15" xr:uid="{00000000-0009-0000-0100-000043000000}"/>
  <tableColumns count="1">
    <tableColumn id="1" xr3:uid="{00000000-0010-0000-4700-000001000000}" name="В_F0_F5_0"/>
  </tableColumns>
  <tableStyleInfo name="TableStyleLight17"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8000000}" name="П­_В_F1_F0_0" displayName="П­_В_F1_F0_0" ref="T9:T15" totalsRowShown="0">
  <autoFilter ref="T9:T15" xr:uid="{00000000-0009-0000-0100-000044000000}"/>
  <tableColumns count="1">
    <tableColumn id="1" xr3:uid="{00000000-0010-0000-4800-000001000000}" name="В_F1_F0_0"/>
  </tableColumns>
  <tableStyleInfo name="TableStyleLight19"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9000000}" name="П_В_F1_F1_0" displayName="П_В_F1_F1_0" ref="U9:U15" totalsRowShown="0">
  <autoFilter ref="U9:U15" xr:uid="{00000000-0009-0000-0100-000045000000}"/>
  <tableColumns count="1">
    <tableColumn id="1" xr3:uid="{00000000-0010-0000-4900-000001000000}" name="В_F1_F1_0"/>
  </tableColumns>
  <tableStyleInfo name="TableStyleLight19"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A000000}" name="П_В_F1_F2_0" displayName="П_В_F1_F2_0" ref="V9:V15" totalsRowShown="0">
  <autoFilter ref="V9:V15" xr:uid="{00000000-0009-0000-0100-000046000000}"/>
  <tableColumns count="1">
    <tableColumn id="1" xr3:uid="{00000000-0010-0000-4A00-000001000000}" name="В_F1_F2_0"/>
  </tableColumns>
  <tableStyleInfo name="TableStyleLight19"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B000000}" name="П_В_F1_F3_0" displayName="П_В_F1_F3_0" ref="W9:W15" totalsRowShown="0">
  <autoFilter ref="W9:W15" xr:uid="{00000000-0009-0000-0100-000047000000}"/>
  <tableColumns count="1">
    <tableColumn id="1" xr3:uid="{00000000-0010-0000-4B00-000001000000}" name="В_F1_F3_0"/>
  </tableColumns>
  <tableStyleInfo name="TableStyleLight19"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C000000}" name="П_В_F1_F4_0" displayName="П_В_F1_F4_0" ref="X9:X15" totalsRowShown="0">
  <autoFilter ref="X9:X15" xr:uid="{00000000-0009-0000-0100-000048000000}"/>
  <tableColumns count="1">
    <tableColumn id="1" xr3:uid="{00000000-0010-0000-4C00-000001000000}" name="В_F1_F4_0"/>
  </tableColumns>
  <tableStyleInfo name="TableStyleLight19"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D000000}" name="П_В_F1_F5_0" displayName="П_В_F1_F5_0" ref="Y9:Y15" totalsRowShown="0">
  <autoFilter ref="Y9:Y15" xr:uid="{00000000-0009-0000-0100-000049000000}"/>
  <tableColumns count="1">
    <tableColumn id="1" xr3:uid="{00000000-0010-0000-4D00-000001000000}" name="В_F1_F5_0"/>
  </tableColumns>
  <tableStyleInfo name="TableStyleLight19"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4E000000}" name="П_В_F2_F0_0" displayName="П_В_F2_F0_0" ref="Z9:Z15" totalsRowShown="0">
  <autoFilter ref="Z9:Z15" xr:uid="{00000000-0009-0000-0100-00004A000000}"/>
  <tableColumns count="1">
    <tableColumn id="1" xr3:uid="{00000000-0010-0000-4E00-000001000000}" name="В_F2_F0_0"/>
  </tableColumns>
  <tableStyleInfo name="TableStyleLight17"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4F000000}" name="П_В_F2_F1_0" displayName="П_В_F2_F1_0" ref="AA9:AA15" totalsRowShown="0">
  <autoFilter ref="AA9:AA15" xr:uid="{00000000-0009-0000-0100-00004B000000}"/>
  <tableColumns count="1">
    <tableColumn id="1" xr3:uid="{00000000-0010-0000-4F00-000001000000}" name="В_F2_F1_0"/>
  </tableColumns>
  <tableStyleInfo name="TableStyleLight17"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50000000}" name="П_В_F2_F2_0" displayName="П_В_F2_F2_0" ref="AB9:AB15" totalsRowShown="0">
  <autoFilter ref="AB9:AB15" xr:uid="{00000000-0009-0000-0100-00004C000000}"/>
  <tableColumns count="1">
    <tableColumn id="1" xr3:uid="{00000000-0010-0000-5000-000001000000}" name="В_F2_F2_0"/>
  </tableColumns>
  <tableStyleInfo name="TableStyleLight17"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51000000}" name="П_В_F2_F3_0" displayName="П_В_F2_F3_0" ref="AC9:AC15" totalsRowShown="0">
  <autoFilter ref="AC9:AC15" xr:uid="{00000000-0009-0000-0100-00004D000000}"/>
  <tableColumns count="1">
    <tableColumn id="1" xr3:uid="{00000000-0010-0000-5100-000001000000}" name="В_F2_F3_0"/>
  </tableColumns>
  <tableStyleInfo name="TableStyleLight17"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52000000}" name="П_В_F2_F4_0" displayName="П_В_F2_F4_0" ref="AD9:AD15" totalsRowShown="0">
  <autoFilter ref="AD9:AD15" xr:uid="{00000000-0009-0000-0100-00004E000000}"/>
  <tableColumns count="1">
    <tableColumn id="1" xr3:uid="{00000000-0010-0000-5200-000001000000}" name="В_F2_F4_0"/>
  </tableColumns>
  <tableStyleInfo name="TableStyleLight17"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53000000}" name="П_В_F2_F5_0" displayName="П_В_F2_F5_0" ref="AE9:AE15" totalsRowShown="0">
  <autoFilter ref="AE9:AE15" xr:uid="{00000000-0009-0000-0100-00004F000000}"/>
  <tableColumns count="1">
    <tableColumn id="1" xr3:uid="{00000000-0010-0000-5300-000001000000}" name="В_F2_F5_0"/>
  </tableColumns>
  <tableStyleInfo name="TableStyleLight17"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54000000}" name="П_В_F3_F0_0" displayName="П_В_F3_F0_0" ref="AF9:AF15" totalsRowShown="0">
  <autoFilter ref="AF9:AF15" xr:uid="{00000000-0009-0000-0100-000050000000}"/>
  <tableColumns count="1">
    <tableColumn id="1" xr3:uid="{00000000-0010-0000-5400-000001000000}" name="В_F3_F0_0"/>
  </tableColumns>
  <tableStyleInfo name="TableStyleLight19"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55000000}" name="П_В_F3_F1_0" displayName="П_В_F3_F1_0" ref="AG9:AG15" totalsRowShown="0">
  <autoFilter ref="AG9:AG15" xr:uid="{00000000-0009-0000-0100-000051000000}"/>
  <tableColumns count="1">
    <tableColumn id="1" xr3:uid="{00000000-0010-0000-5500-000001000000}" name="В_F3_F1_0"/>
  </tableColumns>
  <tableStyleInfo name="TableStyleLight19"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56000000}" name="П_В_F3_F2_0" displayName="П_В_F3_F2_0" ref="AH9:AH15" totalsRowShown="0">
  <autoFilter ref="AH9:AH15" xr:uid="{00000000-0009-0000-0100-000052000000}"/>
  <tableColumns count="1">
    <tableColumn id="1" xr3:uid="{00000000-0010-0000-5600-000001000000}" name="В_F3_F2_0"/>
  </tableColumns>
  <tableStyleInfo name="TableStyleLight19"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57000000}" name="П_В_F3_F3_0" displayName="П_В_F3_F3_0" ref="AI9:AI15" totalsRowShown="0">
  <autoFilter ref="AI9:AI15" xr:uid="{00000000-0009-0000-0100-000053000000}"/>
  <tableColumns count="1">
    <tableColumn id="1" xr3:uid="{00000000-0010-0000-5700-000001000000}" name="В_F3_F3_0"/>
  </tableColumns>
  <tableStyleInfo name="TableStyleLight19"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0000000-000C-0000-FFFF-FFFF58000000}" name="П_В_F3_F4_0" displayName="П_В_F3_F4_0" ref="AJ9:AJ15" totalsRowShown="0">
  <autoFilter ref="AJ9:AJ15" xr:uid="{00000000-0009-0000-0100-000054000000}"/>
  <tableColumns count="1">
    <tableColumn id="1" xr3:uid="{00000000-0010-0000-5800-000001000000}" name="В_F3_F4_0"/>
  </tableColumns>
  <tableStyleInfo name="TableStyleLight19"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00000000-000C-0000-FFFF-FFFF59000000}" name="П_В_F3_F5_0" displayName="П_В_F3_F5_0" ref="AK9:AK15" totalsRowShown="0">
  <autoFilter ref="AK9:AK15" xr:uid="{00000000-0009-0000-0100-000055000000}"/>
  <tableColumns count="1">
    <tableColumn id="1" xr3:uid="{00000000-0010-0000-5900-000001000000}" name="В_F3_F5_0"/>
  </tableColumns>
  <tableStyleInfo name="TableStyleLight19"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00000000-000C-0000-FFFF-FFFF5A000000}" name="П_В_F4_F0_0" displayName="П_В_F4_F0_0" ref="AL9:AL15" totalsRowShown="0">
  <autoFilter ref="AL9:AL15" xr:uid="{00000000-0009-0000-0100-000056000000}"/>
  <tableColumns count="1">
    <tableColumn id="1" xr3:uid="{00000000-0010-0000-5A00-000001000000}" name="В_F4_F0_0"/>
  </tableColumns>
  <tableStyleInfo name="TableStyleLight17"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00000000-000C-0000-FFFF-FFFF5B000000}" name="П_В_F4_F1_0" displayName="П_В_F4_F1_0" ref="AM9:AM15" totalsRowShown="0">
  <autoFilter ref="AM9:AM15" xr:uid="{00000000-0009-0000-0100-000057000000}"/>
  <tableColumns count="1">
    <tableColumn id="1" xr3:uid="{00000000-0010-0000-5B00-000001000000}" name="В_F4_F1_0"/>
  </tableColumns>
  <tableStyleInfo name="TableStyleLight17"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0000000-000C-0000-FFFF-FFFF5C000000}" name="П_В_F4_F2_0" displayName="П_В_F4_F2_0" ref="AN9:AN15" totalsRowShown="0">
  <autoFilter ref="AN9:AN15" xr:uid="{00000000-0009-0000-0100-000058000000}"/>
  <tableColumns count="1">
    <tableColumn id="1" xr3:uid="{00000000-0010-0000-5C00-000001000000}" name="В_F4_F2_0"/>
  </tableColumns>
  <tableStyleInfo name="TableStyleLight17"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00000000-000C-0000-FFFF-FFFF5D000000}" name="П_В_F4_F3_0" displayName="П_В_F4_F3_0" ref="AO9:AO15" totalsRowShown="0">
  <autoFilter ref="AO9:AO15" xr:uid="{00000000-0009-0000-0100-000059000000}"/>
  <tableColumns count="1">
    <tableColumn id="1" xr3:uid="{00000000-0010-0000-5D00-000001000000}" name="В_F4_F3_0"/>
  </tableColumns>
  <tableStyleInfo name="TableStyleLight17"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00000000-000C-0000-FFFF-FFFF5E000000}" name="П_В_F4_F4_0" displayName="П_В_F4_F4_0" ref="AP9:AP15" totalsRowShown="0">
  <autoFilter ref="AP9:AP15" xr:uid="{00000000-0009-0000-0100-00005A000000}"/>
  <tableColumns count="1">
    <tableColumn id="1" xr3:uid="{00000000-0010-0000-5E00-000001000000}" name="В_F4_F4_0"/>
  </tableColumns>
  <tableStyleInfo name="TableStyleLight17"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00000000-000C-0000-FFFF-FFFF5F000000}" name="П_В_F4_F5_0" displayName="П_В_F4_F5_0" ref="AQ9:AQ15" totalsRowShown="0">
  <autoFilter ref="AQ9:AQ15" xr:uid="{00000000-0009-0000-0100-00005B000000}"/>
  <tableColumns count="1">
    <tableColumn id="1" xr3:uid="{00000000-0010-0000-5F00-000001000000}" name="В_F4_F5_0"/>
  </tableColumns>
  <tableStyleInfo name="TableStyleLight17"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00000000-000C-0000-FFFF-FFFF60000000}" name="П_В_F5_F0_0" displayName="П_В_F5_F0_0" ref="AR9:AR15" totalsRowShown="0">
  <autoFilter ref="AR9:AR15" xr:uid="{00000000-0009-0000-0100-00005C000000}"/>
  <tableColumns count="1">
    <tableColumn id="1" xr3:uid="{00000000-0010-0000-6000-000001000000}" name="В_F5_F0_0"/>
  </tableColumns>
  <tableStyleInfo name="TableStyleLight19"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0000000-000C-0000-FFFF-FFFF61000000}" name="П_В_F5_F1_0" displayName="П_В_F5_F1_0" ref="AS9:AS15" totalsRowShown="0">
  <autoFilter ref="AS9:AS15" xr:uid="{00000000-0009-0000-0100-00005D000000}"/>
  <tableColumns count="1">
    <tableColumn id="1" xr3:uid="{00000000-0010-0000-6100-000001000000}" name="В_F5_F1_0"/>
  </tableColumns>
  <tableStyleInfo name="TableStyleLight19"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00000000-000C-0000-FFFF-FFFF62000000}" name="П_В_F5_F2_0" displayName="П_В_F5_F2_0" ref="AT9:AT15" totalsRowShown="0">
  <autoFilter ref="AT9:AT15" xr:uid="{00000000-0009-0000-0100-00005E000000}"/>
  <tableColumns count="1">
    <tableColumn id="1" xr3:uid="{00000000-0010-0000-6200-000001000000}" name="В_F5_F2_0"/>
  </tableColumns>
  <tableStyleInfo name="TableStyleLight19"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00000000-000C-0000-FFFF-FFFF63000000}" name="П_В_F5_F3_0" displayName="П_В_F5_F3_0" ref="AU9:AU15" totalsRowShown="0">
  <autoFilter ref="AU9:AU15" xr:uid="{00000000-0009-0000-0100-00005F000000}"/>
  <tableColumns count="1">
    <tableColumn id="1" xr3:uid="{00000000-0010-0000-6300-000001000000}" name="В_F5_F3_0"/>
  </tableColumns>
  <tableStyleInfo name="TableStyleLight19"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00000000-000C-0000-FFFF-FFFF64000000}" name="П_В_F5_F4_0" displayName="П_В_F5_F4_0" ref="AV9:AV15" totalsRowShown="0">
  <autoFilter ref="AV9:AV15" xr:uid="{00000000-0009-0000-0100-000060000000}"/>
  <tableColumns count="1">
    <tableColumn id="1" xr3:uid="{00000000-0010-0000-6400-000001000000}" name="В_F5_F4_0"/>
  </tableColumns>
  <tableStyleInfo name="TableStyleLight19"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00000000-000C-0000-FFFF-FFFF65000000}" name="П_В_F5_F5_0" displayName="П_В_F5_F5_0" ref="AW9:AW15" totalsRowShown="0">
  <autoFilter ref="AW9:AW15" xr:uid="{00000000-0009-0000-0100-000061000000}"/>
  <tableColumns count="1">
    <tableColumn id="1" xr3:uid="{00000000-0010-0000-6500-000001000000}" name="В_F5_F5_0"/>
  </tableColumns>
  <tableStyleInfo name="TableStyleLight19"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00000000-000C-0000-FFFF-FFFF66000000}" name="П_В_F0_F0_5" displayName="П_В_F0_F0_5" ref="N17:N23" totalsRowShown="0">
  <autoFilter ref="N17:N23" xr:uid="{00000000-0009-0000-0100-000062000000}">
    <filterColumn colId="0" hiddenButton="1"/>
  </autoFilter>
  <tableColumns count="1">
    <tableColumn id="1" xr3:uid="{00000000-0010-0000-6600-000001000000}" name="В_F0_F0_5"/>
  </tableColumns>
  <tableStyleInfo name="TableStyleLight17"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0000000-000C-0000-FFFF-FFFF67000000}" name="П_В_F0_F1_5" displayName="П_В_F0_F1_5" ref="O17:O23" totalsRowShown="0">
  <autoFilter ref="O17:O23" xr:uid="{00000000-0009-0000-0100-000063000000}"/>
  <tableColumns count="1">
    <tableColumn id="1" xr3:uid="{00000000-0010-0000-6700-000001000000}" name="В_F0_F1_5"/>
  </tableColumns>
  <tableStyleInfo name="TableStyleLight17"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00000000-000C-0000-FFFF-FFFF68000000}" name="П_В_F0_F2_5" displayName="П_В_F0_F2_5" ref="P17:P23" totalsRowShown="0">
  <autoFilter ref="P17:P23" xr:uid="{00000000-0009-0000-0100-000064000000}"/>
  <tableColumns count="1">
    <tableColumn id="1" xr3:uid="{00000000-0010-0000-6800-000001000000}" name="В_F0_F2_5"/>
  </tableColumns>
  <tableStyleInfo name="TableStyleLight17"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00000000-000C-0000-FFFF-FFFF69000000}" name="П_В_F0_F3_5" displayName="П_В_F0_F3_5" ref="Q17:Q23" totalsRowShown="0">
  <autoFilter ref="Q17:Q23" xr:uid="{00000000-0009-0000-0100-000065000000}"/>
  <tableColumns count="1">
    <tableColumn id="1" xr3:uid="{00000000-0010-0000-6900-000001000000}" name="В_F0_F3_5"/>
  </tableColumns>
  <tableStyleInfo name="TableStyleLight17"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00000000-000C-0000-FFFF-FFFF6A000000}" name="П_В_F0_F4_5" displayName="П_В_F0_F4_5" ref="R17:R23" totalsRowShown="0">
  <autoFilter ref="R17:R23" xr:uid="{00000000-0009-0000-0100-000066000000}"/>
  <tableColumns count="1">
    <tableColumn id="1" xr3:uid="{00000000-0010-0000-6A00-000001000000}" name="В_F0_F4_5"/>
  </tableColumns>
  <tableStyleInfo name="TableStyleLight17"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00000000-000C-0000-FFFF-FFFF6B000000}" name="П_В_F0_F5_5" displayName="П_В_F0_F5_5" ref="S17:S23" totalsRowShown="0">
  <autoFilter ref="S17:S23" xr:uid="{00000000-0009-0000-0100-000067000000}"/>
  <tableColumns count="1">
    <tableColumn id="1" xr3:uid="{00000000-0010-0000-6B00-000001000000}" name="В_F0_F5_5"/>
  </tableColumns>
  <tableStyleInfo name="TableStyleLight17"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00000000-000C-0000-FFFF-FFFF6C000000}" name="П­_В_F1_F0_5" displayName="П­_В_F1_F0_5" ref="T17:T23" totalsRowShown="0">
  <autoFilter ref="T17:T23" xr:uid="{00000000-0009-0000-0100-000068000000}"/>
  <tableColumns count="1">
    <tableColumn id="1" xr3:uid="{00000000-0010-0000-6C00-000001000000}" name="В_F1_F0_5"/>
  </tableColumns>
  <tableStyleInfo name="TableStyleLight19"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00000000-000C-0000-FFFF-FFFF6D000000}" name="П_В_F1_F1_5" displayName="П_В_F1_F1_5" ref="U17:U23" totalsRowShown="0">
  <autoFilter ref="U17:U23" xr:uid="{00000000-0009-0000-0100-000069000000}"/>
  <tableColumns count="1">
    <tableColumn id="1" xr3:uid="{00000000-0010-0000-6D00-000001000000}" name="В_F1_F1_5"/>
  </tableColumns>
  <tableStyleInfo name="TableStyleLight19"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00000000-000C-0000-FFFF-FFFF6E000000}" name="П_В_F1_F2_5" displayName="П_В_F1_F2_5" ref="V17:V23" totalsRowShown="0">
  <autoFilter ref="V17:V23" xr:uid="{00000000-0009-0000-0100-00006A000000}"/>
  <tableColumns count="1">
    <tableColumn id="1" xr3:uid="{00000000-0010-0000-6E00-000001000000}" name="В_F1_F2_5"/>
  </tableColumns>
  <tableStyleInfo name="TableStyleLight19"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00000000-000C-0000-FFFF-FFFF6F000000}" name="П_В_F1_F3_5" displayName="П_В_F1_F3_5" ref="W17:W23" totalsRowShown="0">
  <autoFilter ref="W17:W23" xr:uid="{00000000-0009-0000-0100-00006B000000}"/>
  <tableColumns count="1">
    <tableColumn id="1" xr3:uid="{00000000-0010-0000-6F00-000001000000}" name="В_F1_F3_5"/>
  </tableColumns>
  <tableStyleInfo name="TableStyleLight19"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00000000-000C-0000-FFFF-FFFF70000000}" name="П_В_F1_F4_5" displayName="П_В_F1_F4_5" ref="X17:X23" totalsRowShown="0">
  <autoFilter ref="X17:X23" xr:uid="{00000000-0009-0000-0100-00006C000000}"/>
  <tableColumns count="1">
    <tableColumn id="1" xr3:uid="{00000000-0010-0000-7000-000001000000}" name="В_F1_F4_5"/>
  </tableColumns>
  <tableStyleInfo name="TableStyleLight19"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00000000-000C-0000-FFFF-FFFF71000000}" name="П_В_F1_F5_5" displayName="П_В_F1_F5_5" ref="Y17:Y23" totalsRowShown="0">
  <autoFilter ref="Y17:Y23" xr:uid="{00000000-0009-0000-0100-00006D000000}"/>
  <tableColumns count="1">
    <tableColumn id="1" xr3:uid="{00000000-0010-0000-7100-000001000000}" name="В_F1_F5_5"/>
  </tableColumns>
  <tableStyleInfo name="TableStyleLight19"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72000000}" name="П_В_F2_F0_5" displayName="П_В_F2_F0_5" ref="Z17:Z23" totalsRowShown="0">
  <autoFilter ref="Z17:Z23" xr:uid="{00000000-0009-0000-0100-00006E000000}"/>
  <tableColumns count="1">
    <tableColumn id="1" xr3:uid="{00000000-0010-0000-7200-000001000000}" name="В_F2_F0_5"/>
  </tableColumns>
  <tableStyleInfo name="TableStyleLight17"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73000000}" name="П_В_F2_F1_5" displayName="П_В_F2_F1_5" ref="AA17:AA23" totalsRowShown="0">
  <autoFilter ref="AA17:AA23" xr:uid="{00000000-0009-0000-0100-00006F000000}"/>
  <tableColumns count="1">
    <tableColumn id="1" xr3:uid="{00000000-0010-0000-7300-000001000000}" name="В_F2_F1_5"/>
  </tableColumns>
  <tableStyleInfo name="TableStyleLight17"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74000000}" name="П_В_F2_F2_5" displayName="П_В_F2_F2_5" ref="AB17:AB23" totalsRowShown="0">
  <autoFilter ref="AB17:AB23" xr:uid="{00000000-0009-0000-0100-000070000000}"/>
  <tableColumns count="1">
    <tableColumn id="1" xr3:uid="{00000000-0010-0000-7400-000001000000}" name="В_F2_F2_5"/>
  </tableColumns>
  <tableStyleInfo name="TableStyleLight17"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00000000-000C-0000-FFFF-FFFF75000000}" name="П_В_F2_F3_5" displayName="П_В_F2_F3_5" ref="AC17:AC23" totalsRowShown="0">
  <autoFilter ref="AC17:AC23" xr:uid="{00000000-0009-0000-0100-000071000000}"/>
  <tableColumns count="1">
    <tableColumn id="1" xr3:uid="{00000000-0010-0000-7500-000001000000}" name="В_F2_F3_5"/>
  </tableColumns>
  <tableStyleInfo name="TableStyleLight17"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00000000-000C-0000-FFFF-FFFF76000000}" name="П_В_F2_F4_5" displayName="П_В_F2_F4_5" ref="AD17:AD23" totalsRowShown="0">
  <autoFilter ref="AD17:AD23" xr:uid="{00000000-0009-0000-0100-000072000000}"/>
  <tableColumns count="1">
    <tableColumn id="1" xr3:uid="{00000000-0010-0000-7600-000001000000}" name="В_F2_F4_5"/>
  </tableColumns>
  <tableStyleInfo name="TableStyleLight17"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00000000-000C-0000-FFFF-FFFF77000000}" name="П_В_F2_F5_5" displayName="П_В_F2_F5_5" ref="AE17:AE23" totalsRowShown="0">
  <autoFilter ref="AE17:AE23" xr:uid="{00000000-0009-0000-0100-000073000000}"/>
  <tableColumns count="1">
    <tableColumn id="1" xr3:uid="{00000000-0010-0000-7700-000001000000}" name="В_F2_F5_5"/>
  </tableColumns>
  <tableStyleInfo name="TableStyleLight17"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00000000-000C-0000-FFFF-FFFF78000000}" name="П_В_F3_F0_5" displayName="П_В_F3_F0_5" ref="AF17:AF23" totalsRowShown="0">
  <autoFilter ref="AF17:AF23" xr:uid="{00000000-0009-0000-0100-000074000000}"/>
  <tableColumns count="1">
    <tableColumn id="1" xr3:uid="{00000000-0010-0000-7800-000001000000}" name="В_F3_F0_5"/>
  </tableColumns>
  <tableStyleInfo name="TableStyleLight19"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00000000-000C-0000-FFFF-FFFF79000000}" name="П_В_F3_F1_5" displayName="П_В_F3_F1_5" ref="AG17:AG23" totalsRowShown="0">
  <autoFilter ref="AG17:AG23" xr:uid="{00000000-0009-0000-0100-000075000000}"/>
  <tableColumns count="1">
    <tableColumn id="1" xr3:uid="{00000000-0010-0000-7900-000001000000}" name="В_F3_F1_5"/>
  </tableColumns>
  <tableStyleInfo name="TableStyleLight19"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00000000-000C-0000-FFFF-FFFF7A000000}" name="П_В_F3_F2_5" displayName="П_В_F3_F2_5" ref="AH17:AH23" totalsRowShown="0">
  <autoFilter ref="AH17:AH23" xr:uid="{00000000-0009-0000-0100-000076000000}"/>
  <tableColumns count="1">
    <tableColumn id="1" xr3:uid="{00000000-0010-0000-7A00-000001000000}" name="В_F3_F2_5"/>
  </tableColumns>
  <tableStyleInfo name="TableStyleLight19"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00000000-000C-0000-FFFF-FFFF7B000000}" name="П_В_F3_F3_5" displayName="П_В_F3_F3_5" ref="AI17:AI23" totalsRowShown="0">
  <autoFilter ref="AI17:AI23" xr:uid="{00000000-0009-0000-0100-000077000000}"/>
  <tableColumns count="1">
    <tableColumn id="1" xr3:uid="{00000000-0010-0000-7B00-000001000000}" name="В_F3_F3_5"/>
  </tableColumns>
  <tableStyleInfo name="TableStyleLight19"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00000000-000C-0000-FFFF-FFFF7C000000}" name="П_В_F3_F4_5" displayName="П_В_F3_F4_5" ref="AJ17:AJ23" totalsRowShown="0">
  <autoFilter ref="AJ17:AJ23" xr:uid="{00000000-0009-0000-0100-000078000000}"/>
  <tableColumns count="1">
    <tableColumn id="1" xr3:uid="{00000000-0010-0000-7C00-000001000000}" name="В_F3_F4_5"/>
  </tableColumns>
  <tableStyleInfo name="TableStyleLight19"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00000000-000C-0000-FFFF-FFFF7D000000}" name="П_В_F3_F5_5" displayName="П_В_F3_F5_5" ref="AK17:AK23" totalsRowShown="0">
  <autoFilter ref="AK17:AK23" xr:uid="{00000000-0009-0000-0100-000079000000}"/>
  <tableColumns count="1">
    <tableColumn id="1" xr3:uid="{00000000-0010-0000-7D00-000001000000}" name="В_F3_F5_5"/>
  </tableColumns>
  <tableStyleInfo name="TableStyleLight19"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00000000-000C-0000-FFFF-FFFF7E000000}" name="П_В_F4_F0_5" displayName="П_В_F4_F0_5" ref="AL17:AL23" totalsRowShown="0">
  <autoFilter ref="AL17:AL23" xr:uid="{00000000-0009-0000-0100-00007A000000}"/>
  <tableColumns count="1">
    <tableColumn id="1" xr3:uid="{00000000-0010-0000-7E00-000001000000}" name="В_F4_F0_5"/>
  </tableColumns>
  <tableStyleInfo name="TableStyleLight17"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0000000-000C-0000-FFFF-FFFF7F000000}" name="П_В_F4_F1_5" displayName="П_В_F4_F1_5" ref="AM17:AM23" totalsRowShown="0">
  <autoFilter ref="AM17:AM23" xr:uid="{00000000-0009-0000-0100-00007B000000}"/>
  <tableColumns count="1">
    <tableColumn id="1" xr3:uid="{00000000-0010-0000-7F00-000001000000}" name="В_F4_F1_5"/>
  </tableColumns>
  <tableStyleInfo name="TableStyleLight17"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00000000-000C-0000-FFFF-FFFF80000000}" name="П_В_F4_F2_5" displayName="П_В_F4_F2_5" ref="AN17:AN23" totalsRowShown="0">
  <autoFilter ref="AN17:AN23" xr:uid="{00000000-0009-0000-0100-00007C000000}"/>
  <tableColumns count="1">
    <tableColumn id="1" xr3:uid="{00000000-0010-0000-8000-000001000000}" name="В_F4_F2_5"/>
  </tableColumns>
  <tableStyleInfo name="TableStyleLight17"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00000000-000C-0000-FFFF-FFFF81000000}" name="П_В_F4_F3_5" displayName="П_В_F4_F3_5" ref="AO17:AO23" totalsRowShown="0">
  <autoFilter ref="AO17:AO23" xr:uid="{00000000-0009-0000-0100-00007D000000}"/>
  <tableColumns count="1">
    <tableColumn id="1" xr3:uid="{00000000-0010-0000-8100-000001000000}" name="В_F4_F3_5"/>
  </tableColumns>
  <tableStyleInfo name="TableStyleLight17"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00000000-000C-0000-FFFF-FFFF82000000}" name="П_В_F4_F4_5" displayName="П_В_F4_F4_5" ref="AP17:AP23" totalsRowShown="0">
  <autoFilter ref="AP17:AP23" xr:uid="{00000000-0009-0000-0100-00007E000000}"/>
  <tableColumns count="1">
    <tableColumn id="1" xr3:uid="{00000000-0010-0000-8200-000001000000}" name="В_F4_F4_5"/>
  </tableColumns>
  <tableStyleInfo name="TableStyleLight17"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00000000-000C-0000-FFFF-FFFF83000000}" name="П_В_F4_F5_5" displayName="П_В_F4_F5_5" ref="AQ17:AQ23" totalsRowShown="0">
  <autoFilter ref="AQ17:AQ23" xr:uid="{00000000-0009-0000-0100-00007F000000}"/>
  <tableColumns count="1">
    <tableColumn id="1" xr3:uid="{00000000-0010-0000-8300-000001000000}" name="В_F4_F5_5"/>
  </tableColumns>
  <tableStyleInfo name="TableStyleLight17"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00000000-000C-0000-FFFF-FFFF84000000}" name="П_В_F5_F0_5" displayName="П_В_F5_F0_5" ref="AR17:AR23" totalsRowShown="0">
  <autoFilter ref="AR17:AR23" xr:uid="{00000000-0009-0000-0100-000080000000}"/>
  <tableColumns count="1">
    <tableColumn id="1" xr3:uid="{00000000-0010-0000-8400-000001000000}" name="В_F5_F0_5"/>
  </tableColumns>
  <tableStyleInfo name="TableStyleLight19"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00000000-000C-0000-FFFF-FFFF85000000}" name="П_В_F5_F1_5" displayName="П_В_F5_F1_5" ref="AS17:AS23" totalsRowShown="0">
  <autoFilter ref="AS17:AS23" xr:uid="{00000000-0009-0000-0100-000081000000}"/>
  <tableColumns count="1">
    <tableColumn id="1" xr3:uid="{00000000-0010-0000-8500-000001000000}" name="В_F5_F1_5"/>
  </tableColumns>
  <tableStyleInfo name="TableStyleLight19"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00000000-000C-0000-FFFF-FFFF86000000}" name="П_В_F5_F2_5" displayName="П_В_F5_F2_5" ref="AT17:AT23" totalsRowShown="0">
  <autoFilter ref="AT17:AT23" xr:uid="{00000000-0009-0000-0100-000082000000}"/>
  <tableColumns count="1">
    <tableColumn id="1" xr3:uid="{00000000-0010-0000-8600-000001000000}" name="В_F5_F2_5"/>
  </tableColumns>
  <tableStyleInfo name="TableStyleLight19"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0000000-000C-0000-FFFF-FFFF87000000}" name="П_В_F5_F3_5" displayName="П_В_F5_F3_5" ref="AU17:AU23" totalsRowShown="0">
  <autoFilter ref="AU17:AU23" xr:uid="{00000000-0009-0000-0100-000083000000}"/>
  <tableColumns count="1">
    <tableColumn id="1" xr3:uid="{00000000-0010-0000-8700-000001000000}" name="В_F5_F3_5"/>
  </tableColumns>
  <tableStyleInfo name="TableStyleLight19"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00000000-000C-0000-FFFF-FFFF88000000}" name="П_В_F5_F4_5" displayName="П_В_F5_F4_5" ref="AV17:AV23" totalsRowShown="0">
  <autoFilter ref="AV17:AV23" xr:uid="{00000000-0009-0000-0100-000084000000}"/>
  <tableColumns count="1">
    <tableColumn id="1" xr3:uid="{00000000-0010-0000-8800-000001000000}" name="В_F5_F4_5"/>
  </tableColumns>
  <tableStyleInfo name="TableStyleLight19"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00000000-000C-0000-FFFF-FFFF89000000}" name="П_В_F5_F5_5" displayName="П_В_F5_F5_5" ref="AW17:AW23" totalsRowShown="0">
  <autoFilter ref="AW17:AW23" xr:uid="{00000000-0009-0000-0100-000085000000}"/>
  <tableColumns count="1">
    <tableColumn id="1" xr3:uid="{00000000-0010-0000-8900-000001000000}" name="В_F5_F5_5"/>
  </tableColumns>
  <tableStyleInfo name="TableStyleLight19"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0" xr:uid="{00000000-000C-0000-FFFF-FFFF8A000000}" name="ПВF0F0_05" displayName="ПВF0F0_05" ref="N25:N31" totalsRowShown="0">
  <autoFilter ref="N25:N31" xr:uid="{00000000-0009-0000-0100-0000AA000000}">
    <filterColumn colId="0" hiddenButton="1"/>
  </autoFilter>
  <tableColumns count="1">
    <tableColumn id="1" xr3:uid="{00000000-0010-0000-8A00-000001000000}" name="ВF0F0_05"/>
  </tableColumns>
  <tableStyleInfo name="TableStyleLight17"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1" xr:uid="{00000000-000C-0000-FFFF-FFFF8B000000}" name="ПВF0F1_05" displayName="ПВF0F1_05" ref="O25:O31" totalsRowShown="0">
  <autoFilter ref="O25:O31" xr:uid="{00000000-0009-0000-0100-0000AB000000}"/>
  <tableColumns count="1">
    <tableColumn id="1" xr3:uid="{00000000-0010-0000-8B00-000001000000}" name="ВF0F1_05"/>
  </tableColumns>
  <tableStyleInfo name="TableStyleLight17"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2" xr:uid="{00000000-000C-0000-FFFF-FFFF8C000000}" name="ПВF0F2_05" displayName="ПВF0F2_05" ref="P25:P31" totalsRowShown="0">
  <autoFilter ref="P25:P31" xr:uid="{00000000-0009-0000-0100-0000AC000000}"/>
  <tableColumns count="1">
    <tableColumn id="1" xr3:uid="{00000000-0010-0000-8C00-000001000000}" name="ВF0F2_05"/>
  </tableColumns>
  <tableStyleInfo name="TableStyleLight17"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3" xr:uid="{00000000-000C-0000-FFFF-FFFF8D000000}" name="ПВF0F3_05" displayName="ПВF0F3_05" ref="Q25:Q31" totalsRowShown="0">
  <autoFilter ref="Q25:Q31" xr:uid="{00000000-0009-0000-0100-0000AD000000}"/>
  <tableColumns count="1">
    <tableColumn id="1" xr3:uid="{00000000-0010-0000-8D00-000001000000}" name="ВF0F3_05"/>
  </tableColumns>
  <tableStyleInfo name="TableStyleLight17"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4" xr:uid="{00000000-000C-0000-FFFF-FFFF8E000000}" name="ПВF0F4_05" displayName="ПВF0F4_05" ref="R25:R31" totalsRowShown="0">
  <autoFilter ref="R25:R31" xr:uid="{00000000-0009-0000-0100-0000AE000000}"/>
  <tableColumns count="1">
    <tableColumn id="1" xr3:uid="{00000000-0010-0000-8E00-000001000000}" name="ВF0F4_05"/>
  </tableColumns>
  <tableStyleInfo name="TableStyleLight17"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5" xr:uid="{00000000-000C-0000-FFFF-FFFF8F000000}" name="ПВF0F5_05" displayName="ПВF0F5_05" ref="S25:S31" totalsRowShown="0">
  <autoFilter ref="S25:S31" xr:uid="{00000000-0009-0000-0100-0000AF000000}"/>
  <tableColumns count="1">
    <tableColumn id="1" xr3:uid="{00000000-0010-0000-8F00-000001000000}" name="ВF0F5_05"/>
  </tableColumns>
  <tableStyleInfo name="TableStyleLight17"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6" xr:uid="{00000000-000C-0000-FFFF-FFFF90000000}" name="П­ВF1F0_05" displayName="П­ВF1F0_05" ref="T25:T31" totalsRowShown="0">
  <autoFilter ref="T25:T31" xr:uid="{00000000-0009-0000-0100-0000B0000000}"/>
  <tableColumns count="1">
    <tableColumn id="1" xr3:uid="{00000000-0010-0000-9000-000001000000}" name="ВF1F0_05"/>
  </tableColumns>
  <tableStyleInfo name="TableStyleLight19"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7" xr:uid="{00000000-000C-0000-FFFF-FFFF91000000}" name="ПВF1F1_05" displayName="ПВF1F1_05" ref="U25:U31" totalsRowShown="0">
  <autoFilter ref="U25:U31" xr:uid="{00000000-0009-0000-0100-0000B1000000}"/>
  <tableColumns count="1">
    <tableColumn id="1" xr3:uid="{00000000-0010-0000-9100-000001000000}" name="ВF1F1_05"/>
  </tableColumns>
  <tableStyleInfo name="TableStyleLight19"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8" xr:uid="{00000000-000C-0000-FFFF-FFFF92000000}" name="ПВF1F2_05" displayName="ПВF1F2_05" ref="V25:V31" totalsRowShown="0">
  <autoFilter ref="V25:V31" xr:uid="{00000000-0009-0000-0100-0000B2000000}"/>
  <tableColumns count="1">
    <tableColumn id="1" xr3:uid="{00000000-0010-0000-9200-000001000000}" name="ВF1F2_05"/>
  </tableColumns>
  <tableStyleInfo name="TableStyleLight19"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9" xr:uid="{00000000-000C-0000-FFFF-FFFF93000000}" name="ПВF1F3_05" displayName="ПВF1F3_05" ref="W25:W31" totalsRowShown="0">
  <autoFilter ref="W25:W31" xr:uid="{00000000-0009-0000-0100-0000B3000000}"/>
  <tableColumns count="1">
    <tableColumn id="1" xr3:uid="{00000000-0010-0000-9300-000001000000}" name="ВF1F3_05"/>
  </tableColumns>
  <tableStyleInfo name="TableStyleLight19"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0" xr:uid="{00000000-000C-0000-FFFF-FFFF94000000}" name="ПВF1F4_05" displayName="ПВF1F4_05" ref="X25:X31" totalsRowShown="0">
  <autoFilter ref="X25:X31" xr:uid="{00000000-0009-0000-0100-0000B4000000}"/>
  <tableColumns count="1">
    <tableColumn id="1" xr3:uid="{00000000-0010-0000-9400-000001000000}" name="ВF1F4_05"/>
  </tableColumns>
  <tableStyleInfo name="TableStyleLight19"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1" xr:uid="{00000000-000C-0000-FFFF-FFFF95000000}" name="ПВF1F5_05" displayName="ПВF1F5_05" ref="Y25:Y31" totalsRowShown="0">
  <autoFilter ref="Y25:Y31" xr:uid="{00000000-0009-0000-0100-0000B5000000}"/>
  <tableColumns count="1">
    <tableColumn id="1" xr3:uid="{00000000-0010-0000-9500-000001000000}" name="ВF1F5_05"/>
  </tableColumns>
  <tableStyleInfo name="TableStyleLight19" showFirstColumn="0" showLastColumn="0" showRowStripes="1" showColumnStripes="0"/>
</table>
</file>

<file path=xl/tables/table1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2" xr:uid="{00000000-000C-0000-FFFF-FFFF96000000}" name="ПВF2F0_05" displayName="ПВF2F0_05" ref="Z25:Z31" totalsRowShown="0">
  <autoFilter ref="Z25:Z31" xr:uid="{00000000-0009-0000-0100-0000B6000000}"/>
  <tableColumns count="1">
    <tableColumn id="1" xr3:uid="{00000000-0010-0000-9600-000001000000}" name="ВF2F0_05"/>
  </tableColumns>
  <tableStyleInfo name="TableStyleLight17" showFirstColumn="0" showLastColumn="0" showRowStripes="1" showColumnStripes="0"/>
</table>
</file>

<file path=xl/tables/table1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3" xr:uid="{00000000-000C-0000-FFFF-FFFF97000000}" name="ПВF2F1_05" displayName="ПВF2F1_05" ref="AA25:AA31" totalsRowShown="0">
  <autoFilter ref="AA25:AA31" xr:uid="{00000000-0009-0000-0100-0000B7000000}"/>
  <tableColumns count="1">
    <tableColumn id="1" xr3:uid="{00000000-0010-0000-9700-000001000000}" name="ВF2F1_05"/>
  </tableColumns>
  <tableStyleInfo name="TableStyleLight17" showFirstColumn="0" showLastColumn="0" showRowStripes="1" showColumnStripes="0"/>
</table>
</file>

<file path=xl/tables/table1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4" xr:uid="{00000000-000C-0000-FFFF-FFFF98000000}" name="ПВF2F2_05" displayName="ПВF2F2_05" ref="AB25:AB31" totalsRowShown="0">
  <autoFilter ref="AB25:AB31" xr:uid="{00000000-0009-0000-0100-0000B8000000}"/>
  <tableColumns count="1">
    <tableColumn id="1" xr3:uid="{00000000-0010-0000-9800-000001000000}" name="ВF2F2_05"/>
  </tableColumns>
  <tableStyleInfo name="TableStyleLight17" showFirstColumn="0" showLastColumn="0" showRowStripes="1" showColumnStripes="0"/>
</table>
</file>

<file path=xl/tables/table1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5" xr:uid="{00000000-000C-0000-FFFF-FFFF99000000}" name="ПВF2F3_05" displayName="ПВF2F3_05" ref="AC25:AC31" totalsRowShown="0">
  <autoFilter ref="AC25:AC31" xr:uid="{00000000-0009-0000-0100-0000B9000000}"/>
  <tableColumns count="1">
    <tableColumn id="1" xr3:uid="{00000000-0010-0000-9900-000001000000}" name="ВF2F3_05"/>
  </tableColumns>
  <tableStyleInfo name="TableStyleLight17" showFirstColumn="0" showLastColumn="0" showRowStripes="1" showColumnStripes="0"/>
</table>
</file>

<file path=xl/tables/table1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6" xr:uid="{00000000-000C-0000-FFFF-FFFF9A000000}" name="ПВF2F4_05" displayName="ПВF2F4_05" ref="AD25:AD31" totalsRowShown="0">
  <autoFilter ref="AD25:AD31" xr:uid="{00000000-0009-0000-0100-0000BA000000}"/>
  <tableColumns count="1">
    <tableColumn id="1" xr3:uid="{00000000-0010-0000-9A00-000001000000}" name="ВF2F4_05"/>
  </tableColumns>
  <tableStyleInfo name="TableStyleLight17" showFirstColumn="0" showLastColumn="0" showRowStripes="1" showColumnStripes="0"/>
</table>
</file>

<file path=xl/tables/table1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7" xr:uid="{00000000-000C-0000-FFFF-FFFF9B000000}" name="ПВF2F5_05" displayName="ПВF2F5_05" ref="AE25:AE31" totalsRowShown="0">
  <autoFilter ref="AE25:AE31" xr:uid="{00000000-0009-0000-0100-0000BB000000}"/>
  <tableColumns count="1">
    <tableColumn id="1" xr3:uid="{00000000-0010-0000-9B00-000001000000}" name="ВF2F5_05"/>
  </tableColumns>
  <tableStyleInfo name="TableStyleLight17" showFirstColumn="0" showLastColumn="0" showRowStripes="1" showColumnStripes="0"/>
</table>
</file>

<file path=xl/tables/table1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8" xr:uid="{00000000-000C-0000-FFFF-FFFF9C000000}" name="ПВF3F0_05" displayName="ПВF3F0_05" ref="AF25:AF31" totalsRowShown="0">
  <autoFilter ref="AF25:AF31" xr:uid="{00000000-0009-0000-0100-0000BC000000}"/>
  <tableColumns count="1">
    <tableColumn id="1" xr3:uid="{00000000-0010-0000-9C00-000001000000}" name="ВF3F0_05"/>
  </tableColumns>
  <tableStyleInfo name="TableStyleLight19" showFirstColumn="0" showLastColumn="0" showRowStripes="1" showColumnStripes="0"/>
</table>
</file>

<file path=xl/tables/table1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9" xr:uid="{00000000-000C-0000-FFFF-FFFF9D000000}" name="ПВF3F1_05" displayName="ПВF3F1_05" ref="AG25:AG31" totalsRowShown="0">
  <autoFilter ref="AG25:AG31" xr:uid="{00000000-0009-0000-0100-0000BD000000}"/>
  <tableColumns count="1">
    <tableColumn id="1" xr3:uid="{00000000-0010-0000-9D00-000001000000}" name="ВF3F1_05"/>
  </tableColumns>
  <tableStyleInfo name="TableStyleLight19" showFirstColumn="0" showLastColumn="0" showRowStripes="1" showColumnStripes="0"/>
</table>
</file>

<file path=xl/tables/table1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0" xr:uid="{00000000-000C-0000-FFFF-FFFF9E000000}" name="ПВF3F2_05" displayName="ПВF3F2_05" ref="AH25:AH31" totalsRowShown="0">
  <autoFilter ref="AH25:AH31" xr:uid="{00000000-0009-0000-0100-0000BE000000}"/>
  <tableColumns count="1">
    <tableColumn id="1" xr3:uid="{00000000-0010-0000-9E00-000001000000}" name="ВF3F2_05"/>
  </tableColumns>
  <tableStyleInfo name="TableStyleLight19" showFirstColumn="0" showLastColumn="0" showRowStripes="1" showColumnStripes="0"/>
</table>
</file>

<file path=xl/tables/table1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1" xr:uid="{00000000-000C-0000-FFFF-FFFF9F000000}" name="ПВF3F3_05" displayName="ПВF3F3_05" ref="AI25:AI31" totalsRowShown="0">
  <autoFilter ref="AI25:AI31" xr:uid="{00000000-0009-0000-0100-0000BF000000}"/>
  <tableColumns count="1">
    <tableColumn id="1" xr3:uid="{00000000-0010-0000-9F00-000001000000}" name="ВF3F3_05"/>
  </tableColumns>
  <tableStyleInfo name="TableStyleLight19" showFirstColumn="0" showLastColumn="0" showRowStripes="1" showColumnStripes="0"/>
</table>
</file>

<file path=xl/tables/table1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2" xr:uid="{00000000-000C-0000-FFFF-FFFFA0000000}" name="ПВF3F4_05" displayName="ПВF3F4_05" ref="AJ25:AJ31" totalsRowShown="0">
  <autoFilter ref="AJ25:AJ31" xr:uid="{00000000-0009-0000-0100-0000C0000000}"/>
  <tableColumns count="1">
    <tableColumn id="1" xr3:uid="{00000000-0010-0000-A000-000001000000}" name="ВF3F4_05"/>
  </tableColumns>
  <tableStyleInfo name="TableStyleLight19" showFirstColumn="0" showLastColumn="0" showRowStripes="1" showColumnStripes="0"/>
</table>
</file>

<file path=xl/tables/table1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3" xr:uid="{00000000-000C-0000-FFFF-FFFFA1000000}" name="ПВF3F5_05" displayName="ПВF3F5_05" ref="AK25:AK31" totalsRowShown="0">
  <autoFilter ref="AK25:AK31" xr:uid="{00000000-0009-0000-0100-0000C1000000}"/>
  <tableColumns count="1">
    <tableColumn id="1" xr3:uid="{00000000-0010-0000-A100-000001000000}" name="ВF3F5_05"/>
  </tableColumns>
  <tableStyleInfo name="TableStyleLight19" showFirstColumn="0" showLastColumn="0" showRowStripes="1" showColumnStripes="0"/>
</table>
</file>

<file path=xl/tables/table1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4" xr:uid="{00000000-000C-0000-FFFF-FFFFA2000000}" name="ПВF4F0_05" displayName="ПВF4F0_05" ref="AL25:AL31" totalsRowShown="0">
  <autoFilter ref="AL25:AL31" xr:uid="{00000000-0009-0000-0100-0000C2000000}"/>
  <tableColumns count="1">
    <tableColumn id="1" xr3:uid="{00000000-0010-0000-A200-000001000000}" name="ВF4F0_05"/>
  </tableColumns>
  <tableStyleInfo name="TableStyleLight17" showFirstColumn="0" showLastColumn="0" showRowStripes="1" showColumnStripes="0"/>
</table>
</file>

<file path=xl/tables/table1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5" xr:uid="{00000000-000C-0000-FFFF-FFFFA3000000}" name="ПВF4F1_05" displayName="ПВF4F1_05" ref="AM25:AM31" totalsRowShown="0">
  <autoFilter ref="AM25:AM31" xr:uid="{00000000-0009-0000-0100-0000C3000000}"/>
  <tableColumns count="1">
    <tableColumn id="1" xr3:uid="{00000000-0010-0000-A300-000001000000}" name="ВF4F1_05"/>
  </tableColumns>
  <tableStyleInfo name="TableStyleLight17" showFirstColumn="0" showLastColumn="0" showRowStripes="1" showColumnStripes="0"/>
</table>
</file>

<file path=xl/tables/table1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6" xr:uid="{00000000-000C-0000-FFFF-FFFFA4000000}" name="ПВF4F2_05" displayName="ПВF4F2_05" ref="AN25:AN31" totalsRowShown="0">
  <autoFilter ref="AN25:AN31" xr:uid="{00000000-0009-0000-0100-0000C4000000}"/>
  <tableColumns count="1">
    <tableColumn id="1" xr3:uid="{00000000-0010-0000-A400-000001000000}" name="ВF4F2_05"/>
  </tableColumns>
  <tableStyleInfo name="TableStyleLight17" showFirstColumn="0" showLastColumn="0" showRowStripes="1" showColumnStripes="0"/>
</table>
</file>

<file path=xl/tables/table1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7" xr:uid="{00000000-000C-0000-FFFF-FFFFA5000000}" name="ПВF4F3_05" displayName="ПВF4F3_05" ref="AO25:AO31" totalsRowShown="0">
  <autoFilter ref="AO25:AO31" xr:uid="{00000000-0009-0000-0100-0000C5000000}"/>
  <tableColumns count="1">
    <tableColumn id="1" xr3:uid="{00000000-0010-0000-A500-000001000000}" name="ВF4F3_05"/>
  </tableColumns>
  <tableStyleInfo name="TableStyleLight17" showFirstColumn="0" showLastColumn="0" showRowStripes="1" showColumnStripes="0"/>
</table>
</file>

<file path=xl/tables/table1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8" xr:uid="{00000000-000C-0000-FFFF-FFFFA6000000}" name="ПВF4F4_05" displayName="ПВF4F4_05" ref="AP25:AP31" totalsRowShown="0">
  <autoFilter ref="AP25:AP31" xr:uid="{00000000-0009-0000-0100-0000C6000000}"/>
  <tableColumns count="1">
    <tableColumn id="1" xr3:uid="{00000000-0010-0000-A600-000001000000}" name="ВF4F4_05"/>
  </tableColumns>
  <tableStyleInfo name="TableStyleLight17" showFirstColumn="0" showLastColumn="0" showRowStripes="1" showColumnStripes="0"/>
</table>
</file>

<file path=xl/tables/table1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9" xr:uid="{00000000-000C-0000-FFFF-FFFFA7000000}" name="ПВF4F5_05" displayName="ПВF4F5_05" ref="AQ25:AQ31" totalsRowShown="0">
  <autoFilter ref="AQ25:AQ31" xr:uid="{00000000-0009-0000-0100-0000C7000000}"/>
  <tableColumns count="1">
    <tableColumn id="1" xr3:uid="{00000000-0010-0000-A700-000001000000}" name="ВF4F5_05"/>
  </tableColumns>
  <tableStyleInfo name="TableStyleLight17" showFirstColumn="0" showLastColumn="0" showRowStripes="1" showColumnStripes="0"/>
</table>
</file>

<file path=xl/tables/table1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0" xr:uid="{00000000-000C-0000-FFFF-FFFFA8000000}" name="ПВF5F0_05" displayName="ПВF5F0_05" ref="AR25:AR31" totalsRowShown="0">
  <autoFilter ref="AR25:AR31" xr:uid="{00000000-0009-0000-0100-0000C8000000}"/>
  <tableColumns count="1">
    <tableColumn id="1" xr3:uid="{00000000-0010-0000-A800-000001000000}" name="ВF5F0_05"/>
  </tableColumns>
  <tableStyleInfo name="TableStyleLight19" showFirstColumn="0" showLastColumn="0" showRowStripes="1" showColumnStripes="0"/>
</table>
</file>

<file path=xl/tables/table1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1" xr:uid="{00000000-000C-0000-FFFF-FFFFA9000000}" name="ПВF5F1_05" displayName="ПВF5F1_05" ref="AS25:AS31" totalsRowShown="0">
  <autoFilter ref="AS25:AS31" xr:uid="{00000000-0009-0000-0100-0000C9000000}"/>
  <tableColumns count="1">
    <tableColumn id="1" xr3:uid="{00000000-0010-0000-A900-000001000000}" name="ВF5F1_05"/>
  </tableColumns>
  <tableStyleInfo name="TableStyleLight19" showFirstColumn="0" showLastColumn="0" showRowStripes="1" showColumnStripes="0"/>
</table>
</file>

<file path=xl/tables/table1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2" xr:uid="{00000000-000C-0000-FFFF-FFFFAA000000}" name="ПВF5F2_05" displayName="ПВF5F2_05" ref="AT25:AT31" totalsRowShown="0">
  <autoFilter ref="AT25:AT31" xr:uid="{00000000-0009-0000-0100-0000CA000000}"/>
  <tableColumns count="1">
    <tableColumn id="1" xr3:uid="{00000000-0010-0000-AA00-000001000000}" name="ВF5F2_05"/>
  </tableColumns>
  <tableStyleInfo name="TableStyleLight19" showFirstColumn="0" showLastColumn="0" showRowStripes="1" showColumnStripes="0"/>
</table>
</file>

<file path=xl/tables/table1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3" xr:uid="{00000000-000C-0000-FFFF-FFFFAB000000}" name="ПВF5F3_05" displayName="ПВF5F3_05" ref="AU25:AU31" totalsRowShown="0">
  <autoFilter ref="AU25:AU31" xr:uid="{00000000-0009-0000-0100-0000CB000000}"/>
  <tableColumns count="1">
    <tableColumn id="1" xr3:uid="{00000000-0010-0000-AB00-000001000000}" name="ВF5F3_05"/>
  </tableColumns>
  <tableStyleInfo name="TableStyleLight19" showFirstColumn="0" showLastColumn="0" showRowStripes="1" showColumnStripes="0"/>
</table>
</file>

<file path=xl/tables/table1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4" xr:uid="{00000000-000C-0000-FFFF-FFFFAC000000}" name="ПВF5F4_05" displayName="ПВF5F4_05" ref="AV25:AV31" totalsRowShown="0">
  <autoFilter ref="AV25:AV31" xr:uid="{00000000-0009-0000-0100-0000CC000000}"/>
  <tableColumns count="1">
    <tableColumn id="1" xr3:uid="{00000000-0010-0000-AC00-000001000000}" name="ВF5F4_05"/>
  </tableColumns>
  <tableStyleInfo name="TableStyleLight19" showFirstColumn="0" showLastColumn="0" showRowStripes="1" showColumnStripes="0"/>
</table>
</file>

<file path=xl/tables/table1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5" xr:uid="{00000000-000C-0000-FFFF-FFFFAD000000}" name="ПВF5F5_05" displayName="ПВF5F5_05" ref="AW25:AW31" totalsRowShown="0">
  <autoFilter ref="AW25:AW31" xr:uid="{00000000-0009-0000-0100-0000CD000000}"/>
  <tableColumns count="1">
    <tableColumn id="1" xr3:uid="{00000000-0010-0000-AD00-000001000000}" name="ВF5F5_05"/>
  </tableColumns>
  <tableStyleInfo name="TableStyleLight19" showFirstColumn="0" showLastColumn="0" showRowStripes="1" showColumnStripes="0"/>
</table>
</file>

<file path=xl/tables/table1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AE000000}" name="П_В_F0_F0т0" displayName="П_В_F0_F0т0" ref="N33:N39" totalsRowShown="0">
  <autoFilter ref="N33:N39" xr:uid="{00000000-0009-0000-0100-000007000000}">
    <filterColumn colId="0" hiddenButton="1"/>
  </autoFilter>
  <tableColumns count="1">
    <tableColumn id="1" xr3:uid="{00000000-0010-0000-AE00-000001000000}" name="В_F0_F0т0"/>
  </tableColumns>
  <tableStyleInfo name="TableStyleLight17" showFirstColumn="0" showLastColumn="0" showRowStripes="1" showColumnStripes="0"/>
</table>
</file>

<file path=xl/tables/table1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AF000000}" name="П_В_F0_F1т0" displayName="П_В_F0_F1т0" ref="O33:O39" totalsRowShown="0">
  <autoFilter ref="O33:O39" xr:uid="{00000000-0009-0000-0100-000008000000}"/>
  <tableColumns count="1">
    <tableColumn id="1" xr3:uid="{00000000-0010-0000-AF00-000001000000}" name="В_F0_F1т0"/>
  </tableColumns>
  <tableStyleInfo name="TableStyleLight17" showFirstColumn="0" showLastColumn="0" showRowStripes="1" showColumnStripes="0"/>
</table>
</file>

<file path=xl/tables/table1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B0000000}" name="П_В_F0_F2т0" displayName="П_В_F0_F2т0" ref="P33:P39" totalsRowShown="0">
  <autoFilter ref="P33:P39" xr:uid="{00000000-0009-0000-0100-000009000000}"/>
  <tableColumns count="1">
    <tableColumn id="1" xr3:uid="{00000000-0010-0000-B000-000001000000}" name="В_F0_F2т0"/>
  </tableColumns>
  <tableStyleInfo name="TableStyleLight17" showFirstColumn="0" showLastColumn="0" showRowStripes="1" showColumnStripes="0"/>
</table>
</file>

<file path=xl/tables/table1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B1000000}" name="П_В_F0_F3т0" displayName="П_В_F0_F3т0" ref="Q33:Q39" totalsRowShown="0">
  <autoFilter ref="Q33:Q39" xr:uid="{00000000-0009-0000-0100-00000A000000}"/>
  <tableColumns count="1">
    <tableColumn id="1" xr3:uid="{00000000-0010-0000-B100-000001000000}" name="В_F0_F3т0"/>
  </tableColumns>
  <tableStyleInfo name="TableStyleLight17" showFirstColumn="0" showLastColumn="0" showRowStripes="1" showColumnStripes="0"/>
</table>
</file>

<file path=xl/tables/table1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B2000000}" name="П_В_F0_F4т0" displayName="П_В_F0_F4т0" ref="R33:R39" totalsRowShown="0">
  <autoFilter ref="R33:R39" xr:uid="{00000000-0009-0000-0100-000012000000}"/>
  <tableColumns count="1">
    <tableColumn id="1" xr3:uid="{00000000-0010-0000-B200-000001000000}" name="В_F0_F4т0"/>
  </tableColumns>
  <tableStyleInfo name="TableStyleLight17" showFirstColumn="0" showLastColumn="0" showRowStripes="1" showColumnStripes="0"/>
</table>
</file>

<file path=xl/tables/table1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B3000000}" name="П_В_F0_F5т0" displayName="П_В_F0_F5т0" ref="S33:S39" totalsRowShown="0">
  <autoFilter ref="S33:S39" xr:uid="{00000000-0009-0000-0100-00002F000000}"/>
  <tableColumns count="1">
    <tableColumn id="1" xr3:uid="{00000000-0010-0000-B300-000001000000}" name="В_F0_F5т0"/>
  </tableColumns>
  <tableStyleInfo name="TableStyleLight17" showFirstColumn="0" showLastColumn="0" showRowStripes="1" showColumnStripes="0"/>
</table>
</file>

<file path=xl/tables/table1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00000000-000C-0000-FFFF-FFFFB4000000}" name="П­_В_F1_F0т0" displayName="П­_В_F1_F0т0" ref="T33:T39" totalsRowShown="0">
  <autoFilter ref="T33:T39" xr:uid="{00000000-0009-0000-0100-000086000000}"/>
  <tableColumns count="1">
    <tableColumn id="1" xr3:uid="{00000000-0010-0000-B400-000001000000}" name="В_F1_F0т0"/>
  </tableColumns>
  <tableStyleInfo name="TableStyleLight19" showFirstColumn="0" showLastColumn="0" showRowStripes="1" showColumnStripes="0"/>
</table>
</file>

<file path=xl/tables/table1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00000000-000C-0000-FFFF-FFFFB5000000}" name="П_В_F1_F1т0" displayName="П_В_F1_F1т0" ref="U33:U39" totalsRowShown="0">
  <autoFilter ref="U33:U39" xr:uid="{00000000-0009-0000-0100-000087000000}"/>
  <tableColumns count="1">
    <tableColumn id="1" xr3:uid="{00000000-0010-0000-B500-000001000000}" name="В_F1_F1т0"/>
  </tableColumns>
  <tableStyleInfo name="TableStyleLight19" showFirstColumn="0" showLastColumn="0" showRowStripes="1" showColumnStripes="0"/>
</table>
</file>

<file path=xl/tables/table1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00000000-000C-0000-FFFF-FFFFB6000000}" name="П_В_F1_F2т0" displayName="П_В_F1_F2т0" ref="V33:V39" totalsRowShown="0">
  <autoFilter ref="V33:V39" xr:uid="{00000000-0009-0000-0100-000088000000}"/>
  <tableColumns count="1">
    <tableColumn id="1" xr3:uid="{00000000-0010-0000-B600-000001000000}" name="В_F1_F2т0"/>
  </tableColumns>
  <tableStyleInfo name="TableStyleLight19" showFirstColumn="0" showLastColumn="0" showRowStripes="1" showColumnStripes="0"/>
</table>
</file>

<file path=xl/tables/table1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0000000-000C-0000-FFFF-FFFFB7000000}" name="П_В_F1_F3т0" displayName="П_В_F1_F3т0" ref="W33:W39" totalsRowShown="0">
  <autoFilter ref="W33:W39" xr:uid="{00000000-0009-0000-0100-000089000000}"/>
  <tableColumns count="1">
    <tableColumn id="1" xr3:uid="{00000000-0010-0000-B700-000001000000}" name="В_F1_F3т0"/>
  </tableColumns>
  <tableStyleInfo name="TableStyleLight19" showFirstColumn="0" showLastColumn="0" showRowStripes="1" showColumnStripes="0"/>
</table>
</file>

<file path=xl/tables/table1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00000000-000C-0000-FFFF-FFFFB8000000}" name="П_В_F1_F4т0" displayName="П_В_F1_F4т0" ref="X33:X39" totalsRowShown="0">
  <autoFilter ref="X33:X39" xr:uid="{00000000-0009-0000-0100-00008A000000}"/>
  <tableColumns count="1">
    <tableColumn id="1" xr3:uid="{00000000-0010-0000-B800-000001000000}" name="В_F1_F4т0"/>
  </tableColumns>
  <tableStyleInfo name="TableStyleLight19" showFirstColumn="0" showLastColumn="0" showRowStripes="1" showColumnStripes="0"/>
</table>
</file>

<file path=xl/tables/table1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00000000-000C-0000-FFFF-FFFFB9000000}" name="П_В_F1_F5т0" displayName="П_В_F1_F5т0" ref="Y33:Y39" totalsRowShown="0">
  <autoFilter ref="Y33:Y39" xr:uid="{00000000-0009-0000-0100-00008B000000}"/>
  <tableColumns count="1">
    <tableColumn id="1" xr3:uid="{00000000-0010-0000-B900-000001000000}" name="В_F1_F5т0"/>
  </tableColumns>
  <tableStyleInfo name="TableStyleLight19" showFirstColumn="0" showLastColumn="0" showRowStripes="1" showColumnStripes="0"/>
</table>
</file>

<file path=xl/tables/table1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00000000-000C-0000-FFFF-FFFFBA000000}" name="П_В_F2_F0т0" displayName="П_В_F2_F0т0" ref="Z33:Z39" totalsRowShown="0">
  <autoFilter ref="Z33:Z39" xr:uid="{00000000-0009-0000-0100-00008C000000}"/>
  <tableColumns count="1">
    <tableColumn id="1" xr3:uid="{00000000-0010-0000-BA00-000001000000}" name="В_F2_F0т0"/>
  </tableColumns>
  <tableStyleInfo name="TableStyleLight17" showFirstColumn="0" showLastColumn="0" showRowStripes="1" showColumnStripes="0"/>
</table>
</file>

<file path=xl/tables/table1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00000000-000C-0000-FFFF-FFFFBB000000}" name="П_В_F2_F1т0" displayName="П_В_F2_F1т0" ref="AA33:AA39" totalsRowShown="0">
  <autoFilter ref="AA33:AA39" xr:uid="{00000000-0009-0000-0100-00008D000000}"/>
  <tableColumns count="1">
    <tableColumn id="1" xr3:uid="{00000000-0010-0000-BB00-000001000000}" name="В_F2_F1т0"/>
  </tableColumns>
  <tableStyleInfo name="TableStyleLight17" showFirstColumn="0" showLastColumn="0" showRowStripes="1" showColumnStripes="0"/>
</table>
</file>

<file path=xl/tables/table1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00000000-000C-0000-FFFF-FFFFBC000000}" name="П_В_F2_F2т0" displayName="П_В_F2_F2т0" ref="AB33:AB39" totalsRowShown="0">
  <autoFilter ref="AB33:AB39" xr:uid="{00000000-0009-0000-0100-00008E000000}"/>
  <tableColumns count="1">
    <tableColumn id="1" xr3:uid="{00000000-0010-0000-BC00-000001000000}" name="В_F2_F2т0"/>
  </tableColumns>
  <tableStyleInfo name="TableStyleLight17" showFirstColumn="0" showLastColumn="0" showRowStripes="1" showColumnStripes="0"/>
</table>
</file>

<file path=xl/tables/table1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00000000-000C-0000-FFFF-FFFFBD000000}" name="П_В_F2_F3т0" displayName="П_В_F2_F3т0" ref="AC33:AC39" totalsRowShown="0">
  <autoFilter ref="AC33:AC39" xr:uid="{00000000-0009-0000-0100-00008F000000}"/>
  <tableColumns count="1">
    <tableColumn id="1" xr3:uid="{00000000-0010-0000-BD00-000001000000}" name="В_F2_F3т0"/>
  </tableColumns>
  <tableStyleInfo name="TableStyleLight17" showFirstColumn="0" showLastColumn="0" showRowStripes="1" showColumnStripes="0"/>
</table>
</file>

<file path=xl/tables/table1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00000000-000C-0000-FFFF-FFFFBE000000}" name="П_В_F2_F4т0" displayName="П_В_F2_F4т0" ref="AD33:AD39" totalsRowShown="0">
  <autoFilter ref="AD33:AD39" xr:uid="{00000000-0009-0000-0100-000090000000}"/>
  <tableColumns count="1">
    <tableColumn id="1" xr3:uid="{00000000-0010-0000-BE00-000001000000}" name="В_F2_F4т0"/>
  </tableColumns>
  <tableStyleInfo name="TableStyleLight17" showFirstColumn="0" showLastColumn="0" showRowStripes="1" showColumnStripes="0"/>
</table>
</file>

<file path=xl/tables/table1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00000000-000C-0000-FFFF-FFFFBF000000}" name="П_В_F2_F5т0" displayName="П_В_F2_F5т0" ref="AE33:AE39" totalsRowShown="0">
  <autoFilter ref="AE33:AE39" xr:uid="{00000000-0009-0000-0100-000091000000}"/>
  <tableColumns count="1">
    <tableColumn id="1" xr3:uid="{00000000-0010-0000-BF00-000001000000}" name="В_F2_F5т0"/>
  </tableColumns>
  <tableStyleInfo name="TableStyleLight17" showFirstColumn="0" showLastColumn="0" showRowStripes="1" showColumnStripes="0"/>
</table>
</file>

<file path=xl/tables/table1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00000000-000C-0000-FFFF-FFFFC0000000}" name="П_В_F3_F0т0" displayName="П_В_F3_F0т0" ref="AF33:AF39" totalsRowShown="0">
  <autoFilter ref="AF33:AF39" xr:uid="{00000000-0009-0000-0100-000092000000}"/>
  <tableColumns count="1">
    <tableColumn id="1" xr3:uid="{00000000-0010-0000-C000-000001000000}" name="В_F3_F0т0"/>
  </tableColumns>
  <tableStyleInfo name="TableStyleLight19" showFirstColumn="0" showLastColumn="0" showRowStripes="1" showColumnStripes="0"/>
</table>
</file>

<file path=xl/tables/table1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00000000-000C-0000-FFFF-FFFFC1000000}" name="П_В_F3_F1т0" displayName="П_В_F3_F1т0" ref="AG33:AG39" totalsRowShown="0">
  <autoFilter ref="AG33:AG39" xr:uid="{00000000-0009-0000-0100-000093000000}"/>
  <tableColumns count="1">
    <tableColumn id="1" xr3:uid="{00000000-0010-0000-C100-000001000000}" name="В_F3_F1т0"/>
  </tableColumns>
  <tableStyleInfo name="TableStyleLight19" showFirstColumn="0" showLastColumn="0" showRowStripes="1" showColumnStripes="0"/>
</table>
</file>

<file path=xl/tables/table2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00000000-000C-0000-FFFF-FFFFC2000000}" name="П_В_F3_F2т0" displayName="П_В_F3_F2т0" ref="AH33:AH39" totalsRowShown="0">
  <autoFilter ref="AH33:AH39" xr:uid="{00000000-0009-0000-0100-000094000000}"/>
  <tableColumns count="1">
    <tableColumn id="1" xr3:uid="{00000000-0010-0000-C200-000001000000}" name="В_F3_F2т0"/>
  </tableColumns>
  <tableStyleInfo name="TableStyleLight19" showFirstColumn="0" showLastColumn="0" showRowStripes="1" showColumnStripes="0"/>
</table>
</file>

<file path=xl/tables/table2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00000000-000C-0000-FFFF-FFFFC3000000}" name="П_В_F3_F3т0" displayName="П_В_F3_F3т0" ref="AI33:AI39" totalsRowShown="0">
  <autoFilter ref="AI33:AI39" xr:uid="{00000000-0009-0000-0100-000095000000}"/>
  <tableColumns count="1">
    <tableColumn id="1" xr3:uid="{00000000-0010-0000-C300-000001000000}" name="В_F3_F3т0"/>
  </tableColumns>
  <tableStyleInfo name="TableStyleLight19" showFirstColumn="0" showLastColumn="0" showRowStripes="1" showColumnStripes="0"/>
</table>
</file>

<file path=xl/tables/table2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00000000-000C-0000-FFFF-FFFFC4000000}" name="П_В_F3_F4т0" displayName="П_В_F3_F4т0" ref="AJ33:AJ39" totalsRowShown="0">
  <autoFilter ref="AJ33:AJ39" xr:uid="{00000000-0009-0000-0100-000096000000}"/>
  <tableColumns count="1">
    <tableColumn id="1" xr3:uid="{00000000-0010-0000-C400-000001000000}" name="В_F3_F4т0"/>
  </tableColumns>
  <tableStyleInfo name="TableStyleLight19" showFirstColumn="0" showLastColumn="0" showRowStripes="1" showColumnStripes="0"/>
</table>
</file>

<file path=xl/tables/table2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00000000-000C-0000-FFFF-FFFFC5000000}" name="П_В_F3_F5т0" displayName="П_В_F3_F5т0" ref="AK33:AK39" totalsRowShown="0">
  <autoFilter ref="AK33:AK39" xr:uid="{00000000-0009-0000-0100-000097000000}"/>
  <tableColumns count="1">
    <tableColumn id="1" xr3:uid="{00000000-0010-0000-C500-000001000000}" name="В_F3_F5т0"/>
  </tableColumns>
  <tableStyleInfo name="TableStyleLight19" showFirstColumn="0" showLastColumn="0" showRowStripes="1" showColumnStripes="0"/>
</table>
</file>

<file path=xl/tables/table2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00000000-000C-0000-FFFF-FFFFC6000000}" name="П_В_F4_F0т0" displayName="П_В_F4_F0т0" ref="AL33:AL39" totalsRowShown="0">
  <autoFilter ref="AL33:AL39" xr:uid="{00000000-0009-0000-0100-000098000000}"/>
  <tableColumns count="1">
    <tableColumn id="1" xr3:uid="{00000000-0010-0000-C600-000001000000}" name="В_F4_F0т0"/>
  </tableColumns>
  <tableStyleInfo name="TableStyleLight17" showFirstColumn="0" showLastColumn="0" showRowStripes="1" showColumnStripes="0"/>
</table>
</file>

<file path=xl/tables/table2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00000000-000C-0000-FFFF-FFFFC7000000}" name="П_В_F4_F1т0" displayName="П_В_F4_F1т0" ref="AM33:AM39" totalsRowShown="0">
  <autoFilter ref="AM33:AM39" xr:uid="{00000000-0009-0000-0100-000099000000}"/>
  <tableColumns count="1">
    <tableColumn id="1" xr3:uid="{00000000-0010-0000-C700-000001000000}" name="В_F4_F1т0"/>
  </tableColumns>
  <tableStyleInfo name="TableStyleLight17" showFirstColumn="0" showLastColumn="0" showRowStripes="1" showColumnStripes="0"/>
</table>
</file>

<file path=xl/tables/table2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00000000-000C-0000-FFFF-FFFFC8000000}" name="П_В_F4_F2т0" displayName="П_В_F4_F2т0" ref="AN33:AN39" totalsRowShown="0">
  <autoFilter ref="AN33:AN39" xr:uid="{00000000-0009-0000-0100-00009A000000}"/>
  <tableColumns count="1">
    <tableColumn id="1" xr3:uid="{00000000-0010-0000-C800-000001000000}" name="В_F4_F2т0"/>
  </tableColumns>
  <tableStyleInfo name="TableStyleLight17" showFirstColumn="0" showLastColumn="0" showRowStripes="1" showColumnStripes="0"/>
</table>
</file>

<file path=xl/tables/table2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00000000-000C-0000-FFFF-FFFFC9000000}" name="П_В_F4_F3т0" displayName="П_В_F4_F3т0" ref="AO33:AO39" totalsRowShown="0">
  <autoFilter ref="AO33:AO39" xr:uid="{00000000-0009-0000-0100-00009B000000}"/>
  <tableColumns count="1">
    <tableColumn id="1" xr3:uid="{00000000-0010-0000-C900-000001000000}" name="В_F4_F3т0"/>
  </tableColumns>
  <tableStyleInfo name="TableStyleLight17" showFirstColumn="0" showLastColumn="0" showRowStripes="1" showColumnStripes="0"/>
</table>
</file>

<file path=xl/tables/table2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00000000-000C-0000-FFFF-FFFFCA000000}" name="П_В_F4_F4т0" displayName="П_В_F4_F4т0" ref="AP33:AP39" totalsRowShown="0">
  <autoFilter ref="AP33:AP39" xr:uid="{00000000-0009-0000-0100-00009C000000}"/>
  <tableColumns count="1">
    <tableColumn id="1" xr3:uid="{00000000-0010-0000-CA00-000001000000}" name="В_F4_F4т0"/>
  </tableColumns>
  <tableStyleInfo name="TableStyleLight17" showFirstColumn="0" showLastColumn="0" showRowStripes="1" showColumnStripes="0"/>
</table>
</file>

<file path=xl/tables/table2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7" xr:uid="{00000000-000C-0000-FFFF-FFFFCB000000}" name="П_В_F4_F5т0" displayName="П_В_F4_F5т0" ref="AQ33:AQ39" totalsRowShown="0">
  <autoFilter ref="AQ33:AQ39" xr:uid="{00000000-0009-0000-0100-00009D000000}"/>
  <tableColumns count="1">
    <tableColumn id="1" xr3:uid="{00000000-0010-0000-CB00-000001000000}" name="В_F4_F5т0"/>
  </tableColumns>
  <tableStyleInfo name="TableStyleLight17" showFirstColumn="0" showLastColumn="0" showRowStripes="1" showColumnStripes="0"/>
</table>
</file>

<file path=xl/tables/table2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8" xr:uid="{00000000-000C-0000-FFFF-FFFFCC000000}" name="П_В_F5_F0т0" displayName="П_В_F5_F0т0" ref="AR33:AR39" totalsRowShown="0">
  <autoFilter ref="AR33:AR39" xr:uid="{00000000-0009-0000-0100-00009E000000}"/>
  <tableColumns count="1">
    <tableColumn id="1" xr3:uid="{00000000-0010-0000-CC00-000001000000}" name="В_F5_F0т0"/>
  </tableColumns>
  <tableStyleInfo name="TableStyleLight19" showFirstColumn="0" showLastColumn="0" showRowStripes="1" showColumnStripes="0"/>
</table>
</file>

<file path=xl/tables/table2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9" xr:uid="{00000000-000C-0000-FFFF-FFFFCD000000}" name="П_В_F5_F1т0" displayName="П_В_F5_F1т0" ref="AS33:AS39" totalsRowShown="0">
  <autoFilter ref="AS33:AS39" xr:uid="{00000000-0009-0000-0100-00009F000000}"/>
  <tableColumns count="1">
    <tableColumn id="1" xr3:uid="{00000000-0010-0000-CD00-000001000000}" name="В_F5_F1т0"/>
  </tableColumns>
  <tableStyleInfo name="TableStyleLight19" showFirstColumn="0" showLastColumn="0" showRowStripes="1" showColumnStripes="0"/>
</table>
</file>

<file path=xl/tables/table2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0" xr:uid="{00000000-000C-0000-FFFF-FFFFCE000000}" name="П_В_F5_F2т0" displayName="П_В_F5_F2т0" ref="AT33:AT39" totalsRowShown="0">
  <autoFilter ref="AT33:AT39" xr:uid="{00000000-0009-0000-0100-0000A0000000}"/>
  <tableColumns count="1">
    <tableColumn id="1" xr3:uid="{00000000-0010-0000-CE00-000001000000}" name="В_F5_F2т0"/>
  </tableColumns>
  <tableStyleInfo name="TableStyleLight19" showFirstColumn="0" showLastColumn="0" showRowStripes="1" showColumnStripes="0"/>
</table>
</file>

<file path=xl/tables/table2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1" xr:uid="{00000000-000C-0000-FFFF-FFFFCF000000}" name="П_В_F5_F3т0" displayName="П_В_F5_F3т0" ref="AU33:AU39" totalsRowShown="0">
  <autoFilter ref="AU33:AU39" xr:uid="{00000000-0009-0000-0100-0000A1000000}"/>
  <tableColumns count="1">
    <tableColumn id="1" xr3:uid="{00000000-0010-0000-CF00-000001000000}" name="В_F5_F3т0"/>
  </tableColumns>
  <tableStyleInfo name="TableStyleLight19" showFirstColumn="0" showLastColumn="0" showRowStripes="1" showColumnStripes="0"/>
</table>
</file>

<file path=xl/tables/table2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2" xr:uid="{00000000-000C-0000-FFFF-FFFFD0000000}" name="П_В_F5_F4т0" displayName="П_В_F5_F4т0" ref="AV33:AV39" totalsRowShown="0">
  <autoFilter ref="AV33:AV39" xr:uid="{00000000-0009-0000-0100-0000A2000000}"/>
  <tableColumns count="1">
    <tableColumn id="1" xr3:uid="{00000000-0010-0000-D000-000001000000}" name="В_F5_F4т0"/>
  </tableColumns>
  <tableStyleInfo name="TableStyleLight19" showFirstColumn="0" showLastColumn="0" showRowStripes="1" showColumnStripes="0"/>
</table>
</file>

<file path=xl/tables/table2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3" xr:uid="{00000000-000C-0000-FFFF-FFFFD1000000}" name="П_В_F5_F5т0" displayName="П_В_F5_F5т0" ref="AW33:AW39" totalsRowShown="0">
  <autoFilter ref="AW33:AW39" xr:uid="{00000000-0009-0000-0100-0000A3000000}">
    <filterColumn colId="0" hiddenButton="1"/>
  </autoFilter>
  <tableColumns count="1">
    <tableColumn id="1" xr3:uid="{00000000-0010-0000-D100-000001000000}" name="В_F5_F5т0"/>
  </tableColumns>
  <tableStyleInfo name="TableStyleLight19" showFirstColumn="0" showLastColumn="0" showRowStripes="1" showColumnStripes="0"/>
</table>
</file>

<file path=xl/tables/table2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4" xr:uid="{00000000-000C-0000-FFFF-FFFFD2000000}" name="П_В_F0_F0т5" displayName="П_В_F0_F0т5" ref="N41:N47" totalsRowShown="0">
  <autoFilter ref="N41:N47" xr:uid="{00000000-0009-0000-0100-0000A4000000}">
    <filterColumn colId="0" hiddenButton="1"/>
  </autoFilter>
  <tableColumns count="1">
    <tableColumn id="1" xr3:uid="{00000000-0010-0000-D200-000001000000}" name="В_F0_F0т5"/>
  </tableColumns>
  <tableStyleInfo name="TableStyleLight17" showFirstColumn="0" showLastColumn="0" showRowStripes="1" showColumnStripes="0"/>
</table>
</file>

<file path=xl/tables/table2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5" xr:uid="{00000000-000C-0000-FFFF-FFFFD3000000}" name="П_В_F0_F1т5" displayName="П_В_F0_F1т5" ref="O41:O47" totalsRowShown="0">
  <autoFilter ref="O41:O47" xr:uid="{00000000-0009-0000-0100-0000A5000000}"/>
  <tableColumns count="1">
    <tableColumn id="1" xr3:uid="{00000000-0010-0000-D300-000001000000}" name="В_F0_F1т5"/>
  </tableColumns>
  <tableStyleInfo name="TableStyleLight17" showFirstColumn="0" showLastColumn="0" showRowStripes="1" showColumnStripes="0"/>
</table>
</file>

<file path=xl/tables/table2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6" xr:uid="{00000000-000C-0000-FFFF-FFFFD4000000}" name="П_В_F0_F2т5" displayName="П_В_F0_F2т5" ref="P41:P47" totalsRowShown="0">
  <autoFilter ref="P41:P47" xr:uid="{00000000-0009-0000-0100-0000A6000000}"/>
  <tableColumns count="1">
    <tableColumn id="1" xr3:uid="{00000000-0010-0000-D400-000001000000}" name="В_F0_F2т5"/>
  </tableColumns>
  <tableStyleInfo name="TableStyleLight17" showFirstColumn="0" showLastColumn="0" showRowStripes="1" showColumnStripes="0"/>
</table>
</file>

<file path=xl/tables/table2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7" xr:uid="{00000000-000C-0000-FFFF-FFFFD5000000}" name="П_В_F0_F3т5" displayName="П_В_F0_F3т5" ref="Q41:Q47" totalsRowShown="0">
  <autoFilter ref="Q41:Q47" xr:uid="{00000000-0009-0000-0100-0000A7000000}"/>
  <tableColumns count="1">
    <tableColumn id="1" xr3:uid="{00000000-0010-0000-D500-000001000000}" name="В_F0_F3т5"/>
  </tableColumns>
  <tableStyleInfo name="TableStyleLight17" showFirstColumn="0" showLastColumn="0" showRowStripes="1" showColumnStripes="0"/>
</table>
</file>

<file path=xl/tables/table2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8" xr:uid="{00000000-000C-0000-FFFF-FFFFD6000000}" name="П_В_F0_F4т5" displayName="П_В_F0_F4т5" ref="R41:R47" totalsRowShown="0">
  <autoFilter ref="R41:R47" xr:uid="{00000000-0009-0000-0100-0000A8000000}"/>
  <tableColumns count="1">
    <tableColumn id="1" xr3:uid="{00000000-0010-0000-D600-000001000000}" name="В_F0_F4т5"/>
  </tableColumns>
  <tableStyleInfo name="TableStyleLight17" showFirstColumn="0" showLastColumn="0" showRowStripes="1" showColumnStripes="0"/>
</table>
</file>

<file path=xl/tables/table2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9" xr:uid="{00000000-000C-0000-FFFF-FFFFD7000000}" name="П_В_F0_F5т5" displayName="П_В_F0_F5т5" ref="S41:S47" totalsRowShown="0">
  <autoFilter ref="S41:S47" xr:uid="{00000000-0009-0000-0100-0000A9000000}"/>
  <tableColumns count="1">
    <tableColumn id="1" xr3:uid="{00000000-0010-0000-D700-000001000000}" name="В_F0_F5т5"/>
  </tableColumns>
  <tableStyleInfo name="TableStyleLight17" showFirstColumn="0" showLastColumn="0" showRowStripes="1" showColumnStripes="0"/>
</table>
</file>

<file path=xl/tables/table2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6" xr:uid="{00000000-000C-0000-FFFF-FFFFD8000000}" name="П­_В_F1_F0т5" displayName="П­_В_F1_F0т5" ref="T41:T47" totalsRowShown="0">
  <autoFilter ref="T41:T47" xr:uid="{00000000-0009-0000-0100-0000CE000000}"/>
  <tableColumns count="1">
    <tableColumn id="1" xr3:uid="{00000000-0010-0000-D800-000001000000}" name="В_F1_F0т5"/>
  </tableColumns>
  <tableStyleInfo name="TableStyleLight19" showFirstColumn="0" showLastColumn="0" showRowStripes="1" showColumnStripes="0"/>
</table>
</file>

<file path=xl/tables/table2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7" xr:uid="{00000000-000C-0000-FFFF-FFFFD9000000}" name="П_В_F1_F1т5" displayName="П_В_F1_F1т5" ref="U41:U47" totalsRowShown="0">
  <autoFilter ref="U41:U47" xr:uid="{00000000-0009-0000-0100-0000CF000000}"/>
  <tableColumns count="1">
    <tableColumn id="1" xr3:uid="{00000000-0010-0000-D900-000001000000}" name="В_F1_F1т5"/>
  </tableColumns>
  <tableStyleInfo name="TableStyleLight19" showFirstColumn="0" showLastColumn="0" showRowStripes="1" showColumnStripes="0"/>
</table>
</file>

<file path=xl/tables/table2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8" xr:uid="{00000000-000C-0000-FFFF-FFFFDA000000}" name="П_В_F1_F2т5" displayName="П_В_F1_F2т5" ref="V41:V47" totalsRowShown="0">
  <autoFilter ref="V41:V47" xr:uid="{00000000-0009-0000-0100-0000D0000000}"/>
  <tableColumns count="1">
    <tableColumn id="1" xr3:uid="{00000000-0010-0000-DA00-000001000000}" name="В_F1_F2т5"/>
  </tableColumns>
  <tableStyleInfo name="TableStyleLight19" showFirstColumn="0" showLastColumn="0" showRowStripes="1" showColumnStripes="0"/>
</table>
</file>

<file path=xl/tables/table2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9" xr:uid="{00000000-000C-0000-FFFF-FFFFDB000000}" name="П_В_F1_F3т5" displayName="П_В_F1_F3т5" ref="W41:W47" totalsRowShown="0">
  <autoFilter ref="W41:W47" xr:uid="{00000000-0009-0000-0100-0000D1000000}"/>
  <tableColumns count="1">
    <tableColumn id="1" xr3:uid="{00000000-0010-0000-DB00-000001000000}" name="В_F1_F3т5"/>
  </tableColumns>
  <tableStyleInfo name="TableStyleLight19" showFirstColumn="0" showLastColumn="0" showRowStripes="1" showColumnStripes="0"/>
</table>
</file>

<file path=xl/tables/table2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0" xr:uid="{00000000-000C-0000-FFFF-FFFFDC000000}" name="П_В_F1_F4т5" displayName="П_В_F1_F4т5" ref="X41:X47" totalsRowShown="0">
  <autoFilter ref="X41:X47" xr:uid="{00000000-0009-0000-0100-0000D2000000}"/>
  <tableColumns count="1">
    <tableColumn id="1" xr3:uid="{00000000-0010-0000-DC00-000001000000}" name="В_F1_F4т5"/>
  </tableColumns>
  <tableStyleInfo name="TableStyleLight19" showFirstColumn="0" showLastColumn="0" showRowStripes="1" showColumnStripes="0"/>
</table>
</file>

<file path=xl/tables/table2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1" xr:uid="{00000000-000C-0000-FFFF-FFFFDD000000}" name="П_В_F1_F5т5" displayName="П_В_F1_F5т5" ref="Y41:Y47" totalsRowShown="0">
  <autoFilter ref="Y41:Y47" xr:uid="{00000000-0009-0000-0100-0000D3000000}"/>
  <tableColumns count="1">
    <tableColumn id="1" xr3:uid="{00000000-0010-0000-DD00-000001000000}" name="В_F1_F5т5"/>
  </tableColumns>
  <tableStyleInfo name="TableStyleLight19" showFirstColumn="0" showLastColumn="0" showRowStripes="1" showColumnStripes="0"/>
</table>
</file>

<file path=xl/tables/table2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2" xr:uid="{00000000-000C-0000-FFFF-FFFFDE000000}" name="П_В_F2_F0т5" displayName="П_В_F2_F0т5" ref="Z41:Z47" totalsRowShown="0">
  <autoFilter ref="Z41:Z47" xr:uid="{00000000-0009-0000-0100-0000D4000000}"/>
  <tableColumns count="1">
    <tableColumn id="1" xr3:uid="{00000000-0010-0000-DE00-000001000000}" name="В_F2_F0т5"/>
  </tableColumns>
  <tableStyleInfo name="TableStyleLight17" showFirstColumn="0" showLastColumn="0" showRowStripes="1" showColumnStripes="0"/>
</table>
</file>

<file path=xl/tables/table2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3" xr:uid="{00000000-000C-0000-FFFF-FFFFDF000000}" name="П_В_F2_F1т5" displayName="П_В_F2_F1т5" ref="AA41:AA47" totalsRowShown="0">
  <autoFilter ref="AA41:AA47" xr:uid="{00000000-0009-0000-0100-0000D5000000}"/>
  <tableColumns count="1">
    <tableColumn id="1" xr3:uid="{00000000-0010-0000-DF00-000001000000}" name="В_F2_F1т5"/>
  </tableColumns>
  <tableStyleInfo name="TableStyleLight17" showFirstColumn="0" showLastColumn="0" showRowStripes="1" showColumnStripes="0"/>
</table>
</file>

<file path=xl/tables/table2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4" xr:uid="{00000000-000C-0000-FFFF-FFFFE0000000}" name="П_В_F2_F2т5" displayName="П_В_F2_F2т5" ref="AB41:AB47" totalsRowShown="0">
  <autoFilter ref="AB41:AB47" xr:uid="{00000000-0009-0000-0100-0000D6000000}"/>
  <tableColumns count="1">
    <tableColumn id="1" xr3:uid="{00000000-0010-0000-E000-000001000000}" name="В_F2_F2т5"/>
  </tableColumns>
  <tableStyleInfo name="TableStyleLight17" showFirstColumn="0" showLastColumn="0" showRowStripes="1" showColumnStripes="0"/>
</table>
</file>

<file path=xl/tables/table2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5" xr:uid="{00000000-000C-0000-FFFF-FFFFE1000000}" name="П_В_F2_F3т5" displayName="П_В_F2_F3т5" ref="AC41:AC47" totalsRowShown="0">
  <autoFilter ref="AC41:AC47" xr:uid="{00000000-0009-0000-0100-0000D7000000}"/>
  <tableColumns count="1">
    <tableColumn id="1" xr3:uid="{00000000-0010-0000-E100-000001000000}" name="В_F2_F3т5"/>
  </tableColumns>
  <tableStyleInfo name="TableStyleLight17" showFirstColumn="0" showLastColumn="0" showRowStripes="1" showColumnStripes="0"/>
</table>
</file>

<file path=xl/tables/table2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6" xr:uid="{00000000-000C-0000-FFFF-FFFFE2000000}" name="П_В_F2_F4т5" displayName="П_В_F2_F4т5" ref="AD41:AD47" totalsRowShown="0">
  <autoFilter ref="AD41:AD47" xr:uid="{00000000-0009-0000-0100-0000D8000000}"/>
  <tableColumns count="1">
    <tableColumn id="1" xr3:uid="{00000000-0010-0000-E200-000001000000}" name="В_F2_F4т5"/>
  </tableColumns>
  <tableStyleInfo name="TableStyleLight17" showFirstColumn="0" showLastColumn="0" showRowStripes="1" showColumnStripes="0"/>
</table>
</file>

<file path=xl/tables/table2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7" xr:uid="{00000000-000C-0000-FFFF-FFFFE3000000}" name="П_В_F2_F5т5" displayName="П_В_F2_F5т5" ref="AE41:AE47" totalsRowShown="0">
  <autoFilter ref="AE41:AE47" xr:uid="{00000000-0009-0000-0100-0000D9000000}"/>
  <tableColumns count="1">
    <tableColumn id="1" xr3:uid="{00000000-0010-0000-E300-000001000000}" name="В_F2_F5т5"/>
  </tableColumns>
  <tableStyleInfo name="TableStyleLight17" showFirstColumn="0" showLastColumn="0" showRowStripes="1" showColumnStripes="0"/>
</table>
</file>

<file path=xl/tables/table2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8" xr:uid="{00000000-000C-0000-FFFF-FFFFE4000000}" name="П_В_F3_F0т5" displayName="П_В_F3_F0т5" ref="AF41:AF47" totalsRowShown="0">
  <autoFilter ref="AF41:AF47" xr:uid="{00000000-0009-0000-0100-0000DA000000}"/>
  <tableColumns count="1">
    <tableColumn id="1" xr3:uid="{00000000-0010-0000-E400-000001000000}" name="В_F3_F0т5"/>
  </tableColumns>
  <tableStyleInfo name="TableStyleLight19" showFirstColumn="0" showLastColumn="0" showRowStripes="1" showColumnStripes="0"/>
</table>
</file>

<file path=xl/tables/table2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9" xr:uid="{00000000-000C-0000-FFFF-FFFFE5000000}" name="П_В_F3_F1т5" displayName="П_В_F3_F1т5" ref="AG41:AG47" totalsRowShown="0">
  <autoFilter ref="AG41:AG47" xr:uid="{00000000-0009-0000-0100-0000DB000000}"/>
  <tableColumns count="1">
    <tableColumn id="1" xr3:uid="{00000000-0010-0000-E500-000001000000}" name="В_F3_F1т5"/>
  </tableColumns>
  <tableStyleInfo name="TableStyleLight19" showFirstColumn="0" showLastColumn="0" showRowStripes="1" showColumnStripes="0"/>
</table>
</file>

<file path=xl/tables/table2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00000000-000C-0000-FFFF-FFFFE6000000}" name="П_В_F3_F2т5" displayName="П_В_F3_F2т5" ref="AH41:AH47" totalsRowShown="0">
  <autoFilter ref="AH41:AH47" xr:uid="{00000000-0009-0000-0100-0000DC000000}"/>
  <tableColumns count="1">
    <tableColumn id="1" xr3:uid="{00000000-0010-0000-E600-000001000000}" name="В_F3_F2т5"/>
  </tableColumns>
  <tableStyleInfo name="TableStyleLight19" showFirstColumn="0" showLastColumn="0" showRowStripes="1" showColumnStripes="0"/>
</table>
</file>

<file path=xl/tables/table2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00000000-000C-0000-FFFF-FFFFE7000000}" name="П_В_F3_F3т5" displayName="П_В_F3_F3т5" ref="AI41:AI47" totalsRowShown="0">
  <autoFilter ref="AI41:AI47" xr:uid="{00000000-0009-0000-0100-0000DD000000}"/>
  <tableColumns count="1">
    <tableColumn id="1" xr3:uid="{00000000-0010-0000-E700-000001000000}" name="В_F3_F3т5"/>
  </tableColumns>
  <tableStyleInfo name="TableStyleLight19" showFirstColumn="0" showLastColumn="0" showRowStripes="1" showColumnStripes="0"/>
</table>
</file>

<file path=xl/tables/table2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2" xr:uid="{00000000-000C-0000-FFFF-FFFFE8000000}" name="П_В_F3_F4т5" displayName="П_В_F3_F4т5" ref="AJ41:AJ47" totalsRowShown="0">
  <autoFilter ref="AJ41:AJ47" xr:uid="{00000000-0009-0000-0100-0000DE000000}"/>
  <tableColumns count="1">
    <tableColumn id="1" xr3:uid="{00000000-0010-0000-E800-000001000000}" name="В_F3_F4т5"/>
  </tableColumns>
  <tableStyleInfo name="TableStyleLight19" showFirstColumn="0" showLastColumn="0" showRowStripes="1" showColumnStripes="0"/>
</table>
</file>

<file path=xl/tables/table2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3" xr:uid="{00000000-000C-0000-FFFF-FFFFE9000000}" name="П_В_F3_F5т5" displayName="П_В_F3_F5т5" ref="AK41:AK47" totalsRowShown="0">
  <autoFilter ref="AK41:AK47" xr:uid="{00000000-0009-0000-0100-0000DF000000}"/>
  <tableColumns count="1">
    <tableColumn id="1" xr3:uid="{00000000-0010-0000-E900-000001000000}" name="В_F3_F5т5"/>
  </tableColumns>
  <tableStyleInfo name="TableStyleLight19" showFirstColumn="0" showLastColumn="0" showRowStripes="1" showColumnStripes="0"/>
</table>
</file>

<file path=xl/tables/table2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4" xr:uid="{00000000-000C-0000-FFFF-FFFFEA000000}" name="П_В_F4_F0т5" displayName="П_В_F4_F0т5" ref="AL41:AL47" totalsRowShown="0">
  <autoFilter ref="AL41:AL47" xr:uid="{00000000-0009-0000-0100-0000E0000000}"/>
  <tableColumns count="1">
    <tableColumn id="1" xr3:uid="{00000000-0010-0000-EA00-000001000000}" name="В_F4_F0т5"/>
  </tableColumns>
  <tableStyleInfo name="TableStyleLight17" showFirstColumn="0" showLastColumn="0" showRowStripes="1" showColumnStripes="0"/>
</table>
</file>

<file path=xl/tables/table2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5" xr:uid="{00000000-000C-0000-FFFF-FFFFEB000000}" name="П_В_F4_F1т5" displayName="П_В_F4_F1т5" ref="AM41:AM47" totalsRowShown="0">
  <autoFilter ref="AM41:AM47" xr:uid="{00000000-0009-0000-0100-0000E1000000}"/>
  <tableColumns count="1">
    <tableColumn id="1" xr3:uid="{00000000-0010-0000-EB00-000001000000}" name="В_F4_F1т5"/>
  </tableColumns>
  <tableStyleInfo name="TableStyleLight17" showFirstColumn="0" showLastColumn="0" showRowStripes="1" showColumnStripes="0"/>
</table>
</file>

<file path=xl/tables/table2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6" xr:uid="{00000000-000C-0000-FFFF-FFFFEC000000}" name="П_В_F4_F2т5" displayName="П_В_F4_F2т5" ref="AN41:AN47" totalsRowShown="0">
  <autoFilter ref="AN41:AN47" xr:uid="{00000000-0009-0000-0100-0000E2000000}"/>
  <tableColumns count="1">
    <tableColumn id="1" xr3:uid="{00000000-0010-0000-EC00-000001000000}" name="В_F4_F2т5"/>
  </tableColumns>
  <tableStyleInfo name="TableStyleLight17" showFirstColumn="0" showLastColumn="0" showRowStripes="1" showColumnStripes="0"/>
</table>
</file>

<file path=xl/tables/table2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7" xr:uid="{00000000-000C-0000-FFFF-FFFFED000000}" name="П_В_F4_F3т5" displayName="П_В_F4_F3т5" ref="AO41:AO47" totalsRowShown="0">
  <autoFilter ref="AO41:AO47" xr:uid="{00000000-0009-0000-0100-0000E3000000}"/>
  <tableColumns count="1">
    <tableColumn id="1" xr3:uid="{00000000-0010-0000-ED00-000001000000}" name="В_F4_F3т5"/>
  </tableColumns>
  <tableStyleInfo name="TableStyleLight17" showFirstColumn="0" showLastColumn="0" showRowStripes="1" showColumnStripes="0"/>
</table>
</file>

<file path=xl/tables/table2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8" xr:uid="{00000000-000C-0000-FFFF-FFFFEE000000}" name="П_В_F4_F4т5" displayName="П_В_F4_F4т5" ref="AP41:AP47" totalsRowShown="0">
  <autoFilter ref="AP41:AP47" xr:uid="{00000000-0009-0000-0100-0000E4000000}"/>
  <tableColumns count="1">
    <tableColumn id="1" xr3:uid="{00000000-0010-0000-EE00-000001000000}" name="В_F4_F4т5"/>
  </tableColumns>
  <tableStyleInfo name="TableStyleLight17" showFirstColumn="0" showLastColumn="0" showRowStripes="1" showColumnStripes="0"/>
</table>
</file>

<file path=xl/tables/table2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9" xr:uid="{00000000-000C-0000-FFFF-FFFFEF000000}" name="П_В_F4_F5т5" displayName="П_В_F4_F5т5" ref="AQ41:AQ47" totalsRowShown="0">
  <autoFilter ref="AQ41:AQ47" xr:uid="{00000000-0009-0000-0100-0000E5000000}"/>
  <tableColumns count="1">
    <tableColumn id="1" xr3:uid="{00000000-0010-0000-EF00-000001000000}" name="В_F4_F5т5"/>
  </tableColumns>
  <tableStyleInfo name="TableStyleLight17" showFirstColumn="0" showLastColumn="0" showRowStripes="1" showColumnStripes="0"/>
</table>
</file>

<file path=xl/tables/table2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0" xr:uid="{00000000-000C-0000-FFFF-FFFFF0000000}" name="П_В_F5_F0т5" displayName="П_В_F5_F0т5" ref="AR41:AR47" totalsRowShown="0">
  <autoFilter ref="AR41:AR47" xr:uid="{00000000-0009-0000-0100-0000E6000000}"/>
  <tableColumns count="1">
    <tableColumn id="1" xr3:uid="{00000000-0010-0000-F000-000001000000}" name="В_F5_F0т5"/>
  </tableColumns>
  <tableStyleInfo name="TableStyleLight19" showFirstColumn="0" showLastColumn="0" showRowStripes="1" showColumnStripes="0"/>
</table>
</file>

<file path=xl/tables/table2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1" xr:uid="{00000000-000C-0000-FFFF-FFFFF1000000}" name="П_В_F5_F1т5" displayName="П_В_F5_F1т5" ref="AS41:AS47" totalsRowShown="0">
  <autoFilter ref="AS41:AS47" xr:uid="{00000000-0009-0000-0100-0000E7000000}"/>
  <tableColumns count="1">
    <tableColumn id="1" xr3:uid="{00000000-0010-0000-F100-000001000000}" name="В_F5_F1т5"/>
  </tableColumns>
  <tableStyleInfo name="TableStyleLight19" showFirstColumn="0" showLastColumn="0" showRowStripes="1" showColumnStripes="0"/>
</table>
</file>

<file path=xl/tables/table2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2" xr:uid="{00000000-000C-0000-FFFF-FFFFF2000000}" name="П_В_F5_F2т5" displayName="П_В_F5_F2т5" ref="AT41:AT47" totalsRowShown="0">
  <autoFilter ref="AT41:AT47" xr:uid="{00000000-0009-0000-0100-0000E8000000}"/>
  <tableColumns count="1">
    <tableColumn id="1" xr3:uid="{00000000-0010-0000-F200-000001000000}" name="В_F5_F2т5"/>
  </tableColumns>
  <tableStyleInfo name="TableStyleLight19" showFirstColumn="0" showLastColumn="0" showRowStripes="1" showColumnStripes="0"/>
</table>
</file>

<file path=xl/tables/table2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3" xr:uid="{00000000-000C-0000-FFFF-FFFFF3000000}" name="П_В_F5_F3т5" displayName="П_В_F5_F3т5" ref="AU41:AU47" totalsRowShown="0">
  <autoFilter ref="AU41:AU47" xr:uid="{00000000-0009-0000-0100-0000E9000000}"/>
  <tableColumns count="1">
    <tableColumn id="1" xr3:uid="{00000000-0010-0000-F300-000001000000}" name="В_F5_F3т5"/>
  </tableColumns>
  <tableStyleInfo name="TableStyleLight19" showFirstColumn="0" showLastColumn="0" showRowStripes="1" showColumnStripes="0"/>
</table>
</file>

<file path=xl/tables/table2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4" xr:uid="{00000000-000C-0000-FFFF-FFFFF4000000}" name="П_В_F5_F4т5" displayName="П_В_F5_F4т5" ref="AV41:AV47" totalsRowShown="0">
  <autoFilter ref="AV41:AV47" xr:uid="{00000000-0009-0000-0100-0000EA000000}"/>
  <tableColumns count="1">
    <tableColumn id="1" xr3:uid="{00000000-0010-0000-F400-000001000000}" name="В_F5_F4т5"/>
  </tableColumns>
  <tableStyleInfo name="TableStyleLight19" showFirstColumn="0" showLastColumn="0" showRowStripes="1" showColumnStripes="0"/>
</table>
</file>

<file path=xl/tables/table2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5" xr:uid="{00000000-000C-0000-FFFF-FFFFF5000000}" name="П_В_F5_F5т5" displayName="П_В_F5_F5т5" ref="AW41:AW47" totalsRowShown="0">
  <autoFilter ref="AW41:AW47" xr:uid="{00000000-0009-0000-0100-0000EB000000}"/>
  <tableColumns count="1">
    <tableColumn id="1" xr3:uid="{00000000-0010-0000-F500-000001000000}" name="В_F5_F5т5"/>
  </tableColumns>
  <tableStyleInfo name="TableStyleLight19" showFirstColumn="0" showLastColumn="0" showRowStripes="1" showColumnStripes="0"/>
</table>
</file>

<file path=xl/tables/table2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6" xr:uid="{00000000-000C-0000-FFFF-FFFFF6000000}" name="Длт" displayName="Длт" ref="N49:Q55" totalsRowShown="0">
  <autoFilter ref="N49:Q55" xr:uid="{00000000-0009-0000-0100-0000EC000000}">
    <filterColumn colId="0" hiddenButton="1"/>
    <filterColumn colId="1" hiddenButton="1"/>
    <filterColumn colId="2" hiddenButton="1"/>
    <filterColumn colId="3" hiddenButton="1"/>
  </autoFilter>
  <tableColumns count="4">
    <tableColumn id="1" xr3:uid="{00000000-0010-0000-F600-000001000000}" name="Шифр"/>
    <tableColumn id="2" xr3:uid="{00000000-0010-0000-F600-000002000000}" name="Прирост_в"/>
    <tableColumn id="3" xr3:uid="{00000000-0010-0000-F600-000003000000}" name="Прирост_л"/>
    <tableColumn id="4" xr3:uid="{00000000-0010-0000-F600-000004000000}" name="Прирост_д"/>
  </tableColumns>
  <tableStyleInfo name="TableStyleLight9" showFirstColumn="0" showLastColumn="0" showRowStripes="1" showColumnStripes="0"/>
</table>
</file>

<file path=xl/tables/table2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7" xr:uid="{00000000-000C-0000-FFFF-FFFFF7000000}" name="П_Общий238" displayName="П_Общий238" ref="A9:A15" totalsRowShown="0" headerRowBorderDxfId="1495" tableBorderDxfId="1494" totalsRowBorderDxfId="1493">
  <autoFilter ref="A9:A15" xr:uid="{00000000-0009-0000-0100-0000ED000000}"/>
  <tableColumns count="1">
    <tableColumn id="1" xr3:uid="{00000000-0010-0000-F700-000001000000}" name="Общий" dataDxfId="1492"/>
  </tableColumns>
  <tableStyleInfo name="TableStyleLight1" showFirstColumn="0" showLastColumn="0" showRowStripes="1" showColumnStripes="0"/>
</table>
</file>

<file path=xl/tables/table2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8" xr:uid="{00000000-000C-0000-FFFF-FFFFF8000000}" name="П_Низ_F0_5" displayName="П_Низ_F0_5" ref="B9:B15" totalsRowShown="0" dataDxfId="1491" tableBorderDxfId="1490">
  <autoFilter ref="B9:B15" xr:uid="{00000000-0009-0000-0100-0000EE000000}"/>
  <tableColumns count="1">
    <tableColumn id="1" xr3:uid="{00000000-0010-0000-F800-000001000000}" name="Низ_F0_5" dataDxfId="1489"/>
  </tableColumns>
  <tableStyleInfo name="TableStyleLight1" showFirstColumn="0" showLastColumn="0" showRowStripes="1" showColumnStripes="0"/>
</table>
</file>

<file path=xl/tables/table2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9" xr:uid="{00000000-000C-0000-FFFF-FFFFF9000000}" name="П_Низ_F1_5" displayName="П_Низ_F1_5" ref="C9:C15" totalsRowShown="0" dataDxfId="1488" tableBorderDxfId="1487">
  <autoFilter ref="C9:C15" xr:uid="{00000000-0009-0000-0100-0000EF000000}"/>
  <tableColumns count="1">
    <tableColumn id="1" xr3:uid="{00000000-0010-0000-F900-000001000000}" name="Низ_F1_5" dataDxfId="1486"/>
  </tableColumns>
  <tableStyleInfo name="TableStyleLight1" showFirstColumn="0" showLastColumn="0" showRowStripes="1" showColumnStripes="0"/>
</table>
</file>

<file path=xl/tables/table2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0" xr:uid="{00000000-000C-0000-FFFF-FFFFFA000000}" name="П_Низ_F2_5" displayName="П_Низ_F2_5" ref="D9:D15" totalsRowShown="0">
  <autoFilter ref="D9:D15" xr:uid="{00000000-0009-0000-0100-0000F0000000}">
    <filterColumn colId="0" hiddenButton="1"/>
  </autoFilter>
  <tableColumns count="1">
    <tableColumn id="1" xr3:uid="{00000000-0010-0000-FA00-000001000000}" name="Низ_F2_5"/>
  </tableColumns>
  <tableStyleInfo name="TableStyleLight15" showFirstColumn="0" showLastColumn="0" showRowStripes="1" showColumnStripes="0"/>
</table>
</file>

<file path=xl/tables/table2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1" xr:uid="{00000000-000C-0000-FFFF-FFFFFB000000}" name="П_Низ_F3_5" displayName="П_Низ_F3_5" ref="E9:E15" totalsRowShown="0">
  <autoFilter ref="E9:E15" xr:uid="{00000000-0009-0000-0100-0000F1000000}"/>
  <tableColumns count="1">
    <tableColumn id="1" xr3:uid="{00000000-0010-0000-FB00-000001000000}" name="Низ_F3_5"/>
  </tableColumns>
  <tableStyleInfo name="TableStyleLight15" showFirstColumn="0" showLastColumn="0" showRowStripes="1" showColumnStripes="0"/>
</table>
</file>

<file path=xl/tables/table2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00000000-000C-0000-FFFF-FFFFFC000000}" name="П_Низ_F4_5" displayName="П_Низ_F4_5" ref="F9:F15" totalsRowShown="0">
  <autoFilter ref="F9:F15" xr:uid="{00000000-0009-0000-0100-0000F2000000}"/>
  <tableColumns count="1">
    <tableColumn id="1" xr3:uid="{00000000-0010-0000-FC00-000001000000}" name="Низ_F4_5"/>
  </tableColumns>
  <tableStyleInfo name="TableStyleLight15" showFirstColumn="0" showLastColumn="0" showRowStripes="1" showColumnStripes="0"/>
</table>
</file>

<file path=xl/tables/table2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3" xr:uid="{00000000-000C-0000-FFFF-FFFFFD000000}" name="П_Низ_F5_5" displayName="П_Низ_F5_5" ref="G9:G15" totalsRowShown="0">
  <autoFilter ref="G9:G15" xr:uid="{00000000-0009-0000-0100-0000F3000000}"/>
  <tableColumns count="1">
    <tableColumn id="1" xr3:uid="{00000000-0010-0000-FD00-000001000000}" name="Низ_F5_5"/>
  </tableColumns>
  <tableStyleInfo name="TableStyleLight15" showFirstColumn="0" showLastColumn="0" showRowStripes="1" showColumnStripes="0"/>
</table>
</file>

<file path=xl/tables/table2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4" xr:uid="{00000000-000C-0000-FFFF-FFFFFE000000}" name="П_Бок_F0_5" displayName="П_Бок_F0_5" ref="H9:H15" totalsRowShown="0" dataDxfId="1485" tableBorderDxfId="1484">
  <autoFilter ref="H9:H15" xr:uid="{00000000-0009-0000-0100-0000F4000000}"/>
  <tableColumns count="1">
    <tableColumn id="1" xr3:uid="{00000000-0010-0000-FE00-000001000000}" name="Бок_F0_5" dataDxfId="1483"/>
  </tableColumns>
  <tableStyleInfo name="TableStyleLight16" showFirstColumn="0" showLastColumn="0" showRowStripes="1" showColumnStripes="0"/>
</table>
</file>

<file path=xl/tables/table2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5" xr:uid="{00000000-000C-0000-FFFF-FFFFFF000000}" name="П_Бок_F1_5" displayName="П_Бок_F1_5" ref="I9:I15" totalsRowShown="0" dataDxfId="1482" tableBorderDxfId="1481">
  <autoFilter ref="I9:I15" xr:uid="{00000000-0009-0000-0100-0000F5000000}"/>
  <tableColumns count="1">
    <tableColumn id="1" xr3:uid="{00000000-0010-0000-FF00-000001000000}" name="Бок_F1_5" dataDxfId="1480"/>
  </tableColumns>
  <tableStyleInfo name="TableStyleLight16" showFirstColumn="0" showLastColumn="0" showRowStripes="1" showColumnStripes="0"/>
</table>
</file>

<file path=xl/tables/table2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6" xr:uid="{00000000-000C-0000-FFFF-FFFF00010000}" name="П_Бок_F2_5" displayName="П_Бок_F2_5" ref="J9:J15" totalsRowShown="0" dataDxfId="1479" tableBorderDxfId="1478">
  <autoFilter ref="J9:J15" xr:uid="{00000000-0009-0000-0100-0000F6000000}"/>
  <tableColumns count="1">
    <tableColumn id="1" xr3:uid="{00000000-0010-0000-0001-000001000000}" name="Бок_F2_5" dataDxfId="1477"/>
  </tableColumns>
  <tableStyleInfo name="TableStyleLight16" showFirstColumn="0" showLastColumn="0" showRowStripes="1" showColumnStripes="0"/>
</table>
</file>

<file path=xl/tables/table2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7" xr:uid="{00000000-000C-0000-FFFF-FFFF01010000}" name="П_Бок_F3_5" displayName="П_Бок_F3_5" ref="K9:K15" totalsRowShown="0" dataDxfId="1476" tableBorderDxfId="1475">
  <autoFilter ref="K9:K15" xr:uid="{00000000-0009-0000-0100-0000F7000000}"/>
  <tableColumns count="1">
    <tableColumn id="1" xr3:uid="{00000000-0010-0000-0101-000001000000}" name="Бок_F3_5" dataDxfId="1474"/>
  </tableColumns>
  <tableStyleInfo name="TableStyleLight16" showFirstColumn="0" showLastColumn="0" showRowStripes="1" showColumnStripes="0"/>
</table>
</file>

<file path=xl/tables/table2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8" xr:uid="{00000000-000C-0000-FFFF-FFFF02010000}" name="П_Бок_F4_5" displayName="П_Бок_F4_5" ref="L9:L15" totalsRowShown="0" dataDxfId="1473" tableBorderDxfId="1472">
  <autoFilter ref="L9:L15" xr:uid="{00000000-0009-0000-0100-0000F8000000}"/>
  <tableColumns count="1">
    <tableColumn id="1" xr3:uid="{00000000-0010-0000-0201-000001000000}" name="Бок_F4_5" dataDxfId="1471"/>
  </tableColumns>
  <tableStyleInfo name="TableStyleLight16" showFirstColumn="0" showLastColumn="0" showRowStripes="1" showColumnStripes="0"/>
</table>
</file>

<file path=xl/tables/table2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9" xr:uid="{00000000-000C-0000-FFFF-FFFF03010000}" name="П_Бок_F5_5" displayName="П_Бок_F5_5" ref="M9:M15" totalsRowShown="0" dataDxfId="1470" tableBorderDxfId="1469">
  <autoFilter ref="M9:M15" xr:uid="{00000000-0009-0000-0100-0000F9000000}"/>
  <tableColumns count="1">
    <tableColumn id="1" xr3:uid="{00000000-0010-0000-0301-000001000000}" name="Бок_F5_5" dataDxfId="1468"/>
  </tableColumns>
  <tableStyleInfo name="TableStyleLight16" showFirstColumn="0" showLastColumn="0" showRowStripes="1" showColumnStripes="0"/>
</table>
</file>

<file path=xl/tables/table2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0" xr:uid="{00000000-000C-0000-FFFF-FFFF04010000}" name="Тип_шкалы" displayName="Тип_шкалы" ref="N57:N61" totalsRowShown="0">
  <autoFilter ref="N57:N61" xr:uid="{00000000-0009-0000-0100-0000FA000000}">
    <filterColumn colId="0" hiddenButton="1"/>
  </autoFilter>
  <tableColumns count="1">
    <tableColumn id="1" xr3:uid="{00000000-0010-0000-0401-000001000000}" name="ТИП ШКАЛЫ"/>
  </tableColumns>
  <tableStyleInfo name="TableStyleLight14" showFirstColumn="0" showLastColumn="0" showRowStripes="1" showColumnStripes="0"/>
</table>
</file>

<file path=xl/tables/table2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2" xr:uid="{00000000-000C-0000-FFFF-FFFF05010000}" name="Step" displayName="Step" ref="P57:P65" totalsRowShown="0">
  <autoFilter ref="P57:P65" xr:uid="{00000000-0009-0000-0100-00002E010000}"/>
  <tableColumns count="1">
    <tableColumn id="1" xr3:uid="{00000000-0010-0000-0501-000001000000}" name="Шаг анализа"/>
  </tableColumns>
  <tableStyleInfo name="TableStyleLight12" showFirstColumn="0" showLastColumn="0" showRowStripes="1" showColumnStripes="0"/>
</table>
</file>

<file path=xl/tables/table2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3" xr:uid="{00000000-000C-0000-FFFF-FFFF06010000}" name="Структура_Критерий" displayName="Структура_Критерий" ref="N68:O86" totalsRowShown="0">
  <autoFilter ref="N68:O86" xr:uid="{00000000-0009-0000-0100-000011010000}"/>
  <tableColumns count="2">
    <tableColumn id="1" xr3:uid="{00000000-0010-0000-0601-000001000000}" name="Столбец"/>
    <tableColumn id="2" xr3:uid="{00000000-0010-0000-0601-000002000000}" name="Формула" dataDxfId="1467"/>
  </tableColumns>
  <tableStyleInfo name="TableStyleMedium20" showFirstColumn="0" showLastColumn="0" showRowStripes="1" showColumnStripes="0"/>
</table>
</file>

<file path=xl/tables/table2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2" xr:uid="{00000000-000C-0000-FFFF-FFFF07010000}" name="Структура_Свёртка" displayName="Структура_Свёртка" ref="P68:Q135" totalsRowShown="0">
  <autoFilter ref="P68:Q135" xr:uid="{00000000-0009-0000-0100-000006010000}"/>
  <tableColumns count="2">
    <tableColumn id="1" xr3:uid="{00000000-0010-0000-0701-000001000000}" name="Столбец"/>
    <tableColumn id="2" xr3:uid="{00000000-0010-0000-0701-000002000000}" name="Формула" dataDxfId="1466"/>
  </tableColumns>
  <tableStyleInfo name="TableStyleMedium19" showFirstColumn="0" showLastColumn="0" showRowStripes="1" showColumnStripes="0"/>
</table>
</file>

<file path=xl/tables/table2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9" xr:uid="{00000000-000C-0000-FFFF-FFFF08010000}" name="Rotate_Reflex" displayName="Rotate_Reflex" ref="R57:R66" totalsRowShown="0" dataDxfId="1465">
  <autoFilter ref="R57:R66" xr:uid="{00000000-0009-0000-0100-000003010000}"/>
  <tableColumns count="1">
    <tableColumn id="1" xr3:uid="{00000000-0010-0000-0801-000001000000}" name="Данные" dataDxfId="1464"/>
  </tableColumns>
  <tableStyleInfo name="TableStyleMedium7" showFirstColumn="0" showLastColumn="0" showRowStripes="1" showColumnStripes="0"/>
</table>
</file>

<file path=xl/tables/table2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10000}" name="MatrixF0" displayName="MatrixF0" ref="A2:CX103" totalsRowShown="0" headerRowDxfId="1463" dataDxfId="1461" headerRowBorderDxfId="1462" tableBorderDxfId="1460" dataCellStyle="Обычный 2">
  <autoFilter ref="A2:CX103"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901-000001000000}" name="Столбец1" dataDxfId="1459" dataCellStyle="Обычный 2"/>
    <tableColumn id="2" xr3:uid="{00000000-0010-0000-0901-000002000000}" name="1" dataDxfId="1458" dataCellStyle="Обычный 2"/>
    <tableColumn id="3" xr3:uid="{00000000-0010-0000-0901-000003000000}" name="1,01" dataDxfId="1457" dataCellStyle="Обычный 2"/>
    <tableColumn id="4" xr3:uid="{00000000-0010-0000-0901-000004000000}" name="1,02" dataDxfId="1456" dataCellStyle="Обычный 2"/>
    <tableColumn id="5" xr3:uid="{00000000-0010-0000-0901-000005000000}" name="1,03" dataDxfId="1455" dataCellStyle="Обычный 2"/>
    <tableColumn id="6" xr3:uid="{00000000-0010-0000-0901-000006000000}" name="1,04" dataDxfId="1454" dataCellStyle="Обычный 2"/>
    <tableColumn id="7" xr3:uid="{00000000-0010-0000-0901-000007000000}" name="1,05" dataDxfId="1453" dataCellStyle="Обычный 2"/>
    <tableColumn id="8" xr3:uid="{00000000-0010-0000-0901-000008000000}" name="1,06" dataDxfId="1452" dataCellStyle="Обычный 2"/>
    <tableColumn id="9" xr3:uid="{00000000-0010-0000-0901-000009000000}" name="1,07" dataDxfId="1451" dataCellStyle="Обычный 2"/>
    <tableColumn id="10" xr3:uid="{00000000-0010-0000-0901-00000A000000}" name="1,08" dataDxfId="1450" dataCellStyle="Обычный 2"/>
    <tableColumn id="11" xr3:uid="{00000000-0010-0000-0901-00000B000000}" name="1,09" dataDxfId="1449" dataCellStyle="Обычный 2"/>
    <tableColumn id="12" xr3:uid="{00000000-0010-0000-0901-00000C000000}" name="1,1" dataDxfId="1448" dataCellStyle="Обычный 2"/>
    <tableColumn id="13" xr3:uid="{00000000-0010-0000-0901-00000D000000}" name="1,11" dataDxfId="1447" dataCellStyle="Обычный 2"/>
    <tableColumn id="14" xr3:uid="{00000000-0010-0000-0901-00000E000000}" name="1,12" dataDxfId="1446" dataCellStyle="Обычный 2"/>
    <tableColumn id="15" xr3:uid="{00000000-0010-0000-0901-00000F000000}" name="1,13" dataDxfId="1445" dataCellStyle="Обычный 2"/>
    <tableColumn id="16" xr3:uid="{00000000-0010-0000-0901-000010000000}" name="1,14" dataDxfId="1444" dataCellStyle="Обычный 2"/>
    <tableColumn id="17" xr3:uid="{00000000-0010-0000-0901-000011000000}" name="1,15" dataDxfId="1443" dataCellStyle="Обычный 2"/>
    <tableColumn id="18" xr3:uid="{00000000-0010-0000-0901-000012000000}" name="1,16" dataDxfId="1442" dataCellStyle="Обычный 2"/>
    <tableColumn id="19" xr3:uid="{00000000-0010-0000-0901-000013000000}" name="1,17" dataDxfId="1441" dataCellStyle="Обычный 2"/>
    <tableColumn id="20" xr3:uid="{00000000-0010-0000-0901-000014000000}" name="1,18" dataDxfId="1440" dataCellStyle="Обычный 2"/>
    <tableColumn id="21" xr3:uid="{00000000-0010-0000-0901-000015000000}" name="1,19" dataDxfId="1439" dataCellStyle="Обычный 2"/>
    <tableColumn id="22" xr3:uid="{00000000-0010-0000-0901-000016000000}" name="1,2" dataDxfId="1438" dataCellStyle="Обычный 2"/>
    <tableColumn id="23" xr3:uid="{00000000-0010-0000-0901-000017000000}" name="1,21" dataDxfId="1437" dataCellStyle="Обычный 2"/>
    <tableColumn id="24" xr3:uid="{00000000-0010-0000-0901-000018000000}" name="1,22" dataDxfId="1436" dataCellStyle="Обычный 2"/>
    <tableColumn id="25" xr3:uid="{00000000-0010-0000-0901-000019000000}" name="1,23" dataDxfId="1435" dataCellStyle="Обычный 2"/>
    <tableColumn id="26" xr3:uid="{00000000-0010-0000-0901-00001A000000}" name="1,24" dataDxfId="1434" dataCellStyle="Обычный 2"/>
    <tableColumn id="27" xr3:uid="{00000000-0010-0000-0901-00001B000000}" name="1,25" dataDxfId="1433" dataCellStyle="Обычный 2"/>
    <tableColumn id="28" xr3:uid="{00000000-0010-0000-0901-00001C000000}" name="1,26" dataDxfId="1432" dataCellStyle="Обычный 2"/>
    <tableColumn id="29" xr3:uid="{00000000-0010-0000-0901-00001D000000}" name="1,27" dataDxfId="1431" dataCellStyle="Обычный 2"/>
    <tableColumn id="30" xr3:uid="{00000000-0010-0000-0901-00001E000000}" name="1,28" dataDxfId="1430" dataCellStyle="Обычный 2"/>
    <tableColumn id="31" xr3:uid="{00000000-0010-0000-0901-00001F000000}" name="1,29" dataDxfId="1429" dataCellStyle="Обычный 2"/>
    <tableColumn id="32" xr3:uid="{00000000-0010-0000-0901-000020000000}" name="1,3" dataDxfId="1428" dataCellStyle="Обычный 2"/>
    <tableColumn id="33" xr3:uid="{00000000-0010-0000-0901-000021000000}" name="1,31" dataDxfId="1427" dataCellStyle="Обычный 2"/>
    <tableColumn id="34" xr3:uid="{00000000-0010-0000-0901-000022000000}" name="1,32" dataDxfId="1426" dataCellStyle="Обычный 2"/>
    <tableColumn id="35" xr3:uid="{00000000-0010-0000-0901-000023000000}" name="1,33" dataDxfId="1425" dataCellStyle="Обычный 2"/>
    <tableColumn id="36" xr3:uid="{00000000-0010-0000-0901-000024000000}" name="1,34" dataDxfId="1424" dataCellStyle="Обычный 2"/>
    <tableColumn id="37" xr3:uid="{00000000-0010-0000-0901-000025000000}" name="1,35" dataDxfId="1423" dataCellStyle="Обычный 2"/>
    <tableColumn id="38" xr3:uid="{00000000-0010-0000-0901-000026000000}" name="1,36" dataDxfId="1422" dataCellStyle="Обычный 2"/>
    <tableColumn id="39" xr3:uid="{00000000-0010-0000-0901-000027000000}" name="1,37" dataDxfId="1421" dataCellStyle="Обычный 2"/>
    <tableColumn id="40" xr3:uid="{00000000-0010-0000-0901-000028000000}" name="1,38" dataDxfId="1420" dataCellStyle="Обычный 2"/>
    <tableColumn id="41" xr3:uid="{00000000-0010-0000-0901-000029000000}" name="1,39" dataDxfId="1419" dataCellStyle="Обычный 2"/>
    <tableColumn id="42" xr3:uid="{00000000-0010-0000-0901-00002A000000}" name="1,4" dataDxfId="1418" dataCellStyle="Обычный 2"/>
    <tableColumn id="43" xr3:uid="{00000000-0010-0000-0901-00002B000000}" name="1,41" dataDxfId="1417" dataCellStyle="Обычный 2"/>
    <tableColumn id="44" xr3:uid="{00000000-0010-0000-0901-00002C000000}" name="1,42" dataDxfId="1416" dataCellStyle="Обычный 2"/>
    <tableColumn id="45" xr3:uid="{00000000-0010-0000-0901-00002D000000}" name="1,43" dataDxfId="1415" dataCellStyle="Обычный 2"/>
    <tableColumn id="46" xr3:uid="{00000000-0010-0000-0901-00002E000000}" name="1,44" dataDxfId="1414" dataCellStyle="Обычный 2"/>
    <tableColumn id="47" xr3:uid="{00000000-0010-0000-0901-00002F000000}" name="1,45" dataDxfId="1413" dataCellStyle="Обычный 2"/>
    <tableColumn id="48" xr3:uid="{00000000-0010-0000-0901-000030000000}" name="1,46" dataDxfId="1412" dataCellStyle="Обычный 2"/>
    <tableColumn id="49" xr3:uid="{00000000-0010-0000-0901-000031000000}" name="1,47" dataDxfId="1411" dataCellStyle="Обычный 2"/>
    <tableColumn id="50" xr3:uid="{00000000-0010-0000-0901-000032000000}" name="1,48" dataDxfId="1410" dataCellStyle="Обычный 2"/>
    <tableColumn id="51" xr3:uid="{00000000-0010-0000-0901-000033000000}" name="1,49" dataDxfId="1409" dataCellStyle="Обычный 2"/>
    <tableColumn id="52" xr3:uid="{00000000-0010-0000-0901-000034000000}" name="1,5" dataDxfId="1408" dataCellStyle="Обычный 2"/>
    <tableColumn id="53" xr3:uid="{00000000-0010-0000-0901-000035000000}" name="1,51" dataDxfId="1407" dataCellStyle="Обычный 2"/>
    <tableColumn id="54" xr3:uid="{00000000-0010-0000-0901-000036000000}" name="1,52" dataDxfId="1406" dataCellStyle="Обычный 2"/>
    <tableColumn id="55" xr3:uid="{00000000-0010-0000-0901-000037000000}" name="1,53" dataDxfId="1405" dataCellStyle="Обычный 2"/>
    <tableColumn id="56" xr3:uid="{00000000-0010-0000-0901-000038000000}" name="1,54" dataDxfId="1404" dataCellStyle="Обычный 2"/>
    <tableColumn id="57" xr3:uid="{00000000-0010-0000-0901-000039000000}" name="1,55" dataDxfId="1403" dataCellStyle="Обычный 2"/>
    <tableColumn id="58" xr3:uid="{00000000-0010-0000-0901-00003A000000}" name="1,56" dataDxfId="1402" dataCellStyle="Обычный 2"/>
    <tableColumn id="59" xr3:uid="{00000000-0010-0000-0901-00003B000000}" name="1,57" dataDxfId="1401" dataCellStyle="Обычный 2"/>
    <tableColumn id="60" xr3:uid="{00000000-0010-0000-0901-00003C000000}" name="1,58" dataDxfId="1400" dataCellStyle="Обычный 2"/>
    <tableColumn id="61" xr3:uid="{00000000-0010-0000-0901-00003D000000}" name="1,59" dataDxfId="1399" dataCellStyle="Обычный 2"/>
    <tableColumn id="62" xr3:uid="{00000000-0010-0000-0901-00003E000000}" name="1,6" dataDxfId="1398" dataCellStyle="Обычный 2"/>
    <tableColumn id="63" xr3:uid="{00000000-0010-0000-0901-00003F000000}" name="1,61" dataDxfId="1397" dataCellStyle="Обычный 2"/>
    <tableColumn id="64" xr3:uid="{00000000-0010-0000-0901-000040000000}" name="1,62" dataDxfId="1396" dataCellStyle="Обычный 2"/>
    <tableColumn id="65" xr3:uid="{00000000-0010-0000-0901-000041000000}" name="1,63" dataDxfId="1395" dataCellStyle="Обычный 2"/>
    <tableColumn id="66" xr3:uid="{00000000-0010-0000-0901-000042000000}" name="1,64" dataDxfId="1394" dataCellStyle="Обычный 2"/>
    <tableColumn id="67" xr3:uid="{00000000-0010-0000-0901-000043000000}" name="1,65" dataDxfId="1393" dataCellStyle="Обычный 2"/>
    <tableColumn id="68" xr3:uid="{00000000-0010-0000-0901-000044000000}" name="1,66" dataDxfId="1392" dataCellStyle="Обычный 2"/>
    <tableColumn id="69" xr3:uid="{00000000-0010-0000-0901-000045000000}" name="1,67" dataDxfId="1391" dataCellStyle="Обычный 2"/>
    <tableColumn id="70" xr3:uid="{00000000-0010-0000-0901-000046000000}" name="1,68" dataDxfId="1390" dataCellStyle="Обычный 2"/>
    <tableColumn id="71" xr3:uid="{00000000-0010-0000-0901-000047000000}" name="1,69" dataDxfId="1389" dataCellStyle="Обычный 2"/>
    <tableColumn id="72" xr3:uid="{00000000-0010-0000-0901-000048000000}" name="1,7" dataDxfId="1388" dataCellStyle="Обычный 2"/>
    <tableColumn id="73" xr3:uid="{00000000-0010-0000-0901-000049000000}" name="1,71" dataDxfId="1387" dataCellStyle="Обычный 2"/>
    <tableColumn id="74" xr3:uid="{00000000-0010-0000-0901-00004A000000}" name="1,72" dataDxfId="1386" dataCellStyle="Обычный 2"/>
    <tableColumn id="75" xr3:uid="{00000000-0010-0000-0901-00004B000000}" name="1,73" dataDxfId="1385" dataCellStyle="Обычный 2"/>
    <tableColumn id="76" xr3:uid="{00000000-0010-0000-0901-00004C000000}" name="1,74" dataDxfId="1384" dataCellStyle="Обычный 2"/>
    <tableColumn id="77" xr3:uid="{00000000-0010-0000-0901-00004D000000}" name="1,75" dataDxfId="1383" dataCellStyle="Обычный 2"/>
    <tableColumn id="78" xr3:uid="{00000000-0010-0000-0901-00004E000000}" name="1,76" dataDxfId="1382" dataCellStyle="Обычный 2"/>
    <tableColumn id="79" xr3:uid="{00000000-0010-0000-0901-00004F000000}" name="1,77" dataDxfId="1381" dataCellStyle="Обычный 2"/>
    <tableColumn id="80" xr3:uid="{00000000-0010-0000-0901-000050000000}" name="1,78" dataDxfId="1380" dataCellStyle="Обычный 2"/>
    <tableColumn id="81" xr3:uid="{00000000-0010-0000-0901-000051000000}" name="1,79" dataDxfId="1379" dataCellStyle="Обычный 2"/>
    <tableColumn id="82" xr3:uid="{00000000-0010-0000-0901-000052000000}" name="1,8" dataDxfId="1378" dataCellStyle="Обычный 2"/>
    <tableColumn id="83" xr3:uid="{00000000-0010-0000-0901-000053000000}" name="1,81" dataDxfId="1377" dataCellStyle="Обычный 2"/>
    <tableColumn id="84" xr3:uid="{00000000-0010-0000-0901-000054000000}" name="1,82" dataDxfId="1376" dataCellStyle="Обычный 2"/>
    <tableColumn id="85" xr3:uid="{00000000-0010-0000-0901-000055000000}" name="1,83" dataDxfId="1375" dataCellStyle="Обычный 2"/>
    <tableColumn id="86" xr3:uid="{00000000-0010-0000-0901-000056000000}" name="1,84" dataDxfId="1374" dataCellStyle="Обычный 2"/>
    <tableColumn id="87" xr3:uid="{00000000-0010-0000-0901-000057000000}" name="1,85" dataDxfId="1373" dataCellStyle="Обычный 2"/>
    <tableColumn id="88" xr3:uid="{00000000-0010-0000-0901-000058000000}" name="1,86" dataDxfId="1372" dataCellStyle="Обычный 2"/>
    <tableColumn id="89" xr3:uid="{00000000-0010-0000-0901-000059000000}" name="1,87" dataDxfId="1371" dataCellStyle="Обычный 2"/>
    <tableColumn id="90" xr3:uid="{00000000-0010-0000-0901-00005A000000}" name="1,88" dataDxfId="1370" dataCellStyle="Обычный 2"/>
    <tableColumn id="91" xr3:uid="{00000000-0010-0000-0901-00005B000000}" name="1,89" dataDxfId="1369" dataCellStyle="Обычный 2"/>
    <tableColumn id="92" xr3:uid="{00000000-0010-0000-0901-00005C000000}" name="1,9" dataDxfId="1368" dataCellStyle="Обычный 2"/>
    <tableColumn id="93" xr3:uid="{00000000-0010-0000-0901-00005D000000}" name="1,91" dataDxfId="1367" dataCellStyle="Обычный 2"/>
    <tableColumn id="94" xr3:uid="{00000000-0010-0000-0901-00005E000000}" name="1,92" dataDxfId="1366" dataCellStyle="Обычный 2"/>
    <tableColumn id="95" xr3:uid="{00000000-0010-0000-0901-00005F000000}" name="1,93" dataDxfId="1365" dataCellStyle="Обычный 2"/>
    <tableColumn id="96" xr3:uid="{00000000-0010-0000-0901-000060000000}" name="1,94" dataDxfId="1364" dataCellStyle="Обычный 2"/>
    <tableColumn id="97" xr3:uid="{00000000-0010-0000-0901-000061000000}" name="1,95" dataDxfId="1363" dataCellStyle="Обычный 2"/>
    <tableColumn id="98" xr3:uid="{00000000-0010-0000-0901-000062000000}" name="1,96" dataDxfId="1362" dataCellStyle="Обычный 2"/>
    <tableColumn id="99" xr3:uid="{00000000-0010-0000-0901-000063000000}" name="1,97" dataDxfId="1361" dataCellStyle="Обычный 2"/>
    <tableColumn id="100" xr3:uid="{00000000-0010-0000-0901-000064000000}" name="1,98" dataDxfId="1360" dataCellStyle="Обычный 2"/>
    <tableColumn id="101" xr3:uid="{00000000-0010-0000-0901-000065000000}" name="1,99" dataDxfId="1359" dataCellStyle="Обычный 2"/>
    <tableColumn id="102" xr3:uid="{00000000-0010-0000-0901-000066000000}" name="2" dataDxfId="1358" dataCellStyle="Обычный 2"/>
  </tableColumns>
  <tableStyleInfo name="TableStyleMedium25" showFirstColumn="1" showLastColumn="0" showRowStripes="1" showColumnStripes="0"/>
</table>
</file>

<file path=xl/tables/table2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10000}" name="MatrixF1" displayName="MatrixF1" ref="A2:CX103" totalsRowShown="0" headerRowDxfId="1357" dataDxfId="1355" headerRowBorderDxfId="1356" tableBorderDxfId="1354" dataCellStyle="Обычный 2">
  <autoFilter ref="A2:CX10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A01-000001000000}" name="Столбец1" dataDxfId="1353" dataCellStyle="Обычный 2"/>
    <tableColumn id="2" xr3:uid="{00000000-0010-0000-0A01-000002000000}" name="1" dataDxfId="1352" dataCellStyle="Обычный 2"/>
    <tableColumn id="3" xr3:uid="{00000000-0010-0000-0A01-000003000000}" name="1,01" dataDxfId="1351" dataCellStyle="Обычный 2"/>
    <tableColumn id="4" xr3:uid="{00000000-0010-0000-0A01-000004000000}" name="1,02" dataDxfId="1350" dataCellStyle="Обычный 2"/>
    <tableColumn id="5" xr3:uid="{00000000-0010-0000-0A01-000005000000}" name="1,03" dataDxfId="1349" dataCellStyle="Обычный 2"/>
    <tableColumn id="6" xr3:uid="{00000000-0010-0000-0A01-000006000000}" name="1,04" dataDxfId="1348" dataCellStyle="Обычный 2"/>
    <tableColumn id="7" xr3:uid="{00000000-0010-0000-0A01-000007000000}" name="1,05" dataDxfId="1347" dataCellStyle="Обычный 2"/>
    <tableColumn id="8" xr3:uid="{00000000-0010-0000-0A01-000008000000}" name="1,06" dataDxfId="1346" dataCellStyle="Обычный 2"/>
    <tableColumn id="9" xr3:uid="{00000000-0010-0000-0A01-000009000000}" name="1,07" dataDxfId="1345" dataCellStyle="Обычный 2"/>
    <tableColumn id="10" xr3:uid="{00000000-0010-0000-0A01-00000A000000}" name="1,08" dataDxfId="1344" dataCellStyle="Обычный 2"/>
    <tableColumn id="11" xr3:uid="{00000000-0010-0000-0A01-00000B000000}" name="1,09" dataDxfId="1343" dataCellStyle="Обычный 2"/>
    <tableColumn id="12" xr3:uid="{00000000-0010-0000-0A01-00000C000000}" name="1,1" dataDxfId="1342" dataCellStyle="Обычный 2"/>
    <tableColumn id="13" xr3:uid="{00000000-0010-0000-0A01-00000D000000}" name="1,11" dataDxfId="1341" dataCellStyle="Обычный 2"/>
    <tableColumn id="14" xr3:uid="{00000000-0010-0000-0A01-00000E000000}" name="1,12" dataDxfId="1340" dataCellStyle="Обычный 2"/>
    <tableColumn id="15" xr3:uid="{00000000-0010-0000-0A01-00000F000000}" name="1,13" dataDxfId="1339" dataCellStyle="Обычный 2"/>
    <tableColumn id="16" xr3:uid="{00000000-0010-0000-0A01-000010000000}" name="1,14" dataDxfId="1338" dataCellStyle="Обычный 2"/>
    <tableColumn id="17" xr3:uid="{00000000-0010-0000-0A01-000011000000}" name="1,15" dataDxfId="1337" dataCellStyle="Обычный 2"/>
    <tableColumn id="18" xr3:uid="{00000000-0010-0000-0A01-000012000000}" name="1,16" dataDxfId="1336" dataCellStyle="Обычный 2"/>
    <tableColumn id="19" xr3:uid="{00000000-0010-0000-0A01-000013000000}" name="1,17" dataDxfId="1335" dataCellStyle="Обычный 2"/>
    <tableColumn id="20" xr3:uid="{00000000-0010-0000-0A01-000014000000}" name="1,18" dataDxfId="1334" dataCellStyle="Обычный 2"/>
    <tableColumn id="21" xr3:uid="{00000000-0010-0000-0A01-000015000000}" name="1,19" dataDxfId="1333" dataCellStyle="Обычный 2"/>
    <tableColumn id="22" xr3:uid="{00000000-0010-0000-0A01-000016000000}" name="1,2" dataDxfId="1332" dataCellStyle="Обычный 2"/>
    <tableColumn id="23" xr3:uid="{00000000-0010-0000-0A01-000017000000}" name="1,21" dataDxfId="1331" dataCellStyle="Обычный 2"/>
    <tableColumn id="24" xr3:uid="{00000000-0010-0000-0A01-000018000000}" name="1,22" dataDxfId="1330" dataCellStyle="Обычный 2"/>
    <tableColumn id="25" xr3:uid="{00000000-0010-0000-0A01-000019000000}" name="1,23" dataDxfId="1329" dataCellStyle="Обычный 2"/>
    <tableColumn id="26" xr3:uid="{00000000-0010-0000-0A01-00001A000000}" name="1,24" dataDxfId="1328" dataCellStyle="Обычный 2"/>
    <tableColumn id="27" xr3:uid="{00000000-0010-0000-0A01-00001B000000}" name="1,25" dataDxfId="1327" dataCellStyle="Обычный 2"/>
    <tableColumn id="28" xr3:uid="{00000000-0010-0000-0A01-00001C000000}" name="1,26" dataDxfId="1326" dataCellStyle="Обычный 2"/>
    <tableColumn id="29" xr3:uid="{00000000-0010-0000-0A01-00001D000000}" name="1,27" dataDxfId="1325" dataCellStyle="Обычный 2"/>
    <tableColumn id="30" xr3:uid="{00000000-0010-0000-0A01-00001E000000}" name="1,28" dataDxfId="1324" dataCellStyle="Обычный 2"/>
    <tableColumn id="31" xr3:uid="{00000000-0010-0000-0A01-00001F000000}" name="1,29" dataDxfId="1323" dataCellStyle="Обычный 2"/>
    <tableColumn id="32" xr3:uid="{00000000-0010-0000-0A01-000020000000}" name="1,3" dataDxfId="1322" dataCellStyle="Обычный 2"/>
    <tableColumn id="33" xr3:uid="{00000000-0010-0000-0A01-000021000000}" name="1,31" dataDxfId="1321" dataCellStyle="Обычный 2"/>
    <tableColumn id="34" xr3:uid="{00000000-0010-0000-0A01-000022000000}" name="1,32" dataDxfId="1320" dataCellStyle="Обычный 2"/>
    <tableColumn id="35" xr3:uid="{00000000-0010-0000-0A01-000023000000}" name="1,33" dataDxfId="1319" dataCellStyle="Обычный 2"/>
    <tableColumn id="36" xr3:uid="{00000000-0010-0000-0A01-000024000000}" name="1,34" dataDxfId="1318" dataCellStyle="Обычный 2"/>
    <tableColumn id="37" xr3:uid="{00000000-0010-0000-0A01-000025000000}" name="1,35" dataDxfId="1317" dataCellStyle="Обычный 2"/>
    <tableColumn id="38" xr3:uid="{00000000-0010-0000-0A01-000026000000}" name="1,36" dataDxfId="1316" dataCellStyle="Обычный 2"/>
    <tableColumn id="39" xr3:uid="{00000000-0010-0000-0A01-000027000000}" name="1,37" dataDxfId="1315" dataCellStyle="Обычный 2"/>
    <tableColumn id="40" xr3:uid="{00000000-0010-0000-0A01-000028000000}" name="1,38" dataDxfId="1314" dataCellStyle="Обычный 2"/>
    <tableColumn id="41" xr3:uid="{00000000-0010-0000-0A01-000029000000}" name="1,39" dataDxfId="1313" dataCellStyle="Обычный 2"/>
    <tableColumn id="42" xr3:uid="{00000000-0010-0000-0A01-00002A000000}" name="1,4" dataDxfId="1312" dataCellStyle="Обычный 2"/>
    <tableColumn id="43" xr3:uid="{00000000-0010-0000-0A01-00002B000000}" name="1,41" dataDxfId="1311" dataCellStyle="Обычный 2"/>
    <tableColumn id="44" xr3:uid="{00000000-0010-0000-0A01-00002C000000}" name="1,42" dataDxfId="1310" dataCellStyle="Обычный 2"/>
    <tableColumn id="45" xr3:uid="{00000000-0010-0000-0A01-00002D000000}" name="1,43" dataDxfId="1309" dataCellStyle="Обычный 2"/>
    <tableColumn id="46" xr3:uid="{00000000-0010-0000-0A01-00002E000000}" name="1,44" dataDxfId="1308" dataCellStyle="Обычный 2"/>
    <tableColumn id="47" xr3:uid="{00000000-0010-0000-0A01-00002F000000}" name="1,45" dataDxfId="1307" dataCellStyle="Обычный 2"/>
    <tableColumn id="48" xr3:uid="{00000000-0010-0000-0A01-000030000000}" name="1,46" dataDxfId="1306" dataCellStyle="Обычный 2"/>
    <tableColumn id="49" xr3:uid="{00000000-0010-0000-0A01-000031000000}" name="1,47" dataDxfId="1305" dataCellStyle="Обычный 2"/>
    <tableColumn id="50" xr3:uid="{00000000-0010-0000-0A01-000032000000}" name="1,48" dataDxfId="1304" dataCellStyle="Обычный 2"/>
    <tableColumn id="51" xr3:uid="{00000000-0010-0000-0A01-000033000000}" name="1,49" dataDxfId="1303" dataCellStyle="Обычный 2"/>
    <tableColumn id="52" xr3:uid="{00000000-0010-0000-0A01-000034000000}" name="1,5" dataDxfId="1302" dataCellStyle="Обычный 2"/>
    <tableColumn id="53" xr3:uid="{00000000-0010-0000-0A01-000035000000}" name="1,51" dataDxfId="1301" dataCellStyle="Обычный 2"/>
    <tableColumn id="54" xr3:uid="{00000000-0010-0000-0A01-000036000000}" name="1,52" dataDxfId="1300" dataCellStyle="Обычный 2"/>
    <tableColumn id="55" xr3:uid="{00000000-0010-0000-0A01-000037000000}" name="1,53" dataDxfId="1299" dataCellStyle="Обычный 2"/>
    <tableColumn id="56" xr3:uid="{00000000-0010-0000-0A01-000038000000}" name="1,54" dataDxfId="1298" dataCellStyle="Обычный 2"/>
    <tableColumn id="57" xr3:uid="{00000000-0010-0000-0A01-000039000000}" name="1,55" dataDxfId="1297" dataCellStyle="Обычный 2"/>
    <tableColumn id="58" xr3:uid="{00000000-0010-0000-0A01-00003A000000}" name="1,56" dataDxfId="1296" dataCellStyle="Обычный 2"/>
    <tableColumn id="59" xr3:uid="{00000000-0010-0000-0A01-00003B000000}" name="1,57" dataDxfId="1295" dataCellStyle="Обычный 2"/>
    <tableColumn id="60" xr3:uid="{00000000-0010-0000-0A01-00003C000000}" name="1,58" dataDxfId="1294" dataCellStyle="Обычный 2"/>
    <tableColumn id="61" xr3:uid="{00000000-0010-0000-0A01-00003D000000}" name="1,59" dataDxfId="1293" dataCellStyle="Обычный 2"/>
    <tableColumn id="62" xr3:uid="{00000000-0010-0000-0A01-00003E000000}" name="1,6" dataDxfId="1292" dataCellStyle="Обычный 2"/>
    <tableColumn id="63" xr3:uid="{00000000-0010-0000-0A01-00003F000000}" name="1,61" dataDxfId="1291" dataCellStyle="Обычный 2"/>
    <tableColumn id="64" xr3:uid="{00000000-0010-0000-0A01-000040000000}" name="1,62" dataDxfId="1290" dataCellStyle="Обычный 2"/>
    <tableColumn id="65" xr3:uid="{00000000-0010-0000-0A01-000041000000}" name="1,63" dataDxfId="1289" dataCellStyle="Обычный 2"/>
    <tableColumn id="66" xr3:uid="{00000000-0010-0000-0A01-000042000000}" name="1,64" dataDxfId="1288" dataCellStyle="Обычный 2"/>
    <tableColumn id="67" xr3:uid="{00000000-0010-0000-0A01-000043000000}" name="1,65" dataDxfId="1287" dataCellStyle="Обычный 2"/>
    <tableColumn id="68" xr3:uid="{00000000-0010-0000-0A01-000044000000}" name="1,66" dataDxfId="1286" dataCellStyle="Обычный 2"/>
    <tableColumn id="69" xr3:uid="{00000000-0010-0000-0A01-000045000000}" name="1,67" dataDxfId="1285" dataCellStyle="Обычный 2"/>
    <tableColumn id="70" xr3:uid="{00000000-0010-0000-0A01-000046000000}" name="1,68" dataDxfId="1284" dataCellStyle="Обычный 2"/>
    <tableColumn id="71" xr3:uid="{00000000-0010-0000-0A01-000047000000}" name="1,69" dataDxfId="1283" dataCellStyle="Обычный 2"/>
    <tableColumn id="72" xr3:uid="{00000000-0010-0000-0A01-000048000000}" name="1,7" dataDxfId="1282" dataCellStyle="Обычный 2"/>
    <tableColumn id="73" xr3:uid="{00000000-0010-0000-0A01-000049000000}" name="1,71" dataDxfId="1281" dataCellStyle="Обычный 2"/>
    <tableColumn id="74" xr3:uid="{00000000-0010-0000-0A01-00004A000000}" name="1,72" dataDxfId="1280" dataCellStyle="Обычный 2"/>
    <tableColumn id="75" xr3:uid="{00000000-0010-0000-0A01-00004B000000}" name="1,73" dataDxfId="1279" dataCellStyle="Обычный 2"/>
    <tableColumn id="76" xr3:uid="{00000000-0010-0000-0A01-00004C000000}" name="1,74" dataDxfId="1278" dataCellStyle="Обычный 2"/>
    <tableColumn id="77" xr3:uid="{00000000-0010-0000-0A01-00004D000000}" name="1,75" dataDxfId="1277" dataCellStyle="Обычный 2"/>
    <tableColumn id="78" xr3:uid="{00000000-0010-0000-0A01-00004E000000}" name="1,76" dataDxfId="1276" dataCellStyle="Обычный 2"/>
    <tableColumn id="79" xr3:uid="{00000000-0010-0000-0A01-00004F000000}" name="1,77" dataDxfId="1275" dataCellStyle="Обычный 2"/>
    <tableColumn id="80" xr3:uid="{00000000-0010-0000-0A01-000050000000}" name="1,78" dataDxfId="1274" dataCellStyle="Обычный 2"/>
    <tableColumn id="81" xr3:uid="{00000000-0010-0000-0A01-000051000000}" name="1,79" dataDxfId="1273" dataCellStyle="Обычный 2"/>
    <tableColumn id="82" xr3:uid="{00000000-0010-0000-0A01-000052000000}" name="1,8" dataDxfId="1272" dataCellStyle="Обычный 2"/>
    <tableColumn id="83" xr3:uid="{00000000-0010-0000-0A01-000053000000}" name="1,81" dataDxfId="1271" dataCellStyle="Обычный 2"/>
    <tableColumn id="84" xr3:uid="{00000000-0010-0000-0A01-000054000000}" name="1,82" dataDxfId="1270" dataCellStyle="Обычный 2"/>
    <tableColumn id="85" xr3:uid="{00000000-0010-0000-0A01-000055000000}" name="1,83" dataDxfId="1269" dataCellStyle="Обычный 2"/>
    <tableColumn id="86" xr3:uid="{00000000-0010-0000-0A01-000056000000}" name="1,84" dataDxfId="1268" dataCellStyle="Обычный 2"/>
    <tableColumn id="87" xr3:uid="{00000000-0010-0000-0A01-000057000000}" name="1,85" dataDxfId="1267" dataCellStyle="Обычный 2"/>
    <tableColumn id="88" xr3:uid="{00000000-0010-0000-0A01-000058000000}" name="1,86" dataDxfId="1266" dataCellStyle="Обычный 2"/>
    <tableColumn id="89" xr3:uid="{00000000-0010-0000-0A01-000059000000}" name="1,87" dataDxfId="1265" dataCellStyle="Обычный 2"/>
    <tableColumn id="90" xr3:uid="{00000000-0010-0000-0A01-00005A000000}" name="1,88" dataDxfId="1264" dataCellStyle="Обычный 2"/>
    <tableColumn id="91" xr3:uid="{00000000-0010-0000-0A01-00005B000000}" name="1,89" dataDxfId="1263" dataCellStyle="Обычный 2"/>
    <tableColumn id="92" xr3:uid="{00000000-0010-0000-0A01-00005C000000}" name="1,9" dataDxfId="1262" dataCellStyle="Обычный 2"/>
    <tableColumn id="93" xr3:uid="{00000000-0010-0000-0A01-00005D000000}" name="1,91" dataDxfId="1261" dataCellStyle="Обычный 2"/>
    <tableColumn id="94" xr3:uid="{00000000-0010-0000-0A01-00005E000000}" name="1,92" dataDxfId="1260" dataCellStyle="Обычный 2"/>
    <tableColumn id="95" xr3:uid="{00000000-0010-0000-0A01-00005F000000}" name="1,93" dataDxfId="1259" dataCellStyle="Обычный 2"/>
    <tableColumn id="96" xr3:uid="{00000000-0010-0000-0A01-000060000000}" name="1,94" dataDxfId="1258" dataCellStyle="Обычный 2"/>
    <tableColumn id="97" xr3:uid="{00000000-0010-0000-0A01-000061000000}" name="1,95" dataDxfId="1257" dataCellStyle="Обычный 2"/>
    <tableColumn id="98" xr3:uid="{00000000-0010-0000-0A01-000062000000}" name="1,96" dataDxfId="1256" dataCellStyle="Обычный 2"/>
    <tableColumn id="99" xr3:uid="{00000000-0010-0000-0A01-000063000000}" name="1,97" dataDxfId="1255" dataCellStyle="Обычный 2"/>
    <tableColumn id="100" xr3:uid="{00000000-0010-0000-0A01-000064000000}" name="1,98" dataDxfId="1254" dataCellStyle="Обычный 2"/>
    <tableColumn id="101" xr3:uid="{00000000-0010-0000-0A01-000065000000}" name="1,99" dataDxfId="1253" dataCellStyle="Обычный 2"/>
    <tableColumn id="102" xr3:uid="{00000000-0010-0000-0A01-000066000000}" name="2" dataDxfId="1252" dataCellStyle="Обычный 2"/>
  </tableColumns>
  <tableStyleInfo name="TableStyleMedium25" showFirstColumn="1" showLastColumn="0" showRowStripes="1" showColumnStripes="0"/>
</table>
</file>

<file path=xl/tables/table2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B010000}" name="MatrixF2" displayName="MatrixF2" ref="A2:CX103" totalsRowShown="0" headerRowDxfId="1251" dataDxfId="1249" headerRowBorderDxfId="1250" tableBorderDxfId="1248" dataCellStyle="Обычный 2">
  <autoFilter ref="A2:CX103"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B01-000001000000}" name="Столбец1" dataDxfId="1247" dataCellStyle="Обычный 2"/>
    <tableColumn id="2" xr3:uid="{00000000-0010-0000-0B01-000002000000}" name="1" dataDxfId="1246" dataCellStyle="Обычный 2"/>
    <tableColumn id="3" xr3:uid="{00000000-0010-0000-0B01-000003000000}" name="1,01" dataDxfId="1245" dataCellStyle="Обычный 2"/>
    <tableColumn id="4" xr3:uid="{00000000-0010-0000-0B01-000004000000}" name="1,02" dataDxfId="1244" dataCellStyle="Обычный 2"/>
    <tableColumn id="5" xr3:uid="{00000000-0010-0000-0B01-000005000000}" name="1,03" dataDxfId="1243" dataCellStyle="Обычный 2"/>
    <tableColumn id="6" xr3:uid="{00000000-0010-0000-0B01-000006000000}" name="1,04" dataDxfId="1242" dataCellStyle="Обычный 2"/>
    <tableColumn id="7" xr3:uid="{00000000-0010-0000-0B01-000007000000}" name="1,05" dataDxfId="1241" dataCellStyle="Обычный 2"/>
    <tableColumn id="8" xr3:uid="{00000000-0010-0000-0B01-000008000000}" name="1,06" dataDxfId="1240" dataCellStyle="Обычный 2"/>
    <tableColumn id="9" xr3:uid="{00000000-0010-0000-0B01-000009000000}" name="1,07" dataDxfId="1239" dataCellStyle="Обычный 2"/>
    <tableColumn id="10" xr3:uid="{00000000-0010-0000-0B01-00000A000000}" name="1,08" dataDxfId="1238" dataCellStyle="Обычный 2"/>
    <tableColumn id="11" xr3:uid="{00000000-0010-0000-0B01-00000B000000}" name="1,09" dataDxfId="1237" dataCellStyle="Обычный 2"/>
    <tableColumn id="12" xr3:uid="{00000000-0010-0000-0B01-00000C000000}" name="1,1" dataDxfId="1236" dataCellStyle="Обычный 2"/>
    <tableColumn id="13" xr3:uid="{00000000-0010-0000-0B01-00000D000000}" name="1,11" dataDxfId="1235" dataCellStyle="Обычный 2"/>
    <tableColumn id="14" xr3:uid="{00000000-0010-0000-0B01-00000E000000}" name="1,12" dataDxfId="1234" dataCellStyle="Обычный 2"/>
    <tableColumn id="15" xr3:uid="{00000000-0010-0000-0B01-00000F000000}" name="1,13" dataDxfId="1233" dataCellStyle="Обычный 2"/>
    <tableColumn id="16" xr3:uid="{00000000-0010-0000-0B01-000010000000}" name="1,14" dataDxfId="1232" dataCellStyle="Обычный 2"/>
    <tableColumn id="17" xr3:uid="{00000000-0010-0000-0B01-000011000000}" name="1,15" dataDxfId="1231" dataCellStyle="Обычный 2"/>
    <tableColumn id="18" xr3:uid="{00000000-0010-0000-0B01-000012000000}" name="1,16" dataDxfId="1230" dataCellStyle="Обычный 2"/>
    <tableColumn id="19" xr3:uid="{00000000-0010-0000-0B01-000013000000}" name="1,17" dataDxfId="1229" dataCellStyle="Обычный 2"/>
    <tableColumn id="20" xr3:uid="{00000000-0010-0000-0B01-000014000000}" name="1,18" dataDxfId="1228" dataCellStyle="Обычный 2"/>
    <tableColumn id="21" xr3:uid="{00000000-0010-0000-0B01-000015000000}" name="1,19" dataDxfId="1227" dataCellStyle="Обычный 2"/>
    <tableColumn id="22" xr3:uid="{00000000-0010-0000-0B01-000016000000}" name="1,2" dataDxfId="1226" dataCellStyle="Обычный 2"/>
    <tableColumn id="23" xr3:uid="{00000000-0010-0000-0B01-000017000000}" name="1,21" dataDxfId="1225" dataCellStyle="Обычный 2"/>
    <tableColumn id="24" xr3:uid="{00000000-0010-0000-0B01-000018000000}" name="1,22" dataDxfId="1224" dataCellStyle="Обычный 2"/>
    <tableColumn id="25" xr3:uid="{00000000-0010-0000-0B01-000019000000}" name="1,23" dataDxfId="1223" dataCellStyle="Обычный 2"/>
    <tableColumn id="26" xr3:uid="{00000000-0010-0000-0B01-00001A000000}" name="1,24" dataDxfId="1222" dataCellStyle="Обычный 2"/>
    <tableColumn id="27" xr3:uid="{00000000-0010-0000-0B01-00001B000000}" name="1,25" dataDxfId="1221" dataCellStyle="Обычный 2"/>
    <tableColumn id="28" xr3:uid="{00000000-0010-0000-0B01-00001C000000}" name="1,26" dataDxfId="1220" dataCellStyle="Обычный 2"/>
    <tableColumn id="29" xr3:uid="{00000000-0010-0000-0B01-00001D000000}" name="1,27" dataDxfId="1219" dataCellStyle="Обычный 2"/>
    <tableColumn id="30" xr3:uid="{00000000-0010-0000-0B01-00001E000000}" name="1,28" dataDxfId="1218" dataCellStyle="Обычный 2"/>
    <tableColumn id="31" xr3:uid="{00000000-0010-0000-0B01-00001F000000}" name="1,29" dataDxfId="1217" dataCellStyle="Обычный 2"/>
    <tableColumn id="32" xr3:uid="{00000000-0010-0000-0B01-000020000000}" name="1,3" dataDxfId="1216" dataCellStyle="Обычный 2"/>
    <tableColumn id="33" xr3:uid="{00000000-0010-0000-0B01-000021000000}" name="1,31" dataDxfId="1215" dataCellStyle="Обычный 2"/>
    <tableColumn id="34" xr3:uid="{00000000-0010-0000-0B01-000022000000}" name="1,32" dataDxfId="1214" dataCellStyle="Обычный 2"/>
    <tableColumn id="35" xr3:uid="{00000000-0010-0000-0B01-000023000000}" name="1,33" dataDxfId="1213" dataCellStyle="Обычный 2"/>
    <tableColumn id="36" xr3:uid="{00000000-0010-0000-0B01-000024000000}" name="1,34" dataDxfId="1212" dataCellStyle="Обычный 2"/>
    <tableColumn id="37" xr3:uid="{00000000-0010-0000-0B01-000025000000}" name="1,35" dataDxfId="1211" dataCellStyle="Обычный 2"/>
    <tableColumn id="38" xr3:uid="{00000000-0010-0000-0B01-000026000000}" name="1,36" dataDxfId="1210" dataCellStyle="Обычный 2"/>
    <tableColumn id="39" xr3:uid="{00000000-0010-0000-0B01-000027000000}" name="1,37" dataDxfId="1209" dataCellStyle="Обычный 2"/>
    <tableColumn id="40" xr3:uid="{00000000-0010-0000-0B01-000028000000}" name="1,38" dataDxfId="1208" dataCellStyle="Обычный 2"/>
    <tableColumn id="41" xr3:uid="{00000000-0010-0000-0B01-000029000000}" name="1,39" dataDxfId="1207" dataCellStyle="Обычный 2"/>
    <tableColumn id="42" xr3:uid="{00000000-0010-0000-0B01-00002A000000}" name="1,4" dataDxfId="1206" dataCellStyle="Обычный 2"/>
    <tableColumn id="43" xr3:uid="{00000000-0010-0000-0B01-00002B000000}" name="1,41" dataDxfId="1205" dataCellStyle="Обычный 2"/>
    <tableColumn id="44" xr3:uid="{00000000-0010-0000-0B01-00002C000000}" name="1,42" dataDxfId="1204" dataCellStyle="Обычный 2"/>
    <tableColumn id="45" xr3:uid="{00000000-0010-0000-0B01-00002D000000}" name="1,43" dataDxfId="1203" dataCellStyle="Обычный 2"/>
    <tableColumn id="46" xr3:uid="{00000000-0010-0000-0B01-00002E000000}" name="1,44" dataDxfId="1202" dataCellStyle="Обычный 2"/>
    <tableColumn id="47" xr3:uid="{00000000-0010-0000-0B01-00002F000000}" name="1,45" dataDxfId="1201" dataCellStyle="Обычный 2"/>
    <tableColumn id="48" xr3:uid="{00000000-0010-0000-0B01-000030000000}" name="1,46" dataDxfId="1200" dataCellStyle="Обычный 2"/>
    <tableColumn id="49" xr3:uid="{00000000-0010-0000-0B01-000031000000}" name="1,47" dataDxfId="1199" dataCellStyle="Обычный 2"/>
    <tableColumn id="50" xr3:uid="{00000000-0010-0000-0B01-000032000000}" name="1,48" dataDxfId="1198" dataCellStyle="Обычный 2"/>
    <tableColumn id="51" xr3:uid="{00000000-0010-0000-0B01-000033000000}" name="1,49" dataDxfId="1197" dataCellStyle="Обычный 2"/>
    <tableColumn id="52" xr3:uid="{00000000-0010-0000-0B01-000034000000}" name="1,5" dataDxfId="1196" dataCellStyle="Обычный 2"/>
    <tableColumn id="53" xr3:uid="{00000000-0010-0000-0B01-000035000000}" name="1,51" dataDxfId="1195" dataCellStyle="Обычный 2"/>
    <tableColumn id="54" xr3:uid="{00000000-0010-0000-0B01-000036000000}" name="1,52" dataDxfId="1194" dataCellStyle="Обычный 2"/>
    <tableColumn id="55" xr3:uid="{00000000-0010-0000-0B01-000037000000}" name="1,53" dataDxfId="1193" dataCellStyle="Обычный 2"/>
    <tableColumn id="56" xr3:uid="{00000000-0010-0000-0B01-000038000000}" name="1,54" dataDxfId="1192" dataCellStyle="Обычный 2"/>
    <tableColumn id="57" xr3:uid="{00000000-0010-0000-0B01-000039000000}" name="1,55" dataDxfId="1191" dataCellStyle="Обычный 2"/>
    <tableColumn id="58" xr3:uid="{00000000-0010-0000-0B01-00003A000000}" name="1,56" dataDxfId="1190" dataCellStyle="Обычный 2"/>
    <tableColumn id="59" xr3:uid="{00000000-0010-0000-0B01-00003B000000}" name="1,57" dataDxfId="1189" dataCellStyle="Обычный 2"/>
    <tableColumn id="60" xr3:uid="{00000000-0010-0000-0B01-00003C000000}" name="1,58" dataDxfId="1188" dataCellStyle="Обычный 2"/>
    <tableColumn id="61" xr3:uid="{00000000-0010-0000-0B01-00003D000000}" name="1,59" dataDxfId="1187" dataCellStyle="Обычный 2"/>
    <tableColumn id="62" xr3:uid="{00000000-0010-0000-0B01-00003E000000}" name="1,6" dataDxfId="1186" dataCellStyle="Обычный 2"/>
    <tableColumn id="63" xr3:uid="{00000000-0010-0000-0B01-00003F000000}" name="1,61" dataDxfId="1185" dataCellStyle="Обычный 2"/>
    <tableColumn id="64" xr3:uid="{00000000-0010-0000-0B01-000040000000}" name="1,62" dataDxfId="1184" dataCellStyle="Обычный 2"/>
    <tableColumn id="65" xr3:uid="{00000000-0010-0000-0B01-000041000000}" name="1,63" dataDxfId="1183" dataCellStyle="Обычный 2"/>
    <tableColumn id="66" xr3:uid="{00000000-0010-0000-0B01-000042000000}" name="1,64" dataDxfId="1182" dataCellStyle="Обычный 2"/>
    <tableColumn id="67" xr3:uid="{00000000-0010-0000-0B01-000043000000}" name="1,65" dataDxfId="1181" dataCellStyle="Обычный 2"/>
    <tableColumn id="68" xr3:uid="{00000000-0010-0000-0B01-000044000000}" name="1,66" dataDxfId="1180" dataCellStyle="Обычный 2"/>
    <tableColumn id="69" xr3:uid="{00000000-0010-0000-0B01-000045000000}" name="1,67" dataDxfId="1179" dataCellStyle="Обычный 2"/>
    <tableColumn id="70" xr3:uid="{00000000-0010-0000-0B01-000046000000}" name="1,68" dataDxfId="1178" dataCellStyle="Обычный 2"/>
    <tableColumn id="71" xr3:uid="{00000000-0010-0000-0B01-000047000000}" name="1,69" dataDxfId="1177" dataCellStyle="Обычный 2"/>
    <tableColumn id="72" xr3:uid="{00000000-0010-0000-0B01-000048000000}" name="1,7" dataDxfId="1176" dataCellStyle="Обычный 2"/>
    <tableColumn id="73" xr3:uid="{00000000-0010-0000-0B01-000049000000}" name="1,71" dataDxfId="1175" dataCellStyle="Обычный 2"/>
    <tableColumn id="74" xr3:uid="{00000000-0010-0000-0B01-00004A000000}" name="1,72" dataDxfId="1174" dataCellStyle="Обычный 2"/>
    <tableColumn id="75" xr3:uid="{00000000-0010-0000-0B01-00004B000000}" name="1,73" dataDxfId="1173" dataCellStyle="Обычный 2"/>
    <tableColumn id="76" xr3:uid="{00000000-0010-0000-0B01-00004C000000}" name="1,74" dataDxfId="1172" dataCellStyle="Обычный 2"/>
    <tableColumn id="77" xr3:uid="{00000000-0010-0000-0B01-00004D000000}" name="1,75" dataDxfId="1171" dataCellStyle="Обычный 2"/>
    <tableColumn id="78" xr3:uid="{00000000-0010-0000-0B01-00004E000000}" name="1,76" dataDxfId="1170" dataCellStyle="Обычный 2"/>
    <tableColumn id="79" xr3:uid="{00000000-0010-0000-0B01-00004F000000}" name="1,77" dataDxfId="1169" dataCellStyle="Обычный 2"/>
    <tableColumn id="80" xr3:uid="{00000000-0010-0000-0B01-000050000000}" name="1,78" dataDxfId="1168" dataCellStyle="Обычный 2"/>
    <tableColumn id="81" xr3:uid="{00000000-0010-0000-0B01-000051000000}" name="1,79" dataDxfId="1167" dataCellStyle="Обычный 2"/>
    <tableColumn id="82" xr3:uid="{00000000-0010-0000-0B01-000052000000}" name="1,8" dataDxfId="1166" dataCellStyle="Обычный 2"/>
    <tableColumn id="83" xr3:uid="{00000000-0010-0000-0B01-000053000000}" name="1,81" dataDxfId="1165" dataCellStyle="Обычный 2"/>
    <tableColumn id="84" xr3:uid="{00000000-0010-0000-0B01-000054000000}" name="1,82" dataDxfId="1164" dataCellStyle="Обычный 2"/>
    <tableColumn id="85" xr3:uid="{00000000-0010-0000-0B01-000055000000}" name="1,83" dataDxfId="1163" dataCellStyle="Обычный 2"/>
    <tableColumn id="86" xr3:uid="{00000000-0010-0000-0B01-000056000000}" name="1,84" dataDxfId="1162" dataCellStyle="Обычный 2"/>
    <tableColumn id="87" xr3:uid="{00000000-0010-0000-0B01-000057000000}" name="1,85" dataDxfId="1161" dataCellStyle="Обычный 2"/>
    <tableColumn id="88" xr3:uid="{00000000-0010-0000-0B01-000058000000}" name="1,86" dataDxfId="1160" dataCellStyle="Обычный 2"/>
    <tableColumn id="89" xr3:uid="{00000000-0010-0000-0B01-000059000000}" name="1,87" dataDxfId="1159" dataCellStyle="Обычный 2"/>
    <tableColumn id="90" xr3:uid="{00000000-0010-0000-0B01-00005A000000}" name="1,88" dataDxfId="1158" dataCellStyle="Обычный 2"/>
    <tableColumn id="91" xr3:uid="{00000000-0010-0000-0B01-00005B000000}" name="1,89" dataDxfId="1157" dataCellStyle="Обычный 2"/>
    <tableColumn id="92" xr3:uid="{00000000-0010-0000-0B01-00005C000000}" name="1,9" dataDxfId="1156" dataCellStyle="Обычный 2"/>
    <tableColumn id="93" xr3:uid="{00000000-0010-0000-0B01-00005D000000}" name="1,91" dataDxfId="1155" dataCellStyle="Обычный 2"/>
    <tableColumn id="94" xr3:uid="{00000000-0010-0000-0B01-00005E000000}" name="1,92" dataDxfId="1154" dataCellStyle="Обычный 2"/>
    <tableColumn id="95" xr3:uid="{00000000-0010-0000-0B01-00005F000000}" name="1,93" dataDxfId="1153" dataCellStyle="Обычный 2"/>
    <tableColumn id="96" xr3:uid="{00000000-0010-0000-0B01-000060000000}" name="1,94" dataDxfId="1152" dataCellStyle="Обычный 2"/>
    <tableColumn id="97" xr3:uid="{00000000-0010-0000-0B01-000061000000}" name="1,95" dataDxfId="1151" dataCellStyle="Обычный 2"/>
    <tableColumn id="98" xr3:uid="{00000000-0010-0000-0B01-000062000000}" name="1,96" dataDxfId="1150" dataCellStyle="Обычный 2"/>
    <tableColumn id="99" xr3:uid="{00000000-0010-0000-0B01-000063000000}" name="1,97" dataDxfId="1149" dataCellStyle="Обычный 2"/>
    <tableColumn id="100" xr3:uid="{00000000-0010-0000-0B01-000064000000}" name="1,98" dataDxfId="1148" dataCellStyle="Обычный 2"/>
    <tableColumn id="101" xr3:uid="{00000000-0010-0000-0B01-000065000000}" name="1,99" dataDxfId="1147" dataCellStyle="Обычный 2"/>
    <tableColumn id="102" xr3:uid="{00000000-0010-0000-0B01-000066000000}" name="2" dataDxfId="1146" dataCellStyle="Обычный 2"/>
  </tableColumns>
  <tableStyleInfo name="TableStyleMedium25" showFirstColumn="1" showLastColumn="0" showRowStripes="1" showColumnStripes="0"/>
</table>
</file>

<file path=xl/tables/table2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C010000}" name="MatrixF3" displayName="MatrixF3" ref="A2:CX103" totalsRowShown="0" headerRowDxfId="1145" dataDxfId="1143" headerRowBorderDxfId="1144" tableBorderDxfId="1142" dataCellStyle="Обычный 2">
  <autoFilter ref="A2:CX103"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C01-000001000000}" name="Столбец1" dataDxfId="1141" dataCellStyle="Обычный 2"/>
    <tableColumn id="2" xr3:uid="{00000000-0010-0000-0C01-000002000000}" name="1" dataDxfId="1140" dataCellStyle="Обычный 2"/>
    <tableColumn id="3" xr3:uid="{00000000-0010-0000-0C01-000003000000}" name="1,01" dataDxfId="1139" dataCellStyle="Обычный 2"/>
    <tableColumn id="4" xr3:uid="{00000000-0010-0000-0C01-000004000000}" name="1,02" dataDxfId="1138" dataCellStyle="Обычный 2"/>
    <tableColumn id="5" xr3:uid="{00000000-0010-0000-0C01-000005000000}" name="1,03" dataDxfId="1137" dataCellStyle="Обычный 2"/>
    <tableColumn id="6" xr3:uid="{00000000-0010-0000-0C01-000006000000}" name="1,04" dataDxfId="1136" dataCellStyle="Обычный 2"/>
    <tableColumn id="7" xr3:uid="{00000000-0010-0000-0C01-000007000000}" name="1,05" dataDxfId="1135" dataCellStyle="Обычный 2"/>
    <tableColumn id="8" xr3:uid="{00000000-0010-0000-0C01-000008000000}" name="1,06" dataDxfId="1134" dataCellStyle="Обычный 2"/>
    <tableColumn id="9" xr3:uid="{00000000-0010-0000-0C01-000009000000}" name="1,07" dataDxfId="1133" dataCellStyle="Обычный 2"/>
    <tableColumn id="10" xr3:uid="{00000000-0010-0000-0C01-00000A000000}" name="1,08" dataDxfId="1132" dataCellStyle="Обычный 2"/>
    <tableColumn id="11" xr3:uid="{00000000-0010-0000-0C01-00000B000000}" name="1,09" dataDxfId="1131" dataCellStyle="Обычный 2"/>
    <tableColumn id="12" xr3:uid="{00000000-0010-0000-0C01-00000C000000}" name="1,1" dataDxfId="1130" dataCellStyle="Обычный 2"/>
    <tableColumn id="13" xr3:uid="{00000000-0010-0000-0C01-00000D000000}" name="1,11" dataDxfId="1129" dataCellStyle="Обычный 2"/>
    <tableColumn id="14" xr3:uid="{00000000-0010-0000-0C01-00000E000000}" name="1,12" dataDxfId="1128" dataCellStyle="Обычный 2"/>
    <tableColumn id="15" xr3:uid="{00000000-0010-0000-0C01-00000F000000}" name="1,13" dataDxfId="1127" dataCellStyle="Обычный 2"/>
    <tableColumn id="16" xr3:uid="{00000000-0010-0000-0C01-000010000000}" name="1,14" dataDxfId="1126" dataCellStyle="Обычный 2"/>
    <tableColumn id="17" xr3:uid="{00000000-0010-0000-0C01-000011000000}" name="1,15" dataDxfId="1125" dataCellStyle="Обычный 2"/>
    <tableColumn id="18" xr3:uid="{00000000-0010-0000-0C01-000012000000}" name="1,16" dataDxfId="1124" dataCellStyle="Обычный 2"/>
    <tableColumn id="19" xr3:uid="{00000000-0010-0000-0C01-000013000000}" name="1,17" dataDxfId="1123" dataCellStyle="Обычный 2"/>
    <tableColumn id="20" xr3:uid="{00000000-0010-0000-0C01-000014000000}" name="1,18" dataDxfId="1122" dataCellStyle="Обычный 2"/>
    <tableColumn id="21" xr3:uid="{00000000-0010-0000-0C01-000015000000}" name="1,19" dataDxfId="1121" dataCellStyle="Обычный 2"/>
    <tableColumn id="22" xr3:uid="{00000000-0010-0000-0C01-000016000000}" name="1,2" dataDxfId="1120" dataCellStyle="Обычный 2"/>
    <tableColumn id="23" xr3:uid="{00000000-0010-0000-0C01-000017000000}" name="1,21" dataDxfId="1119" dataCellStyle="Обычный 2"/>
    <tableColumn id="24" xr3:uid="{00000000-0010-0000-0C01-000018000000}" name="1,22" dataDxfId="1118" dataCellStyle="Обычный 2"/>
    <tableColumn id="25" xr3:uid="{00000000-0010-0000-0C01-000019000000}" name="1,23" dataDxfId="1117" dataCellStyle="Обычный 2"/>
    <tableColumn id="26" xr3:uid="{00000000-0010-0000-0C01-00001A000000}" name="1,24" dataDxfId="1116" dataCellStyle="Обычный 2"/>
    <tableColumn id="27" xr3:uid="{00000000-0010-0000-0C01-00001B000000}" name="1,25" dataDxfId="1115" dataCellStyle="Обычный 2"/>
    <tableColumn id="28" xr3:uid="{00000000-0010-0000-0C01-00001C000000}" name="1,26" dataDxfId="1114" dataCellStyle="Обычный 2"/>
    <tableColumn id="29" xr3:uid="{00000000-0010-0000-0C01-00001D000000}" name="1,27" dataDxfId="1113" dataCellStyle="Обычный 2"/>
    <tableColumn id="30" xr3:uid="{00000000-0010-0000-0C01-00001E000000}" name="1,28" dataDxfId="1112" dataCellStyle="Обычный 2"/>
    <tableColumn id="31" xr3:uid="{00000000-0010-0000-0C01-00001F000000}" name="1,29" dataDxfId="1111" dataCellStyle="Обычный 2"/>
    <tableColumn id="32" xr3:uid="{00000000-0010-0000-0C01-000020000000}" name="1,3" dataDxfId="1110" dataCellStyle="Обычный 2"/>
    <tableColumn id="33" xr3:uid="{00000000-0010-0000-0C01-000021000000}" name="1,31" dataDxfId="1109" dataCellStyle="Обычный 2"/>
    <tableColumn id="34" xr3:uid="{00000000-0010-0000-0C01-000022000000}" name="1,32" dataDxfId="1108" dataCellStyle="Обычный 2"/>
    <tableColumn id="35" xr3:uid="{00000000-0010-0000-0C01-000023000000}" name="1,33" dataDxfId="1107" dataCellStyle="Обычный 2"/>
    <tableColumn id="36" xr3:uid="{00000000-0010-0000-0C01-000024000000}" name="1,34" dataDxfId="1106" dataCellStyle="Обычный 2"/>
    <tableColumn id="37" xr3:uid="{00000000-0010-0000-0C01-000025000000}" name="1,35" dataDxfId="1105" dataCellStyle="Обычный 2"/>
    <tableColumn id="38" xr3:uid="{00000000-0010-0000-0C01-000026000000}" name="1,36" dataDxfId="1104" dataCellStyle="Обычный 2"/>
    <tableColumn id="39" xr3:uid="{00000000-0010-0000-0C01-000027000000}" name="1,37" dataDxfId="1103" dataCellStyle="Обычный 2"/>
    <tableColumn id="40" xr3:uid="{00000000-0010-0000-0C01-000028000000}" name="1,38" dataDxfId="1102" dataCellStyle="Обычный 2"/>
    <tableColumn id="41" xr3:uid="{00000000-0010-0000-0C01-000029000000}" name="1,39" dataDxfId="1101" dataCellStyle="Обычный 2"/>
    <tableColumn id="42" xr3:uid="{00000000-0010-0000-0C01-00002A000000}" name="1,4" dataDxfId="1100" dataCellStyle="Обычный 2"/>
    <tableColumn id="43" xr3:uid="{00000000-0010-0000-0C01-00002B000000}" name="1,41" dataDxfId="1099" dataCellStyle="Обычный 2"/>
    <tableColumn id="44" xr3:uid="{00000000-0010-0000-0C01-00002C000000}" name="1,42" dataDxfId="1098" dataCellStyle="Обычный 2"/>
    <tableColumn id="45" xr3:uid="{00000000-0010-0000-0C01-00002D000000}" name="1,43" dataDxfId="1097" dataCellStyle="Обычный 2"/>
    <tableColumn id="46" xr3:uid="{00000000-0010-0000-0C01-00002E000000}" name="1,44" dataDxfId="1096" dataCellStyle="Обычный 2"/>
    <tableColumn id="47" xr3:uid="{00000000-0010-0000-0C01-00002F000000}" name="1,45" dataDxfId="1095" dataCellStyle="Обычный 2"/>
    <tableColumn id="48" xr3:uid="{00000000-0010-0000-0C01-000030000000}" name="1,46" dataDxfId="1094" dataCellStyle="Обычный 2"/>
    <tableColumn id="49" xr3:uid="{00000000-0010-0000-0C01-000031000000}" name="1,47" dataDxfId="1093" dataCellStyle="Обычный 2"/>
    <tableColumn id="50" xr3:uid="{00000000-0010-0000-0C01-000032000000}" name="1,48" dataDxfId="1092" dataCellStyle="Обычный 2"/>
    <tableColumn id="51" xr3:uid="{00000000-0010-0000-0C01-000033000000}" name="1,49" dataDxfId="1091" dataCellStyle="Обычный 2"/>
    <tableColumn id="52" xr3:uid="{00000000-0010-0000-0C01-000034000000}" name="1,5" dataDxfId="1090" dataCellStyle="Обычный 2"/>
    <tableColumn id="53" xr3:uid="{00000000-0010-0000-0C01-000035000000}" name="1,51" dataDxfId="1089" dataCellStyle="Обычный 2"/>
    <tableColumn id="54" xr3:uid="{00000000-0010-0000-0C01-000036000000}" name="1,52" dataDxfId="1088" dataCellStyle="Обычный 2"/>
    <tableColumn id="55" xr3:uid="{00000000-0010-0000-0C01-000037000000}" name="1,53" dataDxfId="1087" dataCellStyle="Обычный 2"/>
    <tableColumn id="56" xr3:uid="{00000000-0010-0000-0C01-000038000000}" name="1,54" dataDxfId="1086" dataCellStyle="Обычный 2"/>
    <tableColumn id="57" xr3:uid="{00000000-0010-0000-0C01-000039000000}" name="1,55" dataDxfId="1085" dataCellStyle="Обычный 2"/>
    <tableColumn id="58" xr3:uid="{00000000-0010-0000-0C01-00003A000000}" name="1,56" dataDxfId="1084" dataCellStyle="Обычный 2"/>
    <tableColumn id="59" xr3:uid="{00000000-0010-0000-0C01-00003B000000}" name="1,57" dataDxfId="1083" dataCellStyle="Обычный 2"/>
    <tableColumn id="60" xr3:uid="{00000000-0010-0000-0C01-00003C000000}" name="1,58" dataDxfId="1082" dataCellStyle="Обычный 2"/>
    <tableColumn id="61" xr3:uid="{00000000-0010-0000-0C01-00003D000000}" name="1,59" dataDxfId="1081" dataCellStyle="Обычный 2"/>
    <tableColumn id="62" xr3:uid="{00000000-0010-0000-0C01-00003E000000}" name="1,6" dataDxfId="1080" dataCellStyle="Обычный 2"/>
    <tableColumn id="63" xr3:uid="{00000000-0010-0000-0C01-00003F000000}" name="1,61" dataDxfId="1079" dataCellStyle="Обычный 2"/>
    <tableColumn id="64" xr3:uid="{00000000-0010-0000-0C01-000040000000}" name="1,62" dataDxfId="1078" dataCellStyle="Обычный 2"/>
    <tableColumn id="65" xr3:uid="{00000000-0010-0000-0C01-000041000000}" name="1,63" dataDxfId="1077" dataCellStyle="Обычный 2"/>
    <tableColumn id="66" xr3:uid="{00000000-0010-0000-0C01-000042000000}" name="1,64" dataDxfId="1076" dataCellStyle="Обычный 2"/>
    <tableColumn id="67" xr3:uid="{00000000-0010-0000-0C01-000043000000}" name="1,65" dataDxfId="1075" dataCellStyle="Обычный 2"/>
    <tableColumn id="68" xr3:uid="{00000000-0010-0000-0C01-000044000000}" name="1,66" dataDxfId="1074" dataCellStyle="Обычный 2"/>
    <tableColumn id="69" xr3:uid="{00000000-0010-0000-0C01-000045000000}" name="1,67" dataDxfId="1073" dataCellStyle="Обычный 2"/>
    <tableColumn id="70" xr3:uid="{00000000-0010-0000-0C01-000046000000}" name="1,68" dataDxfId="1072" dataCellStyle="Обычный 2"/>
    <tableColumn id="71" xr3:uid="{00000000-0010-0000-0C01-000047000000}" name="1,69" dataDxfId="1071" dataCellStyle="Обычный 2"/>
    <tableColumn id="72" xr3:uid="{00000000-0010-0000-0C01-000048000000}" name="1,7" dataDxfId="1070" dataCellStyle="Обычный 2"/>
    <tableColumn id="73" xr3:uid="{00000000-0010-0000-0C01-000049000000}" name="1,71" dataDxfId="1069" dataCellStyle="Обычный 2"/>
    <tableColumn id="74" xr3:uid="{00000000-0010-0000-0C01-00004A000000}" name="1,72" dataDxfId="1068" dataCellStyle="Обычный 2"/>
    <tableColumn id="75" xr3:uid="{00000000-0010-0000-0C01-00004B000000}" name="1,73" dataDxfId="1067" dataCellStyle="Обычный 2"/>
    <tableColumn id="76" xr3:uid="{00000000-0010-0000-0C01-00004C000000}" name="1,74" dataDxfId="1066" dataCellStyle="Обычный 2"/>
    <tableColumn id="77" xr3:uid="{00000000-0010-0000-0C01-00004D000000}" name="1,75" dataDxfId="1065" dataCellStyle="Обычный 2"/>
    <tableColumn id="78" xr3:uid="{00000000-0010-0000-0C01-00004E000000}" name="1,76" dataDxfId="1064" dataCellStyle="Обычный 2"/>
    <tableColumn id="79" xr3:uid="{00000000-0010-0000-0C01-00004F000000}" name="1,77" dataDxfId="1063" dataCellStyle="Обычный 2"/>
    <tableColumn id="80" xr3:uid="{00000000-0010-0000-0C01-000050000000}" name="1,78" dataDxfId="1062" dataCellStyle="Обычный 2"/>
    <tableColumn id="81" xr3:uid="{00000000-0010-0000-0C01-000051000000}" name="1,79" dataDxfId="1061" dataCellStyle="Обычный 2"/>
    <tableColumn id="82" xr3:uid="{00000000-0010-0000-0C01-000052000000}" name="1,8" dataDxfId="1060" dataCellStyle="Обычный 2"/>
    <tableColumn id="83" xr3:uid="{00000000-0010-0000-0C01-000053000000}" name="1,81" dataDxfId="1059" dataCellStyle="Обычный 2"/>
    <tableColumn id="84" xr3:uid="{00000000-0010-0000-0C01-000054000000}" name="1,82" dataDxfId="1058" dataCellStyle="Обычный 2"/>
    <tableColumn id="85" xr3:uid="{00000000-0010-0000-0C01-000055000000}" name="1,83" dataDxfId="1057" dataCellStyle="Обычный 2"/>
    <tableColumn id="86" xr3:uid="{00000000-0010-0000-0C01-000056000000}" name="1,84" dataDxfId="1056" dataCellStyle="Обычный 2"/>
    <tableColumn id="87" xr3:uid="{00000000-0010-0000-0C01-000057000000}" name="1,85" dataDxfId="1055" dataCellStyle="Обычный 2"/>
    <tableColumn id="88" xr3:uid="{00000000-0010-0000-0C01-000058000000}" name="1,86" dataDxfId="1054" dataCellStyle="Обычный 2"/>
    <tableColumn id="89" xr3:uid="{00000000-0010-0000-0C01-000059000000}" name="1,87" dataDxfId="1053" dataCellStyle="Обычный 2"/>
    <tableColumn id="90" xr3:uid="{00000000-0010-0000-0C01-00005A000000}" name="1,88" dataDxfId="1052" dataCellStyle="Обычный 2"/>
    <tableColumn id="91" xr3:uid="{00000000-0010-0000-0C01-00005B000000}" name="1,89" dataDxfId="1051" dataCellStyle="Обычный 2"/>
    <tableColumn id="92" xr3:uid="{00000000-0010-0000-0C01-00005C000000}" name="1,9" dataDxfId="1050" dataCellStyle="Обычный 2"/>
    <tableColumn id="93" xr3:uid="{00000000-0010-0000-0C01-00005D000000}" name="1,91" dataDxfId="1049" dataCellStyle="Обычный 2"/>
    <tableColumn id="94" xr3:uid="{00000000-0010-0000-0C01-00005E000000}" name="1,92" dataDxfId="1048" dataCellStyle="Обычный 2"/>
    <tableColumn id="95" xr3:uid="{00000000-0010-0000-0C01-00005F000000}" name="1,93" dataDxfId="1047" dataCellStyle="Обычный 2"/>
    <tableColumn id="96" xr3:uid="{00000000-0010-0000-0C01-000060000000}" name="1,94" dataDxfId="1046" dataCellStyle="Обычный 2"/>
    <tableColumn id="97" xr3:uid="{00000000-0010-0000-0C01-000061000000}" name="1,95" dataDxfId="1045" dataCellStyle="Обычный 2"/>
    <tableColumn id="98" xr3:uid="{00000000-0010-0000-0C01-000062000000}" name="1,96" dataDxfId="1044" dataCellStyle="Обычный 2"/>
    <tableColumn id="99" xr3:uid="{00000000-0010-0000-0C01-000063000000}" name="1,97" dataDxfId="1043" dataCellStyle="Обычный 2"/>
    <tableColumn id="100" xr3:uid="{00000000-0010-0000-0C01-000064000000}" name="1,98" dataDxfId="1042" dataCellStyle="Обычный 2"/>
    <tableColumn id="101" xr3:uid="{00000000-0010-0000-0C01-000065000000}" name="1,99" dataDxfId="1041" dataCellStyle="Обычный 2"/>
    <tableColumn id="102" xr3:uid="{00000000-0010-0000-0C01-000066000000}" name="2" dataDxfId="1040" dataCellStyle="Обычный 2"/>
  </tableColumns>
  <tableStyleInfo name="TableStyleMedium25" showFirstColumn="1" showLastColumn="0" showRowStripes="1" showColumnStripes="0"/>
</table>
</file>

<file path=xl/tables/table2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D010000}" name="MatrixF4" displayName="MatrixF4" ref="A2:CX103" totalsRowShown="0" headerRowDxfId="1039" dataDxfId="1037" headerRowBorderDxfId="1038" tableBorderDxfId="1036" dataCellStyle="Обычный 2">
  <autoFilter ref="A2:CX10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D01-000001000000}" name="Столбец1" dataDxfId="1035" dataCellStyle="Обычный 2"/>
    <tableColumn id="2" xr3:uid="{00000000-0010-0000-0D01-000002000000}" name="1" dataDxfId="1034" dataCellStyle="Обычный 2"/>
    <tableColumn id="3" xr3:uid="{00000000-0010-0000-0D01-000003000000}" name="1,01" dataDxfId="1033" dataCellStyle="Обычный 2"/>
    <tableColumn id="4" xr3:uid="{00000000-0010-0000-0D01-000004000000}" name="1,02" dataDxfId="1032" dataCellStyle="Обычный 2"/>
    <tableColumn id="5" xr3:uid="{00000000-0010-0000-0D01-000005000000}" name="1,03" dataDxfId="1031" dataCellStyle="Обычный 2"/>
    <tableColumn id="6" xr3:uid="{00000000-0010-0000-0D01-000006000000}" name="1,04" dataDxfId="1030" dataCellStyle="Обычный 2"/>
    <tableColumn id="7" xr3:uid="{00000000-0010-0000-0D01-000007000000}" name="1,05" dataDxfId="1029" dataCellStyle="Обычный 2"/>
    <tableColumn id="8" xr3:uid="{00000000-0010-0000-0D01-000008000000}" name="1,06" dataDxfId="1028" dataCellStyle="Обычный 2"/>
    <tableColumn id="9" xr3:uid="{00000000-0010-0000-0D01-000009000000}" name="1,07" dataDxfId="1027" dataCellStyle="Обычный 2"/>
    <tableColumn id="10" xr3:uid="{00000000-0010-0000-0D01-00000A000000}" name="1,08" dataDxfId="1026" dataCellStyle="Обычный 2"/>
    <tableColumn id="11" xr3:uid="{00000000-0010-0000-0D01-00000B000000}" name="1,09" dataDxfId="1025" dataCellStyle="Обычный 2"/>
    <tableColumn id="12" xr3:uid="{00000000-0010-0000-0D01-00000C000000}" name="1,1" dataDxfId="1024" dataCellStyle="Обычный 2"/>
    <tableColumn id="13" xr3:uid="{00000000-0010-0000-0D01-00000D000000}" name="1,11" dataDxfId="1023" dataCellStyle="Обычный 2"/>
    <tableColumn id="14" xr3:uid="{00000000-0010-0000-0D01-00000E000000}" name="1,12" dataDxfId="1022" dataCellStyle="Обычный 2"/>
    <tableColumn id="15" xr3:uid="{00000000-0010-0000-0D01-00000F000000}" name="1,13" dataDxfId="1021" dataCellStyle="Обычный 2"/>
    <tableColumn id="16" xr3:uid="{00000000-0010-0000-0D01-000010000000}" name="1,14" dataDxfId="1020" dataCellStyle="Обычный 2"/>
    <tableColumn id="17" xr3:uid="{00000000-0010-0000-0D01-000011000000}" name="1,15" dataDxfId="1019" dataCellStyle="Обычный 2"/>
    <tableColumn id="18" xr3:uid="{00000000-0010-0000-0D01-000012000000}" name="1,16" dataDxfId="1018" dataCellStyle="Обычный 2"/>
    <tableColumn id="19" xr3:uid="{00000000-0010-0000-0D01-000013000000}" name="1,17" dataDxfId="1017" dataCellStyle="Обычный 2"/>
    <tableColumn id="20" xr3:uid="{00000000-0010-0000-0D01-000014000000}" name="1,18" dataDxfId="1016" dataCellStyle="Обычный 2"/>
    <tableColumn id="21" xr3:uid="{00000000-0010-0000-0D01-000015000000}" name="1,19" dataDxfId="1015" dataCellStyle="Обычный 2"/>
    <tableColumn id="22" xr3:uid="{00000000-0010-0000-0D01-000016000000}" name="1,2" dataDxfId="1014" dataCellStyle="Обычный 2"/>
    <tableColumn id="23" xr3:uid="{00000000-0010-0000-0D01-000017000000}" name="1,21" dataDxfId="1013" dataCellStyle="Обычный 2"/>
    <tableColumn id="24" xr3:uid="{00000000-0010-0000-0D01-000018000000}" name="1,22" dataDxfId="1012" dataCellStyle="Обычный 2"/>
    <tableColumn id="25" xr3:uid="{00000000-0010-0000-0D01-000019000000}" name="1,23" dataDxfId="1011" dataCellStyle="Обычный 2"/>
    <tableColumn id="26" xr3:uid="{00000000-0010-0000-0D01-00001A000000}" name="1,24" dataDxfId="1010" dataCellStyle="Обычный 2"/>
    <tableColumn id="27" xr3:uid="{00000000-0010-0000-0D01-00001B000000}" name="1,25" dataDxfId="1009" dataCellStyle="Обычный 2"/>
    <tableColumn id="28" xr3:uid="{00000000-0010-0000-0D01-00001C000000}" name="1,26" dataDxfId="1008" dataCellStyle="Обычный 2"/>
    <tableColumn id="29" xr3:uid="{00000000-0010-0000-0D01-00001D000000}" name="1,27" dataDxfId="1007" dataCellStyle="Обычный 2"/>
    <tableColumn id="30" xr3:uid="{00000000-0010-0000-0D01-00001E000000}" name="1,28" dataDxfId="1006" dataCellStyle="Обычный 2"/>
    <tableColumn id="31" xr3:uid="{00000000-0010-0000-0D01-00001F000000}" name="1,29" dataDxfId="1005" dataCellStyle="Обычный 2"/>
    <tableColumn id="32" xr3:uid="{00000000-0010-0000-0D01-000020000000}" name="1,3" dataDxfId="1004" dataCellStyle="Обычный 2"/>
    <tableColumn id="33" xr3:uid="{00000000-0010-0000-0D01-000021000000}" name="1,31" dataDxfId="1003" dataCellStyle="Обычный 2"/>
    <tableColumn id="34" xr3:uid="{00000000-0010-0000-0D01-000022000000}" name="1,32" dataDxfId="1002" dataCellStyle="Обычный 2"/>
    <tableColumn id="35" xr3:uid="{00000000-0010-0000-0D01-000023000000}" name="1,33" dataDxfId="1001" dataCellStyle="Обычный 2"/>
    <tableColumn id="36" xr3:uid="{00000000-0010-0000-0D01-000024000000}" name="1,34" dataDxfId="1000" dataCellStyle="Обычный 2"/>
    <tableColumn id="37" xr3:uid="{00000000-0010-0000-0D01-000025000000}" name="1,35" dataDxfId="999" dataCellStyle="Обычный 2"/>
    <tableColumn id="38" xr3:uid="{00000000-0010-0000-0D01-000026000000}" name="1,36" dataDxfId="998" dataCellStyle="Обычный 2"/>
    <tableColumn id="39" xr3:uid="{00000000-0010-0000-0D01-000027000000}" name="1,37" dataDxfId="997" dataCellStyle="Обычный 2"/>
    <tableColumn id="40" xr3:uid="{00000000-0010-0000-0D01-000028000000}" name="1,38" dataDxfId="996" dataCellStyle="Обычный 2"/>
    <tableColumn id="41" xr3:uid="{00000000-0010-0000-0D01-000029000000}" name="1,39" dataDxfId="995" dataCellStyle="Обычный 2"/>
    <tableColumn id="42" xr3:uid="{00000000-0010-0000-0D01-00002A000000}" name="1,4" dataDxfId="994" dataCellStyle="Обычный 2"/>
    <tableColumn id="43" xr3:uid="{00000000-0010-0000-0D01-00002B000000}" name="1,41" dataDxfId="993" dataCellStyle="Обычный 2"/>
    <tableColumn id="44" xr3:uid="{00000000-0010-0000-0D01-00002C000000}" name="1,42" dataDxfId="992" dataCellStyle="Обычный 2"/>
    <tableColumn id="45" xr3:uid="{00000000-0010-0000-0D01-00002D000000}" name="1,43" dataDxfId="991" dataCellStyle="Обычный 2"/>
    <tableColumn id="46" xr3:uid="{00000000-0010-0000-0D01-00002E000000}" name="1,44" dataDxfId="990" dataCellStyle="Обычный 2"/>
    <tableColumn id="47" xr3:uid="{00000000-0010-0000-0D01-00002F000000}" name="1,45" dataDxfId="989" dataCellStyle="Обычный 2"/>
    <tableColumn id="48" xr3:uid="{00000000-0010-0000-0D01-000030000000}" name="1,46" dataDxfId="988" dataCellStyle="Обычный 2"/>
    <tableColumn id="49" xr3:uid="{00000000-0010-0000-0D01-000031000000}" name="1,47" dataDxfId="987" dataCellStyle="Обычный 2"/>
    <tableColumn id="50" xr3:uid="{00000000-0010-0000-0D01-000032000000}" name="1,48" dataDxfId="986" dataCellStyle="Обычный 2"/>
    <tableColumn id="51" xr3:uid="{00000000-0010-0000-0D01-000033000000}" name="1,49" dataDxfId="985" dataCellStyle="Обычный 2"/>
    <tableColumn id="52" xr3:uid="{00000000-0010-0000-0D01-000034000000}" name="1,5" dataDxfId="984" dataCellStyle="Обычный 2"/>
    <tableColumn id="53" xr3:uid="{00000000-0010-0000-0D01-000035000000}" name="1,51" dataDxfId="983" dataCellStyle="Обычный 2"/>
    <tableColumn id="54" xr3:uid="{00000000-0010-0000-0D01-000036000000}" name="1,52" dataDxfId="982" dataCellStyle="Обычный 2"/>
    <tableColumn id="55" xr3:uid="{00000000-0010-0000-0D01-000037000000}" name="1,53" dataDxfId="981" dataCellStyle="Обычный 2"/>
    <tableColumn id="56" xr3:uid="{00000000-0010-0000-0D01-000038000000}" name="1,54" dataDxfId="980" dataCellStyle="Обычный 2"/>
    <tableColumn id="57" xr3:uid="{00000000-0010-0000-0D01-000039000000}" name="1,55" dataDxfId="979" dataCellStyle="Обычный 2"/>
    <tableColumn id="58" xr3:uid="{00000000-0010-0000-0D01-00003A000000}" name="1,56" dataDxfId="978" dataCellStyle="Обычный 2"/>
    <tableColumn id="59" xr3:uid="{00000000-0010-0000-0D01-00003B000000}" name="1,57" dataDxfId="977" dataCellStyle="Обычный 2"/>
    <tableColumn id="60" xr3:uid="{00000000-0010-0000-0D01-00003C000000}" name="1,58" dataDxfId="976" dataCellStyle="Обычный 2"/>
    <tableColumn id="61" xr3:uid="{00000000-0010-0000-0D01-00003D000000}" name="1,59" dataDxfId="975" dataCellStyle="Обычный 2"/>
    <tableColumn id="62" xr3:uid="{00000000-0010-0000-0D01-00003E000000}" name="1,6" dataDxfId="974" dataCellStyle="Обычный 2"/>
    <tableColumn id="63" xr3:uid="{00000000-0010-0000-0D01-00003F000000}" name="1,61" dataDxfId="973" dataCellStyle="Обычный 2"/>
    <tableColumn id="64" xr3:uid="{00000000-0010-0000-0D01-000040000000}" name="1,62" dataDxfId="972" dataCellStyle="Обычный 2"/>
    <tableColumn id="65" xr3:uid="{00000000-0010-0000-0D01-000041000000}" name="1,63" dataDxfId="971" dataCellStyle="Обычный 2"/>
    <tableColumn id="66" xr3:uid="{00000000-0010-0000-0D01-000042000000}" name="1,64" dataDxfId="970" dataCellStyle="Обычный 2"/>
    <tableColumn id="67" xr3:uid="{00000000-0010-0000-0D01-000043000000}" name="1,65" dataDxfId="969" dataCellStyle="Обычный 2"/>
    <tableColumn id="68" xr3:uid="{00000000-0010-0000-0D01-000044000000}" name="1,66" dataDxfId="968" dataCellStyle="Обычный 2"/>
    <tableColumn id="69" xr3:uid="{00000000-0010-0000-0D01-000045000000}" name="1,67" dataDxfId="967" dataCellStyle="Обычный 2"/>
    <tableColumn id="70" xr3:uid="{00000000-0010-0000-0D01-000046000000}" name="1,68" dataDxfId="966" dataCellStyle="Обычный 2"/>
    <tableColumn id="71" xr3:uid="{00000000-0010-0000-0D01-000047000000}" name="1,69" dataDxfId="965" dataCellStyle="Обычный 2"/>
    <tableColumn id="72" xr3:uid="{00000000-0010-0000-0D01-000048000000}" name="1,7" dataDxfId="964" dataCellStyle="Обычный 2"/>
    <tableColumn id="73" xr3:uid="{00000000-0010-0000-0D01-000049000000}" name="1,71" dataDxfId="963" dataCellStyle="Обычный 2"/>
    <tableColumn id="74" xr3:uid="{00000000-0010-0000-0D01-00004A000000}" name="1,72" dataDxfId="962" dataCellStyle="Обычный 2"/>
    <tableColumn id="75" xr3:uid="{00000000-0010-0000-0D01-00004B000000}" name="1,73" dataDxfId="961" dataCellStyle="Обычный 2"/>
    <tableColumn id="76" xr3:uid="{00000000-0010-0000-0D01-00004C000000}" name="1,74" dataDxfId="960" dataCellStyle="Обычный 2"/>
    <tableColumn id="77" xr3:uid="{00000000-0010-0000-0D01-00004D000000}" name="1,75" dataDxfId="959" dataCellStyle="Обычный 2"/>
    <tableColumn id="78" xr3:uid="{00000000-0010-0000-0D01-00004E000000}" name="1,76" dataDxfId="958" dataCellStyle="Обычный 2"/>
    <tableColumn id="79" xr3:uid="{00000000-0010-0000-0D01-00004F000000}" name="1,77" dataDxfId="957" dataCellStyle="Обычный 2"/>
    <tableColumn id="80" xr3:uid="{00000000-0010-0000-0D01-000050000000}" name="1,78" dataDxfId="956" dataCellStyle="Обычный 2"/>
    <tableColumn id="81" xr3:uid="{00000000-0010-0000-0D01-000051000000}" name="1,79" dataDxfId="955" dataCellStyle="Обычный 2"/>
    <tableColumn id="82" xr3:uid="{00000000-0010-0000-0D01-000052000000}" name="1,8" dataDxfId="954" dataCellStyle="Обычный 2"/>
    <tableColumn id="83" xr3:uid="{00000000-0010-0000-0D01-000053000000}" name="1,81" dataDxfId="953" dataCellStyle="Обычный 2"/>
    <tableColumn id="84" xr3:uid="{00000000-0010-0000-0D01-000054000000}" name="1,82" dataDxfId="952" dataCellStyle="Обычный 2"/>
    <tableColumn id="85" xr3:uid="{00000000-0010-0000-0D01-000055000000}" name="1,83" dataDxfId="951" dataCellStyle="Обычный 2"/>
    <tableColumn id="86" xr3:uid="{00000000-0010-0000-0D01-000056000000}" name="1,84" dataDxfId="950" dataCellStyle="Обычный 2"/>
    <tableColumn id="87" xr3:uid="{00000000-0010-0000-0D01-000057000000}" name="1,85" dataDxfId="949" dataCellStyle="Обычный 2"/>
    <tableColumn id="88" xr3:uid="{00000000-0010-0000-0D01-000058000000}" name="1,86" dataDxfId="948" dataCellStyle="Обычный 2"/>
    <tableColumn id="89" xr3:uid="{00000000-0010-0000-0D01-000059000000}" name="1,87" dataDxfId="947" dataCellStyle="Обычный 2"/>
    <tableColumn id="90" xr3:uid="{00000000-0010-0000-0D01-00005A000000}" name="1,88" dataDxfId="946" dataCellStyle="Обычный 2"/>
    <tableColumn id="91" xr3:uid="{00000000-0010-0000-0D01-00005B000000}" name="1,89" dataDxfId="945" dataCellStyle="Обычный 2"/>
    <tableColumn id="92" xr3:uid="{00000000-0010-0000-0D01-00005C000000}" name="1,9" dataDxfId="944" dataCellStyle="Обычный 2"/>
    <tableColumn id="93" xr3:uid="{00000000-0010-0000-0D01-00005D000000}" name="1,91" dataDxfId="943" dataCellStyle="Обычный 2"/>
    <tableColumn id="94" xr3:uid="{00000000-0010-0000-0D01-00005E000000}" name="1,92" dataDxfId="942" dataCellStyle="Обычный 2"/>
    <tableColumn id="95" xr3:uid="{00000000-0010-0000-0D01-00005F000000}" name="1,93" dataDxfId="941" dataCellStyle="Обычный 2"/>
    <tableColumn id="96" xr3:uid="{00000000-0010-0000-0D01-000060000000}" name="1,94" dataDxfId="940" dataCellStyle="Обычный 2"/>
    <tableColumn id="97" xr3:uid="{00000000-0010-0000-0D01-000061000000}" name="1,95" dataDxfId="939" dataCellStyle="Обычный 2"/>
    <tableColumn id="98" xr3:uid="{00000000-0010-0000-0D01-000062000000}" name="1,96" dataDxfId="938" dataCellStyle="Обычный 2"/>
    <tableColumn id="99" xr3:uid="{00000000-0010-0000-0D01-000063000000}" name="1,97" dataDxfId="937" dataCellStyle="Обычный 2"/>
    <tableColumn id="100" xr3:uid="{00000000-0010-0000-0D01-000064000000}" name="1,98" dataDxfId="936" dataCellStyle="Обычный 2"/>
    <tableColumn id="101" xr3:uid="{00000000-0010-0000-0D01-000065000000}" name="1,99" dataDxfId="935" dataCellStyle="Обычный 2"/>
    <tableColumn id="102" xr3:uid="{00000000-0010-0000-0D01-000066000000}" name="2" dataDxfId="934" dataCellStyle="Обычный 2"/>
  </tableColumns>
  <tableStyleInfo name="TableStyleMedium25" showFirstColumn="1" showLastColumn="0" showRowStripes="1" showColumnStripes="0"/>
</table>
</file>

<file path=xl/tables/table2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E010000}" name="MatrixF5" displayName="MatrixF5" ref="A2:CX103" totalsRowShown="0" headerRowDxfId="933" dataDxfId="931" headerRowBorderDxfId="932" tableBorderDxfId="930" headerRowCellStyle="Обычный 2" dataCellStyle="Обычный 2">
  <autoFilter ref="A2:CX103"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E01-000001000000}" name="Столбец1" dataDxfId="929" dataCellStyle="Обычный 2"/>
    <tableColumn id="2" xr3:uid="{00000000-0010-0000-0E01-000002000000}" name="1" dataDxfId="928" dataCellStyle="Обычный 2"/>
    <tableColumn id="3" xr3:uid="{00000000-0010-0000-0E01-000003000000}" name="1,01" dataDxfId="927" dataCellStyle="Обычный 2"/>
    <tableColumn id="4" xr3:uid="{00000000-0010-0000-0E01-000004000000}" name="1,02" dataDxfId="926" dataCellStyle="Обычный 2"/>
    <tableColumn id="5" xr3:uid="{00000000-0010-0000-0E01-000005000000}" name="1,03" dataDxfId="925" dataCellStyle="Обычный 2"/>
    <tableColumn id="6" xr3:uid="{00000000-0010-0000-0E01-000006000000}" name="1,04" dataDxfId="924" dataCellStyle="Обычный 2"/>
    <tableColumn id="7" xr3:uid="{00000000-0010-0000-0E01-000007000000}" name="1,05" dataDxfId="923" dataCellStyle="Обычный 2"/>
    <tableColumn id="8" xr3:uid="{00000000-0010-0000-0E01-000008000000}" name="1,06" dataDxfId="922" dataCellStyle="Обычный 2"/>
    <tableColumn id="9" xr3:uid="{00000000-0010-0000-0E01-000009000000}" name="1,07" dataDxfId="921" dataCellStyle="Обычный 2"/>
    <tableColumn id="10" xr3:uid="{00000000-0010-0000-0E01-00000A000000}" name="1,08" dataDxfId="920" dataCellStyle="Обычный 2"/>
    <tableColumn id="11" xr3:uid="{00000000-0010-0000-0E01-00000B000000}" name="1,09" dataDxfId="919" dataCellStyle="Обычный 2"/>
    <tableColumn id="12" xr3:uid="{00000000-0010-0000-0E01-00000C000000}" name="1,1" dataDxfId="918" dataCellStyle="Обычный 2"/>
    <tableColumn id="13" xr3:uid="{00000000-0010-0000-0E01-00000D000000}" name="1,11" dataDxfId="917" dataCellStyle="Обычный 2"/>
    <tableColumn id="14" xr3:uid="{00000000-0010-0000-0E01-00000E000000}" name="1,12" dataDxfId="916" dataCellStyle="Обычный 2"/>
    <tableColumn id="15" xr3:uid="{00000000-0010-0000-0E01-00000F000000}" name="1,13" dataDxfId="915" dataCellStyle="Обычный 2"/>
    <tableColumn id="16" xr3:uid="{00000000-0010-0000-0E01-000010000000}" name="1,14" dataDxfId="914" dataCellStyle="Обычный 2"/>
    <tableColumn id="17" xr3:uid="{00000000-0010-0000-0E01-000011000000}" name="1,15" dataDxfId="913" dataCellStyle="Обычный 2"/>
    <tableColumn id="18" xr3:uid="{00000000-0010-0000-0E01-000012000000}" name="1,16" dataDxfId="912" dataCellStyle="Обычный 2"/>
    <tableColumn id="19" xr3:uid="{00000000-0010-0000-0E01-000013000000}" name="1,17" dataDxfId="911" dataCellStyle="Обычный 2"/>
    <tableColumn id="20" xr3:uid="{00000000-0010-0000-0E01-000014000000}" name="1,18" dataDxfId="910" dataCellStyle="Обычный 2"/>
    <tableColumn id="21" xr3:uid="{00000000-0010-0000-0E01-000015000000}" name="1,19" dataDxfId="909" dataCellStyle="Обычный 2"/>
    <tableColumn id="22" xr3:uid="{00000000-0010-0000-0E01-000016000000}" name="1,2" dataDxfId="908" dataCellStyle="Обычный 2"/>
    <tableColumn id="23" xr3:uid="{00000000-0010-0000-0E01-000017000000}" name="1,21" dataDxfId="907" dataCellStyle="Обычный 2"/>
    <tableColumn id="24" xr3:uid="{00000000-0010-0000-0E01-000018000000}" name="1,22" dataDxfId="906" dataCellStyle="Обычный 2"/>
    <tableColumn id="25" xr3:uid="{00000000-0010-0000-0E01-000019000000}" name="1,23" dataDxfId="905" dataCellStyle="Обычный 2"/>
    <tableColumn id="26" xr3:uid="{00000000-0010-0000-0E01-00001A000000}" name="1,24" dataDxfId="904" dataCellStyle="Обычный 2"/>
    <tableColumn id="27" xr3:uid="{00000000-0010-0000-0E01-00001B000000}" name="1,25" dataDxfId="903" dataCellStyle="Обычный 2"/>
    <tableColumn id="28" xr3:uid="{00000000-0010-0000-0E01-00001C000000}" name="1,26" dataDxfId="902" dataCellStyle="Обычный 2"/>
    <tableColumn id="29" xr3:uid="{00000000-0010-0000-0E01-00001D000000}" name="1,27" dataDxfId="901" dataCellStyle="Обычный 2"/>
    <tableColumn id="30" xr3:uid="{00000000-0010-0000-0E01-00001E000000}" name="1,28" dataDxfId="900" dataCellStyle="Обычный 2"/>
    <tableColumn id="31" xr3:uid="{00000000-0010-0000-0E01-00001F000000}" name="1,29" dataDxfId="899" dataCellStyle="Обычный 2"/>
    <tableColumn id="32" xr3:uid="{00000000-0010-0000-0E01-000020000000}" name="1,3" dataDxfId="898" dataCellStyle="Обычный 2"/>
    <tableColumn id="33" xr3:uid="{00000000-0010-0000-0E01-000021000000}" name="1,31" dataDxfId="897" dataCellStyle="Обычный 2"/>
    <tableColumn id="34" xr3:uid="{00000000-0010-0000-0E01-000022000000}" name="1,32" dataDxfId="896" dataCellStyle="Обычный 2"/>
    <tableColumn id="35" xr3:uid="{00000000-0010-0000-0E01-000023000000}" name="1,33" dataDxfId="895" dataCellStyle="Обычный 2"/>
    <tableColumn id="36" xr3:uid="{00000000-0010-0000-0E01-000024000000}" name="1,34" dataDxfId="894" dataCellStyle="Обычный 2"/>
    <tableColumn id="37" xr3:uid="{00000000-0010-0000-0E01-000025000000}" name="1,35" dataDxfId="893" dataCellStyle="Обычный 2"/>
    <tableColumn id="38" xr3:uid="{00000000-0010-0000-0E01-000026000000}" name="1,36" dataDxfId="892" dataCellStyle="Обычный 2"/>
    <tableColumn id="39" xr3:uid="{00000000-0010-0000-0E01-000027000000}" name="1,37" dataDxfId="891" dataCellStyle="Обычный 2"/>
    <tableColumn id="40" xr3:uid="{00000000-0010-0000-0E01-000028000000}" name="1,38" dataDxfId="890" dataCellStyle="Обычный 2"/>
    <tableColumn id="41" xr3:uid="{00000000-0010-0000-0E01-000029000000}" name="1,39" dataDxfId="889" dataCellStyle="Обычный 2"/>
    <tableColumn id="42" xr3:uid="{00000000-0010-0000-0E01-00002A000000}" name="1,4" dataDxfId="888" dataCellStyle="Обычный 2"/>
    <tableColumn id="43" xr3:uid="{00000000-0010-0000-0E01-00002B000000}" name="1,41" dataDxfId="887" dataCellStyle="Обычный 2"/>
    <tableColumn id="44" xr3:uid="{00000000-0010-0000-0E01-00002C000000}" name="1,42" dataDxfId="886" dataCellStyle="Обычный 2"/>
    <tableColumn id="45" xr3:uid="{00000000-0010-0000-0E01-00002D000000}" name="1,43" dataDxfId="885" dataCellStyle="Обычный 2"/>
    <tableColumn id="46" xr3:uid="{00000000-0010-0000-0E01-00002E000000}" name="1,44" dataDxfId="884" dataCellStyle="Обычный 2"/>
    <tableColumn id="47" xr3:uid="{00000000-0010-0000-0E01-00002F000000}" name="1,45" dataDxfId="883" dataCellStyle="Обычный 2"/>
    <tableColumn id="48" xr3:uid="{00000000-0010-0000-0E01-000030000000}" name="1,46" dataDxfId="882" dataCellStyle="Обычный 2"/>
    <tableColumn id="49" xr3:uid="{00000000-0010-0000-0E01-000031000000}" name="1,47" dataDxfId="881" dataCellStyle="Обычный 2"/>
    <tableColumn id="50" xr3:uid="{00000000-0010-0000-0E01-000032000000}" name="1,48" dataDxfId="880" dataCellStyle="Обычный 2"/>
    <tableColumn id="51" xr3:uid="{00000000-0010-0000-0E01-000033000000}" name="1,49" dataDxfId="879" dataCellStyle="Обычный 2"/>
    <tableColumn id="52" xr3:uid="{00000000-0010-0000-0E01-000034000000}" name="1,5" dataDxfId="878" dataCellStyle="Обычный 2"/>
    <tableColumn id="53" xr3:uid="{00000000-0010-0000-0E01-000035000000}" name="1,51" dataDxfId="877" dataCellStyle="Обычный 2"/>
    <tableColumn id="54" xr3:uid="{00000000-0010-0000-0E01-000036000000}" name="1,52" dataDxfId="876" dataCellStyle="Обычный 2"/>
    <tableColumn id="55" xr3:uid="{00000000-0010-0000-0E01-000037000000}" name="1,53" dataDxfId="875" dataCellStyle="Обычный 2"/>
    <tableColumn id="56" xr3:uid="{00000000-0010-0000-0E01-000038000000}" name="1,54" dataDxfId="874" dataCellStyle="Обычный 2"/>
    <tableColumn id="57" xr3:uid="{00000000-0010-0000-0E01-000039000000}" name="1,55" dataDxfId="873" dataCellStyle="Обычный 2"/>
    <tableColumn id="58" xr3:uid="{00000000-0010-0000-0E01-00003A000000}" name="1,56" dataDxfId="872" dataCellStyle="Обычный 2"/>
    <tableColumn id="59" xr3:uid="{00000000-0010-0000-0E01-00003B000000}" name="1,57" dataDxfId="871" dataCellStyle="Обычный 2"/>
    <tableColumn id="60" xr3:uid="{00000000-0010-0000-0E01-00003C000000}" name="1,58" dataDxfId="870" dataCellStyle="Обычный 2"/>
    <tableColumn id="61" xr3:uid="{00000000-0010-0000-0E01-00003D000000}" name="1,59" dataDxfId="869" dataCellStyle="Обычный 2"/>
    <tableColumn id="62" xr3:uid="{00000000-0010-0000-0E01-00003E000000}" name="1,6" dataDxfId="868" dataCellStyle="Обычный 2"/>
    <tableColumn id="63" xr3:uid="{00000000-0010-0000-0E01-00003F000000}" name="1,61" dataDxfId="867" dataCellStyle="Обычный 2"/>
    <tableColumn id="64" xr3:uid="{00000000-0010-0000-0E01-000040000000}" name="1,62" dataDxfId="866" dataCellStyle="Обычный 2"/>
    <tableColumn id="65" xr3:uid="{00000000-0010-0000-0E01-000041000000}" name="1,63" dataDxfId="865" dataCellStyle="Обычный 2"/>
    <tableColumn id="66" xr3:uid="{00000000-0010-0000-0E01-000042000000}" name="1,64" dataDxfId="864" dataCellStyle="Обычный 2"/>
    <tableColumn id="67" xr3:uid="{00000000-0010-0000-0E01-000043000000}" name="1,65" dataDxfId="863" dataCellStyle="Обычный 2"/>
    <tableColumn id="68" xr3:uid="{00000000-0010-0000-0E01-000044000000}" name="1,66" dataDxfId="862" dataCellStyle="Обычный 2"/>
    <tableColumn id="69" xr3:uid="{00000000-0010-0000-0E01-000045000000}" name="1,67" dataDxfId="861" dataCellStyle="Обычный 2"/>
    <tableColumn id="70" xr3:uid="{00000000-0010-0000-0E01-000046000000}" name="1,68" dataDxfId="860" dataCellStyle="Обычный 2"/>
    <tableColumn id="71" xr3:uid="{00000000-0010-0000-0E01-000047000000}" name="1,69" dataDxfId="859" dataCellStyle="Обычный 2"/>
    <tableColumn id="72" xr3:uid="{00000000-0010-0000-0E01-000048000000}" name="1,7" dataDxfId="858" dataCellStyle="Обычный 2"/>
    <tableColumn id="73" xr3:uid="{00000000-0010-0000-0E01-000049000000}" name="1,71" dataDxfId="857" dataCellStyle="Обычный 2"/>
    <tableColumn id="74" xr3:uid="{00000000-0010-0000-0E01-00004A000000}" name="1,72" dataDxfId="856" dataCellStyle="Обычный 2"/>
    <tableColumn id="75" xr3:uid="{00000000-0010-0000-0E01-00004B000000}" name="1,73" dataDxfId="855" dataCellStyle="Обычный 2"/>
    <tableColumn id="76" xr3:uid="{00000000-0010-0000-0E01-00004C000000}" name="1,74" dataDxfId="854" dataCellStyle="Обычный 2"/>
    <tableColumn id="77" xr3:uid="{00000000-0010-0000-0E01-00004D000000}" name="1,75" dataDxfId="853" dataCellStyle="Обычный 2"/>
    <tableColumn id="78" xr3:uid="{00000000-0010-0000-0E01-00004E000000}" name="1,76" dataDxfId="852" dataCellStyle="Обычный 2"/>
    <tableColumn id="79" xr3:uid="{00000000-0010-0000-0E01-00004F000000}" name="1,77" dataDxfId="851" dataCellStyle="Обычный 2"/>
    <tableColumn id="80" xr3:uid="{00000000-0010-0000-0E01-000050000000}" name="1,78" dataDxfId="850" dataCellStyle="Обычный 2"/>
    <tableColumn id="81" xr3:uid="{00000000-0010-0000-0E01-000051000000}" name="1,79" dataDxfId="849" dataCellStyle="Обычный 2"/>
    <tableColumn id="82" xr3:uid="{00000000-0010-0000-0E01-000052000000}" name="1,8" dataDxfId="848" dataCellStyle="Обычный 2"/>
    <tableColumn id="83" xr3:uid="{00000000-0010-0000-0E01-000053000000}" name="1,81" dataDxfId="847" dataCellStyle="Обычный 2"/>
    <tableColumn id="84" xr3:uid="{00000000-0010-0000-0E01-000054000000}" name="1,82" dataDxfId="846" dataCellStyle="Обычный 2"/>
    <tableColumn id="85" xr3:uid="{00000000-0010-0000-0E01-000055000000}" name="1,83" dataDxfId="845" dataCellStyle="Обычный 2"/>
    <tableColumn id="86" xr3:uid="{00000000-0010-0000-0E01-000056000000}" name="1,84" dataDxfId="844" dataCellStyle="Обычный 2"/>
    <tableColumn id="87" xr3:uid="{00000000-0010-0000-0E01-000057000000}" name="1,85" dataDxfId="843" dataCellStyle="Обычный 2"/>
    <tableColumn id="88" xr3:uid="{00000000-0010-0000-0E01-000058000000}" name="1,86" dataDxfId="842" dataCellStyle="Обычный 2"/>
    <tableColumn id="89" xr3:uid="{00000000-0010-0000-0E01-000059000000}" name="1,87" dataDxfId="841" dataCellStyle="Обычный 2"/>
    <tableColumn id="90" xr3:uid="{00000000-0010-0000-0E01-00005A000000}" name="1,88" dataDxfId="840" dataCellStyle="Обычный 2"/>
    <tableColumn id="91" xr3:uid="{00000000-0010-0000-0E01-00005B000000}" name="1,89" dataDxfId="839" dataCellStyle="Обычный 2"/>
    <tableColumn id="92" xr3:uid="{00000000-0010-0000-0E01-00005C000000}" name="1,9" dataDxfId="838" dataCellStyle="Обычный 2"/>
    <tableColumn id="93" xr3:uid="{00000000-0010-0000-0E01-00005D000000}" name="1,91" dataDxfId="837" dataCellStyle="Обычный 2"/>
    <tableColumn id="94" xr3:uid="{00000000-0010-0000-0E01-00005E000000}" name="1,92" dataDxfId="836" dataCellStyle="Обычный 2"/>
    <tableColumn id="95" xr3:uid="{00000000-0010-0000-0E01-00005F000000}" name="1,93" dataDxfId="835" dataCellStyle="Обычный 2"/>
    <tableColumn id="96" xr3:uid="{00000000-0010-0000-0E01-000060000000}" name="1,94" dataDxfId="834" dataCellStyle="Обычный 2"/>
    <tableColumn id="97" xr3:uid="{00000000-0010-0000-0E01-000061000000}" name="1,95" dataDxfId="833" dataCellStyle="Обычный 2"/>
    <tableColumn id="98" xr3:uid="{00000000-0010-0000-0E01-000062000000}" name="1,96" dataDxfId="832" dataCellStyle="Обычный 2"/>
    <tableColumn id="99" xr3:uid="{00000000-0010-0000-0E01-000063000000}" name="1,97" dataDxfId="831" dataCellStyle="Обычный 2"/>
    <tableColumn id="100" xr3:uid="{00000000-0010-0000-0E01-000064000000}" name="1,98" dataDxfId="830" dataCellStyle="Обычный 2"/>
    <tableColumn id="101" xr3:uid="{00000000-0010-0000-0E01-000065000000}" name="1,99" dataDxfId="829" dataCellStyle="Обычный 2"/>
    <tableColumn id="102" xr3:uid="{00000000-0010-0000-0E01-000066000000}" name="2" dataDxfId="828" dataCellStyle="Обычный 2"/>
  </tableColumns>
  <tableStyleInfo name="TableStyleMedium25" showFirstColumn="1"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10.xml"/><Relationship Id="rId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table" Target="../tables/table20.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17" Type="http://schemas.openxmlformats.org/officeDocument/2006/relationships/table" Target="../tables/table138.xml"/><Relationship Id="rId21" Type="http://schemas.openxmlformats.org/officeDocument/2006/relationships/table" Target="../tables/table42.xml"/><Relationship Id="rId42" Type="http://schemas.openxmlformats.org/officeDocument/2006/relationships/table" Target="../tables/table63.xml"/><Relationship Id="rId63" Type="http://schemas.openxmlformats.org/officeDocument/2006/relationships/table" Target="../tables/table84.xml"/><Relationship Id="rId84" Type="http://schemas.openxmlformats.org/officeDocument/2006/relationships/table" Target="../tables/table105.xml"/><Relationship Id="rId138" Type="http://schemas.openxmlformats.org/officeDocument/2006/relationships/table" Target="../tables/table159.xml"/><Relationship Id="rId159" Type="http://schemas.openxmlformats.org/officeDocument/2006/relationships/table" Target="../tables/table180.xml"/><Relationship Id="rId170" Type="http://schemas.openxmlformats.org/officeDocument/2006/relationships/table" Target="../tables/table191.xml"/><Relationship Id="rId191" Type="http://schemas.openxmlformats.org/officeDocument/2006/relationships/table" Target="../tables/table212.xml"/><Relationship Id="rId205" Type="http://schemas.openxmlformats.org/officeDocument/2006/relationships/table" Target="../tables/table226.xml"/><Relationship Id="rId226" Type="http://schemas.openxmlformats.org/officeDocument/2006/relationships/table" Target="../tables/table247.xml"/><Relationship Id="rId247" Type="http://schemas.openxmlformats.org/officeDocument/2006/relationships/table" Target="../tables/table268.xml"/><Relationship Id="rId107" Type="http://schemas.openxmlformats.org/officeDocument/2006/relationships/table" Target="../tables/table128.xml"/><Relationship Id="rId11" Type="http://schemas.openxmlformats.org/officeDocument/2006/relationships/table" Target="../tables/table32.xml"/><Relationship Id="rId32" Type="http://schemas.openxmlformats.org/officeDocument/2006/relationships/table" Target="../tables/table53.xml"/><Relationship Id="rId53" Type="http://schemas.openxmlformats.org/officeDocument/2006/relationships/table" Target="../tables/table74.xml"/><Relationship Id="rId74" Type="http://schemas.openxmlformats.org/officeDocument/2006/relationships/table" Target="../tables/table95.xml"/><Relationship Id="rId128" Type="http://schemas.openxmlformats.org/officeDocument/2006/relationships/table" Target="../tables/table149.xml"/><Relationship Id="rId149" Type="http://schemas.openxmlformats.org/officeDocument/2006/relationships/table" Target="../tables/table170.xml"/><Relationship Id="rId5" Type="http://schemas.openxmlformats.org/officeDocument/2006/relationships/table" Target="../tables/table26.xml"/><Relationship Id="rId95" Type="http://schemas.openxmlformats.org/officeDocument/2006/relationships/table" Target="../tables/table116.xml"/><Relationship Id="rId160" Type="http://schemas.openxmlformats.org/officeDocument/2006/relationships/table" Target="../tables/table181.xml"/><Relationship Id="rId181" Type="http://schemas.openxmlformats.org/officeDocument/2006/relationships/table" Target="../tables/table202.xml"/><Relationship Id="rId216" Type="http://schemas.openxmlformats.org/officeDocument/2006/relationships/table" Target="../tables/table237.xml"/><Relationship Id="rId237" Type="http://schemas.openxmlformats.org/officeDocument/2006/relationships/table" Target="../tables/table258.xml"/><Relationship Id="rId22" Type="http://schemas.openxmlformats.org/officeDocument/2006/relationships/table" Target="../tables/table43.xml"/><Relationship Id="rId43" Type="http://schemas.openxmlformats.org/officeDocument/2006/relationships/table" Target="../tables/table64.xml"/><Relationship Id="rId64" Type="http://schemas.openxmlformats.org/officeDocument/2006/relationships/table" Target="../tables/table85.xml"/><Relationship Id="rId118" Type="http://schemas.openxmlformats.org/officeDocument/2006/relationships/table" Target="../tables/table139.xml"/><Relationship Id="rId139" Type="http://schemas.openxmlformats.org/officeDocument/2006/relationships/table" Target="../tables/table160.xml"/><Relationship Id="rId85" Type="http://schemas.openxmlformats.org/officeDocument/2006/relationships/table" Target="../tables/table106.xml"/><Relationship Id="rId150" Type="http://schemas.openxmlformats.org/officeDocument/2006/relationships/table" Target="../tables/table171.xml"/><Relationship Id="rId171" Type="http://schemas.openxmlformats.org/officeDocument/2006/relationships/table" Target="../tables/table192.xml"/><Relationship Id="rId192" Type="http://schemas.openxmlformats.org/officeDocument/2006/relationships/table" Target="../tables/table213.xml"/><Relationship Id="rId206" Type="http://schemas.openxmlformats.org/officeDocument/2006/relationships/table" Target="../tables/table227.xml"/><Relationship Id="rId227" Type="http://schemas.openxmlformats.org/officeDocument/2006/relationships/table" Target="../tables/table248.xml"/><Relationship Id="rId248" Type="http://schemas.openxmlformats.org/officeDocument/2006/relationships/table" Target="../tables/table269.xml"/><Relationship Id="rId12" Type="http://schemas.openxmlformats.org/officeDocument/2006/relationships/table" Target="../tables/table33.xml"/><Relationship Id="rId33" Type="http://schemas.openxmlformats.org/officeDocument/2006/relationships/table" Target="../tables/table54.xml"/><Relationship Id="rId108" Type="http://schemas.openxmlformats.org/officeDocument/2006/relationships/table" Target="../tables/table129.xml"/><Relationship Id="rId129" Type="http://schemas.openxmlformats.org/officeDocument/2006/relationships/table" Target="../tables/table150.xml"/><Relationship Id="rId54" Type="http://schemas.openxmlformats.org/officeDocument/2006/relationships/table" Target="../tables/table75.xml"/><Relationship Id="rId75" Type="http://schemas.openxmlformats.org/officeDocument/2006/relationships/table" Target="../tables/table96.xml"/><Relationship Id="rId96" Type="http://schemas.openxmlformats.org/officeDocument/2006/relationships/table" Target="../tables/table117.xml"/><Relationship Id="rId140" Type="http://schemas.openxmlformats.org/officeDocument/2006/relationships/table" Target="../tables/table161.xml"/><Relationship Id="rId161" Type="http://schemas.openxmlformats.org/officeDocument/2006/relationships/table" Target="../tables/table182.xml"/><Relationship Id="rId182" Type="http://schemas.openxmlformats.org/officeDocument/2006/relationships/table" Target="../tables/table203.xml"/><Relationship Id="rId217" Type="http://schemas.openxmlformats.org/officeDocument/2006/relationships/table" Target="../tables/table238.xml"/><Relationship Id="rId6" Type="http://schemas.openxmlformats.org/officeDocument/2006/relationships/table" Target="../tables/table27.xml"/><Relationship Id="rId238" Type="http://schemas.openxmlformats.org/officeDocument/2006/relationships/table" Target="../tables/table259.xml"/><Relationship Id="rId23" Type="http://schemas.openxmlformats.org/officeDocument/2006/relationships/table" Target="../tables/table44.xml"/><Relationship Id="rId119" Type="http://schemas.openxmlformats.org/officeDocument/2006/relationships/table" Target="../tables/table140.xml"/><Relationship Id="rId44" Type="http://schemas.openxmlformats.org/officeDocument/2006/relationships/table" Target="../tables/table65.xml"/><Relationship Id="rId65" Type="http://schemas.openxmlformats.org/officeDocument/2006/relationships/table" Target="../tables/table86.xml"/><Relationship Id="rId86" Type="http://schemas.openxmlformats.org/officeDocument/2006/relationships/table" Target="../tables/table107.xml"/><Relationship Id="rId130" Type="http://schemas.openxmlformats.org/officeDocument/2006/relationships/table" Target="../tables/table151.xml"/><Relationship Id="rId151" Type="http://schemas.openxmlformats.org/officeDocument/2006/relationships/table" Target="../tables/table172.xml"/><Relationship Id="rId172" Type="http://schemas.openxmlformats.org/officeDocument/2006/relationships/table" Target="../tables/table193.xml"/><Relationship Id="rId193" Type="http://schemas.openxmlformats.org/officeDocument/2006/relationships/table" Target="../tables/table214.xml"/><Relationship Id="rId207" Type="http://schemas.openxmlformats.org/officeDocument/2006/relationships/table" Target="../tables/table228.xml"/><Relationship Id="rId228" Type="http://schemas.openxmlformats.org/officeDocument/2006/relationships/table" Target="../tables/table249.xml"/><Relationship Id="rId249" Type="http://schemas.openxmlformats.org/officeDocument/2006/relationships/table" Target="../tables/table270.xml"/><Relationship Id="rId13" Type="http://schemas.openxmlformats.org/officeDocument/2006/relationships/table" Target="../tables/table34.xml"/><Relationship Id="rId109" Type="http://schemas.openxmlformats.org/officeDocument/2006/relationships/table" Target="../tables/table130.xml"/><Relationship Id="rId34" Type="http://schemas.openxmlformats.org/officeDocument/2006/relationships/table" Target="../tables/table55.xml"/><Relationship Id="rId55" Type="http://schemas.openxmlformats.org/officeDocument/2006/relationships/table" Target="../tables/table76.xml"/><Relationship Id="rId76" Type="http://schemas.openxmlformats.org/officeDocument/2006/relationships/table" Target="../tables/table97.xml"/><Relationship Id="rId97" Type="http://schemas.openxmlformats.org/officeDocument/2006/relationships/table" Target="../tables/table118.xml"/><Relationship Id="rId120" Type="http://schemas.openxmlformats.org/officeDocument/2006/relationships/table" Target="../tables/table141.xml"/><Relationship Id="rId141" Type="http://schemas.openxmlformats.org/officeDocument/2006/relationships/table" Target="../tables/table162.xml"/><Relationship Id="rId7" Type="http://schemas.openxmlformats.org/officeDocument/2006/relationships/table" Target="../tables/table28.xml"/><Relationship Id="rId162" Type="http://schemas.openxmlformats.org/officeDocument/2006/relationships/table" Target="../tables/table183.xml"/><Relationship Id="rId183" Type="http://schemas.openxmlformats.org/officeDocument/2006/relationships/table" Target="../tables/table204.xml"/><Relationship Id="rId218" Type="http://schemas.openxmlformats.org/officeDocument/2006/relationships/table" Target="../tables/table239.xml"/><Relationship Id="rId239" Type="http://schemas.openxmlformats.org/officeDocument/2006/relationships/table" Target="../tables/table260.xml"/><Relationship Id="rId24" Type="http://schemas.openxmlformats.org/officeDocument/2006/relationships/table" Target="../tables/table45.xml"/><Relationship Id="rId45" Type="http://schemas.openxmlformats.org/officeDocument/2006/relationships/table" Target="../tables/table66.xml"/><Relationship Id="rId66" Type="http://schemas.openxmlformats.org/officeDocument/2006/relationships/table" Target="../tables/table87.xml"/><Relationship Id="rId87" Type="http://schemas.openxmlformats.org/officeDocument/2006/relationships/table" Target="../tables/table108.xml"/><Relationship Id="rId110" Type="http://schemas.openxmlformats.org/officeDocument/2006/relationships/table" Target="../tables/table131.xml"/><Relationship Id="rId131" Type="http://schemas.openxmlformats.org/officeDocument/2006/relationships/table" Target="../tables/table152.xml"/><Relationship Id="rId152" Type="http://schemas.openxmlformats.org/officeDocument/2006/relationships/table" Target="../tables/table173.xml"/><Relationship Id="rId173" Type="http://schemas.openxmlformats.org/officeDocument/2006/relationships/table" Target="../tables/table194.xml"/><Relationship Id="rId194" Type="http://schemas.openxmlformats.org/officeDocument/2006/relationships/table" Target="../tables/table215.xml"/><Relationship Id="rId208" Type="http://schemas.openxmlformats.org/officeDocument/2006/relationships/table" Target="../tables/table229.xml"/><Relationship Id="rId229" Type="http://schemas.openxmlformats.org/officeDocument/2006/relationships/table" Target="../tables/table250.xml"/><Relationship Id="rId240" Type="http://schemas.openxmlformats.org/officeDocument/2006/relationships/table" Target="../tables/table261.xml"/><Relationship Id="rId14" Type="http://schemas.openxmlformats.org/officeDocument/2006/relationships/table" Target="../tables/table35.xml"/><Relationship Id="rId35" Type="http://schemas.openxmlformats.org/officeDocument/2006/relationships/table" Target="../tables/table56.xml"/><Relationship Id="rId56" Type="http://schemas.openxmlformats.org/officeDocument/2006/relationships/table" Target="../tables/table77.xml"/><Relationship Id="rId77" Type="http://schemas.openxmlformats.org/officeDocument/2006/relationships/table" Target="../tables/table98.xml"/><Relationship Id="rId100" Type="http://schemas.openxmlformats.org/officeDocument/2006/relationships/table" Target="../tables/table121.xml"/><Relationship Id="rId8" Type="http://schemas.openxmlformats.org/officeDocument/2006/relationships/table" Target="../tables/table29.xml"/><Relationship Id="rId98" Type="http://schemas.openxmlformats.org/officeDocument/2006/relationships/table" Target="../tables/table119.xml"/><Relationship Id="rId121" Type="http://schemas.openxmlformats.org/officeDocument/2006/relationships/table" Target="../tables/table142.xml"/><Relationship Id="rId142" Type="http://schemas.openxmlformats.org/officeDocument/2006/relationships/table" Target="../tables/table163.xml"/><Relationship Id="rId163" Type="http://schemas.openxmlformats.org/officeDocument/2006/relationships/table" Target="../tables/table184.xml"/><Relationship Id="rId184" Type="http://schemas.openxmlformats.org/officeDocument/2006/relationships/table" Target="../tables/table205.xml"/><Relationship Id="rId219" Type="http://schemas.openxmlformats.org/officeDocument/2006/relationships/table" Target="../tables/table240.xml"/><Relationship Id="rId230" Type="http://schemas.openxmlformats.org/officeDocument/2006/relationships/table" Target="../tables/table251.xml"/><Relationship Id="rId25" Type="http://schemas.openxmlformats.org/officeDocument/2006/relationships/table" Target="../tables/table46.xml"/><Relationship Id="rId46" Type="http://schemas.openxmlformats.org/officeDocument/2006/relationships/table" Target="../tables/table67.xml"/><Relationship Id="rId67" Type="http://schemas.openxmlformats.org/officeDocument/2006/relationships/table" Target="../tables/table88.xml"/><Relationship Id="rId88" Type="http://schemas.openxmlformats.org/officeDocument/2006/relationships/table" Target="../tables/table109.xml"/><Relationship Id="rId111" Type="http://schemas.openxmlformats.org/officeDocument/2006/relationships/table" Target="../tables/table132.xml"/><Relationship Id="rId132" Type="http://schemas.openxmlformats.org/officeDocument/2006/relationships/table" Target="../tables/table153.xml"/><Relationship Id="rId153" Type="http://schemas.openxmlformats.org/officeDocument/2006/relationships/table" Target="../tables/table174.xml"/><Relationship Id="rId174" Type="http://schemas.openxmlformats.org/officeDocument/2006/relationships/table" Target="../tables/table195.xml"/><Relationship Id="rId195" Type="http://schemas.openxmlformats.org/officeDocument/2006/relationships/table" Target="../tables/table216.xml"/><Relationship Id="rId209" Type="http://schemas.openxmlformats.org/officeDocument/2006/relationships/table" Target="../tables/table230.xml"/><Relationship Id="rId220" Type="http://schemas.openxmlformats.org/officeDocument/2006/relationships/table" Target="../tables/table241.xml"/><Relationship Id="rId241" Type="http://schemas.openxmlformats.org/officeDocument/2006/relationships/table" Target="../tables/table262.xml"/><Relationship Id="rId15" Type="http://schemas.openxmlformats.org/officeDocument/2006/relationships/table" Target="../tables/table36.xml"/><Relationship Id="rId36" Type="http://schemas.openxmlformats.org/officeDocument/2006/relationships/table" Target="../tables/table57.xml"/><Relationship Id="rId57" Type="http://schemas.openxmlformats.org/officeDocument/2006/relationships/table" Target="../tables/table78.xml"/><Relationship Id="rId78" Type="http://schemas.openxmlformats.org/officeDocument/2006/relationships/table" Target="../tables/table99.xml"/><Relationship Id="rId99" Type="http://schemas.openxmlformats.org/officeDocument/2006/relationships/table" Target="../tables/table120.xml"/><Relationship Id="rId101" Type="http://schemas.openxmlformats.org/officeDocument/2006/relationships/table" Target="../tables/table122.xml"/><Relationship Id="rId122" Type="http://schemas.openxmlformats.org/officeDocument/2006/relationships/table" Target="../tables/table143.xml"/><Relationship Id="rId143" Type="http://schemas.openxmlformats.org/officeDocument/2006/relationships/table" Target="../tables/table164.xml"/><Relationship Id="rId164" Type="http://schemas.openxmlformats.org/officeDocument/2006/relationships/table" Target="../tables/table185.xml"/><Relationship Id="rId185" Type="http://schemas.openxmlformats.org/officeDocument/2006/relationships/table" Target="../tables/table206.xml"/><Relationship Id="rId4" Type="http://schemas.openxmlformats.org/officeDocument/2006/relationships/table" Target="../tables/table25.xml"/><Relationship Id="rId9" Type="http://schemas.openxmlformats.org/officeDocument/2006/relationships/table" Target="../tables/table30.xml"/><Relationship Id="rId180" Type="http://schemas.openxmlformats.org/officeDocument/2006/relationships/table" Target="../tables/table201.xml"/><Relationship Id="rId210" Type="http://schemas.openxmlformats.org/officeDocument/2006/relationships/table" Target="../tables/table231.xml"/><Relationship Id="rId215" Type="http://schemas.openxmlformats.org/officeDocument/2006/relationships/table" Target="../tables/table236.xml"/><Relationship Id="rId236" Type="http://schemas.openxmlformats.org/officeDocument/2006/relationships/table" Target="../tables/table257.xml"/><Relationship Id="rId26" Type="http://schemas.openxmlformats.org/officeDocument/2006/relationships/table" Target="../tables/table47.xml"/><Relationship Id="rId231" Type="http://schemas.openxmlformats.org/officeDocument/2006/relationships/table" Target="../tables/table252.xml"/><Relationship Id="rId47" Type="http://schemas.openxmlformats.org/officeDocument/2006/relationships/table" Target="../tables/table68.xml"/><Relationship Id="rId68" Type="http://schemas.openxmlformats.org/officeDocument/2006/relationships/table" Target="../tables/table89.xml"/><Relationship Id="rId89" Type="http://schemas.openxmlformats.org/officeDocument/2006/relationships/table" Target="../tables/table110.xml"/><Relationship Id="rId112" Type="http://schemas.openxmlformats.org/officeDocument/2006/relationships/table" Target="../tables/table133.xml"/><Relationship Id="rId133" Type="http://schemas.openxmlformats.org/officeDocument/2006/relationships/table" Target="../tables/table154.xml"/><Relationship Id="rId154" Type="http://schemas.openxmlformats.org/officeDocument/2006/relationships/table" Target="../tables/table175.xml"/><Relationship Id="rId175" Type="http://schemas.openxmlformats.org/officeDocument/2006/relationships/table" Target="../tables/table196.xml"/><Relationship Id="rId196" Type="http://schemas.openxmlformats.org/officeDocument/2006/relationships/table" Target="../tables/table217.xml"/><Relationship Id="rId200" Type="http://schemas.openxmlformats.org/officeDocument/2006/relationships/table" Target="../tables/table221.xml"/><Relationship Id="rId16" Type="http://schemas.openxmlformats.org/officeDocument/2006/relationships/table" Target="../tables/table37.xml"/><Relationship Id="rId221" Type="http://schemas.openxmlformats.org/officeDocument/2006/relationships/table" Target="../tables/table242.xml"/><Relationship Id="rId242" Type="http://schemas.openxmlformats.org/officeDocument/2006/relationships/table" Target="../tables/table263.xml"/><Relationship Id="rId37" Type="http://schemas.openxmlformats.org/officeDocument/2006/relationships/table" Target="../tables/table58.xml"/><Relationship Id="rId58" Type="http://schemas.openxmlformats.org/officeDocument/2006/relationships/table" Target="../tables/table79.xml"/><Relationship Id="rId79" Type="http://schemas.openxmlformats.org/officeDocument/2006/relationships/table" Target="../tables/table100.xml"/><Relationship Id="rId102" Type="http://schemas.openxmlformats.org/officeDocument/2006/relationships/table" Target="../tables/table123.xml"/><Relationship Id="rId123" Type="http://schemas.openxmlformats.org/officeDocument/2006/relationships/table" Target="../tables/table144.xml"/><Relationship Id="rId144" Type="http://schemas.openxmlformats.org/officeDocument/2006/relationships/table" Target="../tables/table165.xml"/><Relationship Id="rId90" Type="http://schemas.openxmlformats.org/officeDocument/2006/relationships/table" Target="../tables/table111.xml"/><Relationship Id="rId165" Type="http://schemas.openxmlformats.org/officeDocument/2006/relationships/table" Target="../tables/table186.xml"/><Relationship Id="rId186" Type="http://schemas.openxmlformats.org/officeDocument/2006/relationships/table" Target="../tables/table207.xml"/><Relationship Id="rId211" Type="http://schemas.openxmlformats.org/officeDocument/2006/relationships/table" Target="../tables/table232.xml"/><Relationship Id="rId232" Type="http://schemas.openxmlformats.org/officeDocument/2006/relationships/table" Target="../tables/table253.xml"/><Relationship Id="rId27" Type="http://schemas.openxmlformats.org/officeDocument/2006/relationships/table" Target="../tables/table48.xml"/><Relationship Id="rId48" Type="http://schemas.openxmlformats.org/officeDocument/2006/relationships/table" Target="../tables/table69.xml"/><Relationship Id="rId69" Type="http://schemas.openxmlformats.org/officeDocument/2006/relationships/table" Target="../tables/table90.xml"/><Relationship Id="rId113" Type="http://schemas.openxmlformats.org/officeDocument/2006/relationships/table" Target="../tables/table134.xml"/><Relationship Id="rId134" Type="http://schemas.openxmlformats.org/officeDocument/2006/relationships/table" Target="../tables/table155.xml"/><Relationship Id="rId80" Type="http://schemas.openxmlformats.org/officeDocument/2006/relationships/table" Target="../tables/table101.xml"/><Relationship Id="rId155" Type="http://schemas.openxmlformats.org/officeDocument/2006/relationships/table" Target="../tables/table176.xml"/><Relationship Id="rId176" Type="http://schemas.openxmlformats.org/officeDocument/2006/relationships/table" Target="../tables/table197.xml"/><Relationship Id="rId197" Type="http://schemas.openxmlformats.org/officeDocument/2006/relationships/table" Target="../tables/table218.xml"/><Relationship Id="rId201" Type="http://schemas.openxmlformats.org/officeDocument/2006/relationships/table" Target="../tables/table222.xml"/><Relationship Id="rId222" Type="http://schemas.openxmlformats.org/officeDocument/2006/relationships/table" Target="../tables/table243.xml"/><Relationship Id="rId243" Type="http://schemas.openxmlformats.org/officeDocument/2006/relationships/table" Target="../tables/table264.xml"/><Relationship Id="rId17" Type="http://schemas.openxmlformats.org/officeDocument/2006/relationships/table" Target="../tables/table38.xml"/><Relationship Id="rId38" Type="http://schemas.openxmlformats.org/officeDocument/2006/relationships/table" Target="../tables/table59.xml"/><Relationship Id="rId59" Type="http://schemas.openxmlformats.org/officeDocument/2006/relationships/table" Target="../tables/table80.xml"/><Relationship Id="rId103" Type="http://schemas.openxmlformats.org/officeDocument/2006/relationships/table" Target="../tables/table124.xml"/><Relationship Id="rId124" Type="http://schemas.openxmlformats.org/officeDocument/2006/relationships/table" Target="../tables/table145.xml"/><Relationship Id="rId70" Type="http://schemas.openxmlformats.org/officeDocument/2006/relationships/table" Target="../tables/table91.xml"/><Relationship Id="rId91" Type="http://schemas.openxmlformats.org/officeDocument/2006/relationships/table" Target="../tables/table112.xml"/><Relationship Id="rId145" Type="http://schemas.openxmlformats.org/officeDocument/2006/relationships/table" Target="../tables/table166.xml"/><Relationship Id="rId166" Type="http://schemas.openxmlformats.org/officeDocument/2006/relationships/table" Target="../tables/table187.xml"/><Relationship Id="rId187" Type="http://schemas.openxmlformats.org/officeDocument/2006/relationships/table" Target="../tables/table208.xml"/><Relationship Id="rId1" Type="http://schemas.openxmlformats.org/officeDocument/2006/relationships/printerSettings" Target="../printerSettings/printerSettings12.bin"/><Relationship Id="rId212" Type="http://schemas.openxmlformats.org/officeDocument/2006/relationships/table" Target="../tables/table233.xml"/><Relationship Id="rId233" Type="http://schemas.openxmlformats.org/officeDocument/2006/relationships/table" Target="../tables/table254.xml"/><Relationship Id="rId28" Type="http://schemas.openxmlformats.org/officeDocument/2006/relationships/table" Target="../tables/table49.xml"/><Relationship Id="rId49" Type="http://schemas.openxmlformats.org/officeDocument/2006/relationships/table" Target="../tables/table70.xml"/><Relationship Id="rId114" Type="http://schemas.openxmlformats.org/officeDocument/2006/relationships/table" Target="../tables/table135.xml"/><Relationship Id="rId60" Type="http://schemas.openxmlformats.org/officeDocument/2006/relationships/table" Target="../tables/table81.xml"/><Relationship Id="rId81" Type="http://schemas.openxmlformats.org/officeDocument/2006/relationships/table" Target="../tables/table102.xml"/><Relationship Id="rId135" Type="http://schemas.openxmlformats.org/officeDocument/2006/relationships/table" Target="../tables/table156.xml"/><Relationship Id="rId156" Type="http://schemas.openxmlformats.org/officeDocument/2006/relationships/table" Target="../tables/table177.xml"/><Relationship Id="rId177" Type="http://schemas.openxmlformats.org/officeDocument/2006/relationships/table" Target="../tables/table198.xml"/><Relationship Id="rId198" Type="http://schemas.openxmlformats.org/officeDocument/2006/relationships/table" Target="../tables/table219.xml"/><Relationship Id="rId202" Type="http://schemas.openxmlformats.org/officeDocument/2006/relationships/table" Target="../tables/table223.xml"/><Relationship Id="rId223" Type="http://schemas.openxmlformats.org/officeDocument/2006/relationships/table" Target="../tables/table244.xml"/><Relationship Id="rId244" Type="http://schemas.openxmlformats.org/officeDocument/2006/relationships/table" Target="../tables/table265.xml"/><Relationship Id="rId18" Type="http://schemas.openxmlformats.org/officeDocument/2006/relationships/table" Target="../tables/table39.xml"/><Relationship Id="rId39" Type="http://schemas.openxmlformats.org/officeDocument/2006/relationships/table" Target="../tables/table60.xml"/><Relationship Id="rId50" Type="http://schemas.openxmlformats.org/officeDocument/2006/relationships/table" Target="../tables/table71.xml"/><Relationship Id="rId104" Type="http://schemas.openxmlformats.org/officeDocument/2006/relationships/table" Target="../tables/table125.xml"/><Relationship Id="rId125" Type="http://schemas.openxmlformats.org/officeDocument/2006/relationships/table" Target="../tables/table146.xml"/><Relationship Id="rId146" Type="http://schemas.openxmlformats.org/officeDocument/2006/relationships/table" Target="../tables/table167.xml"/><Relationship Id="rId167" Type="http://schemas.openxmlformats.org/officeDocument/2006/relationships/table" Target="../tables/table188.xml"/><Relationship Id="rId188" Type="http://schemas.openxmlformats.org/officeDocument/2006/relationships/table" Target="../tables/table209.xml"/><Relationship Id="rId71" Type="http://schemas.openxmlformats.org/officeDocument/2006/relationships/table" Target="../tables/table92.xml"/><Relationship Id="rId92" Type="http://schemas.openxmlformats.org/officeDocument/2006/relationships/table" Target="../tables/table113.xml"/><Relationship Id="rId213" Type="http://schemas.openxmlformats.org/officeDocument/2006/relationships/table" Target="../tables/table234.xml"/><Relationship Id="rId234" Type="http://schemas.openxmlformats.org/officeDocument/2006/relationships/table" Target="../tables/table255.xml"/><Relationship Id="rId2" Type="http://schemas.openxmlformats.org/officeDocument/2006/relationships/table" Target="../tables/table23.xml"/><Relationship Id="rId29" Type="http://schemas.openxmlformats.org/officeDocument/2006/relationships/table" Target="../tables/table50.xml"/><Relationship Id="rId40" Type="http://schemas.openxmlformats.org/officeDocument/2006/relationships/table" Target="../tables/table61.xml"/><Relationship Id="rId115" Type="http://schemas.openxmlformats.org/officeDocument/2006/relationships/table" Target="../tables/table136.xml"/><Relationship Id="rId136" Type="http://schemas.openxmlformats.org/officeDocument/2006/relationships/table" Target="../tables/table157.xml"/><Relationship Id="rId157" Type="http://schemas.openxmlformats.org/officeDocument/2006/relationships/table" Target="../tables/table178.xml"/><Relationship Id="rId178" Type="http://schemas.openxmlformats.org/officeDocument/2006/relationships/table" Target="../tables/table199.xml"/><Relationship Id="rId61" Type="http://schemas.openxmlformats.org/officeDocument/2006/relationships/table" Target="../tables/table82.xml"/><Relationship Id="rId82" Type="http://schemas.openxmlformats.org/officeDocument/2006/relationships/table" Target="../tables/table103.xml"/><Relationship Id="rId199" Type="http://schemas.openxmlformats.org/officeDocument/2006/relationships/table" Target="../tables/table220.xml"/><Relationship Id="rId203" Type="http://schemas.openxmlformats.org/officeDocument/2006/relationships/table" Target="../tables/table224.xml"/><Relationship Id="rId19" Type="http://schemas.openxmlformats.org/officeDocument/2006/relationships/table" Target="../tables/table40.xml"/><Relationship Id="rId224" Type="http://schemas.openxmlformats.org/officeDocument/2006/relationships/table" Target="../tables/table245.xml"/><Relationship Id="rId245" Type="http://schemas.openxmlformats.org/officeDocument/2006/relationships/table" Target="../tables/table266.xml"/><Relationship Id="rId30" Type="http://schemas.openxmlformats.org/officeDocument/2006/relationships/table" Target="../tables/table51.xml"/><Relationship Id="rId105" Type="http://schemas.openxmlformats.org/officeDocument/2006/relationships/table" Target="../tables/table126.xml"/><Relationship Id="rId126" Type="http://schemas.openxmlformats.org/officeDocument/2006/relationships/table" Target="../tables/table147.xml"/><Relationship Id="rId147" Type="http://schemas.openxmlformats.org/officeDocument/2006/relationships/table" Target="../tables/table168.xml"/><Relationship Id="rId168" Type="http://schemas.openxmlformats.org/officeDocument/2006/relationships/table" Target="../tables/table189.xml"/><Relationship Id="rId51" Type="http://schemas.openxmlformats.org/officeDocument/2006/relationships/table" Target="../tables/table72.xml"/><Relationship Id="rId72" Type="http://schemas.openxmlformats.org/officeDocument/2006/relationships/table" Target="../tables/table93.xml"/><Relationship Id="rId93" Type="http://schemas.openxmlformats.org/officeDocument/2006/relationships/table" Target="../tables/table114.xml"/><Relationship Id="rId189" Type="http://schemas.openxmlformats.org/officeDocument/2006/relationships/table" Target="../tables/table210.xml"/><Relationship Id="rId3" Type="http://schemas.openxmlformats.org/officeDocument/2006/relationships/table" Target="../tables/table24.xml"/><Relationship Id="rId214" Type="http://schemas.openxmlformats.org/officeDocument/2006/relationships/table" Target="../tables/table235.xml"/><Relationship Id="rId235" Type="http://schemas.openxmlformats.org/officeDocument/2006/relationships/table" Target="../tables/table256.xml"/><Relationship Id="rId116" Type="http://schemas.openxmlformats.org/officeDocument/2006/relationships/table" Target="../tables/table137.xml"/><Relationship Id="rId137" Type="http://schemas.openxmlformats.org/officeDocument/2006/relationships/table" Target="../tables/table158.xml"/><Relationship Id="rId158" Type="http://schemas.openxmlformats.org/officeDocument/2006/relationships/table" Target="../tables/table179.xml"/><Relationship Id="rId20" Type="http://schemas.openxmlformats.org/officeDocument/2006/relationships/table" Target="../tables/table41.xml"/><Relationship Id="rId41" Type="http://schemas.openxmlformats.org/officeDocument/2006/relationships/table" Target="../tables/table62.xml"/><Relationship Id="rId62" Type="http://schemas.openxmlformats.org/officeDocument/2006/relationships/table" Target="../tables/table83.xml"/><Relationship Id="rId83" Type="http://schemas.openxmlformats.org/officeDocument/2006/relationships/table" Target="../tables/table104.xml"/><Relationship Id="rId179" Type="http://schemas.openxmlformats.org/officeDocument/2006/relationships/table" Target="../tables/table200.xml"/><Relationship Id="rId190" Type="http://schemas.openxmlformats.org/officeDocument/2006/relationships/table" Target="../tables/table211.xml"/><Relationship Id="rId204" Type="http://schemas.openxmlformats.org/officeDocument/2006/relationships/table" Target="../tables/table225.xml"/><Relationship Id="rId225" Type="http://schemas.openxmlformats.org/officeDocument/2006/relationships/table" Target="../tables/table246.xml"/><Relationship Id="rId246" Type="http://schemas.openxmlformats.org/officeDocument/2006/relationships/table" Target="../tables/table267.xml"/><Relationship Id="rId106" Type="http://schemas.openxmlformats.org/officeDocument/2006/relationships/table" Target="../tables/table127.xml"/><Relationship Id="rId127" Type="http://schemas.openxmlformats.org/officeDocument/2006/relationships/table" Target="../tables/table148.xml"/><Relationship Id="rId10" Type="http://schemas.openxmlformats.org/officeDocument/2006/relationships/table" Target="../tables/table31.xml"/><Relationship Id="rId31" Type="http://schemas.openxmlformats.org/officeDocument/2006/relationships/table" Target="../tables/table52.xml"/><Relationship Id="rId52" Type="http://schemas.openxmlformats.org/officeDocument/2006/relationships/table" Target="../tables/table73.xml"/><Relationship Id="rId73" Type="http://schemas.openxmlformats.org/officeDocument/2006/relationships/table" Target="../tables/table94.xml"/><Relationship Id="rId94" Type="http://schemas.openxmlformats.org/officeDocument/2006/relationships/table" Target="../tables/table115.xml"/><Relationship Id="rId148" Type="http://schemas.openxmlformats.org/officeDocument/2006/relationships/table" Target="../tables/table169.xml"/><Relationship Id="rId169" Type="http://schemas.openxmlformats.org/officeDocument/2006/relationships/table" Target="../tables/table190.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27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27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7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7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76.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51"/>
  <dimension ref="A1:B8"/>
  <sheetViews>
    <sheetView workbookViewId="0">
      <selection activeCell="B9" sqref="B9"/>
    </sheetView>
  </sheetViews>
  <sheetFormatPr defaultRowHeight="15" x14ac:dyDescent="0.25"/>
  <cols>
    <col min="1" max="1" width="3.28515625" customWidth="1"/>
  </cols>
  <sheetData>
    <row r="1" spans="1:2" x14ac:dyDescent="0.25">
      <c r="A1" s="3" t="s">
        <v>102</v>
      </c>
    </row>
    <row r="2" spans="1:2" x14ac:dyDescent="0.25">
      <c r="A2" t="s">
        <v>110</v>
      </c>
    </row>
    <row r="3" spans="1:2" ht="17.25" x14ac:dyDescent="0.3">
      <c r="B3" s="4" t="s">
        <v>103</v>
      </c>
    </row>
    <row r="4" spans="1:2" ht="17.25" x14ac:dyDescent="0.3">
      <c r="B4" s="4" t="s">
        <v>104</v>
      </c>
    </row>
    <row r="5" spans="1:2" ht="17.25" x14ac:dyDescent="0.3">
      <c r="B5" s="4" t="s">
        <v>105</v>
      </c>
    </row>
    <row r="6" spans="1:2" ht="17.25" x14ac:dyDescent="0.3">
      <c r="B6" s="4" t="s">
        <v>106</v>
      </c>
    </row>
    <row r="7" spans="1:2" ht="17.25" x14ac:dyDescent="0.3">
      <c r="B7" s="4" t="s">
        <v>107</v>
      </c>
    </row>
    <row r="8" spans="1:2" ht="17.25" x14ac:dyDescent="0.3">
      <c r="B8" s="4" t="s">
        <v>108</v>
      </c>
    </row>
  </sheetData>
  <hyperlinks>
    <hyperlink ref="B3" location="F0!A1" display="F0" xr:uid="{00000000-0004-0000-0000-000000000000}"/>
    <hyperlink ref="B4" location="'F1'!A1" display="F1" xr:uid="{00000000-0004-0000-0000-000001000000}"/>
    <hyperlink ref="B5" location="'F2'!A1" display="F2" xr:uid="{00000000-0004-0000-0000-000002000000}"/>
    <hyperlink ref="B6" location="'F3'!A1" display="F3" xr:uid="{00000000-0004-0000-0000-000003000000}"/>
    <hyperlink ref="B7" location="'F4'!A1" display="F4" xr:uid="{00000000-0004-0000-0000-000004000000}"/>
    <hyperlink ref="B8" location="'F5'!A1" display="F5" xr:uid="{00000000-0004-0000-0000-000005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9111"/>
  <dimension ref="A1:CO23"/>
  <sheetViews>
    <sheetView topLeftCell="A9" zoomScale="85" zoomScaleNormal="85" zoomScaleSheetLayoutView="100" workbookViewId="0">
      <selection activeCell="S35" sqref="S35"/>
    </sheetView>
  </sheetViews>
  <sheetFormatPr defaultColWidth="8.85546875" defaultRowHeight="15" outlineLevelRow="2" x14ac:dyDescent="0.25"/>
  <cols>
    <col min="1" max="1" width="6.5703125" style="148" customWidth="1"/>
    <col min="2" max="2" width="32.85546875" style="148" customWidth="1"/>
    <col min="3" max="3" width="12.28515625" style="148" hidden="1" customWidth="1"/>
    <col min="4" max="4" width="13.85546875" style="148" hidden="1" customWidth="1"/>
    <col min="5" max="17" width="8.85546875" style="148" hidden="1" customWidth="1"/>
    <col min="18" max="18" width="16.140625" style="149" customWidth="1"/>
    <col min="19" max="19" width="8.85546875" style="148"/>
    <col min="20" max="20" width="11.140625" style="148" customWidth="1"/>
    <col min="21" max="21" width="8.85546875" style="148"/>
    <col min="22" max="22" width="23.28515625" style="148" hidden="1" customWidth="1"/>
    <col min="23" max="23" width="8.85546875" style="148" hidden="1" customWidth="1"/>
    <col min="24" max="24" width="13.42578125" style="148" customWidth="1"/>
    <col min="25" max="26" width="8.85546875" style="148" hidden="1" customWidth="1"/>
    <col min="27" max="27" width="8.85546875" style="149" hidden="1" customWidth="1"/>
    <col min="28" max="28" width="8.85546875" style="148" hidden="1" customWidth="1"/>
    <col min="29" max="29" width="8.85546875" style="149" hidden="1" customWidth="1"/>
    <col min="30" max="30" width="8.85546875" style="148" hidden="1" customWidth="1"/>
    <col min="31" max="31" width="8.85546875" style="149" hidden="1" customWidth="1"/>
    <col min="32" max="32" width="8.85546875" style="148" hidden="1" customWidth="1"/>
    <col min="33" max="33" width="8.85546875" style="149" hidden="1" customWidth="1"/>
    <col min="34" max="34" width="8.85546875" style="148" hidden="1" customWidth="1"/>
    <col min="35" max="35" width="8.85546875" style="149" hidden="1" customWidth="1"/>
    <col min="36" max="36" width="8.85546875" style="148" hidden="1" customWidth="1"/>
    <col min="37" max="37" width="8.85546875" style="149" hidden="1" customWidth="1"/>
    <col min="38" max="38" width="8.85546875" style="148" hidden="1" customWidth="1"/>
    <col min="39" max="39" width="8.85546875" style="149" hidden="1" customWidth="1"/>
    <col min="40" max="40" width="8.85546875" style="148" hidden="1" customWidth="1"/>
    <col min="41" max="41" width="8.85546875" style="149" hidden="1" customWidth="1"/>
    <col min="42" max="42" width="8.85546875" style="148" hidden="1" customWidth="1"/>
    <col min="43" max="43" width="8.85546875" style="149" hidden="1" customWidth="1"/>
    <col min="44" max="50" width="8.85546875" style="148" hidden="1" customWidth="1"/>
    <col min="51" max="51" width="12.28515625" style="131" customWidth="1"/>
    <col min="52" max="53" width="12.28515625" style="148" customWidth="1"/>
    <col min="54" max="54" width="8.85546875" style="148"/>
    <col min="55" max="55" width="13.85546875" style="148" customWidth="1"/>
    <col min="56" max="57" width="16" style="148" customWidth="1"/>
    <col min="58" max="58" width="34.28515625" style="148" customWidth="1"/>
    <col min="59" max="59" width="16" style="148" customWidth="1"/>
    <col min="60" max="60" width="9.85546875" style="148" customWidth="1"/>
    <col min="61" max="61" width="2.7109375" style="148" hidden="1" customWidth="1"/>
    <col min="62" max="62" width="14.5703125" style="148" customWidth="1"/>
    <col min="63" max="63" width="2.7109375" style="148" hidden="1" customWidth="1"/>
    <col min="64" max="64" width="23.140625" style="148" customWidth="1"/>
    <col min="65" max="65" width="3.5703125" style="148" customWidth="1"/>
    <col min="66" max="66" width="9" style="148" customWidth="1"/>
    <col min="67" max="67" width="9.28515625" style="148" customWidth="1"/>
    <col min="68" max="68" width="10.85546875" style="148" customWidth="1"/>
    <col min="69" max="16384" width="8.85546875" style="148"/>
  </cols>
  <sheetData>
    <row r="1" spans="1:93" hidden="1" outlineLevel="2" x14ac:dyDescent="0.25">
      <c r="C1" s="139" t="s">
        <v>461</v>
      </c>
      <c r="E1" s="139" t="s">
        <v>461</v>
      </c>
      <c r="F1" s="139" t="s">
        <v>461</v>
      </c>
      <c r="G1" s="139" t="s">
        <v>461</v>
      </c>
      <c r="H1" s="139" t="s">
        <v>461</v>
      </c>
      <c r="I1" s="139" t="s">
        <v>461</v>
      </c>
      <c r="J1" s="139" t="s">
        <v>461</v>
      </c>
      <c r="K1" s="139" t="s">
        <v>461</v>
      </c>
      <c r="L1" s="139" t="s">
        <v>461</v>
      </c>
      <c r="M1" s="139" t="s">
        <v>461</v>
      </c>
      <c r="N1" s="139" t="s">
        <v>461</v>
      </c>
      <c r="O1" s="139" t="s">
        <v>461</v>
      </c>
      <c r="P1" s="139" t="s">
        <v>461</v>
      </c>
      <c r="Q1" s="139" t="s">
        <v>461</v>
      </c>
      <c r="V1" s="139" t="s">
        <v>461</v>
      </c>
      <c r="W1" s="139" t="s">
        <v>461</v>
      </c>
      <c r="Y1" s="139" t="s">
        <v>461</v>
      </c>
      <c r="Z1" s="139" t="s">
        <v>461</v>
      </c>
      <c r="AA1" s="139" t="s">
        <v>461</v>
      </c>
      <c r="AB1" s="139" t="s">
        <v>461</v>
      </c>
      <c r="AC1" s="139" t="s">
        <v>461</v>
      </c>
      <c r="AD1" s="139" t="s">
        <v>461</v>
      </c>
      <c r="AE1" s="139" t="s">
        <v>461</v>
      </c>
      <c r="AF1" s="139" t="s">
        <v>461</v>
      </c>
      <c r="AG1" s="139" t="s">
        <v>461</v>
      </c>
      <c r="AH1" s="139" t="s">
        <v>461</v>
      </c>
      <c r="AI1" s="139" t="s">
        <v>461</v>
      </c>
      <c r="AJ1" s="139" t="s">
        <v>461</v>
      </c>
      <c r="AK1" s="139" t="s">
        <v>461</v>
      </c>
      <c r="AL1" s="139" t="s">
        <v>461</v>
      </c>
      <c r="AM1" s="139" t="s">
        <v>461</v>
      </c>
      <c r="AN1" s="139" t="s">
        <v>461</v>
      </c>
      <c r="AO1" s="139" t="s">
        <v>461</v>
      </c>
      <c r="AP1" s="139" t="s">
        <v>461</v>
      </c>
      <c r="AQ1" s="139" t="s">
        <v>461</v>
      </c>
      <c r="AR1" s="139" t="s">
        <v>461</v>
      </c>
      <c r="AS1" s="139" t="s">
        <v>461</v>
      </c>
      <c r="AT1" s="139" t="s">
        <v>461</v>
      </c>
      <c r="AU1" s="139" t="s">
        <v>461</v>
      </c>
      <c r="AV1" s="139" t="s">
        <v>461</v>
      </c>
      <c r="AW1" s="139" t="s">
        <v>461</v>
      </c>
      <c r="AX1" s="139" t="s">
        <v>461</v>
      </c>
      <c r="BH1" s="124"/>
      <c r="BI1" s="124" t="s">
        <v>461</v>
      </c>
      <c r="BJ1" s="124"/>
      <c r="BK1" s="124" t="s">
        <v>461</v>
      </c>
      <c r="BL1" s="124"/>
      <c r="BM1" s="124" t="s">
        <v>461</v>
      </c>
      <c r="BN1" s="124" t="s">
        <v>461</v>
      </c>
      <c r="BO1" s="124"/>
      <c r="BP1" s="124"/>
      <c r="BQ1" s="124"/>
    </row>
    <row r="2" spans="1:93" hidden="1" outlineLevel="2" x14ac:dyDescent="0.25">
      <c r="B2" s="148" t="s">
        <v>364</v>
      </c>
      <c r="D2" s="148">
        <f>ROWS(Критерий_Чувствительность[])</f>
        <v>6</v>
      </c>
      <c r="U2" s="148" t="s">
        <v>364</v>
      </c>
      <c r="W2" s="148">
        <f>ROWS(Свёртка_Чувствительность[])</f>
        <v>4</v>
      </c>
      <c r="BD2" s="148" t="s">
        <v>364</v>
      </c>
      <c r="BF2" s="148">
        <f>ROWS(Анализ_Чувствительность[])</f>
        <v>8</v>
      </c>
    </row>
    <row r="3" spans="1:93" hidden="1" outlineLevel="2" x14ac:dyDescent="0.25">
      <c r="B3" s="148" t="s">
        <v>365</v>
      </c>
      <c r="D3" s="148">
        <f>COUNTIF(Критерий_Чувствительность[Критерий],"&gt;=1")-COUNTIF(Критерий_Чувствительность[Критерий],"&gt;4")</f>
        <v>3</v>
      </c>
      <c r="U3" s="148" t="s">
        <v>365</v>
      </c>
      <c r="W3" s="148">
        <f>COUNTIF(Свёртка_Чувствительность[Свёртка],"&gt;=1")-COUNTIF(Свёртка_Чувствительность[Свёртка],"&gt;4")</f>
        <v>1</v>
      </c>
    </row>
    <row r="4" spans="1:93" hidden="1" outlineLevel="2" x14ac:dyDescent="0.25">
      <c r="B4" s="148" t="s">
        <v>447</v>
      </c>
      <c r="D4" s="148">
        <f ca="1">COUNTIF(Критерий_Чувствительность[O.K.Критерий],1)</f>
        <v>3</v>
      </c>
      <c r="U4" s="148" t="s">
        <v>447</v>
      </c>
      <c r="W4" s="148">
        <f ca="1">COUNTIF(Свёртка_Чувствительность[O.K.Свёртка],1)</f>
        <v>1</v>
      </c>
      <c r="BD4" s="148" t="s">
        <v>447</v>
      </c>
      <c r="BF4" s="148">
        <f>COUNTIF(Анализ_Чувствительность[Y],1)</f>
        <v>1</v>
      </c>
    </row>
    <row r="5" spans="1:93" hidden="1" outlineLevel="2" x14ac:dyDescent="0.25"/>
    <row r="6" spans="1:93" hidden="1" outlineLevel="2" x14ac:dyDescent="0.25">
      <c r="F6" s="148">
        <v>-2</v>
      </c>
      <c r="H6" s="148">
        <v>1</v>
      </c>
      <c r="J6" s="148">
        <v>-1</v>
      </c>
      <c r="M6" s="148">
        <v>1</v>
      </c>
      <c r="O6" s="148">
        <v>1</v>
      </c>
      <c r="Q6" s="148">
        <v>1</v>
      </c>
      <c r="V6" s="148">
        <v>1</v>
      </c>
      <c r="W6" s="148">
        <v>2</v>
      </c>
      <c r="X6" s="148">
        <v>3</v>
      </c>
      <c r="Y6" s="148">
        <v>4</v>
      </c>
      <c r="Z6" s="148">
        <v>-3</v>
      </c>
      <c r="AB6" s="148">
        <v>0</v>
      </c>
      <c r="AD6" s="148">
        <v>-1</v>
      </c>
      <c r="AF6" s="148">
        <v>0</v>
      </c>
      <c r="AH6" s="148">
        <v>-1</v>
      </c>
      <c r="AJ6" s="148">
        <v>-2</v>
      </c>
      <c r="AL6" s="148">
        <v>0</v>
      </c>
      <c r="AN6" s="148">
        <v>-2</v>
      </c>
      <c r="AP6" s="148">
        <v>-1</v>
      </c>
      <c r="AR6" s="148">
        <v>-2</v>
      </c>
      <c r="AT6" s="148">
        <v>-2</v>
      </c>
      <c r="AW6" s="148">
        <v>-1</v>
      </c>
    </row>
    <row r="7" spans="1:93" hidden="1" outlineLevel="2" x14ac:dyDescent="0.25">
      <c r="F7" s="148">
        <v>-3</v>
      </c>
      <c r="H7" s="148">
        <v>0</v>
      </c>
      <c r="J7" s="148">
        <v>-3</v>
      </c>
      <c r="M7" s="148">
        <v>-3</v>
      </c>
      <c r="O7" s="148">
        <v>-1</v>
      </c>
      <c r="Q7" s="148">
        <v>-2</v>
      </c>
      <c r="V7" s="148">
        <v>1</v>
      </c>
      <c r="W7" s="148">
        <v>2</v>
      </c>
      <c r="X7" s="148">
        <v>3</v>
      </c>
      <c r="Y7" s="148">
        <v>4</v>
      </c>
      <c r="Z7" s="148">
        <v>0</v>
      </c>
      <c r="AB7" s="148">
        <v>3</v>
      </c>
      <c r="AD7" s="148">
        <v>3</v>
      </c>
      <c r="AF7" s="148">
        <v>2</v>
      </c>
      <c r="AH7" s="148">
        <v>2</v>
      </c>
      <c r="AJ7" s="148">
        <v>3</v>
      </c>
      <c r="AL7" s="148">
        <v>1</v>
      </c>
      <c r="AN7" s="148">
        <v>2</v>
      </c>
      <c r="AP7" s="148">
        <v>1</v>
      </c>
      <c r="AR7" s="148">
        <v>1</v>
      </c>
      <c r="AT7" s="148">
        <v>0</v>
      </c>
      <c r="AW7" s="148">
        <v>0</v>
      </c>
    </row>
    <row r="8" spans="1:93" hidden="1" outlineLevel="2" x14ac:dyDescent="0.25">
      <c r="B8" s="148">
        <v>0</v>
      </c>
      <c r="C8" s="148">
        <v>1</v>
      </c>
      <c r="D8" s="148">
        <v>2</v>
      </c>
      <c r="E8" s="148">
        <v>3</v>
      </c>
      <c r="F8" s="148">
        <v>4</v>
      </c>
      <c r="G8" s="148">
        <v>5</v>
      </c>
      <c r="H8" s="148">
        <v>6</v>
      </c>
      <c r="I8" s="148">
        <v>7</v>
      </c>
      <c r="J8" s="148">
        <v>8</v>
      </c>
      <c r="K8" s="148">
        <v>9</v>
      </c>
      <c r="L8" s="148">
        <v>10</v>
      </c>
      <c r="M8" s="148">
        <v>11</v>
      </c>
      <c r="N8" s="148">
        <v>12</v>
      </c>
      <c r="O8" s="148">
        <v>13</v>
      </c>
      <c r="P8" s="148">
        <v>14</v>
      </c>
      <c r="Q8" s="148">
        <v>15</v>
      </c>
      <c r="R8" s="149">
        <v>16</v>
      </c>
      <c r="U8" s="148">
        <v>0</v>
      </c>
      <c r="V8" s="148">
        <v>1</v>
      </c>
      <c r="W8" s="148">
        <v>2</v>
      </c>
      <c r="X8" s="148">
        <v>3</v>
      </c>
      <c r="Y8" s="148">
        <v>4</v>
      </c>
      <c r="Z8" s="148">
        <v>5</v>
      </c>
      <c r="AA8" s="149">
        <v>6</v>
      </c>
      <c r="AB8" s="148">
        <v>7</v>
      </c>
      <c r="AC8" s="149">
        <v>8</v>
      </c>
      <c r="AD8" s="148">
        <v>9</v>
      </c>
      <c r="AE8" s="149">
        <v>10</v>
      </c>
      <c r="AF8" s="148">
        <v>11</v>
      </c>
      <c r="AG8" s="149">
        <v>12</v>
      </c>
      <c r="AH8" s="148">
        <v>13</v>
      </c>
      <c r="AI8" s="149">
        <v>14</v>
      </c>
      <c r="AJ8" s="148">
        <v>15</v>
      </c>
      <c r="AK8" s="149">
        <v>16</v>
      </c>
      <c r="AL8" s="148">
        <v>17</v>
      </c>
      <c r="AM8" s="149">
        <v>18</v>
      </c>
      <c r="AN8" s="148">
        <v>19</v>
      </c>
      <c r="AO8" s="149">
        <v>20</v>
      </c>
      <c r="AP8" s="148">
        <v>21</v>
      </c>
      <c r="AQ8" s="149">
        <v>22</v>
      </c>
      <c r="AR8" s="148">
        <v>23</v>
      </c>
      <c r="AS8" s="148">
        <v>24</v>
      </c>
      <c r="AT8" s="148">
        <v>25</v>
      </c>
      <c r="AU8" s="148">
        <v>26</v>
      </c>
      <c r="AV8" s="148">
        <v>27</v>
      </c>
      <c r="AW8" s="148">
        <v>28</v>
      </c>
      <c r="AX8" s="148">
        <v>29</v>
      </c>
      <c r="AY8" s="131">
        <v>30</v>
      </c>
      <c r="BD8" s="148">
        <v>0</v>
      </c>
      <c r="BE8" s="148">
        <v>1</v>
      </c>
      <c r="BF8" s="148">
        <v>2</v>
      </c>
      <c r="BG8" s="148">
        <v>3</v>
      </c>
      <c r="BH8" s="148">
        <v>4</v>
      </c>
      <c r="BI8" s="148">
        <v>5</v>
      </c>
      <c r="BJ8" s="148">
        <v>6</v>
      </c>
      <c r="BK8" s="148">
        <v>7</v>
      </c>
      <c r="BL8" s="148">
        <v>8</v>
      </c>
      <c r="BM8" s="148">
        <v>9</v>
      </c>
      <c r="BN8" s="148">
        <v>10</v>
      </c>
      <c r="BO8" s="148">
        <v>11</v>
      </c>
      <c r="BP8" s="148">
        <v>12</v>
      </c>
      <c r="BQ8" s="148">
        <v>13</v>
      </c>
      <c r="BR8" s="148">
        <v>14</v>
      </c>
      <c r="BS8" s="148">
        <v>15</v>
      </c>
      <c r="BT8" s="148">
        <v>16</v>
      </c>
      <c r="BU8" s="148">
        <v>17</v>
      </c>
      <c r="BV8" s="148">
        <v>18</v>
      </c>
      <c r="BW8" s="148">
        <v>19</v>
      </c>
      <c r="BX8" s="148">
        <v>20</v>
      </c>
      <c r="BY8" s="148">
        <v>21</v>
      </c>
      <c r="BZ8" s="148">
        <v>22</v>
      </c>
      <c r="CA8" s="148">
        <v>23</v>
      </c>
      <c r="CB8" s="148">
        <v>24</v>
      </c>
      <c r="CC8" s="148">
        <v>25</v>
      </c>
      <c r="CD8" s="148">
        <v>26</v>
      </c>
      <c r="CE8" s="148">
        <v>27</v>
      </c>
      <c r="CF8" s="148">
        <v>28</v>
      </c>
      <c r="CG8" s="148">
        <v>29</v>
      </c>
      <c r="CH8" s="148">
        <v>30</v>
      </c>
      <c r="CI8" s="148">
        <v>31</v>
      </c>
      <c r="CJ8" s="148">
        <v>32</v>
      </c>
      <c r="CK8" s="148">
        <v>33</v>
      </c>
      <c r="CL8" s="148">
        <v>34</v>
      </c>
      <c r="CM8" s="148">
        <v>35</v>
      </c>
      <c r="CN8" s="148">
        <v>36</v>
      </c>
      <c r="CO8" s="148">
        <v>37</v>
      </c>
    </row>
    <row r="9" spans="1:93" ht="15.75" collapsed="1" thickBot="1" x14ac:dyDescent="0.3">
      <c r="A9" s="131" t="s">
        <v>395</v>
      </c>
      <c r="B9" s="131" t="s">
        <v>396</v>
      </c>
      <c r="C9" s="131" t="s">
        <v>397</v>
      </c>
      <c r="D9" s="131" t="s">
        <v>409</v>
      </c>
      <c r="E9" s="131" t="s">
        <v>456</v>
      </c>
      <c r="F9" s="131" t="s">
        <v>457</v>
      </c>
      <c r="G9" s="131" t="s">
        <v>398</v>
      </c>
      <c r="H9" s="131" t="s">
        <v>399</v>
      </c>
      <c r="I9" s="131" t="s">
        <v>400</v>
      </c>
      <c r="J9" s="131" t="s">
        <v>401</v>
      </c>
      <c r="K9" s="131" t="s">
        <v>402</v>
      </c>
      <c r="L9" s="131" t="s">
        <v>403</v>
      </c>
      <c r="M9" s="131" t="s">
        <v>404</v>
      </c>
      <c r="N9" s="131" t="s">
        <v>405</v>
      </c>
      <c r="O9" s="131" t="s">
        <v>406</v>
      </c>
      <c r="P9" s="131" t="s">
        <v>407</v>
      </c>
      <c r="Q9" s="131" t="s">
        <v>408</v>
      </c>
      <c r="R9" s="149" t="s">
        <v>410</v>
      </c>
      <c r="T9" s="131" t="s">
        <v>395</v>
      </c>
      <c r="U9" s="131" t="s">
        <v>411</v>
      </c>
      <c r="V9" s="131" t="s">
        <v>414</v>
      </c>
      <c r="W9" s="131" t="s">
        <v>412</v>
      </c>
      <c r="X9" s="131" t="s">
        <v>413</v>
      </c>
      <c r="Y9" s="131" t="s">
        <v>456</v>
      </c>
      <c r="Z9" s="131" t="s">
        <v>457</v>
      </c>
      <c r="AA9" s="149" t="s">
        <v>475</v>
      </c>
      <c r="AB9" s="131" t="s">
        <v>478</v>
      </c>
      <c r="AC9" s="149" t="s">
        <v>476</v>
      </c>
      <c r="AD9" s="131" t="s">
        <v>479</v>
      </c>
      <c r="AE9" s="149" t="s">
        <v>477</v>
      </c>
      <c r="AF9" s="131" t="s">
        <v>480</v>
      </c>
      <c r="AG9" s="149" t="s">
        <v>481</v>
      </c>
      <c r="AH9" s="131" t="s">
        <v>482</v>
      </c>
      <c r="AI9" s="149" t="s">
        <v>483</v>
      </c>
      <c r="AJ9" s="131" t="s">
        <v>484</v>
      </c>
      <c r="AK9" s="149" t="s">
        <v>485</v>
      </c>
      <c r="AL9" s="131" t="s">
        <v>486</v>
      </c>
      <c r="AM9" s="149" t="s">
        <v>487</v>
      </c>
      <c r="AN9" s="131" t="s">
        <v>488</v>
      </c>
      <c r="AO9" s="149" t="s">
        <v>489</v>
      </c>
      <c r="AP9" s="131" t="s">
        <v>490</v>
      </c>
      <c r="AQ9" s="149" t="s">
        <v>491</v>
      </c>
      <c r="AR9" s="131" t="s">
        <v>492</v>
      </c>
      <c r="AS9" s="131" t="s">
        <v>493</v>
      </c>
      <c r="AT9" s="131" t="s">
        <v>494</v>
      </c>
      <c r="AU9" s="131" t="s">
        <v>495</v>
      </c>
      <c r="AV9" s="131" t="s">
        <v>496</v>
      </c>
      <c r="AW9" s="131" t="s">
        <v>497</v>
      </c>
      <c r="AX9" s="131" t="s">
        <v>498</v>
      </c>
      <c r="AY9" s="131" t="s">
        <v>415</v>
      </c>
      <c r="AZ9" s="131"/>
      <c r="BA9" s="131"/>
      <c r="BC9" s="140" t="s">
        <v>395</v>
      </c>
      <c r="BD9" s="140" t="s">
        <v>416</v>
      </c>
      <c r="BE9" s="140" t="s">
        <v>392</v>
      </c>
      <c r="BF9" s="140" t="s">
        <v>459</v>
      </c>
      <c r="BG9" s="140" t="s">
        <v>550</v>
      </c>
      <c r="BH9" s="140" t="s">
        <v>411</v>
      </c>
      <c r="BI9" s="140" t="s">
        <v>441</v>
      </c>
      <c r="BJ9" s="140" t="s">
        <v>396</v>
      </c>
      <c r="BK9" s="140" t="s">
        <v>458</v>
      </c>
      <c r="BL9" s="140" t="s">
        <v>417</v>
      </c>
      <c r="BM9" s="140" t="s">
        <v>442</v>
      </c>
      <c r="BN9" s="140" t="s">
        <v>443</v>
      </c>
      <c r="BO9" s="140" t="s">
        <v>552</v>
      </c>
      <c r="BP9" s="140" t="s">
        <v>553</v>
      </c>
      <c r="BQ9" s="141" t="s">
        <v>100</v>
      </c>
      <c r="BR9" s="141" t="s">
        <v>101</v>
      </c>
      <c r="BS9" s="141" t="s">
        <v>418</v>
      </c>
      <c r="BT9" s="141" t="s">
        <v>419</v>
      </c>
      <c r="BU9" s="141" t="s">
        <v>420</v>
      </c>
      <c r="BV9" s="141" t="s">
        <v>421</v>
      </c>
      <c r="BW9" s="141" t="s">
        <v>422</v>
      </c>
      <c r="BX9" s="141" t="s">
        <v>423</v>
      </c>
      <c r="BY9" s="141" t="s">
        <v>424</v>
      </c>
      <c r="BZ9" s="141" t="s">
        <v>425</v>
      </c>
      <c r="CA9" s="141" t="s">
        <v>426</v>
      </c>
      <c r="CB9" s="141" t="s">
        <v>427</v>
      </c>
      <c r="CC9" s="141" t="s">
        <v>428</v>
      </c>
      <c r="CD9" s="141" t="s">
        <v>429</v>
      </c>
      <c r="CE9" s="141" t="s">
        <v>430</v>
      </c>
      <c r="CF9" s="141" t="s">
        <v>431</v>
      </c>
      <c r="CG9" s="141" t="s">
        <v>432</v>
      </c>
      <c r="CH9" s="141" t="s">
        <v>433</v>
      </c>
      <c r="CI9" s="141" t="s">
        <v>434</v>
      </c>
      <c r="CJ9" s="141" t="s">
        <v>435</v>
      </c>
      <c r="CK9" s="141" t="s">
        <v>436</v>
      </c>
      <c r="CL9" s="141" t="s">
        <v>437</v>
      </c>
      <c r="CM9" s="141" t="s">
        <v>438</v>
      </c>
      <c r="CN9" s="141" t="s">
        <v>439</v>
      </c>
      <c r="CO9" s="141" t="s">
        <v>440</v>
      </c>
    </row>
    <row r="10" spans="1:93" x14ac:dyDescent="0.25">
      <c r="A10" s="149">
        <f ca="1">IF(AND(Критерий_Чувствительность[[#This Row],[Критерий]]&lt;&gt;"",Критерий_Чувствительность[[#This Row],[O.K.Критерий]]=1),ROW()-ROW(Критерий_Чувствительность[[#Headers],[№]]),"")</f>
        <v>1</v>
      </c>
      <c r="B10" s="150">
        <f>Модель!G22</f>
        <v>4</v>
      </c>
      <c r="C10" s="151"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Модель!R22C7</v>
      </c>
      <c r="D10" s="151" t="str">
        <f ca="1">IFERROR(IF(LEFT(Критерий_Чувствительность[[#This Row],[Фкритерий]],5)="=Прив","Критерий",IF(LEFT(Критерий_Чувствительность[[#This Row],[Фкритерий]],5)="=Матр","ошибка","ошибка")),"ошибка")</f>
        <v>Критерий</v>
      </c>
      <c r="E10" s="151" t="str">
        <f ca="1">IFERROR(IF(LEN((INDIRECT(Критерий_Чувствительность[[#This Row],[СНаименование]],FALSE)))=0,"ошибка",IFERROR(INDIRECT(Критерий_Чувствительность[[#This Row],[СНаименование]],FALSE),"ошибка")),"ошибка")</f>
        <v>X1</v>
      </c>
      <c r="F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Модель!R20C4</v>
      </c>
      <c r="G10" s="152">
        <f ca="1">IFERROR(IF(N(INDIRECT(Критерий_Чувствительность[[#This Row],[СФизКритерий]],FALSE))=0,"ошибка",IFERROR(INDIRECT(Критерий_Чувствительность[[#This Row],[СФизКритерий]],FALSE),"ошибка")),"ошибка")</f>
        <v>100</v>
      </c>
      <c r="H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Модель!R23C7</v>
      </c>
      <c r="I10" s="151" t="s">
        <v>582</v>
      </c>
      <c r="J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Модель!R21C4</v>
      </c>
      <c r="K10" s="151" t="str">
        <f ca="1">IFERROR(_xlfn.FORMULATEXT(INDIRECT(Критерий_Чувствительность[[#This Row],[Скритерий]],FALSE)),"ошибка")</f>
        <v>=Приведение</v>
      </c>
      <c r="L10" s="152">
        <f ca="1">IFERROR(IF(N(INDIRECT(Критерий_Чувствительность[[#This Row],[СМинФизКритерий]],FALSE))="","ошибка",IFERROR(INDIRECT(Критерий_Чувствительность[[#This Row],[СМинФизКритерий]],FALSE),"ошибка")),"ошибка")</f>
        <v>0</v>
      </c>
      <c r="M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Модель!R23C4</v>
      </c>
      <c r="N10" s="152">
        <f ca="1">IFERROR(IF(N(INDIRECT(Критерий_Чувствительность[[#This Row],[СМаксФизКритерий]],FALSE))="","ошибка",IFERROR(INDIRECT(Критерий_Чувствительность[[#This Row],[СМаксФизКритерий]],FALSE),"ошибка")),"ошибка")</f>
        <v>100</v>
      </c>
      <c r="O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Модель!R23C6</v>
      </c>
      <c r="P10" s="152" t="str">
        <f ca="1">IFERROR(IF(N(INDIRECT(Критерий_Чувствительность[[#This Row],[ССрФизКритерий]],FALSE))=0,"ошибка",IFERROR(INDIRECT(Критерий_Чувствительность[[#This Row],[ССрФизКритерий]],FALSE),"ошибка")),"")</f>
        <v/>
      </c>
      <c r="Q10" s="151" t="s">
        <v>583</v>
      </c>
      <c r="R10" s="149">
        <f ca="1">IFERROR(IF(AND(Критерий_Чувствительность[[#This Row],[ВидКритерий]]="Критерий",Критерий_Чувствительность[[#This Row],[Фкритерий]]="=Приведение"),1,-1),-1)</f>
        <v>1</v>
      </c>
      <c r="T10" s="131">
        <f ca="1">IF(AND(Свёртка_Чувствительность[[#This Row],[Свёртка]]&lt;&gt;"",Свёртка_Чувствительность[[#This Row],[O.K.Свёртка]]=1),ROW()-ROW(Свёртка_Чувствительность[[#Headers],[№]]),"")</f>
        <v>1</v>
      </c>
      <c r="U10" s="153">
        <f>Модель!H34</f>
        <v>1</v>
      </c>
      <c r="V10" s="151"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Модель!R34C8</v>
      </c>
      <c r="W10" s="151" t="str">
        <f ca="1">IFERROR(_xlfn.FORMULATEXT(INDIRECT(Свёртка_Чувствительность[[#This Row],[ССвёртка]],FALSE)),"ошибка")</f>
        <v>=Матрица_Расчёт</v>
      </c>
      <c r="X10" s="151" t="str">
        <f ca="1">IFERROR(IF(LEFT(Свёртка_Чувствительность[[#This Row],[ФСвёртка]],5)="=Прив","ошибка",IF(LEFT(Свёртка_Чувствительность[[#This Row],[ФСвёртка]],5)="=Матр","Свёртка","ошибка")),"ошибка")</f>
        <v>Свёртка</v>
      </c>
      <c r="Y10" s="151" t="str">
        <f ca="1">IFERROR(IF(LEN((INDIRECT(Свёртка_Чувствительность[[#This Row],[СНаименование]],FALSE)))=0,"ошибка",IFERROR(INDIRECT(Свёртка_Чувствительность[[#This Row],[СНаименование]],FALSE),"ошибка")),"ошибка")</f>
        <v>Отношение к бизнесу</v>
      </c>
      <c r="Z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Модель!R31C8</v>
      </c>
      <c r="AA10" s="152" t="str">
        <f ca="1">IFERROR(IF(LEN((INDIRECT(Свёртка_Чувствительность[[#This Row],[ССВ_1_1]],FALSE)))=0,"ошибка",IFERROR(INDIRECT(Свёртка_Чувствительность[[#This Row],[ССВ_1_1]],FALSE),"ошибка")),"ошибка")</f>
        <v>F0</v>
      </c>
      <c r="AB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Модель!R34C11</v>
      </c>
      <c r="AC10" s="152" t="str">
        <f ca="1">IFERROR(IF(LEN((INDIRECT(Свёртка_Чувствительность[[#This Row],[ССВ_2_1]],FALSE)))=0,"ошибка",IFERROR(INDIRECT(Свёртка_Чувствительность[[#This Row],[ССВ_2_1]],FALSE),"ошибка")),"ошибка")</f>
        <v>F0</v>
      </c>
      <c r="AD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Модель!R33C11</v>
      </c>
      <c r="AE10" s="152" t="str">
        <f ca="1">IFERROR(IF(LEN((INDIRECT(Свёртка_Чувствительность[[#This Row],[ССВ_1_2]],FALSE)))=0,"ошибка",IFERROR(INDIRECT(Свёртка_Чувствительность[[#This Row],[ССВ_1_2]],FALSE),"ошибка")),"ошибка")</f>
        <v>F1</v>
      </c>
      <c r="AF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Модель!R34C10</v>
      </c>
      <c r="AG10" s="152" t="str">
        <f ca="1">IFERROR(IF(LEN((INDIRECT(Свёртка_Чувствительность[[#This Row],[ССВ_2_2]],FALSE)))=0,"ошибка",IFERROR(INDIRECT(Свёртка_Чувствительность[[#This Row],[ССВ_2_2]],FALSE),"ошибка")),"ошибка")</f>
        <v>F2</v>
      </c>
      <c r="AH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Модель!R33C10</v>
      </c>
      <c r="AI10" s="152" t="str">
        <f ca="1">IFERROR(IF(LEN((INDIRECT(Свёртка_Чувствительность[[#This Row],[ССВ_3_1]],FALSE)))=0,"ошибка",IFERROR(INDIRECT(Свёртка_Чувствительность[[#This Row],[ССВ_3_1]],FALSE),"ошибка")),"ошибка")</f>
        <v>F1</v>
      </c>
      <c r="AJ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Модель!R32C11</v>
      </c>
      <c r="AK10" s="152" t="str">
        <f ca="1">IFERROR(IF(LEN((INDIRECT(Свёртка_Чувствительность[[#This Row],[ССВ_1_3]],FALSE)))=0,"ошибка",IFERROR(INDIRECT(Свёртка_Чувствительность[[#This Row],[ССВ_1_3]],FALSE),"ошибка")),"ошибка")</f>
        <v>F3</v>
      </c>
      <c r="AL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Модель!R34C9</v>
      </c>
      <c r="AM10" s="152" t="str">
        <f ca="1">IFERROR(IF(LEN((INDIRECT(Свёртка_Чувствительность[[#This Row],[ССВ_3_2]],FALSE)))=0,"ошибка",IFERROR(INDIRECT(Свёртка_Чувствительность[[#This Row],[ССВ_3_2]],FALSE),"ошибка")),"ошибка")</f>
        <v>F5</v>
      </c>
      <c r="AN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Модель!R32C10</v>
      </c>
      <c r="AO10" s="152" t="str">
        <f ca="1">IFERROR(IF(LEN((INDIRECT(Свёртка_Чувствительность[[#This Row],[ССВ_2_3]],FALSE)))=0,"ошибка",IFERROR(INDIRECT(Свёртка_Чувствительность[[#This Row],[ССВ_2_3]],FALSE),"ошибка")),"ошибка")</f>
        <v>F1</v>
      </c>
      <c r="AP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Модель!R33C9</v>
      </c>
      <c r="AQ10" s="152" t="str">
        <f ca="1">IFERROR(IF(LEN((INDIRECT(Свёртка_Чувствительность[[#This Row],[ССВ_3_3]],FALSE)))=0,"ошибка",IFERROR(INDIRECT(Свёртка_Чувствительность[[#This Row],[ССВ_3_3]],FALSE),"ошибка")),"ошибка")</f>
        <v>F5</v>
      </c>
      <c r="AR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Модель!R32C9</v>
      </c>
      <c r="AS10" s="151">
        <f ca="1">IFERROR(IF(LEN((INDIRECT(Свёртка_Чувствительность[[#This Row],[СЛ]],FALSE)))=0,"ошибка",IFERROR(INDIRECT(Свёртка_Чувствительность[[#This Row],[СЛ]],FALSE),"ошибка")),"ошибка")</f>
        <v>3</v>
      </c>
      <c r="AT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Модель!R32C8</v>
      </c>
      <c r="AU10" s="151" t="str">
        <f ca="1">IFERROR(_xlfn.FORMULATEXT(INDIRECT(Свёртка_Чувствительность[[#This Row],[СЛ]],FALSE)),"ошибка")</f>
        <v>=R[-4]C</v>
      </c>
      <c r="AV10" s="151">
        <f ca="1">IFERROR(IF(LEN((INDIRECT(Свёртка_Чувствительность[[#This Row],[СП]],FALSE)))=0,"ошибка",IFERROR(INDIRECT(Свёртка_Чувствительность[[#This Row],[СП]],FALSE),"ошибка")),"ошибка")</f>
        <v>1.75</v>
      </c>
      <c r="AW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Модель!R33C8</v>
      </c>
      <c r="AX10" s="151" t="str">
        <f ca="1">IFERROR(_xlfn.FORMULATEXT(INDIRECT(Свёртка_Чувствительность[[#This Row],[СП]],FALSE)),"ошибка")</f>
        <v>=R[-6]C[13]</v>
      </c>
      <c r="AY10"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0" s="131"/>
      <c r="BA10" s="131"/>
      <c r="BC10" s="154">
        <f>IF(AND(Анализ_Чувствительность[[#This Row],[Y]]=1),ROW()-ROW(Анализ_Чувствительность[[#Headers],[№]]),"")</f>
        <v>1</v>
      </c>
      <c r="BD10" s="5" t="s">
        <v>608</v>
      </c>
      <c r="BE10" s="149">
        <v>0.2</v>
      </c>
      <c r="BF10" s="149" t="s">
        <v>573</v>
      </c>
      <c r="BG10" s="5" t="s">
        <v>584</v>
      </c>
      <c r="BH10" s="131">
        <v>1</v>
      </c>
      <c r="BI10" s="131">
        <f>IF(LEN(Анализ_Чувствительность[[#This Row],[Свёртка]])&gt;0,1,-1)</f>
        <v>1</v>
      </c>
      <c r="BJ10" s="131">
        <v>1</v>
      </c>
      <c r="BK10" s="131">
        <f>IF(LEN(Анализ_Чувствительность[[#This Row],[Критерий]])&gt;0,1,-1)</f>
        <v>1</v>
      </c>
      <c r="BL10" s="131" t="s">
        <v>462</v>
      </c>
      <c r="BM10" s="131">
        <f>IF(LEN(Анализ_Чувствительность[[#This Row],[Критерии]])&gt;0,1,-1)</f>
        <v>1</v>
      </c>
      <c r="BN10" s="131">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0" s="131">
        <v>0</v>
      </c>
      <c r="BP10" s="131">
        <v>100</v>
      </c>
      <c r="BT10" s="148">
        <v>2.2999999999999998</v>
      </c>
    </row>
    <row r="11" spans="1:93" x14ac:dyDescent="0.25">
      <c r="A11" s="131">
        <v>2</v>
      </c>
      <c r="B11" s="150">
        <f>Модель!Q22</f>
        <v>3</v>
      </c>
      <c r="C11" s="151"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Модель!R22C17</v>
      </c>
      <c r="D11" s="151" t="str">
        <f ca="1">IFERROR(IF(LEFT(Критерий_Чувствительность[[#This Row],[Фкритерий]],5)="=Прив","Критерий",IF(LEFT(Критерий_Чувствительность[[#This Row],[Фкритерий]],5)="=Матр","ошибка","ошибка")),"ошибка")</f>
        <v>Критерий</v>
      </c>
      <c r="E11" s="151" t="str">
        <f ca="1">IFERROR(IF(LEN((INDIRECT(Критерий_Чувствительность[[#This Row],[СНаименование]],FALSE)))=0,"ошибка",IFERROR(INDIRECT(Критерий_Чувствительность[[#This Row],[СНаименование]],FALSE),"ошибка")),"ошибка")</f>
        <v>X2</v>
      </c>
      <c r="F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Модель!R20C14</v>
      </c>
      <c r="G11" s="152">
        <f ca="1">IFERROR(IF(N(INDIRECT(Критерий_Чувствительность[[#This Row],[СФизКритерий]],FALSE))=0,"ошибка",IFERROR(INDIRECT(Критерий_Чувствительность[[#This Row],[СФизКритерий]],FALSE),"ошибка")),"ошибка")</f>
        <v>2</v>
      </c>
      <c r="H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Модель!R23C17</v>
      </c>
      <c r="I11" s="151" t="s">
        <v>357</v>
      </c>
      <c r="J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Модель!R21C14</v>
      </c>
      <c r="K11" s="151" t="str">
        <f ca="1">IFERROR(_xlfn.FORMULATEXT(INDIRECT(Критерий_Чувствительность[[#This Row],[Скритерий]],FALSE)),"ошибка")</f>
        <v>=Приведение</v>
      </c>
      <c r="L11" s="152">
        <f ca="1">IFERROR(IF(N(INDIRECT(Критерий_Чувствительность[[#This Row],[СМинФизКритерий]],FALSE))="","ошибка",IFERROR(INDIRECT(Критерий_Чувствительность[[#This Row],[СМинФизКритерий]],FALSE),"ошибка")),"ошибка")</f>
        <v>1</v>
      </c>
      <c r="M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Модель!R23C14</v>
      </c>
      <c r="N11" s="152">
        <f ca="1">IFERROR(IF(N(INDIRECT(Критерий_Чувствительность[[#This Row],[СМаксФизКритерий]],FALSE))="","ошибка",IFERROR(INDIRECT(Критерий_Чувствительность[[#This Row],[СМаксФизКритерий]],FALSE),"ошибка")),"ошибка")</f>
        <v>4</v>
      </c>
      <c r="O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Модель!R23C16</v>
      </c>
      <c r="P11" s="152" t="str">
        <f ca="1">IFERROR(IF(N(INDIRECT(Критерий_Чувствительность[[#This Row],[ССрФизКритерий]],FALSE))=0,"ошибка",IFERROR(INDIRECT(Критерий_Чувствительность[[#This Row],[ССрФизКритерий]],FALSE),"ошибка")),"")</f>
        <v/>
      </c>
      <c r="Q11" s="151" t="s">
        <v>583</v>
      </c>
      <c r="R11" s="149">
        <f ca="1">IFERROR(IF(AND(Критерий_Чувствительность[[#This Row],[ВидКритерий]]="Критерий",Критерий_Чувствительность[[#This Row],[Фкритерий]]="=Приведение"),1,-1),-1)</f>
        <v>1</v>
      </c>
      <c r="T11" s="131" t="str">
        <f ca="1">IF(AND(Свёртка_Чувствительность[[#This Row],[Свёртка]]&lt;&gt;"",Свёртка_Чувствительность[[#This Row],[O.K.Свёртка]]=1),ROW()-ROW(Свёртка_Чувствительность[[#Headers],[№]]),"")</f>
        <v/>
      </c>
      <c r="U11" s="153"/>
      <c r="V11" s="151"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ошибка</v>
      </c>
      <c r="W11" s="151" t="str">
        <f ca="1">IFERROR(_xlfn.FORMULATEXT(INDIRECT(Свёртка_Чувствительность[[#This Row],[ССвёртка]],FALSE)),"ошибка")</f>
        <v>ошибка</v>
      </c>
      <c r="X11" s="151" t="str">
        <f ca="1">IFERROR(IF(LEFT(Свёртка_Чувствительность[[#This Row],[ФСвёртка]],5)="=Прив","ошибка",IF(LEFT(Свёртка_Чувствительность[[#This Row],[ФСвёртка]],5)="=Матр","Свёртка","ошибка")),"ошибка")</f>
        <v>ошибка</v>
      </c>
      <c r="Y11" s="151" t="str">
        <f ca="1">IFERROR(IF(LEN((INDIRECT(Свёртка_Чувствительность[[#This Row],[СНаименование]],FALSE)))=0,"ошибка",IFERROR(INDIRECT(Свёртка_Чувствительность[[#This Row],[СНаименование]],FALSE),"ошибка")),"ошибка")</f>
        <v>ошибка</v>
      </c>
      <c r="Z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ошибка</v>
      </c>
      <c r="AA11" s="152" t="str">
        <f ca="1">IFERROR(IF(LEN((INDIRECT(Свёртка_Чувствительность[[#This Row],[ССВ_1_1]],FALSE)))=0,"ошибка",IFERROR(INDIRECT(Свёртка_Чувствительность[[#This Row],[ССВ_1_1]],FALSE),"ошибка")),"ошибка")</f>
        <v>ошибка</v>
      </c>
      <c r="AB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ошибка</v>
      </c>
      <c r="AC11" s="152" t="str">
        <f ca="1">IFERROR(IF(LEN((INDIRECT(Свёртка_Чувствительность[[#This Row],[ССВ_2_1]],FALSE)))=0,"ошибка",IFERROR(INDIRECT(Свёртка_Чувствительность[[#This Row],[ССВ_2_1]],FALSE),"ошибка")),"ошибка")</f>
        <v>ошибка</v>
      </c>
      <c r="AD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ошибка</v>
      </c>
      <c r="AE11" s="152" t="str">
        <f ca="1">IFERROR(IF(LEN((INDIRECT(Свёртка_Чувствительность[[#This Row],[ССВ_1_2]],FALSE)))=0,"ошибка",IFERROR(INDIRECT(Свёртка_Чувствительность[[#This Row],[ССВ_1_2]],FALSE),"ошибка")),"ошибка")</f>
        <v>ошибка</v>
      </c>
      <c r="AF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ошибка</v>
      </c>
      <c r="AG11" s="152" t="str">
        <f ca="1">IFERROR(IF(LEN((INDIRECT(Свёртка_Чувствительность[[#This Row],[ССВ_2_2]],FALSE)))=0,"ошибка",IFERROR(INDIRECT(Свёртка_Чувствительность[[#This Row],[ССВ_2_2]],FALSE),"ошибка")),"ошибка")</f>
        <v>ошибка</v>
      </c>
      <c r="AH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ошибка</v>
      </c>
      <c r="AI11" s="152" t="str">
        <f ca="1">IFERROR(IF(LEN((INDIRECT(Свёртка_Чувствительность[[#This Row],[ССВ_3_1]],FALSE)))=0,"ошибка",IFERROR(INDIRECT(Свёртка_Чувствительность[[#This Row],[ССВ_3_1]],FALSE),"ошибка")),"ошибка")</f>
        <v>ошибка</v>
      </c>
      <c r="AJ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ошибка</v>
      </c>
      <c r="AK11" s="152" t="str">
        <f ca="1">IFERROR(IF(LEN((INDIRECT(Свёртка_Чувствительность[[#This Row],[ССВ_1_3]],FALSE)))=0,"ошибка",IFERROR(INDIRECT(Свёртка_Чувствительность[[#This Row],[ССВ_1_3]],FALSE),"ошибка")),"ошибка")</f>
        <v>ошибка</v>
      </c>
      <c r="AL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ошибка</v>
      </c>
      <c r="AM11" s="152" t="str">
        <f ca="1">IFERROR(IF(LEN((INDIRECT(Свёртка_Чувствительность[[#This Row],[ССВ_3_2]],FALSE)))=0,"ошибка",IFERROR(INDIRECT(Свёртка_Чувствительность[[#This Row],[ССВ_3_2]],FALSE),"ошибка")),"ошибка")</f>
        <v>ошибка</v>
      </c>
      <c r="AN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ошибка</v>
      </c>
      <c r="AO11" s="152" t="str">
        <f ca="1">IFERROR(IF(LEN((INDIRECT(Свёртка_Чувствительность[[#This Row],[ССВ_2_3]],FALSE)))=0,"ошибка",IFERROR(INDIRECT(Свёртка_Чувствительность[[#This Row],[ССВ_2_3]],FALSE),"ошибка")),"ошибка")</f>
        <v>ошибка</v>
      </c>
      <c r="AP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ошибка</v>
      </c>
      <c r="AQ11" s="152" t="str">
        <f ca="1">IFERROR(IF(LEN((INDIRECT(Свёртка_Чувствительность[[#This Row],[ССВ_3_3]],FALSE)))=0,"ошибка",IFERROR(INDIRECT(Свёртка_Чувствительность[[#This Row],[ССВ_3_3]],FALSE),"ошибка")),"ошибка")</f>
        <v>ошибка</v>
      </c>
      <c r="AR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ошибка</v>
      </c>
      <c r="AS11" s="151" t="str">
        <f ca="1">IFERROR(IF(LEN((INDIRECT(Свёртка_Чувствительность[[#This Row],[СЛ]],FALSE)))=0,"ошибка",IFERROR(INDIRECT(Свёртка_Чувствительность[[#This Row],[СЛ]],FALSE),"ошибка")),"ошибка")</f>
        <v>ошибка</v>
      </c>
      <c r="AT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ошибка</v>
      </c>
      <c r="AU11" s="151" t="str">
        <f ca="1">IFERROR(_xlfn.FORMULATEXT(INDIRECT(Свёртка_Чувствительность[[#This Row],[СЛ]],FALSE)),"ошибка")</f>
        <v>ошибка</v>
      </c>
      <c r="AV11" s="151" t="str">
        <f ca="1">IFERROR(IF(LEN((INDIRECT(Свёртка_Чувствительность[[#This Row],[СП]],FALSE)))=0,"ошибка",IFERROR(INDIRECT(Свёртка_Чувствительность[[#This Row],[СП]],FALSE),"ошибка")),"ошибка")</f>
        <v>ошибка</v>
      </c>
      <c r="AW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ошибка</v>
      </c>
      <c r="AX11" s="151" t="str">
        <f ca="1">IFERROR(_xlfn.FORMULATEXT(INDIRECT(Свёртка_Чувствительность[[#This Row],[СП]],FALSE)),"ошибка")</f>
        <v>ошибка</v>
      </c>
      <c r="AY11"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1" s="131"/>
      <c r="BA11" s="131"/>
      <c r="BC11" s="154" t="str">
        <f>IF(AND(Анализ_Чувствительность[[#This Row],[Y]]=1),ROW()-ROW(Анализ_Чувствительность[[#Headers],[№]]),"")</f>
        <v/>
      </c>
      <c r="BD11" s="5"/>
      <c r="BE11" s="149">
        <v>0.2</v>
      </c>
      <c r="BF11" s="149" t="s">
        <v>573</v>
      </c>
      <c r="BG11" s="5" t="s">
        <v>584</v>
      </c>
      <c r="BH11" s="131">
        <v>1</v>
      </c>
      <c r="BI11" s="131">
        <f>IF(LEN(Анализ_Чувствительность[[#This Row],[Свёртка]])&gt;0,1,-1)</f>
        <v>1</v>
      </c>
      <c r="BJ11" s="131">
        <v>2</v>
      </c>
      <c r="BK11" s="131">
        <f>IF(LEN(Анализ_Чувствительность[[#This Row],[Критерий]])&gt;0,1,-1)</f>
        <v>1</v>
      </c>
      <c r="BL11" s="131" t="s">
        <v>462</v>
      </c>
      <c r="BM11" s="131">
        <f>IF(LEN(Анализ_Чувствительность[[#This Row],[Критерии]])&gt;0,1,-1)</f>
        <v>1</v>
      </c>
      <c r="BN11" s="131">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1" s="131">
        <v>0</v>
      </c>
      <c r="BP11" s="131">
        <v>100</v>
      </c>
      <c r="BT11" s="148">
        <v>2.2000000000000002</v>
      </c>
    </row>
    <row r="12" spans="1:93" x14ac:dyDescent="0.25">
      <c r="A12" s="131">
        <f ca="1">IF(AND(Критерий_Чувствительность[[#This Row],[Критерий]]&lt;&gt;"",Критерий_Чувствительность[[#This Row],[O.K.Критерий]]=1),ROW()-ROW(Критерий_Чувствительность[[#Headers],[№]]),"")</f>
        <v>3</v>
      </c>
      <c r="B12" s="150">
        <f>Модель!U27</f>
        <v>1.75</v>
      </c>
      <c r="C12" s="151"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Модель!R27C21</v>
      </c>
      <c r="D12" s="151" t="str">
        <f ca="1">IFERROR(IF(LEFT(Критерий_Чувствительность[[#This Row],[Фкритерий]],5)="=Прив","Критерий",IF(LEFT(Критерий_Чувствительность[[#This Row],[Фкритерий]],5)="=Матр","ошибка","ошибка")),"ошибка")</f>
        <v>Критерий</v>
      </c>
      <c r="E12" s="151" t="str">
        <f ca="1">IFERROR(IF(LEN((INDIRECT(Критерий_Чувствительность[[#This Row],[СНаименование]],FALSE)))=0,"ошибка",IFERROR(INDIRECT(Критерий_Чувствительность[[#This Row],[СНаименование]],FALSE),"ошибка")),"ошибка")</f>
        <v>Перспективы рынка</v>
      </c>
      <c r="F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Модель!R25C18</v>
      </c>
      <c r="G12" s="152">
        <f ca="1">IFERROR(IF(N(INDIRECT(Критерий_Чувствительность[[#This Row],[СФизКритерий]],FALSE))=0,"ошибка",IFERROR(INDIRECT(Критерий_Чувствительность[[#This Row],[СФизКритерий]],FALSE),"ошибка")),"ошибка")</f>
        <v>2</v>
      </c>
      <c r="H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Модель!R28C21</v>
      </c>
      <c r="I12" s="151" t="s">
        <v>359</v>
      </c>
      <c r="J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Модель!R26C18</v>
      </c>
      <c r="K12" s="151" t="str">
        <f ca="1">IFERROR(_xlfn.FORMULATEXT(INDIRECT(Критерий_Чувствительность[[#This Row],[Скритерий]],FALSE)),"ошибка")</f>
        <v>=Приведение</v>
      </c>
      <c r="L12" s="152">
        <f ca="1">IFERROR(IF(N(INDIRECT(Критерий_Чувствительность[[#This Row],[СМинФизКритерий]],FALSE))="","ошибка",IFERROR(INDIRECT(Критерий_Чувствительность[[#This Row],[СМинФизКритерий]],FALSE),"ошибка")),"ошибка")</f>
        <v>1</v>
      </c>
      <c r="M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Модель!R28C18</v>
      </c>
      <c r="N12" s="152">
        <f ca="1">IFERROR(IF(N(INDIRECT(Критерий_Чувствительность[[#This Row],[СМаксФизКритерий]],FALSE))="","ошибка",IFERROR(INDIRECT(Критерий_Чувствительность[[#This Row],[СМаксФизКритерий]],FALSE),"ошибка")),"ошибка")</f>
        <v>5</v>
      </c>
      <c r="O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Модель!R28C20</v>
      </c>
      <c r="P12" s="152" t="str">
        <f ca="1">IFERROR(IF(N(INDIRECT(Критерий_Чувствительность[[#This Row],[ССрФизКритерий]],FALSE))=0,"ошибка",IFERROR(INDIRECT(Критерий_Чувствительность[[#This Row],[ССрФизКритерий]],FALSE),"ошибка")),"")</f>
        <v>ошибка</v>
      </c>
      <c r="Q12" s="151" t="s">
        <v>585</v>
      </c>
      <c r="R12" s="149">
        <f ca="1">IFERROR(IF(AND(Критерий_Чувствительность[[#This Row],[ВидКритерий]]="Критерий",Критерий_Чувствительность[[#This Row],[Фкритерий]]="=Приведение"),1,-1),-1)</f>
        <v>1</v>
      </c>
      <c r="T12" s="131" t="str">
        <f ca="1">IF(AND(Свёртка_Чувствительность[[#This Row],[Свёртка]]&lt;&gt;"",Свёртка_Чувствительность[[#This Row],[O.K.Свёртка]]=1),ROW()-ROW(Свёртка_Чувствительность[[#Headers],[№]]),"")</f>
        <v/>
      </c>
      <c r="U12" s="153"/>
      <c r="V12" s="151"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ошибка</v>
      </c>
      <c r="W12" s="151" t="str">
        <f ca="1">IFERROR(_xlfn.FORMULATEXT(INDIRECT(Свёртка_Чувствительность[[#This Row],[ССвёртка]],FALSE)),"ошибка")</f>
        <v>ошибка</v>
      </c>
      <c r="X12" s="151" t="str">
        <f ca="1">IFERROR(IF(LEFT(Свёртка_Чувствительность[[#This Row],[ФСвёртка]],5)="=Прив","ошибка",IF(LEFT(Свёртка_Чувствительность[[#This Row],[ФСвёртка]],5)="=Матр","Свёртка","ошибка")),"ошибка")</f>
        <v>ошибка</v>
      </c>
      <c r="Y12" s="151" t="str">
        <f ca="1">IFERROR(IF(LEN((INDIRECT(Свёртка_Чувствительность[[#This Row],[СНаименование]],FALSE)))=0,"ошибка",IFERROR(INDIRECT(Свёртка_Чувствительность[[#This Row],[СНаименование]],FALSE),"ошибка")),"ошибка")</f>
        <v>ошибка</v>
      </c>
      <c r="Z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ошибка</v>
      </c>
      <c r="AA12" s="152" t="str">
        <f ca="1">IFERROR(IF(LEN((INDIRECT(Свёртка_Чувствительность[[#This Row],[ССВ_1_1]],FALSE)))=0,"ошибка",IFERROR(INDIRECT(Свёртка_Чувствительность[[#This Row],[ССВ_1_1]],FALSE),"ошибка")),"ошибка")</f>
        <v>ошибка</v>
      </c>
      <c r="AB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ошибка</v>
      </c>
      <c r="AC12" s="152" t="str">
        <f ca="1">IFERROR(IF(LEN((INDIRECT(Свёртка_Чувствительность[[#This Row],[ССВ_2_1]],FALSE)))=0,"ошибка",IFERROR(INDIRECT(Свёртка_Чувствительность[[#This Row],[ССВ_2_1]],FALSE),"ошибка")),"ошибка")</f>
        <v>ошибка</v>
      </c>
      <c r="AD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ошибка</v>
      </c>
      <c r="AE12" s="152" t="str">
        <f ca="1">IFERROR(IF(LEN((INDIRECT(Свёртка_Чувствительность[[#This Row],[ССВ_1_2]],FALSE)))=0,"ошибка",IFERROR(INDIRECT(Свёртка_Чувствительность[[#This Row],[ССВ_1_2]],FALSE),"ошибка")),"ошибка")</f>
        <v>ошибка</v>
      </c>
      <c r="AF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ошибка</v>
      </c>
      <c r="AG12" s="152" t="str">
        <f ca="1">IFERROR(IF(LEN((INDIRECT(Свёртка_Чувствительность[[#This Row],[ССВ_2_2]],FALSE)))=0,"ошибка",IFERROR(INDIRECT(Свёртка_Чувствительность[[#This Row],[ССВ_2_2]],FALSE),"ошибка")),"ошибка")</f>
        <v>ошибка</v>
      </c>
      <c r="AH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ошибка</v>
      </c>
      <c r="AI12" s="152" t="str">
        <f ca="1">IFERROR(IF(LEN((INDIRECT(Свёртка_Чувствительность[[#This Row],[ССВ_3_1]],FALSE)))=0,"ошибка",IFERROR(INDIRECT(Свёртка_Чувствительность[[#This Row],[ССВ_3_1]],FALSE),"ошибка")),"ошибка")</f>
        <v>ошибка</v>
      </c>
      <c r="AJ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ошибка</v>
      </c>
      <c r="AK12" s="152" t="str">
        <f ca="1">IFERROR(IF(LEN((INDIRECT(Свёртка_Чувствительность[[#This Row],[ССВ_1_3]],FALSE)))=0,"ошибка",IFERROR(INDIRECT(Свёртка_Чувствительность[[#This Row],[ССВ_1_3]],FALSE),"ошибка")),"ошибка")</f>
        <v>ошибка</v>
      </c>
      <c r="AL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ошибка</v>
      </c>
      <c r="AM12" s="152" t="str">
        <f ca="1">IFERROR(IF(LEN((INDIRECT(Свёртка_Чувствительность[[#This Row],[ССВ_3_2]],FALSE)))=0,"ошибка",IFERROR(INDIRECT(Свёртка_Чувствительность[[#This Row],[ССВ_3_2]],FALSE),"ошибка")),"ошибка")</f>
        <v>ошибка</v>
      </c>
      <c r="AN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ошибка</v>
      </c>
      <c r="AO12" s="152" t="str">
        <f ca="1">IFERROR(IF(LEN((INDIRECT(Свёртка_Чувствительность[[#This Row],[ССВ_2_3]],FALSE)))=0,"ошибка",IFERROR(INDIRECT(Свёртка_Чувствительность[[#This Row],[ССВ_2_3]],FALSE),"ошибка")),"ошибка")</f>
        <v>ошибка</v>
      </c>
      <c r="AP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ошибка</v>
      </c>
      <c r="AQ12" s="152" t="str">
        <f ca="1">IFERROR(IF(LEN((INDIRECT(Свёртка_Чувствительность[[#This Row],[ССВ_3_3]],FALSE)))=0,"ошибка",IFERROR(INDIRECT(Свёртка_Чувствительность[[#This Row],[ССВ_3_3]],FALSE),"ошибка")),"ошибка")</f>
        <v>ошибка</v>
      </c>
      <c r="AR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ошибка</v>
      </c>
      <c r="AS12" s="151" t="str">
        <f ca="1">IFERROR(IF(LEN((INDIRECT(Свёртка_Чувствительность[[#This Row],[СЛ]],FALSE)))=0,"ошибка",IFERROR(INDIRECT(Свёртка_Чувствительность[[#This Row],[СЛ]],FALSE),"ошибка")),"ошибка")</f>
        <v>ошибка</v>
      </c>
      <c r="AT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ошибка</v>
      </c>
      <c r="AU12" s="151" t="str">
        <f ca="1">IFERROR(_xlfn.FORMULATEXT(INDIRECT(Свёртка_Чувствительность[[#This Row],[СЛ]],FALSE)),"ошибка")</f>
        <v>ошибка</v>
      </c>
      <c r="AV12" s="151" t="str">
        <f ca="1">IFERROR(IF(LEN((INDIRECT(Свёртка_Чувствительность[[#This Row],[СП]],FALSE)))=0,"ошибка",IFERROR(INDIRECT(Свёртка_Чувствительность[[#This Row],[СП]],FALSE),"ошибка")),"ошибка")</f>
        <v>ошибка</v>
      </c>
      <c r="AW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ошибка</v>
      </c>
      <c r="AX12" s="151" t="str">
        <f ca="1">IFERROR(_xlfn.FORMULATEXT(INDIRECT(Свёртка_Чувствительность[[#This Row],[СП]],FALSE)),"ошибка")</f>
        <v>ошибка</v>
      </c>
      <c r="AY12"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2" s="131"/>
      <c r="BA12" s="131"/>
      <c r="BC12" s="154" t="str">
        <f>IF(AND(Анализ_Чувствительность[[#This Row],[Y]]=1),ROW()-ROW(Анализ_Чувствительность[[#Headers],[№]]),"")</f>
        <v/>
      </c>
      <c r="BD12" s="5"/>
      <c r="BE12" s="149">
        <v>0.2</v>
      </c>
      <c r="BF12" s="149" t="s">
        <v>573</v>
      </c>
      <c r="BG12" s="5" t="s">
        <v>584</v>
      </c>
      <c r="BH12" s="131">
        <v>1</v>
      </c>
      <c r="BI12" s="131">
        <f>IF(LEN(Анализ_Чувствительность[[#This Row],[Свёртка]])&gt;0,1,-1)</f>
        <v>1</v>
      </c>
      <c r="BJ12" s="131">
        <v>3</v>
      </c>
      <c r="BK12" s="131">
        <f>IF(LEN(Анализ_Чувствительность[[#This Row],[Критерий]])&gt;0,1,-1)</f>
        <v>1</v>
      </c>
      <c r="BL12" s="131" t="s">
        <v>462</v>
      </c>
      <c r="BM12" s="131">
        <f>IF(LEN(Анализ_Чувствительность[[#This Row],[Критерии]])&gt;0,1,-1)</f>
        <v>1</v>
      </c>
      <c r="BN12" s="131">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2" s="131">
        <v>0</v>
      </c>
      <c r="BP12" s="131">
        <v>100</v>
      </c>
      <c r="BU12" s="155"/>
      <c r="BV12" s="155"/>
      <c r="BW12" s="155"/>
      <c r="BX12" s="155"/>
      <c r="BY12" s="155"/>
      <c r="BZ12" s="155"/>
      <c r="CA12" s="155"/>
      <c r="CB12" s="155"/>
      <c r="CC12" s="155"/>
      <c r="CD12" s="155"/>
      <c r="CE12" s="155"/>
      <c r="CF12" s="155"/>
      <c r="CG12" s="155"/>
      <c r="CH12" s="155"/>
      <c r="CI12" s="155"/>
      <c r="CJ12" s="155"/>
      <c r="CK12" s="155"/>
      <c r="CL12" s="155"/>
      <c r="CM12" s="155"/>
      <c r="CN12" s="155"/>
      <c r="CO12" s="155"/>
    </row>
    <row r="13" spans="1:93" x14ac:dyDescent="0.25">
      <c r="A13" s="66" t="str">
        <f ca="1">IF(AND(Критерий_Чувствительность[[#This Row],[Критерий]]&lt;&gt;"",Критерий_Чувствительность[[#This Row],[O.K.Критерий]]=1),ROW()-ROW(Критерий_Чувствительность[[#Headers],[№]]),"")</f>
        <v/>
      </c>
      <c r="B13" s="150"/>
      <c r="C13"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ошибка</v>
      </c>
      <c r="D13" t="str">
        <f ca="1">IFERROR(IF(LEFT(Критерий_Чувствительность[[#This Row],[Фкритерий]],5)="=Прив","Критерий",IF(LEFT(Критерий_Чувствительность[[#This Row],[Фкритерий]],5)="=Матр","ошибка","ошибка")),"ошибка")</f>
        <v>ошибка</v>
      </c>
      <c r="E13" t="str">
        <f ca="1">IFERROR(IF(LEN((INDIRECT(Критерий_Чувствительность[[#This Row],[СНаименование]],FALSE)))=0,"ошибка",IFERROR(INDIRECT(Критерий_Чувствительность[[#This Row],[СНаименование]],FALSE),"ошибка")),"ошибка")</f>
        <v>ошибка</v>
      </c>
      <c r="F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ошибка</v>
      </c>
      <c r="G13" t="str">
        <f ca="1">IFERROR(IF(N(INDIRECT(Критерий_Чувствительность[[#This Row],[СФизКритерий]],FALSE))=0,"ошибка",IFERROR(INDIRECT(Критерий_Чувствительность[[#This Row],[СФизКритерий]],FALSE),"ошибка")),"ошибка")</f>
        <v>ошибка</v>
      </c>
      <c r="H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ошибка</v>
      </c>
      <c r="I13"/>
      <c r="J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ошибка</v>
      </c>
      <c r="K13" t="str">
        <f ca="1">IFERROR(_xlfn.FORMULATEXT(INDIRECT(Критерий_Чувствительность[[#This Row],[Скритерий]],FALSE)),"ошибка")</f>
        <v>ошибка</v>
      </c>
      <c r="L13" t="str">
        <f ca="1">IFERROR(IF(N(INDIRECT(Критерий_Чувствительность[[#This Row],[СМинФизКритерий]],FALSE))="","ошибка",IFERROR(INDIRECT(Критерий_Чувствительность[[#This Row],[СМинФизКритерий]],FALSE),"ошибка")),"ошибка")</f>
        <v>ошибка</v>
      </c>
      <c r="M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ошибка</v>
      </c>
      <c r="N13" t="str">
        <f ca="1">IFERROR(IF(N(INDIRECT(Критерий_Чувствительность[[#This Row],[СМаксФизКритерий]],FALSE))="","ошибка",IFERROR(INDIRECT(Критерий_Чувствительность[[#This Row],[СМаксФизКритерий]],FALSE),"ошибка")),"ошибка")</f>
        <v>ошибка</v>
      </c>
      <c r="O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ошибка</v>
      </c>
      <c r="P13" t="str">
        <f ca="1">IFERROR(IF(N(INDIRECT(Критерий_Чувствительность[[#This Row],[ССрФизКритерий]],FALSE))=0,"ошибка",IFERROR(INDIRECT(Критерий_Чувствительность[[#This Row],[ССрФизКритерий]],FALSE),"ошибка")),"")</f>
        <v/>
      </c>
      <c r="Q13"/>
      <c r="R13" s="149">
        <f ca="1">IFERROR(IF(AND(Критерий_Чувствительность[[#This Row],[ВидКритерий]]="Критерий",Критерий_Чувствительность[[#This Row],[Фкритерий]]="=Приведение"),1,-1),-1)</f>
        <v>-1</v>
      </c>
      <c r="T13" s="66" t="str">
        <f ca="1">IF(AND(Свёртка_Чувствительность[[#This Row],[Свёртка]]&lt;&gt;"",Свёртка_Чувствительность[[#This Row],[O.K.Свёртка]]=1),ROW()-ROW(Свёртка_Чувствительность[[#Headers],[№]]),"")</f>
        <v/>
      </c>
      <c r="U13" s="153"/>
      <c r="V13"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ошибка</v>
      </c>
      <c r="W13" t="str">
        <f ca="1">IFERROR(_xlfn.FORMULATEXT(INDIRECT(Свёртка_Чувствительность[[#This Row],[ССвёртка]],FALSE)),"ошибка")</f>
        <v>ошибка</v>
      </c>
      <c r="X13" t="str">
        <f ca="1">IFERROR(IF(LEFT(Свёртка_Чувствительность[[#This Row],[ФСвёртка]],5)="=Прив","ошибка",IF(LEFT(Свёртка_Чувствительность[[#This Row],[ФСвёртка]],5)="=Матр","Свёртка","ошибка")),"ошибка")</f>
        <v>ошибка</v>
      </c>
      <c r="Y13" t="str">
        <f ca="1">IFERROR(IF(LEN((INDIRECT(Свёртка_Чувствительность[[#This Row],[СНаименование]],FALSE)))=0,"ошибка",IFERROR(INDIRECT(Свёртка_Чувствительность[[#This Row],[СНаименование]],FALSE),"ошибка")),"ошибка")</f>
        <v>ошибка</v>
      </c>
      <c r="Z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ошибка</v>
      </c>
      <c r="AA13" s="5" t="str">
        <f ca="1">IFERROR(IF(LEN((INDIRECT(Свёртка_Чувствительность[[#This Row],[ССВ_1_1]],FALSE)))=0,"ошибка",IFERROR(INDIRECT(Свёртка_Чувствительность[[#This Row],[ССВ_1_1]],FALSE),"ошибка")),"ошибка")</f>
        <v>ошибка</v>
      </c>
      <c r="AB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ошибка</v>
      </c>
      <c r="AC13" s="5" t="str">
        <f ca="1">IFERROR(IF(LEN((INDIRECT(Свёртка_Чувствительность[[#This Row],[ССВ_2_1]],FALSE)))=0,"ошибка",IFERROR(INDIRECT(Свёртка_Чувствительность[[#This Row],[ССВ_2_1]],FALSE),"ошибка")),"ошибка")</f>
        <v>ошибка</v>
      </c>
      <c r="AD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ошибка</v>
      </c>
      <c r="AE13" s="5" t="str">
        <f ca="1">IFERROR(IF(LEN((INDIRECT(Свёртка_Чувствительность[[#This Row],[ССВ_1_2]],FALSE)))=0,"ошибка",IFERROR(INDIRECT(Свёртка_Чувствительность[[#This Row],[ССВ_1_2]],FALSE),"ошибка")),"ошибка")</f>
        <v>ошибка</v>
      </c>
      <c r="AF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ошибка</v>
      </c>
      <c r="AG13" s="5" t="str">
        <f ca="1">IFERROR(IF(LEN((INDIRECT(Свёртка_Чувствительность[[#This Row],[ССВ_2_2]],FALSE)))=0,"ошибка",IFERROR(INDIRECT(Свёртка_Чувствительность[[#This Row],[ССВ_2_2]],FALSE),"ошибка")),"ошибка")</f>
        <v>ошибка</v>
      </c>
      <c r="AH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ошибка</v>
      </c>
      <c r="AI13" s="5" t="str">
        <f ca="1">IFERROR(IF(LEN((INDIRECT(Свёртка_Чувствительность[[#This Row],[ССВ_3_1]],FALSE)))=0,"ошибка",IFERROR(INDIRECT(Свёртка_Чувствительность[[#This Row],[ССВ_3_1]],FALSE),"ошибка")),"ошибка")</f>
        <v>ошибка</v>
      </c>
      <c r="AJ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ошибка</v>
      </c>
      <c r="AK13" s="5" t="str">
        <f ca="1">IFERROR(IF(LEN((INDIRECT(Свёртка_Чувствительность[[#This Row],[ССВ_1_3]],FALSE)))=0,"ошибка",IFERROR(INDIRECT(Свёртка_Чувствительность[[#This Row],[ССВ_1_3]],FALSE),"ошибка")),"ошибка")</f>
        <v>ошибка</v>
      </c>
      <c r="AL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ошибка</v>
      </c>
      <c r="AM13" s="5" t="str">
        <f ca="1">IFERROR(IF(LEN((INDIRECT(Свёртка_Чувствительность[[#This Row],[ССВ_3_2]],FALSE)))=0,"ошибка",IFERROR(INDIRECT(Свёртка_Чувствительность[[#This Row],[ССВ_3_2]],FALSE),"ошибка")),"ошибка")</f>
        <v>ошибка</v>
      </c>
      <c r="AN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ошибка</v>
      </c>
      <c r="AO13" s="5" t="str">
        <f ca="1">IFERROR(IF(LEN((INDIRECT(Свёртка_Чувствительность[[#This Row],[ССВ_2_3]],FALSE)))=0,"ошибка",IFERROR(INDIRECT(Свёртка_Чувствительность[[#This Row],[ССВ_2_3]],FALSE),"ошибка")),"ошибка")</f>
        <v>ошибка</v>
      </c>
      <c r="AP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ошибка</v>
      </c>
      <c r="AQ13" s="5" t="str">
        <f ca="1">IFERROR(IF(LEN((INDIRECT(Свёртка_Чувствительность[[#This Row],[ССВ_3_3]],FALSE)))=0,"ошибка",IFERROR(INDIRECT(Свёртка_Чувствительность[[#This Row],[ССВ_3_3]],FALSE),"ошибка")),"ошибка")</f>
        <v>ошибка</v>
      </c>
      <c r="AR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ошибка</v>
      </c>
      <c r="AS13" t="str">
        <f ca="1">IFERROR(IF(LEN((INDIRECT(Свёртка_Чувствительность[[#This Row],[СЛ]],FALSE)))=0,"ошибка",IFERROR(INDIRECT(Свёртка_Чувствительность[[#This Row],[СЛ]],FALSE),"ошибка")),"ошибка")</f>
        <v>ошибка</v>
      </c>
      <c r="AT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ошибка</v>
      </c>
      <c r="AU13" t="str">
        <f ca="1">IFERROR(_xlfn.FORMULATEXT(INDIRECT(Свёртка_Чувствительность[[#This Row],[СЛ]],FALSE)),"ошибка")</f>
        <v>ошибка</v>
      </c>
      <c r="AV13" t="str">
        <f ca="1">IFERROR(IF(LEN((INDIRECT(Свёртка_Чувствительность[[#This Row],[СП]],FALSE)))=0,"ошибка",IFERROR(INDIRECT(Свёртка_Чувствительность[[#This Row],[СП]],FALSE),"ошибка")),"ошибка")</f>
        <v>ошибка</v>
      </c>
      <c r="AW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ошибка</v>
      </c>
      <c r="AX13" t="str">
        <f ca="1">IFERROR(_xlfn.FORMULATEXT(INDIRECT(Свёртка_Чувствительность[[#This Row],[СП]],FALSE)),"ошибка")</f>
        <v>ошибка</v>
      </c>
      <c r="AY13"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3" s="131"/>
      <c r="BA13" s="131"/>
      <c r="BB13" t="s">
        <v>586</v>
      </c>
      <c r="BC13" s="154" t="str">
        <f>IF(AND(Анализ_Чувствительность[[#This Row],[Y]]=1),ROW()-ROW(Анализ_Чувствительность[[#Headers],[№]]),"")</f>
        <v/>
      </c>
      <c r="BD13" s="5"/>
      <c r="BE13" s="149">
        <v>0.2</v>
      </c>
      <c r="BF13" s="149" t="s">
        <v>573</v>
      </c>
      <c r="BG13" s="5" t="s">
        <v>587</v>
      </c>
      <c r="BH13" s="131"/>
      <c r="BI13" s="131">
        <f>IF(LEN(Анализ_Чувствительность[[#This Row],[Свёртка]])&gt;0,1,-1)</f>
        <v>-1</v>
      </c>
      <c r="BJ13" s="131"/>
      <c r="BK13" s="154">
        <f>IF(LEN(Анализ_Чувствительность[[#This Row],[Критерий]])&gt;0,1,-1)</f>
        <v>-1</v>
      </c>
      <c r="BL13" s="131"/>
      <c r="BM13" s="154">
        <f>IF(LEN(Анализ_Чувствительность[[#This Row],[Критерии]])&gt;0,1,-1)</f>
        <v>-1</v>
      </c>
      <c r="BN13"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3" s="131"/>
      <c r="BP13" s="131"/>
      <c r="BU13" s="155"/>
      <c r="BV13" s="155"/>
      <c r="BW13" s="155"/>
      <c r="BX13" s="155"/>
      <c r="BY13" s="155"/>
      <c r="BZ13" s="155"/>
      <c r="CA13" s="155"/>
      <c r="CB13" s="155"/>
      <c r="CC13" s="155"/>
      <c r="CD13" s="155"/>
      <c r="CE13" s="155"/>
      <c r="CF13" s="155"/>
      <c r="CG13" s="155"/>
      <c r="CH13" s="155"/>
      <c r="CI13" s="155"/>
      <c r="CJ13" s="155"/>
      <c r="CK13" s="155"/>
      <c r="CL13" s="155"/>
      <c r="CM13" s="155"/>
      <c r="CN13" s="155"/>
      <c r="CO13" s="155"/>
    </row>
    <row r="14" spans="1:93" x14ac:dyDescent="0.25">
      <c r="A14" s="66" t="str">
        <f ca="1">IF(AND(Критерий_Чувствительность[[#This Row],[Критерий]]&lt;&gt;"",Критерий_Чувствительность[[#This Row],[O.K.Критерий]]=1),ROW()-ROW(Критерий_Чувствительность[[#Headers],[№]]),"")</f>
        <v/>
      </c>
      <c r="B14" s="150"/>
      <c r="C14"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ошибка</v>
      </c>
      <c r="D14" t="str">
        <f ca="1">IFERROR(IF(LEFT(Критерий_Чувствительность[[#This Row],[Фкритерий]],5)="=Прив","Критерий",IF(LEFT(Критерий_Чувствительность[[#This Row],[Фкритерий]],5)="=Матр","ошибка","ошибка")),"ошибка")</f>
        <v>ошибка</v>
      </c>
      <c r="E14" t="str">
        <f ca="1">IFERROR(IF(LEN((INDIRECT(Критерий_Чувствительность[[#This Row],[СНаименование]],FALSE)))=0,"ошибка",IFERROR(INDIRECT(Критерий_Чувствительность[[#This Row],[СНаименование]],FALSE),"ошибка")),"ошибка")</f>
        <v>ошибка</v>
      </c>
      <c r="F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ошибка</v>
      </c>
      <c r="G14" t="str">
        <f ca="1">IFERROR(IF(N(INDIRECT(Критерий_Чувствительность[[#This Row],[СФизКритерий]],FALSE))=0,"ошибка",IFERROR(INDIRECT(Критерий_Чувствительность[[#This Row],[СФизКритерий]],FALSE),"ошибка")),"ошибка")</f>
        <v>ошибка</v>
      </c>
      <c r="H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ошибка</v>
      </c>
      <c r="I14"/>
      <c r="J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ошибка</v>
      </c>
      <c r="K14" t="str">
        <f ca="1">IFERROR(_xlfn.FORMULATEXT(INDIRECT(Критерий_Чувствительность[[#This Row],[Скритерий]],FALSE)),"ошибка")</f>
        <v>ошибка</v>
      </c>
      <c r="L14" t="str">
        <f ca="1">IFERROR(IF(N(INDIRECT(Критерий_Чувствительность[[#This Row],[СМинФизКритерий]],FALSE))="","ошибка",IFERROR(INDIRECT(Критерий_Чувствительность[[#This Row],[СМинФизКритерий]],FALSE),"ошибка")),"ошибка")</f>
        <v>ошибка</v>
      </c>
      <c r="M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ошибка</v>
      </c>
      <c r="N14" t="str">
        <f ca="1">IFERROR(IF(N(INDIRECT(Критерий_Чувствительность[[#This Row],[СМаксФизКритерий]],FALSE))="","ошибка",IFERROR(INDIRECT(Критерий_Чувствительность[[#This Row],[СМаксФизКритерий]],FALSE),"ошибка")),"ошибка")</f>
        <v>ошибка</v>
      </c>
      <c r="O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ошибка</v>
      </c>
      <c r="P14" t="str">
        <f ca="1">IFERROR(IF(N(INDIRECT(Критерий_Чувствительность[[#This Row],[ССрФизКритерий]],FALSE))=0,"ошибка",IFERROR(INDIRECT(Критерий_Чувствительность[[#This Row],[ССрФизКритерий]],FALSE),"ошибка")),"")</f>
        <v/>
      </c>
      <c r="Q14"/>
      <c r="R14" s="149">
        <f ca="1">IFERROR(IF(AND(Критерий_Чувствительность[[#This Row],[ВидКритерий]]="Критерий",Критерий_Чувствительность[[#This Row],[Фкритерий]]="=Приведение"),1,-1),-1)</f>
        <v>-1</v>
      </c>
      <c r="T14"/>
      <c r="U14"/>
      <c r="V14"/>
      <c r="W14"/>
      <c r="X14"/>
      <c r="Y14"/>
      <c r="Z14"/>
      <c r="AA14"/>
      <c r="AB14"/>
      <c r="AC14"/>
      <c r="AD14"/>
      <c r="AE14"/>
      <c r="AF14"/>
      <c r="AG14"/>
      <c r="AH14"/>
      <c r="AI14"/>
      <c r="AJ14"/>
      <c r="AK14"/>
      <c r="AL14"/>
      <c r="AM14"/>
      <c r="AN14"/>
      <c r="AO14"/>
      <c r="AP14"/>
      <c r="AQ14"/>
      <c r="AR14"/>
      <c r="AS14"/>
      <c r="AT14"/>
      <c r="AU14"/>
      <c r="AV14"/>
      <c r="AW14"/>
      <c r="AX14"/>
      <c r="AZ14" s="131"/>
      <c r="BA14" s="131"/>
      <c r="BC14" s="154" t="str">
        <f>IF(AND(Анализ_Чувствительность[[#This Row],[Y]]=1),ROW()-ROW(Анализ_Чувствительность[[#Headers],[№]]),"")</f>
        <v/>
      </c>
      <c r="BD14" s="5"/>
      <c r="BE14" s="149">
        <v>0.2</v>
      </c>
      <c r="BF14" s="149" t="s">
        <v>573</v>
      </c>
      <c r="BG14" s="5" t="s">
        <v>588</v>
      </c>
      <c r="BH14" s="131"/>
      <c r="BI14" s="131">
        <f>IF(LEN(Анализ_Чувствительность[[#This Row],[Свёртка]])&gt;0,1,-1)</f>
        <v>-1</v>
      </c>
      <c r="BJ14" s="131"/>
      <c r="BK14" s="154">
        <f>IF(LEN(Анализ_Чувствительность[[#This Row],[Критерий]])&gt;0,1,-1)</f>
        <v>-1</v>
      </c>
      <c r="BL14" s="131"/>
      <c r="BM14" s="154">
        <f>IF(LEN(Анализ_Чувствительность[[#This Row],[Критерии]])&gt;0,1,-1)</f>
        <v>-1</v>
      </c>
      <c r="BN14"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4" s="131"/>
      <c r="BP14" s="131"/>
      <c r="BU14" s="155"/>
      <c r="BV14" s="155"/>
      <c r="BW14" s="155"/>
      <c r="BX14" s="155"/>
      <c r="BY14" s="155"/>
      <c r="BZ14" s="155"/>
      <c r="CA14" s="155"/>
      <c r="CB14" s="155"/>
      <c r="CC14" s="155"/>
      <c r="CD14" s="155"/>
      <c r="CE14" s="155"/>
      <c r="CF14" s="155"/>
      <c r="CG14" s="155"/>
      <c r="CH14" s="155"/>
      <c r="CI14" s="155"/>
      <c r="CJ14" s="155"/>
      <c r="CK14" s="155"/>
      <c r="CL14" s="155"/>
      <c r="CM14" s="155"/>
      <c r="CN14" s="155"/>
      <c r="CO14" s="155"/>
    </row>
    <row r="15" spans="1:93" x14ac:dyDescent="0.25">
      <c r="A15" s="66" t="str">
        <f ca="1">IF(AND(Критерий_Чувствительность[[#This Row],[Критерий]]&lt;&gt;"",Критерий_Чувствительность[[#This Row],[O.K.Критерий]]=1),ROW()-ROW(Критерий_Чувствительность[[#Headers],[№]]),"")</f>
        <v/>
      </c>
      <c r="B15" s="138"/>
      <c r="C15"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ошибка</v>
      </c>
      <c r="D15" t="str">
        <f ca="1">IFERROR(IF(LEFT(Критерий_Чувствительность[[#This Row],[Фкритерий]],5)="=Прив","Критерий",IF(LEFT(Критерий_Чувствительность[[#This Row],[Фкритерий]],5)="=Матр","ошибка","ошибка")),"ошибка")</f>
        <v>ошибка</v>
      </c>
      <c r="E15" t="str">
        <f ca="1">IFERROR(IF(LEN((INDIRECT(Критерий_Чувствительность[[#This Row],[СНаименование]],FALSE)))=0,"ошибка",IFERROR(INDIRECT(Критерий_Чувствительность[[#This Row],[СНаименование]],FALSE),"ошибка")),"ошибка")</f>
        <v>ошибка</v>
      </c>
      <c r="F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ошибка</v>
      </c>
      <c r="G15" t="str">
        <f ca="1">IFERROR(IF(N(INDIRECT(Критерий_Чувствительность[[#This Row],[СФизКритерий]],FALSE))=0,"ошибка",IFERROR(INDIRECT(Критерий_Чувствительность[[#This Row],[СФизКритерий]],FALSE),"ошибка")),"ошибка")</f>
        <v>ошибка</v>
      </c>
      <c r="H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ошибка</v>
      </c>
      <c r="I15"/>
      <c r="J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ошибка</v>
      </c>
      <c r="K15" t="str">
        <f ca="1">IFERROR(_xlfn.FORMULATEXT(INDIRECT(Критерий_Чувствительность[[#This Row],[Скритерий]],FALSE)),"ошибка")</f>
        <v>ошибка</v>
      </c>
      <c r="L15" t="str">
        <f ca="1">IFERROR(IF(N(INDIRECT(Критерий_Чувствительность[[#This Row],[СМинФизКритерий]],FALSE))="","ошибка",IFERROR(INDIRECT(Критерий_Чувствительность[[#This Row],[СМинФизКритерий]],FALSE),"ошибка")),"ошибка")</f>
        <v>ошибка</v>
      </c>
      <c r="M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ошибка</v>
      </c>
      <c r="N15" t="str">
        <f ca="1">IFERROR(IF(N(INDIRECT(Критерий_Чувствительность[[#This Row],[СМаксФизКритерий]],FALSE))="","ошибка",IFERROR(INDIRECT(Критерий_Чувствительность[[#This Row],[СМаксФизКритерий]],FALSE),"ошибка")),"ошибка")</f>
        <v>ошибка</v>
      </c>
      <c r="O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ошибка</v>
      </c>
      <c r="P15" t="str">
        <f ca="1">IFERROR(IF(N(INDIRECT(Критерий_Чувствительность[[#This Row],[ССрФизКритерий]],FALSE))=0,"ошибка",IFERROR(INDIRECT(Критерий_Чувствительность[[#This Row],[ССрФизКритерий]],FALSE),"ошибка")),"")</f>
        <v/>
      </c>
      <c r="Q15"/>
      <c r="R15" s="149">
        <f ca="1">IFERROR(IF(AND(Критерий_Чувствительность[[#This Row],[ВидКритерий]]="Критерий",Критерий_Чувствительность[[#This Row],[Фкритерий]]="=Приведение"),1,-1),-1)</f>
        <v>-1</v>
      </c>
      <c r="T15"/>
      <c r="U15"/>
      <c r="V15"/>
      <c r="W15"/>
      <c r="X15"/>
      <c r="Y15"/>
      <c r="Z15"/>
      <c r="AA15"/>
      <c r="AB15"/>
      <c r="AC15"/>
      <c r="AD15"/>
      <c r="AE15"/>
      <c r="AF15"/>
      <c r="AG15"/>
      <c r="AH15"/>
      <c r="AI15"/>
      <c r="AJ15"/>
      <c r="AK15"/>
      <c r="AL15"/>
      <c r="AM15"/>
      <c r="AN15"/>
      <c r="AO15"/>
      <c r="AP15"/>
      <c r="AQ15"/>
      <c r="AR15"/>
      <c r="AS15"/>
      <c r="AT15"/>
      <c r="AU15"/>
      <c r="AV15"/>
      <c r="AW15"/>
      <c r="AX15"/>
      <c r="AZ15" s="131"/>
      <c r="BA15" s="131"/>
      <c r="BC15" s="154" t="str">
        <f>IF(AND(Анализ_Чувствительность[[#This Row],[Y]]=1),ROW()-ROW(Анализ_Чувствительность[[#Headers],[№]]),"")</f>
        <v/>
      </c>
      <c r="BD15" s="5"/>
      <c r="BE15" s="149">
        <v>0.2</v>
      </c>
      <c r="BF15" s="149" t="s">
        <v>573</v>
      </c>
      <c r="BG15" s="5" t="s">
        <v>589</v>
      </c>
      <c r="BH15" s="131"/>
      <c r="BI15" s="131">
        <f>IF(LEN(Анализ_Чувствительность[[#This Row],[Свёртка]])&gt;0,1,-1)</f>
        <v>-1</v>
      </c>
      <c r="BJ15" s="131"/>
      <c r="BK15" s="154">
        <f>IF(LEN(Анализ_Чувствительность[[#This Row],[Критерий]])&gt;0,1,-1)</f>
        <v>-1</v>
      </c>
      <c r="BL15" s="131"/>
      <c r="BM15" s="154">
        <f>IF(LEN(Анализ_Чувствительность[[#This Row],[Критерии]])&gt;0,1,-1)</f>
        <v>-1</v>
      </c>
      <c r="BN15"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5" s="131"/>
      <c r="BP15" s="131"/>
      <c r="BU15" s="155"/>
      <c r="BV15" s="155"/>
      <c r="BW15" s="155"/>
      <c r="BX15" s="155"/>
      <c r="BY15" s="155"/>
      <c r="BZ15" s="155"/>
      <c r="CA15" s="155"/>
      <c r="CB15" s="155"/>
      <c r="CC15" s="155"/>
      <c r="CD15" s="155"/>
      <c r="CE15" s="155"/>
      <c r="CF15" s="155"/>
      <c r="CG15" s="155"/>
      <c r="CH15" s="155"/>
      <c r="CI15" s="155"/>
      <c r="CJ15" s="155"/>
      <c r="CK15" s="155"/>
      <c r="CL15" s="155"/>
      <c r="CM15" s="155"/>
      <c r="CN15" s="155"/>
      <c r="CO15" s="155"/>
    </row>
    <row r="16" spans="1:93" x14ac:dyDescent="0.25">
      <c r="A16"/>
      <c r="B16"/>
      <c r="C16"/>
      <c r="D16"/>
      <c r="E16"/>
      <c r="F16"/>
      <c r="G16"/>
      <c r="H16"/>
      <c r="I16"/>
      <c r="J16"/>
      <c r="K16"/>
      <c r="L16"/>
      <c r="M16"/>
      <c r="N16"/>
      <c r="O16"/>
      <c r="P16"/>
      <c r="Q16"/>
      <c r="T16"/>
      <c r="U16"/>
      <c r="V16"/>
      <c r="W16"/>
      <c r="X16"/>
      <c r="Y16"/>
      <c r="Z16"/>
      <c r="AA16"/>
      <c r="AB16"/>
      <c r="AC16"/>
      <c r="AD16"/>
      <c r="AE16"/>
      <c r="AF16"/>
      <c r="AG16"/>
      <c r="AH16"/>
      <c r="AI16"/>
      <c r="AJ16"/>
      <c r="AK16"/>
      <c r="AL16"/>
      <c r="AM16"/>
      <c r="AN16"/>
      <c r="AO16"/>
      <c r="AP16"/>
      <c r="AQ16"/>
      <c r="AR16"/>
      <c r="AS16"/>
      <c r="AT16"/>
      <c r="AU16"/>
      <c r="AV16"/>
      <c r="AW16"/>
      <c r="AX16"/>
      <c r="AZ16" s="131"/>
      <c r="BA16" s="131"/>
      <c r="BC16" s="154" t="str">
        <f>IF(AND(Анализ_Чувствительность[[#This Row],[Y]]=1),ROW()-ROW(Анализ_Чувствительность[[#Headers],[№]]),"")</f>
        <v/>
      </c>
      <c r="BD16" s="5"/>
      <c r="BE16" s="149">
        <v>0.2</v>
      </c>
      <c r="BF16" s="149" t="s">
        <v>573</v>
      </c>
      <c r="BG16" s="5" t="s">
        <v>590</v>
      </c>
      <c r="BH16" s="131"/>
      <c r="BI16" s="131">
        <f>IF(LEN(Анализ_Чувствительность[[#This Row],[Свёртка]])&gt;0,1,-1)</f>
        <v>-1</v>
      </c>
      <c r="BJ16" s="131"/>
      <c r="BK16" s="154">
        <f>IF(LEN(Анализ_Чувствительность[[#This Row],[Критерий]])&gt;0,1,-1)</f>
        <v>-1</v>
      </c>
      <c r="BL16" s="131"/>
      <c r="BM16" s="154">
        <f>IF(LEN(Анализ_Чувствительность[[#This Row],[Критерии]])&gt;0,1,-1)</f>
        <v>-1</v>
      </c>
      <c r="BN16"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6" s="131"/>
      <c r="BP16" s="131"/>
      <c r="BU16" s="155"/>
      <c r="BV16" s="155"/>
      <c r="BW16" s="155"/>
      <c r="BX16" s="155"/>
      <c r="BY16" s="155"/>
      <c r="BZ16" s="155"/>
      <c r="CA16" s="155"/>
      <c r="CB16" s="155"/>
      <c r="CC16" s="155"/>
      <c r="CD16" s="155"/>
      <c r="CE16" s="155"/>
      <c r="CF16" s="155"/>
      <c r="CG16" s="155"/>
      <c r="CH16" s="155"/>
      <c r="CI16" s="155"/>
      <c r="CJ16" s="155"/>
      <c r="CK16" s="155"/>
      <c r="CL16" s="155"/>
      <c r="CM16" s="155"/>
      <c r="CN16" s="155"/>
      <c r="CO16" s="155"/>
    </row>
    <row r="17" spans="1:93" x14ac:dyDescent="0.25">
      <c r="A17"/>
      <c r="B17"/>
      <c r="C17"/>
      <c r="D17"/>
      <c r="E17"/>
      <c r="F17"/>
      <c r="G17"/>
      <c r="H17"/>
      <c r="I17"/>
      <c r="J17"/>
      <c r="K17"/>
      <c r="L17"/>
      <c r="M17"/>
      <c r="N17"/>
      <c r="O17"/>
      <c r="P17"/>
      <c r="Q17"/>
      <c r="T17"/>
      <c r="U17"/>
      <c r="V17"/>
      <c r="W17"/>
      <c r="X17"/>
      <c r="Y17"/>
      <c r="Z17"/>
      <c r="AA17"/>
      <c r="AB17"/>
      <c r="AC17"/>
      <c r="AD17"/>
      <c r="AE17"/>
      <c r="AF17"/>
      <c r="AG17"/>
      <c r="AH17"/>
      <c r="AI17"/>
      <c r="AJ17"/>
      <c r="AK17"/>
      <c r="AL17"/>
      <c r="AM17"/>
      <c r="AN17"/>
      <c r="AO17"/>
      <c r="AP17"/>
      <c r="AQ17"/>
      <c r="AR17"/>
      <c r="AS17"/>
      <c r="AT17"/>
      <c r="AU17"/>
      <c r="AV17"/>
      <c r="AW17"/>
      <c r="AX17"/>
      <c r="AZ17" s="131"/>
      <c r="BA17" s="131"/>
      <c r="BC17" s="154" t="str">
        <f>IF(AND(Анализ_Чувствительность[[#This Row],[Y]]=1),ROW()-ROW(Анализ_Чувствительность[[#Headers],[№]]),"")</f>
        <v/>
      </c>
      <c r="BD17" s="5"/>
      <c r="BE17" s="149">
        <v>0.2</v>
      </c>
      <c r="BF17" s="149" t="s">
        <v>573</v>
      </c>
      <c r="BG17" s="5" t="s">
        <v>591</v>
      </c>
      <c r="BH17" s="131"/>
      <c r="BI17" s="131">
        <f>IF(LEN(Анализ_Чувствительность[[#This Row],[Свёртка]])&gt;0,1,-1)</f>
        <v>-1</v>
      </c>
      <c r="BJ17" s="131"/>
      <c r="BK17" s="154">
        <f>IF(LEN(Анализ_Чувствительность[[#This Row],[Критерий]])&gt;0,1,-1)</f>
        <v>-1</v>
      </c>
      <c r="BL17" s="131"/>
      <c r="BM17" s="154">
        <f>IF(LEN(Анализ_Чувствительность[[#This Row],[Критерии]])&gt;0,1,-1)</f>
        <v>-1</v>
      </c>
      <c r="BN17"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7" s="131"/>
      <c r="BP17" s="131"/>
      <c r="BU17" s="155"/>
      <c r="BV17" s="155"/>
      <c r="BW17" s="155"/>
      <c r="BX17" s="155"/>
      <c r="BY17" s="155"/>
      <c r="BZ17" s="155"/>
      <c r="CA17" s="155"/>
      <c r="CB17" s="155"/>
      <c r="CC17" s="155"/>
      <c r="CD17" s="155"/>
      <c r="CE17" s="155"/>
      <c r="CF17" s="155"/>
      <c r="CG17" s="155"/>
      <c r="CH17" s="155"/>
      <c r="CI17" s="155"/>
      <c r="CJ17" s="155"/>
      <c r="CK17" s="155"/>
      <c r="CL17" s="155"/>
      <c r="CM17" s="155"/>
      <c r="CN17" s="155"/>
      <c r="CO17" s="155"/>
    </row>
    <row r="23" spans="1:93" x14ac:dyDescent="0.25">
      <c r="G23" s="148">
        <v>100</v>
      </c>
    </row>
  </sheetData>
  <dataConsolidate link="1"/>
  <conditionalFormatting sqref="R1:R1048576">
    <cfRule type="iconSet" priority="35">
      <iconSet showValue="0">
        <cfvo type="percent" val="0"/>
        <cfvo type="num" val="0"/>
        <cfvo type="num" val="1"/>
      </iconSet>
    </cfRule>
  </conditionalFormatting>
  <conditionalFormatting sqref="AY10:BA10 AY1:AY1048576">
    <cfRule type="iconSet" priority="37">
      <iconSet showValue="0">
        <cfvo type="percent" val="0"/>
        <cfvo type="num" val="0"/>
        <cfvo type="num" val="1"/>
      </iconSet>
    </cfRule>
  </conditionalFormatting>
  <conditionalFormatting sqref="BQ13:CO17 BT10:CO12">
    <cfRule type="expression" dxfId="825" priority="31">
      <formula>IF(AND(LEN($BL10)&gt;0,LEN($BL10)-LEN(SUBSTITUTE($BL10,";",""))+1&gt;=COLUMN()-68),0,1)</formula>
    </cfRule>
  </conditionalFormatting>
  <conditionalFormatting sqref="BL13:BL17 BJ13:BJ17 BG13:BH17">
    <cfRule type="containsBlanks" dxfId="824" priority="38">
      <formula>LEN(TRIM(BG13))=0</formula>
    </cfRule>
  </conditionalFormatting>
  <conditionalFormatting sqref="BH13:BH17 BJ13:BJ17">
    <cfRule type="containsBlanks" dxfId="823" priority="27">
      <formula>LEN(TRIM(BH13))=0</formula>
    </cfRule>
  </conditionalFormatting>
  <conditionalFormatting sqref="BF13:BF17">
    <cfRule type="containsBlanks" dxfId="822" priority="24">
      <formula>LEN(TRIM(BF13))=0</formula>
    </cfRule>
  </conditionalFormatting>
  <conditionalFormatting sqref="BD13:BE17">
    <cfRule type="containsBlanks" dxfId="821" priority="25">
      <formula>LEN(TRIM(BD13))=0</formula>
    </cfRule>
  </conditionalFormatting>
  <conditionalFormatting sqref="B10:B15">
    <cfRule type="cellIs" dxfId="820" priority="16" stopIfTrue="1" operator="notBetween">
      <formula>1</formula>
      <formula>4</formula>
    </cfRule>
  </conditionalFormatting>
  <conditionalFormatting sqref="B10">
    <cfRule type="cellIs" dxfId="819" priority="15" stopIfTrue="1" operator="notBetween">
      <formula>1</formula>
      <formula>4</formula>
    </cfRule>
  </conditionalFormatting>
  <conditionalFormatting sqref="U10">
    <cfRule type="cellIs" dxfId="818" priority="14" stopIfTrue="1" operator="notBetween">
      <formula>1</formula>
      <formula>4</formula>
    </cfRule>
  </conditionalFormatting>
  <conditionalFormatting sqref="U11:U12">
    <cfRule type="cellIs" dxfId="817" priority="13" stopIfTrue="1" operator="notBetween">
      <formula>1</formula>
      <formula>4</formula>
    </cfRule>
  </conditionalFormatting>
  <conditionalFormatting sqref="BQ10:BS11">
    <cfRule type="expression" dxfId="816" priority="10">
      <formula>IF(AND(LEN($BL10)&gt;0,LEN($BL10)-LEN(SUBSTITUTE($BL10,";",""))+1&gt;=COLUMN()-68),0,1)</formula>
    </cfRule>
  </conditionalFormatting>
  <conditionalFormatting sqref="BG10:BH11 BJ10:BJ11 BL10:BL12">
    <cfRule type="containsBlanks" dxfId="815" priority="11">
      <formula>LEN(TRIM(BG10))=0</formula>
    </cfRule>
  </conditionalFormatting>
  <conditionalFormatting sqref="BD10:BE11 BE10:BE17 BD10:BD12">
    <cfRule type="containsBlanks" dxfId="814" priority="9">
      <formula>LEN(TRIM(BD10))=0</formula>
    </cfRule>
  </conditionalFormatting>
  <conditionalFormatting sqref="BM10:BN11 BK10:BK11 BI10:BI11">
    <cfRule type="iconSet" priority="12">
      <iconSet showValue="0">
        <cfvo type="percent" val="0"/>
        <cfvo type="num" val="0"/>
        <cfvo type="num" val="0" gte="0"/>
      </iconSet>
    </cfRule>
  </conditionalFormatting>
  <conditionalFormatting sqref="BF11">
    <cfRule type="containsBlanks" dxfId="813" priority="8">
      <formula>LEN(TRIM(BF11))=0</formula>
    </cfRule>
  </conditionalFormatting>
  <conditionalFormatting sqref="BF10:BF17">
    <cfRule type="containsBlanks" dxfId="812" priority="7">
      <formula>LEN(TRIM(BF10))=0</formula>
    </cfRule>
  </conditionalFormatting>
  <conditionalFormatting sqref="AY11:BA12 AZ13:BA17">
    <cfRule type="iconSet" priority="55">
      <iconSet showValue="0">
        <cfvo type="percent" val="0"/>
        <cfvo type="num" val="0"/>
        <cfvo type="num" val="1"/>
      </iconSet>
    </cfRule>
  </conditionalFormatting>
  <conditionalFormatting sqref="BM13:BN17 BK13:BK17">
    <cfRule type="iconSet" priority="58">
      <iconSet showValue="0">
        <cfvo type="percent" val="0"/>
        <cfvo type="num" val="0"/>
        <cfvo type="num" val="0" gte="0"/>
      </iconSet>
    </cfRule>
  </conditionalFormatting>
  <conditionalFormatting sqref="BI13:BI17">
    <cfRule type="iconSet" priority="60">
      <iconSet showValue="0">
        <cfvo type="percent" val="0"/>
        <cfvo type="num" val="0"/>
        <cfvo type="num" val="0" gte="0"/>
      </iconSet>
    </cfRule>
  </conditionalFormatting>
  <conditionalFormatting sqref="BQ12:BS12">
    <cfRule type="expression" dxfId="811" priority="4">
      <formula>IF(AND(LEN($BL12)&gt;0,LEN($BL12)-LEN(SUBSTITUTE($BL12,";",""))+1&gt;=COLUMN()-68),0,1)</formula>
    </cfRule>
  </conditionalFormatting>
  <conditionalFormatting sqref="BG12:BH12 BJ12 BL12">
    <cfRule type="containsBlanks" dxfId="810" priority="5">
      <formula>LEN(TRIM(BG12))=0</formula>
    </cfRule>
  </conditionalFormatting>
  <conditionalFormatting sqref="BD12:BE12">
    <cfRule type="containsBlanks" dxfId="809" priority="3">
      <formula>LEN(TRIM(BD12))=0</formula>
    </cfRule>
  </conditionalFormatting>
  <conditionalFormatting sqref="BM12:BN12 BK12 BI12">
    <cfRule type="iconSet" priority="6">
      <iconSet showValue="0">
        <cfvo type="percent" val="0"/>
        <cfvo type="num" val="0"/>
        <cfvo type="num" val="0" gte="0"/>
      </iconSet>
    </cfRule>
  </conditionalFormatting>
  <conditionalFormatting sqref="BF12">
    <cfRule type="containsBlanks" dxfId="808" priority="2">
      <formula>LEN(TRIM(BF12))=0</formula>
    </cfRule>
  </conditionalFormatting>
  <conditionalFormatting sqref="U13">
    <cfRule type="cellIs" dxfId="807" priority="1" stopIfTrue="1" operator="notBetween">
      <formula>1</formula>
      <formula>4</formula>
    </cfRule>
  </conditionalFormatting>
  <dataValidations count="7">
    <dataValidation type="list" allowBlank="1" showInputMessage="1" showErrorMessage="1" sqref="BH10:BH17" xr:uid="{00000000-0002-0000-0200-000000000000}">
      <formula1>INDIRECT("Свёртка_Чувствительность[№]")</formula1>
    </dataValidation>
    <dataValidation type="list" allowBlank="1" showInputMessage="1" showErrorMessage="1" sqref="BD10:BD17" xr:uid="{00000000-0002-0000-0200-000001000000}">
      <formula1>"Качественные, Количественные"</formula1>
    </dataValidation>
    <dataValidation type="list" allowBlank="1" showInputMessage="1" showErrorMessage="1" sqref="BJ10:BJ17 BL10:BL17" xr:uid="{00000000-0002-0000-0200-000002000000}">
      <formula1>INDIRECT("Критерий_Чувствительность[№]")</formula1>
    </dataValidation>
    <dataValidation type="list" allowBlank="1" showInputMessage="1" showErrorMessage="1" sqref="BF10:BF17" xr:uid="{00000000-0002-0000-0200-000003000000}">
      <formula1>INDIRECT("Rotate_Reflex[Данные]")</formula1>
    </dataValidation>
    <dataValidation type="whole" allowBlank="1" showInputMessage="1" showErrorMessage="1" sqref="BM10:BN17 BI10:BI17 BK10:BK17" xr:uid="{00000000-0002-0000-0200-000004000000}">
      <formula1>-1</formula1>
      <formula2>1</formula2>
    </dataValidation>
    <dataValidation type="decimal" allowBlank="1" showInputMessage="1" showErrorMessage="1" sqref="BE10:BE17" xr:uid="{00000000-0002-0000-0200-000005000000}">
      <formula1>-1E+25</formula1>
      <formula2>1E+24</formula2>
    </dataValidation>
    <dataValidation type="decimal" allowBlank="1" showInputMessage="1" showErrorMessage="1" sqref="BO10:BP17" xr:uid="{00000000-0002-0000-0200-000006000000}">
      <formula1>-1E+37</formula1>
      <formula2>1E+38</formula2>
    </dataValidation>
  </dataValidations>
  <pageMargins left="0.7" right="0.7" top="0.75" bottom="0.75" header="0.3" footer="0.3"/>
  <pageSetup paperSize="9" orientation="portrait" horizontalDpi="4294967295" verticalDpi="4294967295" r:id="rId1"/>
  <drawing r:id="rId2"/>
  <tableParts count="3">
    <tablePart r:id="rId3"/>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311"/>
  <dimension ref="A1:X25"/>
  <sheetViews>
    <sheetView topLeftCell="A8" zoomScaleNormal="100" workbookViewId="0">
      <selection activeCell="O39" sqref="O39"/>
    </sheetView>
  </sheetViews>
  <sheetFormatPr defaultRowHeight="15" outlineLevelRow="1" x14ac:dyDescent="0.25"/>
  <cols>
    <col min="1" max="1" width="26.5703125" customWidth="1"/>
    <col min="2" max="2" width="27.7109375" hidden="1" customWidth="1"/>
    <col min="3" max="3" width="17" customWidth="1"/>
    <col min="4" max="4" width="17.28515625" hidden="1" customWidth="1"/>
    <col min="5" max="5" width="20.5703125" hidden="1" customWidth="1"/>
    <col min="6" max="6" width="18" hidden="1" customWidth="1"/>
    <col min="7" max="8" width="8.85546875" hidden="1" customWidth="1"/>
    <col min="9" max="9" width="9.85546875" hidden="1" customWidth="1"/>
    <col min="10" max="14" width="8.85546875" hidden="1" customWidth="1"/>
    <col min="15" max="15" width="18.85546875" customWidth="1"/>
    <col min="16" max="17" width="8.85546875" hidden="1" customWidth="1"/>
    <col min="18" max="18" width="21.7109375" customWidth="1"/>
    <col min="19" max="19" width="21.5703125" hidden="1" customWidth="1"/>
    <col min="20" max="20" width="4.42578125" style="66" customWidth="1"/>
    <col min="21" max="21" width="19.140625" customWidth="1"/>
  </cols>
  <sheetData>
    <row r="1" spans="1:24" hidden="1" outlineLevel="1" x14ac:dyDescent="0.25">
      <c r="A1" t="s">
        <v>364</v>
      </c>
      <c r="C1">
        <f>ROWS(Измен_Отслеж[])</f>
        <v>11</v>
      </c>
    </row>
    <row r="2" spans="1:24" hidden="1" outlineLevel="1" x14ac:dyDescent="0.25">
      <c r="A2" t="s">
        <v>365</v>
      </c>
      <c r="C2">
        <f>COUNTIF(Измен_Отслеж[Изменяем],"&gt;=1")-COUNTIF(Измен_Отслеж[Изменяем],"&gt;4")</f>
        <v>0</v>
      </c>
      <c r="O2">
        <f>COUNTIF(Измен_Отслеж[Отслеживаем],"&gt;=1")-COUNTIF(Измен_Отслеж[Отслеживаем],"&gt;4")</f>
        <v>0</v>
      </c>
    </row>
    <row r="3" spans="1:24" hidden="1" outlineLevel="1" x14ac:dyDescent="0.25">
      <c r="A3" t="s">
        <v>366</v>
      </c>
      <c r="C3">
        <f>COUNTA(Измен_Отслеж[Изменяем])</f>
        <v>1</v>
      </c>
      <c r="O3">
        <f>COUNTA(Измен_Отслеж[Отслеживаем])</f>
        <v>1</v>
      </c>
      <c r="R3">
        <f ca="1">SUMIF(Измен_Отслеж[O.K.],"&gt;0")</f>
        <v>0</v>
      </c>
    </row>
    <row r="4" spans="1:24" hidden="1" outlineLevel="1" x14ac:dyDescent="0.25">
      <c r="A4" t="s">
        <v>369</v>
      </c>
      <c r="E4">
        <v>1</v>
      </c>
      <c r="G4">
        <v>-1</v>
      </c>
      <c r="J4">
        <v>1</v>
      </c>
      <c r="L4">
        <v>1</v>
      </c>
      <c r="N4">
        <v>1</v>
      </c>
    </row>
    <row r="5" spans="1:24" hidden="1" outlineLevel="1" x14ac:dyDescent="0.25">
      <c r="A5" t="s">
        <v>370</v>
      </c>
      <c r="E5">
        <v>0</v>
      </c>
      <c r="G5">
        <v>-3</v>
      </c>
      <c r="J5">
        <v>-1</v>
      </c>
      <c r="L5">
        <v>-3</v>
      </c>
      <c r="N5">
        <v>-2</v>
      </c>
    </row>
    <row r="6" spans="1:24" hidden="1" outlineLevel="1" x14ac:dyDescent="0.25">
      <c r="A6">
        <v>0</v>
      </c>
      <c r="B6">
        <f>A6+1</f>
        <v>1</v>
      </c>
      <c r="C6">
        <f t="shared" ref="C6:P6" si="0">B6+1</f>
        <v>2</v>
      </c>
      <c r="D6">
        <f t="shared" si="0"/>
        <v>3</v>
      </c>
      <c r="E6">
        <f t="shared" si="0"/>
        <v>4</v>
      </c>
      <c r="F6">
        <f t="shared" si="0"/>
        <v>5</v>
      </c>
      <c r="G6">
        <f>F6+1</f>
        <v>6</v>
      </c>
      <c r="H6">
        <f t="shared" si="0"/>
        <v>7</v>
      </c>
      <c r="I6">
        <f t="shared" si="0"/>
        <v>8</v>
      </c>
      <c r="J6">
        <f t="shared" si="0"/>
        <v>9</v>
      </c>
      <c r="K6">
        <f t="shared" si="0"/>
        <v>10</v>
      </c>
      <c r="L6">
        <f t="shared" si="0"/>
        <v>11</v>
      </c>
      <c r="M6">
        <f t="shared" si="0"/>
        <v>12</v>
      </c>
      <c r="N6">
        <f t="shared" si="0"/>
        <v>13</v>
      </c>
      <c r="O6">
        <v>0</v>
      </c>
      <c r="P6">
        <f t="shared" si="0"/>
        <v>1</v>
      </c>
      <c r="Q6">
        <f>P6+1</f>
        <v>2</v>
      </c>
      <c r="R6">
        <f>Q6+1</f>
        <v>3</v>
      </c>
      <c r="S6">
        <f>R6+1</f>
        <v>4</v>
      </c>
      <c r="T6">
        <f>S6+1</f>
        <v>5</v>
      </c>
    </row>
    <row r="7" spans="1:24" hidden="1" outlineLevel="1" x14ac:dyDescent="0.25"/>
    <row r="8" spans="1:24" s="5" customFormat="1" collapsed="1" x14ac:dyDescent="0.25">
      <c r="A8" s="5" t="s">
        <v>367</v>
      </c>
      <c r="B8" s="5" t="s">
        <v>371</v>
      </c>
      <c r="C8" s="5" t="s">
        <v>383</v>
      </c>
      <c r="D8" s="5" t="s">
        <v>372</v>
      </c>
      <c r="E8" s="5" t="s">
        <v>373</v>
      </c>
      <c r="F8" s="5" t="s">
        <v>374</v>
      </c>
      <c r="G8" s="5" t="s">
        <v>375</v>
      </c>
      <c r="H8" s="5" t="s">
        <v>376</v>
      </c>
      <c r="I8" s="5" t="s">
        <v>378</v>
      </c>
      <c r="J8" s="5" t="s">
        <v>379</v>
      </c>
      <c r="K8" s="5" t="s">
        <v>380</v>
      </c>
      <c r="L8" s="5" t="s">
        <v>381</v>
      </c>
      <c r="M8" s="5" t="s">
        <v>382</v>
      </c>
      <c r="N8" s="5" t="s">
        <v>377</v>
      </c>
      <c r="O8" s="5" t="s">
        <v>368</v>
      </c>
      <c r="P8" s="5" t="s">
        <v>384</v>
      </c>
      <c r="Q8" s="5" t="s">
        <v>388</v>
      </c>
      <c r="R8" s="5" t="s">
        <v>385</v>
      </c>
      <c r="S8" s="5" t="s">
        <v>386</v>
      </c>
      <c r="T8" s="5" t="s">
        <v>387</v>
      </c>
    </row>
    <row r="9" spans="1:24" x14ac:dyDescent="0.25">
      <c r="A9" s="37">
        <f>Модель!K19</f>
        <v>0</v>
      </c>
      <c r="B9"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9" s="38" t="str">
        <f ca="1">IFERROR(IF(LEFT(Измен_Отслеж[[#This Row],[ФИзменяем]],5)="=Прив","Критерий",IF(LEFT(Измен_Отслеж[[#This Row],[ФИзменяем]],5)="=Матр","Матрица","ошибка")),"ошибка")</f>
        <v>ошибка</v>
      </c>
      <c r="D9" s="38" t="str">
        <f ca="1">IFERROR(IF(N(INDIRECT(Измен_Отслеж[[#This Row],[СФизИзменяем]],FALSE))=0,"ошибка",IFERROR(INDIRECT(Измен_Отслеж[[#This Row],[СФизИзменяем]],FALSE),"ошибка")),"ошибка")</f>
        <v>ошибка</v>
      </c>
      <c r="E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9"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9" s="38" t="str">
        <f ca="1">IFERROR(_xlfn.FORMULATEXT(INDIRECT(Измен_Отслеж[[#This Row],[СИзменяем]],FALSE)),"ошибка")</f>
        <v>ошибка</v>
      </c>
      <c r="I9" s="38" t="str">
        <f ca="1">IFERROR(IF(N(INDIRECT(Измен_Отслеж[[#This Row],[СМинФизИзменяем]],FALSE))=0,"ошибка",IFERROR(INDIRECT(Измен_Отслеж[[#This Row],[СМинФизИзменяем]],FALSE),"ошибка")),"ошибка")</f>
        <v>ошибка</v>
      </c>
      <c r="J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9" s="38" t="str">
        <f ca="1">IFERROR(IF(N(INDIRECT(Измен_Отслеж[[#This Row],[СМаксФизИзменяем]],FALSE))=0,"ошибка",IFERROR(INDIRECT(Измен_Отслеж[[#This Row],[СМаксФизИзменяем]],FALSE),"ошибка")),"ошибка")</f>
        <v>ошибка</v>
      </c>
      <c r="L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9" s="38" t="str">
        <f ca="1">IFERROR(IF(N(INDIRECT(Измен_Отслеж[[#This Row],[ССрФизИзменяем]],FALSE))=0,"ошибка",IFERROR(INDIRECT(Измен_Отслеж[[#This Row],[ССрФизИзменяем]],FALSE),"ошибка")),"ошибка")</f>
        <v>ошибка</v>
      </c>
      <c r="N9"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9" s="37" t="str">
        <f>Модель!P10</f>
        <v>T</v>
      </c>
      <c r="P9"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9" s="38" t="str">
        <f ca="1">IFERROR(_xlfn.FORMULATEXT(INDIRECT(Измен_Отслеж[[#This Row],[СОтслеживаем]],FALSE)),"ошибка")</f>
        <v>ошибка</v>
      </c>
      <c r="R9" s="38" t="str">
        <f ca="1">IFERROR(IF(LEFT(Измен_Отслеж[[#This Row],[ФОтслеживаем]],5)="=Прив","Критерий",IF(LEFT(Измен_Отслеж[[#This Row],[ФОтслеживаем]],5)="=Матр","Матрица","ошибка")),"ошибка")</f>
        <v>ошибка</v>
      </c>
      <c r="S9"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9" s="67">
        <f ca="1">IF(Измен_Отслеж[[#This Row],[Сопоставление]]="Отслеживаем",1,-1)</f>
        <v>-1</v>
      </c>
    </row>
    <row r="10" spans="1:24" ht="15.75" thickBot="1" x14ac:dyDescent="0.3">
      <c r="A10" s="37"/>
      <c r="B10"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0" s="38" t="str">
        <f ca="1">IFERROR(IF(LEFT(Измен_Отслеж[[#This Row],[ФИзменяем]],5)="=Прив","Критерий",IF(LEFT(Измен_Отслеж[[#This Row],[ФИзменяем]],5)="=Матр","Матрица","ошибка")),"ошибка")</f>
        <v>ошибка</v>
      </c>
      <c r="D10" s="38" t="str">
        <f ca="1">IFERROR(IF(N(INDIRECT(Измен_Отслеж[[#This Row],[СФизИзменяем]],FALSE))=0,"ошибка",IFERROR(INDIRECT(Измен_Отслеж[[#This Row],[СФизИзменяем]],FALSE),"ошибка")),"ошибка")</f>
        <v>ошибка</v>
      </c>
      <c r="E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0"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0" s="38" t="str">
        <f ca="1">IFERROR(_xlfn.FORMULATEXT(INDIRECT(Измен_Отслеж[[#This Row],[СИзменяем]],FALSE)),"ошибка")</f>
        <v>ошибка</v>
      </c>
      <c r="I10" s="38" t="str">
        <f ca="1">IFERROR(IF(N(INDIRECT(Измен_Отслеж[[#This Row],[СМинФизИзменяем]],FALSE))=0,"ошибка",IFERROR(INDIRECT(Измен_Отслеж[[#This Row],[СМинФизИзменяем]],FALSE),"ошибка")),"ошибка")</f>
        <v>ошибка</v>
      </c>
      <c r="J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0" s="38" t="str">
        <f ca="1">IFERROR(IF(N(INDIRECT(Измен_Отслеж[[#This Row],[СМаксФизИзменяем]],FALSE))=0,"ошибка",IFERROR(INDIRECT(Измен_Отслеж[[#This Row],[СМаксФизИзменяем]],FALSE),"ошибка")),"ошибка")</f>
        <v>ошибка</v>
      </c>
      <c r="L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0" s="38" t="str">
        <f ca="1">IFERROR(IF(N(INDIRECT(Измен_Отслеж[[#This Row],[ССрФизИзменяем]],FALSE))=0,"ошибка",IFERROR(INDIRECT(Измен_Отслеж[[#This Row],[ССрФизИзменяем]],FALSE),"ошибка")),"ошибка")</f>
        <v>ошибка</v>
      </c>
      <c r="N10"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0" s="37"/>
      <c r="P10"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0" s="38" t="str">
        <f ca="1">IFERROR(_xlfn.FORMULATEXT(INDIRECT(Измен_Отслеж[[#This Row],[СОтслеживаем]],FALSE)),"ошибка")</f>
        <v>ошибка</v>
      </c>
      <c r="R10" s="38" t="str">
        <f ca="1">IFERROR(IF(LEFT(Измен_Отслеж[[#This Row],[ФОтслеживаем]],5)="=Прив","Критерий",IF(LEFT(Измен_Отслеж[[#This Row],[ФОтслеживаем]],5)="=Матр","Матрица","ошибка")),"ошибка")</f>
        <v>ошибка</v>
      </c>
      <c r="S10"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0" s="67">
        <f ca="1">IF(Измен_Отслеж[[#This Row],[Сопоставление]]="Отслеживаем",1,-1)</f>
        <v>-1</v>
      </c>
    </row>
    <row r="11" spans="1:24" x14ac:dyDescent="0.25">
      <c r="A11" s="37"/>
      <c r="B11"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1" s="38" t="str">
        <f ca="1">IFERROR(IF(LEFT(Измен_Отслеж[[#This Row],[ФИзменяем]],5)="=Прив","Критерий",IF(LEFT(Измен_Отслеж[[#This Row],[ФИзменяем]],5)="=Матр","Матрица","ошибка")),"ошибка")</f>
        <v>ошибка</v>
      </c>
      <c r="D11" s="38" t="str">
        <f ca="1">IFERROR(IF(N(INDIRECT(Измен_Отслеж[[#This Row],[СФизИзменяем]],FALSE))=0,"ошибка",IFERROR(INDIRECT(Измен_Отслеж[[#This Row],[СФизИзменяем]],FALSE),"ошибка")),"ошибка")</f>
        <v>ошибка</v>
      </c>
      <c r="E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1"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1" s="38" t="str">
        <f ca="1">IFERROR(_xlfn.FORMULATEXT(INDIRECT(Измен_Отслеж[[#This Row],[СИзменяем]],FALSE)),"ошибка")</f>
        <v>ошибка</v>
      </c>
      <c r="I11" s="38" t="str">
        <f ca="1">IFERROR(IF(N(INDIRECT(Измен_Отслеж[[#This Row],[СМинФизИзменяем]],FALSE))=0,"ошибка",IFERROR(INDIRECT(Измен_Отслеж[[#This Row],[СМинФизИзменяем]],FALSE),"ошибка")),"ошибка")</f>
        <v>ошибка</v>
      </c>
      <c r="J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1" s="38" t="str">
        <f ca="1">IFERROR(IF(N(INDIRECT(Измен_Отслеж[[#This Row],[СМаксФизИзменяем]],FALSE))=0,"ошибка",IFERROR(INDIRECT(Измен_Отслеж[[#This Row],[СМаксФизИзменяем]],FALSE),"ошибка")),"ошибка")</f>
        <v>ошибка</v>
      </c>
      <c r="L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1" s="38" t="str">
        <f ca="1">IFERROR(IF(N(INDIRECT(Измен_Отслеж[[#This Row],[ССрФизИзменяем]],FALSE))=0,"ошибка",IFERROR(INDIRECT(Измен_Отслеж[[#This Row],[ССрФизИзменяем]],FALSE),"ошибка")),"ошибка")</f>
        <v>ошибка</v>
      </c>
      <c r="N11"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1" s="37"/>
      <c r="P11"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1" s="38" t="str">
        <f ca="1">IFERROR(_xlfn.FORMULATEXT(INDIRECT(Измен_Отслеж[[#This Row],[СОтслеживаем]],FALSE)),"ошибка")</f>
        <v>ошибка</v>
      </c>
      <c r="R11" s="38" t="str">
        <f ca="1">IFERROR(IF(LEFT(Измен_Отслеж[[#This Row],[ФОтслеживаем]],5)="=Прив","Критерий",IF(LEFT(Измен_Отслеж[[#This Row],[ФОтслеживаем]],5)="=Матр","Матрица","ошибка")),"ошибка")</f>
        <v>ошибка</v>
      </c>
      <c r="S11"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1" s="67">
        <f ca="1">IF(Измен_Отслеж[[#This Row],[Сопоставление]]="Отслеживаем",1,-1)</f>
        <v>-1</v>
      </c>
      <c r="U11" s="68"/>
      <c r="V11" s="69" t="s">
        <v>390</v>
      </c>
      <c r="W11" s="72" t="s">
        <v>391</v>
      </c>
      <c r="X11" s="73" t="s">
        <v>387</v>
      </c>
    </row>
    <row r="12" spans="1:24" x14ac:dyDescent="0.25">
      <c r="A12" s="37"/>
      <c r="B12"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2" s="38" t="str">
        <f ca="1">IFERROR(IF(LEFT(Измен_Отслеж[[#This Row],[ФИзменяем]],5)="=Прив","Критерий",IF(LEFT(Измен_Отслеж[[#This Row],[ФИзменяем]],5)="=Матр","Матрица","ошибка")),"ошибка")</f>
        <v>ошибка</v>
      </c>
      <c r="D12" s="38" t="str">
        <f ca="1">IFERROR(IF(N(INDIRECT(Измен_Отслеж[[#This Row],[СФизИзменяем]],FALSE))=0,"ошибка",IFERROR(INDIRECT(Измен_Отслеж[[#This Row],[СФизИзменяем]],FALSE),"ошибка")),"ошибка")</f>
        <v>ошибка</v>
      </c>
      <c r="E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2"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2" s="38" t="str">
        <f ca="1">IFERROR(_xlfn.FORMULATEXT(INDIRECT(Измен_Отслеж[[#This Row],[СИзменяем]],FALSE)),"ошибка")</f>
        <v>ошибка</v>
      </c>
      <c r="I12" s="38" t="str">
        <f ca="1">IFERROR(IF(N(INDIRECT(Измен_Отслеж[[#This Row],[СМинФизИзменяем]],FALSE))=0,"ошибка",IFERROR(INDIRECT(Измен_Отслеж[[#This Row],[СМинФизИзменяем]],FALSE),"ошибка")),"ошибка")</f>
        <v>ошибка</v>
      </c>
      <c r="J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2" s="38" t="str">
        <f ca="1">IFERROR(IF(N(INDIRECT(Измен_Отслеж[[#This Row],[СМаксФизИзменяем]],FALSE))=0,"ошибка",IFERROR(INDIRECT(Измен_Отслеж[[#This Row],[СМаксФизИзменяем]],FALSE),"ошибка")),"ошибка")</f>
        <v>ошибка</v>
      </c>
      <c r="L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2" s="38" t="str">
        <f ca="1">IFERROR(IF(N(INDIRECT(Измен_Отслеж[[#This Row],[ССрФизИзменяем]],FALSE))=0,"ошибка",IFERROR(INDIRECT(Измен_Отслеж[[#This Row],[ССрФизИзменяем]],FALSE),"ошибка")),"ошибка")</f>
        <v>ошибка</v>
      </c>
      <c r="N12"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2" s="37"/>
      <c r="P12"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2" s="38" t="str">
        <f ca="1">IFERROR(_xlfn.FORMULATEXT(INDIRECT(Измен_Отслеж[[#This Row],[СОтслеживаем]],FALSE)),"ошибка")</f>
        <v>ошибка</v>
      </c>
      <c r="R12" s="38" t="str">
        <f ca="1">IFERROR(IF(LEFT(Измен_Отслеж[[#This Row],[ФОтслеживаем]],5)="=Прив","Критерий",IF(LEFT(Измен_Отслеж[[#This Row],[ФОтслеживаем]],5)="=Матр","Матрица","ошибка")),"ошибка")</f>
        <v>ошибка</v>
      </c>
      <c r="S12"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2" s="67">
        <f ca="1">IF(Измен_Отслеж[[#This Row],[Сопоставление]]="Отслеживаем",1,-1)</f>
        <v>-1</v>
      </c>
      <c r="U12" s="70" t="s">
        <v>389</v>
      </c>
      <c r="V12" s="74">
        <v>1</v>
      </c>
      <c r="W12" s="75">
        <v>4</v>
      </c>
      <c r="X12" s="237">
        <f>IFERROR(IF((W12-V12)/V13&gt;1,1,0),0)</f>
        <v>1</v>
      </c>
    </row>
    <row r="13" spans="1:24" ht="15.75" thickBot="1" x14ac:dyDescent="0.3">
      <c r="A13" s="37"/>
      <c r="B13"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3" s="38" t="str">
        <f ca="1">IFERROR(IF(LEFT(Измен_Отслеж[[#This Row],[ФИзменяем]],5)="=Прив","Критерий",IF(LEFT(Измен_Отслеж[[#This Row],[ФИзменяем]],5)="=Матр","Матрица","ошибка")),"ошибка")</f>
        <v>ошибка</v>
      </c>
      <c r="D13" s="38" t="str">
        <f ca="1">IFERROR(IF(N(INDIRECT(Измен_Отслеж[[#This Row],[СФизИзменяем]],FALSE))=0,"ошибка",IFERROR(INDIRECT(Измен_Отслеж[[#This Row],[СФизИзменяем]],FALSE),"ошибка")),"ошибка")</f>
        <v>ошибка</v>
      </c>
      <c r="E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3"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3" s="38" t="str">
        <f ca="1">IFERROR(_xlfn.FORMULATEXT(INDIRECT(Измен_Отслеж[[#This Row],[СИзменяем]],FALSE)),"ошибка")</f>
        <v>ошибка</v>
      </c>
      <c r="I13" s="38" t="str">
        <f ca="1">IFERROR(IF(N(INDIRECT(Измен_Отслеж[[#This Row],[СМинФизИзменяем]],FALSE))=0,"ошибка",IFERROR(INDIRECT(Измен_Отслеж[[#This Row],[СМинФизИзменяем]],FALSE),"ошибка")),"ошибка")</f>
        <v>ошибка</v>
      </c>
      <c r="J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3" s="38" t="str">
        <f ca="1">IFERROR(IF(N(INDIRECT(Измен_Отслеж[[#This Row],[СМаксФизИзменяем]],FALSE))=0,"ошибка",IFERROR(INDIRECT(Измен_Отслеж[[#This Row],[СМаксФизИзменяем]],FALSE),"ошибка")),"ошибка")</f>
        <v>ошибка</v>
      </c>
      <c r="L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3" s="38" t="str">
        <f ca="1">IFERROR(IF(N(INDIRECT(Измен_Отслеж[[#This Row],[ССрФизИзменяем]],FALSE))=0,"ошибка",IFERROR(INDIRECT(Измен_Отслеж[[#This Row],[ССрФизИзменяем]],FALSE),"ошибка")),"ошибка")</f>
        <v>ошибка</v>
      </c>
      <c r="N13"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3" s="65"/>
      <c r="P13"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3" s="38" t="str">
        <f ca="1">IFERROR(_xlfn.FORMULATEXT(INDIRECT(Измен_Отслеж[[#This Row],[СОтслеживаем]],FALSE)),"ошибка")</f>
        <v>ошибка</v>
      </c>
      <c r="R13" s="38" t="str">
        <f ca="1">IFERROR(IF(LEFT(Измен_Отслеж[[#This Row],[ФОтслеживаем]],5)="=Прив","Критерий",IF(LEFT(Измен_Отслеж[[#This Row],[ФОтслеживаем]],5)="=Матр","Матрица","ошибка")),"ошибка")</f>
        <v>ошибка</v>
      </c>
      <c r="S13"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3" s="67">
        <f ca="1">IF(Измен_Отслеж[[#This Row],[Сопоставление]]="Отслеживаем",1,-1)</f>
        <v>-1</v>
      </c>
      <c r="U13" s="71" t="s">
        <v>392</v>
      </c>
      <c r="V13" s="235">
        <v>0.25</v>
      </c>
      <c r="W13" s="236"/>
      <c r="X13" s="238"/>
    </row>
    <row r="14" spans="1:24" x14ac:dyDescent="0.25">
      <c r="A14" s="37"/>
      <c r="B14"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4" s="38" t="str">
        <f ca="1">IFERROR(IF(LEFT(Измен_Отслеж[[#This Row],[ФИзменяем]],5)="=Прив","Критерий",IF(LEFT(Измен_Отслеж[[#This Row],[ФИзменяем]],5)="=Матр","Матрица","ошибка")),"ошибка")</f>
        <v>ошибка</v>
      </c>
      <c r="D14" s="38" t="str">
        <f ca="1">IFERROR(IF(N(INDIRECT(Измен_Отслеж[[#This Row],[СФизИзменяем]],FALSE))=0,"ошибка",IFERROR(INDIRECT(Измен_Отслеж[[#This Row],[СФизИзменяем]],FALSE),"ошибка")),"ошибка")</f>
        <v>ошибка</v>
      </c>
      <c r="E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4"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4" s="38" t="str">
        <f ca="1">IFERROR(_xlfn.FORMULATEXT(INDIRECT(Измен_Отслеж[[#This Row],[СИзменяем]],FALSE)),"ошибка")</f>
        <v>ошибка</v>
      </c>
      <c r="I14" s="38" t="str">
        <f ca="1">IFERROR(IF(N(INDIRECT(Измен_Отслеж[[#This Row],[СМинФизИзменяем]],FALSE))=0,"ошибка",IFERROR(INDIRECT(Измен_Отслеж[[#This Row],[СМинФизИзменяем]],FALSE),"ошибка")),"ошибка")</f>
        <v>ошибка</v>
      </c>
      <c r="J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4" s="38" t="str">
        <f ca="1">IFERROR(IF(N(INDIRECT(Измен_Отслеж[[#This Row],[СМаксФизИзменяем]],FALSE))=0,"ошибка",IFERROR(INDIRECT(Измен_Отслеж[[#This Row],[СМаксФизИзменяем]],FALSE),"ошибка")),"ошибка")</f>
        <v>ошибка</v>
      </c>
      <c r="L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4" s="38" t="str">
        <f ca="1">IFERROR(IF(N(INDIRECT(Измен_Отслеж[[#This Row],[ССрФизИзменяем]],FALSE))=0,"ошибка",IFERROR(INDIRECT(Измен_Отслеж[[#This Row],[ССрФизИзменяем]],FALSE),"ошибка")),"ошибка")</f>
        <v>ошибка</v>
      </c>
      <c r="N14"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4" s="65"/>
      <c r="P14"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4" s="38" t="str">
        <f ca="1">IFERROR(_xlfn.FORMULATEXT(INDIRECT(Измен_Отслеж[[#This Row],[СОтслеживаем]],FALSE)),"ошибка")</f>
        <v>ошибка</v>
      </c>
      <c r="R14" s="38" t="str">
        <f ca="1">IFERROR(IF(LEFT(Измен_Отслеж[[#This Row],[ФОтслеживаем]],5)="=Прив","Критерий",IF(LEFT(Измен_Отслеж[[#This Row],[ФОтслеживаем]],5)="=Матр","Матрица","ошибка")),"ошибка")</f>
        <v>ошибка</v>
      </c>
      <c r="S14"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4" s="67">
        <f ca="1">IF(Измен_Отслеж[[#This Row],[Сопоставление]]="Отслеживаем",1,-1)</f>
        <v>-1</v>
      </c>
    </row>
    <row r="15" spans="1:24" x14ac:dyDescent="0.25">
      <c r="A15" s="37"/>
      <c r="B15"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5" s="38" t="str">
        <f ca="1">IFERROR(IF(LEFT(Измен_Отслеж[[#This Row],[ФИзменяем]],5)="=Прив","Критерий",IF(LEFT(Измен_Отслеж[[#This Row],[ФИзменяем]],5)="=Матр","Матрица","ошибка")),"ошибка")</f>
        <v>ошибка</v>
      </c>
      <c r="D15" s="38" t="str">
        <f ca="1">IFERROR(IF(N(INDIRECT(Измен_Отслеж[[#This Row],[СФизИзменяем]],FALSE))=0,"ошибка",IFERROR(INDIRECT(Измен_Отслеж[[#This Row],[СФизИзменяем]],FALSE),"ошибка")),"ошибка")</f>
        <v>ошибка</v>
      </c>
      <c r="E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5"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5" s="38" t="str">
        <f ca="1">IFERROR(_xlfn.FORMULATEXT(INDIRECT(Измен_Отслеж[[#This Row],[СИзменяем]],FALSE)),"ошибка")</f>
        <v>ошибка</v>
      </c>
      <c r="I15" s="38" t="str">
        <f ca="1">IFERROR(IF(N(INDIRECT(Измен_Отслеж[[#This Row],[СМинФизИзменяем]],FALSE))=0,"ошибка",IFERROR(INDIRECT(Измен_Отслеж[[#This Row],[СМинФизИзменяем]],FALSE),"ошибка")),"ошибка")</f>
        <v>ошибка</v>
      </c>
      <c r="J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5" s="38" t="str">
        <f ca="1">IFERROR(IF(N(INDIRECT(Измен_Отслеж[[#This Row],[СМаксФизИзменяем]],FALSE))=0,"ошибка",IFERROR(INDIRECT(Измен_Отслеж[[#This Row],[СМаксФизИзменяем]],FALSE),"ошибка")),"ошибка")</f>
        <v>ошибка</v>
      </c>
      <c r="L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5" s="38" t="str">
        <f ca="1">IFERROR(IF(N(INDIRECT(Измен_Отслеж[[#This Row],[ССрФизИзменяем]],FALSE))=0,"ошибка",IFERROR(INDIRECT(Измен_Отслеж[[#This Row],[ССрФизИзменяем]],FALSE),"ошибка")),"ошибка")</f>
        <v>ошибка</v>
      </c>
      <c r="N15"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5" s="65"/>
      <c r="P15"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5" s="38" t="str">
        <f ca="1">IFERROR(_xlfn.FORMULATEXT(INDIRECT(Измен_Отслеж[[#This Row],[СОтслеживаем]],FALSE)),"ошибка")</f>
        <v>ошибка</v>
      </c>
      <c r="R15" s="38" t="str">
        <f ca="1">IFERROR(IF(LEFT(Измен_Отслеж[[#This Row],[ФОтслеживаем]],5)="=Прив","Критерий",IF(LEFT(Измен_Отслеж[[#This Row],[ФОтслеживаем]],5)="=Матр","Матрица","ошибка")),"ошибка")</f>
        <v>ошибка</v>
      </c>
      <c r="S15"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5" s="67">
        <f ca="1">IF(Измен_Отслеж[[#This Row],[Сопоставление]]="Отслеживаем",1,-1)</f>
        <v>-1</v>
      </c>
    </row>
    <row r="16" spans="1:24" x14ac:dyDescent="0.25">
      <c r="A16" s="37"/>
      <c r="B16"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6" s="38" t="str">
        <f ca="1">IFERROR(IF(LEFT(Измен_Отслеж[[#This Row],[ФИзменяем]],5)="=Прив","Критерий",IF(LEFT(Измен_Отслеж[[#This Row],[ФИзменяем]],5)="=Матр","Матрица","ошибка")),"ошибка")</f>
        <v>ошибка</v>
      </c>
      <c r="D16" s="38" t="str">
        <f ca="1">IFERROR(IF(N(INDIRECT(Измен_Отслеж[[#This Row],[СФизИзменяем]],FALSE))=0,"ошибка",IFERROR(INDIRECT(Измен_Отслеж[[#This Row],[СФизИзменяем]],FALSE),"ошибка")),"ошибка")</f>
        <v>ошибка</v>
      </c>
      <c r="E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6"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6" s="38" t="str">
        <f ca="1">IFERROR(_xlfn.FORMULATEXT(INDIRECT(Измен_Отслеж[[#This Row],[СИзменяем]],FALSE)),"ошибка")</f>
        <v>ошибка</v>
      </c>
      <c r="I16" s="38" t="str">
        <f ca="1">IFERROR(IF(N(INDIRECT(Измен_Отслеж[[#This Row],[СМинФизИзменяем]],FALSE))=0,"ошибка",IFERROR(INDIRECT(Измен_Отслеж[[#This Row],[СМинФизИзменяем]],FALSE),"ошибка")),"ошибка")</f>
        <v>ошибка</v>
      </c>
      <c r="J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6" s="38" t="str">
        <f ca="1">IFERROR(IF(N(INDIRECT(Измен_Отслеж[[#This Row],[СМаксФизИзменяем]],FALSE))=0,"ошибка",IFERROR(INDIRECT(Измен_Отслеж[[#This Row],[СМаксФизИзменяем]],FALSE),"ошибка")),"ошибка")</f>
        <v>ошибка</v>
      </c>
      <c r="L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6" s="38" t="str">
        <f ca="1">IFERROR(IF(N(INDIRECT(Измен_Отслеж[[#This Row],[ССрФизИзменяем]],FALSE))=0,"ошибка",IFERROR(INDIRECT(Измен_Отслеж[[#This Row],[ССрФизИзменяем]],FALSE),"ошибка")),"ошибка")</f>
        <v>ошибка</v>
      </c>
      <c r="N16"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6" s="65"/>
      <c r="P16"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6" s="38" t="str">
        <f ca="1">IFERROR(_xlfn.FORMULATEXT(INDIRECT(Измен_Отслеж[[#This Row],[СОтслеживаем]],FALSE)),"ошибка")</f>
        <v>ошибка</v>
      </c>
      <c r="R16" s="38" t="str">
        <f ca="1">IFERROR(IF(LEFT(Измен_Отслеж[[#This Row],[ФОтслеживаем]],5)="=Прив","Критерий",IF(LEFT(Измен_Отслеж[[#This Row],[ФОтслеживаем]],5)="=Матр","Матрица","ошибка")),"ошибка")</f>
        <v>ошибка</v>
      </c>
      <c r="S16"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6" s="67">
        <f ca="1">IF(Измен_Отслеж[[#This Row],[Сопоставление]]="Отслеживаем",1,-1)</f>
        <v>-1</v>
      </c>
    </row>
    <row r="17" spans="1:20" x14ac:dyDescent="0.25">
      <c r="A17" s="37"/>
      <c r="B17"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7" s="38" t="str">
        <f ca="1">IFERROR(IF(LEFT(Измен_Отслеж[[#This Row],[ФИзменяем]],5)="=Прив","Критерий",IF(LEFT(Измен_Отслеж[[#This Row],[ФИзменяем]],5)="=Матр","Матрица","ошибка")),"ошибка")</f>
        <v>ошибка</v>
      </c>
      <c r="D17" s="38" t="str">
        <f ca="1">IFERROR(IF(N(INDIRECT(Измен_Отслеж[[#This Row],[СФизИзменяем]],FALSE))=0,"ошибка",IFERROR(INDIRECT(Измен_Отслеж[[#This Row],[СФизИзменяем]],FALSE),"ошибка")),"ошибка")</f>
        <v>ошибка</v>
      </c>
      <c r="E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7"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7" s="38" t="str">
        <f ca="1">IFERROR(_xlfn.FORMULATEXT(INDIRECT(Измен_Отслеж[[#This Row],[СИзменяем]],FALSE)),"ошибка")</f>
        <v>ошибка</v>
      </c>
      <c r="I17" s="38" t="str">
        <f ca="1">IFERROR(IF(N(INDIRECT(Измен_Отслеж[[#This Row],[СМинФизИзменяем]],FALSE))=0,"ошибка",IFERROR(INDIRECT(Измен_Отслеж[[#This Row],[СМинФизИзменяем]],FALSE),"ошибка")),"ошибка")</f>
        <v>ошибка</v>
      </c>
      <c r="J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7" s="38" t="str">
        <f ca="1">IFERROR(IF(N(INDIRECT(Измен_Отслеж[[#This Row],[СМаксФизИзменяем]],FALSE))=0,"ошибка",IFERROR(INDIRECT(Измен_Отслеж[[#This Row],[СМаксФизИзменяем]],FALSE),"ошибка")),"ошибка")</f>
        <v>ошибка</v>
      </c>
      <c r="L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7" s="38" t="str">
        <f ca="1">IFERROR(IF(N(INDIRECT(Измен_Отслеж[[#This Row],[ССрФизИзменяем]],FALSE))=0,"ошибка",IFERROR(INDIRECT(Измен_Отслеж[[#This Row],[ССрФизИзменяем]],FALSE),"ошибка")),"ошибка")</f>
        <v>ошибка</v>
      </c>
      <c r="N17"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7" s="65"/>
      <c r="P17"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7" s="38" t="str">
        <f ca="1">IFERROR(_xlfn.FORMULATEXT(INDIRECT(Измен_Отслеж[[#This Row],[СОтслеживаем]],FALSE)),"ошибка")</f>
        <v>ошибка</v>
      </c>
      <c r="R17" s="38" t="str">
        <f ca="1">IFERROR(IF(LEFT(Измен_Отслеж[[#This Row],[ФОтслеживаем]],5)="=Прив","Критерий",IF(LEFT(Измен_Отслеж[[#This Row],[ФОтслеживаем]],5)="=Матр","Матрица","ошибка")),"ошибка")</f>
        <v>ошибка</v>
      </c>
      <c r="S17"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7" s="67">
        <f ca="1">IF(Измен_Отслеж[[#This Row],[Сопоставление]]="Отслеживаем",1,-1)</f>
        <v>-1</v>
      </c>
    </row>
    <row r="18" spans="1:20" x14ac:dyDescent="0.25">
      <c r="A18" s="37"/>
      <c r="B18"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8" s="38" t="str">
        <f ca="1">IFERROR(IF(LEFT(Измен_Отслеж[[#This Row],[ФИзменяем]],5)="=Прив","Критерий",IF(LEFT(Измен_Отслеж[[#This Row],[ФИзменяем]],5)="=Матр","Матрица","ошибка")),"ошибка")</f>
        <v>ошибка</v>
      </c>
      <c r="D18" s="38" t="str">
        <f ca="1">IFERROR(IF(N(INDIRECT(Измен_Отслеж[[#This Row],[СФизИзменяем]],FALSE))=0,"ошибка",IFERROR(INDIRECT(Измен_Отслеж[[#This Row],[СФизИзменяем]],FALSE),"ошибка")),"ошибка")</f>
        <v>ошибка</v>
      </c>
      <c r="E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8"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8" s="38" t="str">
        <f ca="1">IFERROR(_xlfn.FORMULATEXT(INDIRECT(Измен_Отслеж[[#This Row],[СИзменяем]],FALSE)),"ошибка")</f>
        <v>ошибка</v>
      </c>
      <c r="I18" s="38" t="str">
        <f ca="1">IFERROR(IF(N(INDIRECT(Измен_Отслеж[[#This Row],[СМинФизИзменяем]],FALSE))=0,"ошибка",IFERROR(INDIRECT(Измен_Отслеж[[#This Row],[СМинФизИзменяем]],FALSE),"ошибка")),"ошибка")</f>
        <v>ошибка</v>
      </c>
      <c r="J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8" s="38" t="str">
        <f ca="1">IFERROR(IF(N(INDIRECT(Измен_Отслеж[[#This Row],[СМаксФизИзменяем]],FALSE))=0,"ошибка",IFERROR(INDIRECT(Измен_Отслеж[[#This Row],[СМаксФизИзменяем]],FALSE),"ошибка")),"ошибка")</f>
        <v>ошибка</v>
      </c>
      <c r="L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8" s="38" t="str">
        <f ca="1">IFERROR(IF(N(INDIRECT(Измен_Отслеж[[#This Row],[ССрФизИзменяем]],FALSE))=0,"ошибка",IFERROR(INDIRECT(Измен_Отслеж[[#This Row],[ССрФизИзменяем]],FALSE),"ошибка")),"ошибка")</f>
        <v>ошибка</v>
      </c>
      <c r="N18"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8" s="65"/>
      <c r="P18"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8" s="38" t="str">
        <f ca="1">IFERROR(_xlfn.FORMULATEXT(INDIRECT(Измен_Отслеж[[#This Row],[СОтслеживаем]],FALSE)),"ошибка")</f>
        <v>ошибка</v>
      </c>
      <c r="R18" s="38" t="str">
        <f ca="1">IFERROR(IF(LEFT(Измен_Отслеж[[#This Row],[ФОтслеживаем]],5)="=Прив","Критерий",IF(LEFT(Измен_Отслеж[[#This Row],[ФОтслеживаем]],5)="=Матр","Матрица","ошибка")),"ошибка")</f>
        <v>ошибка</v>
      </c>
      <c r="S18"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8" s="67">
        <f ca="1">IF(Измен_Отслеж[[#This Row],[Сопоставление]]="Отслеживаем",1,-1)</f>
        <v>-1</v>
      </c>
    </row>
    <row r="19" spans="1:20" x14ac:dyDescent="0.25">
      <c r="A19" s="37"/>
      <c r="B19"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9" s="38" t="str">
        <f ca="1">IFERROR(IF(LEFT(Измен_Отслеж[[#This Row],[ФИзменяем]],5)="=Прив","Критерий",IF(LEFT(Измен_Отслеж[[#This Row],[ФИзменяем]],5)="=Матр","Матрица","ошибка")),"ошибка")</f>
        <v>ошибка</v>
      </c>
      <c r="D19" s="38" t="str">
        <f ca="1">IFERROR(IF(N(INDIRECT(Измен_Отслеж[[#This Row],[СФизИзменяем]],FALSE))=0,"ошибка",IFERROR(INDIRECT(Измен_Отслеж[[#This Row],[СФизИзменяем]],FALSE),"ошибка")),"ошибка")</f>
        <v>ошибка</v>
      </c>
      <c r="E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9"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9" s="38" t="str">
        <f ca="1">IFERROR(_xlfn.FORMULATEXT(INDIRECT(Измен_Отслеж[[#This Row],[СИзменяем]],FALSE)),"ошибка")</f>
        <v>ошибка</v>
      </c>
      <c r="I19" s="38" t="str">
        <f ca="1">IFERROR(IF(N(INDIRECT(Измен_Отслеж[[#This Row],[СМинФизИзменяем]],FALSE))=0,"ошибка",IFERROR(INDIRECT(Измен_Отслеж[[#This Row],[СМинФизИзменяем]],FALSE),"ошибка")),"ошибка")</f>
        <v>ошибка</v>
      </c>
      <c r="J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9" s="38" t="str">
        <f ca="1">IFERROR(IF(N(INDIRECT(Измен_Отслеж[[#This Row],[СМаксФизИзменяем]],FALSE))=0,"ошибка",IFERROR(INDIRECT(Измен_Отслеж[[#This Row],[СМаксФизИзменяем]],FALSE),"ошибка")),"ошибка")</f>
        <v>ошибка</v>
      </c>
      <c r="L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9" s="38" t="str">
        <f ca="1">IFERROR(IF(N(INDIRECT(Измен_Отслеж[[#This Row],[ССрФизИзменяем]],FALSE))=0,"ошибка",IFERROR(INDIRECT(Измен_Отслеж[[#This Row],[ССрФизИзменяем]],FALSE),"ошибка")),"ошибка")</f>
        <v>ошибка</v>
      </c>
      <c r="N19"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9" s="65"/>
      <c r="P19"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9" s="38" t="str">
        <f ca="1">IFERROR(_xlfn.FORMULATEXT(INDIRECT(Измен_Отслеж[[#This Row],[СОтслеживаем]],FALSE)),"ошибка")</f>
        <v>ошибка</v>
      </c>
      <c r="R19" s="38" t="str">
        <f ca="1">IFERROR(IF(LEFT(Измен_Отслеж[[#This Row],[ФОтслеживаем]],5)="=Прив","Критерий",IF(LEFT(Измен_Отслеж[[#This Row],[ФОтслеживаем]],5)="=Матр","Матрица","ошибка")),"ошибка")</f>
        <v>ошибка</v>
      </c>
      <c r="S19"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9" s="67">
        <f ca="1">IF(Измен_Отслеж[[#This Row],[Сопоставление]]="Отслеживаем",1,-1)</f>
        <v>-1</v>
      </c>
    </row>
    <row r="25" spans="1:20" x14ac:dyDescent="0.25">
      <c r="C25" s="37"/>
    </row>
  </sheetData>
  <mergeCells count="2">
    <mergeCell ref="V13:W13"/>
    <mergeCell ref="X12:X13"/>
  </mergeCells>
  <conditionalFormatting sqref="A9:A19 O9:O19">
    <cfRule type="cellIs" dxfId="806" priority="14" operator="notBetween">
      <formula>1</formula>
      <formula>4</formula>
    </cfRule>
  </conditionalFormatting>
  <conditionalFormatting sqref="T9:T19">
    <cfRule type="iconSet" priority="5">
      <iconSet showValue="0">
        <cfvo type="percent" val="0"/>
        <cfvo type="num" val="0"/>
        <cfvo type="num" val="1"/>
      </iconSet>
    </cfRule>
  </conditionalFormatting>
  <conditionalFormatting sqref="V12">
    <cfRule type="cellIs" dxfId="805" priority="4" operator="notBetween">
      <formula>1</formula>
      <formula>4</formula>
    </cfRule>
  </conditionalFormatting>
  <conditionalFormatting sqref="W12">
    <cfRule type="cellIs" dxfId="804" priority="3" operator="notBetween">
      <formula>1</formula>
      <formula>4</formula>
    </cfRule>
  </conditionalFormatting>
  <conditionalFormatting sqref="V13">
    <cfRule type="cellIs" dxfId="803" priority="2" operator="notBetween">
      <formula>0</formula>
      <formula>1</formula>
    </cfRule>
  </conditionalFormatting>
  <dataValidations count="2">
    <dataValidation type="list" allowBlank="1" showInputMessage="1" showErrorMessage="1" sqref="V13:W13" xr:uid="{00000000-0002-0000-0300-000000000000}">
      <formula1>INDIRECT("Step[Шаг анализа]")</formula1>
    </dataValidation>
    <dataValidation type="decimal" allowBlank="1" showInputMessage="1" showErrorMessage="1" errorTitle="Требуется указать диапазон" error="Значение &gt;=1 и &lt;=4" sqref="V12:W12" xr:uid="{00000000-0002-0000-0300-000001000000}">
      <formula1>0.999999999999999</formula1>
      <formula2>4</formula2>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 id="{C7909D6B-EC4D-4EDD-AD44-0E73D28D4797}">
            <x14:iconSet showValue="0" custom="1">
              <x14:cfvo type="percent">
                <xm:f>0</xm:f>
              </x14:cfvo>
              <x14:cfvo type="num">
                <xm:f>0</xm:f>
              </x14:cfvo>
              <x14:cfvo type="num">
                <xm:f>1</xm:f>
              </x14:cfvo>
              <x14:cfIcon iconSet="3TrafficLights1" iconId="0"/>
              <x14:cfIcon iconSet="3TrafficLights1" iconId="0"/>
              <x14:cfIcon iconSet="3TrafficLights1" iconId="2"/>
            </x14:iconSet>
          </x14:cfRule>
          <xm:sqref>X12:X13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711"/>
  <dimension ref="A1:CO21"/>
  <sheetViews>
    <sheetView topLeftCell="AN1" zoomScale="60" zoomScaleNormal="60" workbookViewId="0">
      <selection activeCell="AX45" sqref="AX45"/>
    </sheetView>
  </sheetViews>
  <sheetFormatPr defaultRowHeight="15" outlineLevelRow="2" x14ac:dyDescent="0.25"/>
  <cols>
    <col min="1" max="1" width="6.5703125" customWidth="1"/>
    <col min="2" max="2" width="8.28515625" customWidth="1"/>
    <col min="3" max="3" width="12.28515625" customWidth="1"/>
    <col min="4" max="4" width="13.85546875" customWidth="1"/>
    <col min="5" max="17" width="8.85546875" customWidth="1"/>
    <col min="18" max="18" width="16.140625" customWidth="1"/>
    <col min="20" max="20" width="11.140625" customWidth="1"/>
    <col min="22" max="23" width="8.85546875" customWidth="1"/>
    <col min="24" max="24" width="13.42578125" customWidth="1"/>
    <col min="25" max="26" width="8.85546875" customWidth="1"/>
    <col min="27" max="27" width="8.85546875" style="5" customWidth="1"/>
    <col min="28" max="28" width="8.85546875" customWidth="1"/>
    <col min="29" max="29" width="8.85546875" style="5" customWidth="1"/>
    <col min="30" max="30" width="8.85546875" customWidth="1"/>
    <col min="31" max="31" width="8.85546875" style="5" customWidth="1"/>
    <col min="32" max="32" width="8.85546875" customWidth="1"/>
    <col min="33" max="33" width="8.85546875" style="5" customWidth="1"/>
    <col min="34" max="34" width="8.85546875" customWidth="1"/>
    <col min="35" max="35" width="8.85546875" style="5" customWidth="1"/>
    <col min="36" max="36" width="8.85546875" customWidth="1"/>
    <col min="37" max="37" width="8.85546875" style="5" customWidth="1"/>
    <col min="38" max="38" width="8.85546875" customWidth="1"/>
    <col min="39" max="39" width="8.85546875" style="5" customWidth="1"/>
    <col min="40" max="40" width="8.85546875" customWidth="1"/>
    <col min="41" max="41" width="8.85546875" style="5" customWidth="1"/>
    <col min="42" max="42" width="8.85546875" customWidth="1"/>
    <col min="43" max="43" width="8.85546875" style="5" customWidth="1"/>
    <col min="44" max="50" width="8.85546875" customWidth="1"/>
    <col min="51" max="53" width="12.28515625" customWidth="1"/>
    <col min="56" max="59" width="16" customWidth="1"/>
    <col min="60" max="60" width="9.85546875" customWidth="1"/>
    <col min="61" max="61" width="2.7109375" customWidth="1"/>
    <col min="62" max="62" width="14.5703125" customWidth="1"/>
    <col min="63" max="63" width="2.7109375" customWidth="1"/>
    <col min="64" max="64" width="23.5703125" customWidth="1"/>
    <col min="65" max="66" width="2.7109375" customWidth="1"/>
    <col min="67" max="67" width="9.28515625" customWidth="1"/>
    <col min="68" max="68" width="10.85546875" customWidth="1"/>
  </cols>
  <sheetData>
    <row r="1" spans="1:93" outlineLevel="2" x14ac:dyDescent="0.25">
      <c r="C1" s="139" t="s">
        <v>461</v>
      </c>
      <c r="E1" s="139" t="s">
        <v>461</v>
      </c>
      <c r="F1" s="139" t="s">
        <v>461</v>
      </c>
      <c r="G1" s="139" t="s">
        <v>461</v>
      </c>
      <c r="H1" s="139" t="s">
        <v>461</v>
      </c>
      <c r="I1" s="139" t="s">
        <v>461</v>
      </c>
      <c r="J1" s="139" t="s">
        <v>461</v>
      </c>
      <c r="K1" s="139" t="s">
        <v>461</v>
      </c>
      <c r="L1" s="139" t="s">
        <v>461</v>
      </c>
      <c r="M1" s="139" t="s">
        <v>461</v>
      </c>
      <c r="N1" s="139" t="s">
        <v>461</v>
      </c>
      <c r="O1" s="139" t="s">
        <v>461</v>
      </c>
      <c r="P1" s="139" t="s">
        <v>461</v>
      </c>
      <c r="Q1" s="139" t="s">
        <v>461</v>
      </c>
      <c r="V1" s="139" t="s">
        <v>461</v>
      </c>
      <c r="W1" s="139" t="s">
        <v>461</v>
      </c>
      <c r="Y1" s="139" t="s">
        <v>461</v>
      </c>
      <c r="Z1" s="139" t="s">
        <v>461</v>
      </c>
      <c r="AA1" s="139" t="s">
        <v>461</v>
      </c>
      <c r="AB1" s="139" t="s">
        <v>461</v>
      </c>
      <c r="AC1" s="139" t="s">
        <v>461</v>
      </c>
      <c r="AD1" s="139" t="s">
        <v>461</v>
      </c>
      <c r="AE1" s="139" t="s">
        <v>461</v>
      </c>
      <c r="AF1" s="139" t="s">
        <v>461</v>
      </c>
      <c r="AG1" s="139" t="s">
        <v>461</v>
      </c>
      <c r="AH1" s="139" t="s">
        <v>461</v>
      </c>
      <c r="AI1" s="139" t="s">
        <v>461</v>
      </c>
      <c r="AJ1" s="139" t="s">
        <v>461</v>
      </c>
      <c r="AK1" s="139" t="s">
        <v>461</v>
      </c>
      <c r="AL1" s="139" t="s">
        <v>461</v>
      </c>
      <c r="AM1" s="139" t="s">
        <v>461</v>
      </c>
      <c r="AN1" s="139" t="s">
        <v>461</v>
      </c>
      <c r="AO1" s="139" t="s">
        <v>461</v>
      </c>
      <c r="AP1" s="139" t="s">
        <v>461</v>
      </c>
      <c r="AQ1" s="139" t="s">
        <v>461</v>
      </c>
      <c r="AR1" s="139" t="s">
        <v>461</v>
      </c>
      <c r="AS1" s="139" t="s">
        <v>461</v>
      </c>
      <c r="AT1" s="139" t="s">
        <v>461</v>
      </c>
      <c r="AU1" s="139" t="s">
        <v>461</v>
      </c>
      <c r="AV1" s="139" t="s">
        <v>461</v>
      </c>
      <c r="AW1" s="139" t="s">
        <v>461</v>
      </c>
      <c r="AX1" s="139" t="s">
        <v>461</v>
      </c>
      <c r="BH1" s="124"/>
      <c r="BI1" s="124" t="s">
        <v>461</v>
      </c>
      <c r="BJ1" s="124"/>
      <c r="BK1" s="124" t="s">
        <v>461</v>
      </c>
      <c r="BL1" s="124"/>
      <c r="BM1" s="124" t="s">
        <v>461</v>
      </c>
      <c r="BN1" s="124" t="s">
        <v>461</v>
      </c>
      <c r="BO1" s="124"/>
      <c r="BP1" s="124"/>
      <c r="BQ1" s="124"/>
    </row>
    <row r="2" spans="1:93" outlineLevel="2" x14ac:dyDescent="0.25">
      <c r="B2" t="s">
        <v>364</v>
      </c>
      <c r="D2">
        <f>ROWS(Критерий_Чувствительность_2[])</f>
        <v>12</v>
      </c>
      <c r="U2" t="s">
        <v>364</v>
      </c>
      <c r="W2">
        <f>ROWS(Свёртка_Чувствительность_2[])</f>
        <v>9</v>
      </c>
      <c r="BD2" t="s">
        <v>364</v>
      </c>
      <c r="BF2">
        <f>ROWS(Анализ_Чувствительность_2[])</f>
        <v>2</v>
      </c>
    </row>
    <row r="3" spans="1:93" outlineLevel="2" x14ac:dyDescent="0.25">
      <c r="B3" t="s">
        <v>365</v>
      </c>
      <c r="D3">
        <f>COUNTIF(Критерий_Чувствительность_2[Критерий],"&gt;=1")-COUNTIF(Критерий_Чувствительность_2[Критерий],"&gt;4")</f>
        <v>0</v>
      </c>
      <c r="U3" t="s">
        <v>365</v>
      </c>
      <c r="W3">
        <f>COUNTIF(Свёртка_Чувствительность_2[Свёртка],"&gt;=1")-COUNTIF(Свёртка_Чувствительность_2[Свёртка],"&gt;4")</f>
        <v>0</v>
      </c>
    </row>
    <row r="4" spans="1:93" outlineLevel="2" x14ac:dyDescent="0.25">
      <c r="B4" t="s">
        <v>447</v>
      </c>
      <c r="D4">
        <f ca="1">COUNTIF(Критерий_Чувствительность_2[O.K.Критерий],1)</f>
        <v>0</v>
      </c>
      <c r="U4" t="s">
        <v>447</v>
      </c>
      <c r="W4">
        <f ca="1">COUNTIF(Свёртка_Чувствительность_2[O.K.Свёртка],1)</f>
        <v>0</v>
      </c>
      <c r="BD4" t="s">
        <v>447</v>
      </c>
      <c r="BF4">
        <f>COUNTIF(Анализ_Чувствительность_2[Y],1)</f>
        <v>2</v>
      </c>
    </row>
    <row r="5" spans="1:93" outlineLevel="2" x14ac:dyDescent="0.25"/>
    <row r="6" spans="1:93" outlineLevel="2" x14ac:dyDescent="0.25">
      <c r="F6">
        <v>-2</v>
      </c>
      <c r="H6">
        <v>1</v>
      </c>
      <c r="J6">
        <v>-1</v>
      </c>
      <c r="M6">
        <v>1</v>
      </c>
      <c r="O6">
        <v>1</v>
      </c>
      <c r="Q6">
        <v>1</v>
      </c>
      <c r="V6">
        <v>1</v>
      </c>
      <c r="W6">
        <v>2</v>
      </c>
      <c r="X6">
        <v>3</v>
      </c>
      <c r="Y6">
        <v>4</v>
      </c>
      <c r="Z6">
        <v>-3</v>
      </c>
      <c r="AB6">
        <v>0</v>
      </c>
      <c r="AD6">
        <v>-1</v>
      </c>
      <c r="AF6">
        <v>0</v>
      </c>
      <c r="AH6">
        <v>-1</v>
      </c>
      <c r="AJ6">
        <v>-2</v>
      </c>
      <c r="AL6">
        <v>0</v>
      </c>
      <c r="AN6">
        <v>-2</v>
      </c>
      <c r="AP6">
        <v>-1</v>
      </c>
      <c r="AR6">
        <v>-2</v>
      </c>
      <c r="AT6">
        <v>-2</v>
      </c>
      <c r="AW6">
        <v>-1</v>
      </c>
    </row>
    <row r="7" spans="1:93" outlineLevel="2" x14ac:dyDescent="0.25">
      <c r="F7">
        <v>-3</v>
      </c>
      <c r="H7">
        <v>0</v>
      </c>
      <c r="J7">
        <v>-3</v>
      </c>
      <c r="M7">
        <v>-3</v>
      </c>
      <c r="O7">
        <v>-1</v>
      </c>
      <c r="Q7">
        <v>-2</v>
      </c>
      <c r="V7">
        <v>1</v>
      </c>
      <c r="W7">
        <v>2</v>
      </c>
      <c r="X7">
        <v>3</v>
      </c>
      <c r="Y7">
        <v>4</v>
      </c>
      <c r="Z7">
        <v>0</v>
      </c>
      <c r="AB7">
        <v>3</v>
      </c>
      <c r="AD7">
        <v>3</v>
      </c>
      <c r="AF7">
        <v>2</v>
      </c>
      <c r="AH7">
        <v>2</v>
      </c>
      <c r="AJ7">
        <v>3</v>
      </c>
      <c r="AL7">
        <v>1</v>
      </c>
      <c r="AN7">
        <v>2</v>
      </c>
      <c r="AP7">
        <v>1</v>
      </c>
      <c r="AR7">
        <v>1</v>
      </c>
      <c r="AT7">
        <v>0</v>
      </c>
      <c r="AW7">
        <v>0</v>
      </c>
    </row>
    <row r="8" spans="1:93" outlineLevel="2" x14ac:dyDescent="0.25">
      <c r="B8">
        <v>0</v>
      </c>
      <c r="C8">
        <v>1</v>
      </c>
      <c r="D8">
        <v>2</v>
      </c>
      <c r="E8">
        <v>3</v>
      </c>
      <c r="F8">
        <v>4</v>
      </c>
      <c r="G8">
        <v>5</v>
      </c>
      <c r="H8">
        <v>6</v>
      </c>
      <c r="I8">
        <v>7</v>
      </c>
      <c r="J8">
        <v>8</v>
      </c>
      <c r="K8">
        <v>9</v>
      </c>
      <c r="L8">
        <v>10</v>
      </c>
      <c r="M8">
        <v>11</v>
      </c>
      <c r="N8">
        <v>12</v>
      </c>
      <c r="O8">
        <v>13</v>
      </c>
      <c r="P8">
        <v>14</v>
      </c>
      <c r="Q8">
        <v>15</v>
      </c>
      <c r="R8">
        <v>16</v>
      </c>
      <c r="U8">
        <v>0</v>
      </c>
      <c r="V8">
        <v>1</v>
      </c>
      <c r="W8">
        <v>2</v>
      </c>
      <c r="X8">
        <v>3</v>
      </c>
      <c r="Y8">
        <v>4</v>
      </c>
      <c r="Z8">
        <v>5</v>
      </c>
      <c r="AA8" s="5">
        <v>6</v>
      </c>
      <c r="AB8">
        <v>7</v>
      </c>
      <c r="AC8" s="5">
        <v>8</v>
      </c>
      <c r="AD8">
        <v>9</v>
      </c>
      <c r="AE8" s="5">
        <v>10</v>
      </c>
      <c r="AF8">
        <v>11</v>
      </c>
      <c r="AG8" s="5">
        <v>12</v>
      </c>
      <c r="AH8">
        <v>13</v>
      </c>
      <c r="AI8" s="5">
        <v>14</v>
      </c>
      <c r="AJ8">
        <v>15</v>
      </c>
      <c r="AK8" s="5">
        <v>16</v>
      </c>
      <c r="AL8">
        <v>17</v>
      </c>
      <c r="AM8" s="5">
        <v>18</v>
      </c>
      <c r="AN8">
        <v>19</v>
      </c>
      <c r="AO8" s="5">
        <v>20</v>
      </c>
      <c r="AP8">
        <v>21</v>
      </c>
      <c r="AQ8" s="5">
        <v>22</v>
      </c>
      <c r="AR8">
        <v>23</v>
      </c>
      <c r="AS8">
        <v>24</v>
      </c>
      <c r="AT8">
        <v>25</v>
      </c>
      <c r="AU8">
        <v>26</v>
      </c>
      <c r="AV8">
        <v>27</v>
      </c>
      <c r="AW8">
        <v>28</v>
      </c>
      <c r="AX8">
        <v>29</v>
      </c>
      <c r="AY8">
        <v>30</v>
      </c>
      <c r="BD8">
        <v>0</v>
      </c>
      <c r="BE8">
        <v>1</v>
      </c>
      <c r="BF8">
        <v>2</v>
      </c>
      <c r="BG8">
        <v>3</v>
      </c>
      <c r="BH8">
        <v>4</v>
      </c>
      <c r="BI8">
        <v>5</v>
      </c>
      <c r="BJ8">
        <v>6</v>
      </c>
      <c r="BK8">
        <v>7</v>
      </c>
      <c r="BL8">
        <v>8</v>
      </c>
      <c r="BM8">
        <v>9</v>
      </c>
      <c r="BN8">
        <v>10</v>
      </c>
      <c r="BO8">
        <v>11</v>
      </c>
      <c r="BP8">
        <v>12</v>
      </c>
      <c r="BQ8">
        <v>13</v>
      </c>
      <c r="BR8">
        <v>14</v>
      </c>
      <c r="BS8">
        <v>15</v>
      </c>
      <c r="BT8">
        <v>16</v>
      </c>
      <c r="BU8">
        <v>17</v>
      </c>
      <c r="BV8">
        <v>18</v>
      </c>
      <c r="BW8">
        <v>19</v>
      </c>
      <c r="BX8">
        <v>20</v>
      </c>
      <c r="BY8">
        <v>21</v>
      </c>
      <c r="BZ8">
        <v>22</v>
      </c>
      <c r="CA8">
        <v>23</v>
      </c>
      <c r="CB8">
        <v>24</v>
      </c>
      <c r="CC8">
        <v>25</v>
      </c>
      <c r="CD8">
        <v>26</v>
      </c>
      <c r="CE8">
        <v>27</v>
      </c>
      <c r="CF8">
        <v>28</v>
      </c>
      <c r="CG8">
        <v>29</v>
      </c>
      <c r="CH8">
        <v>30</v>
      </c>
      <c r="CI8">
        <v>31</v>
      </c>
      <c r="CJ8">
        <v>32</v>
      </c>
      <c r="CK8">
        <v>33</v>
      </c>
      <c r="CL8">
        <v>34</v>
      </c>
      <c r="CM8">
        <v>35</v>
      </c>
      <c r="CN8">
        <v>36</v>
      </c>
      <c r="CO8">
        <v>37</v>
      </c>
    </row>
    <row r="9" spans="1:93" ht="15.75" thickBot="1" x14ac:dyDescent="0.3">
      <c r="A9" s="66" t="s">
        <v>395</v>
      </c>
      <c r="B9" s="66" t="s">
        <v>396</v>
      </c>
      <c r="C9" s="66" t="s">
        <v>397</v>
      </c>
      <c r="D9" s="66" t="s">
        <v>409</v>
      </c>
      <c r="E9" s="66" t="s">
        <v>456</v>
      </c>
      <c r="F9" s="66" t="s">
        <v>457</v>
      </c>
      <c r="G9" s="66" t="s">
        <v>398</v>
      </c>
      <c r="H9" s="66" t="s">
        <v>399</v>
      </c>
      <c r="I9" s="66" t="s">
        <v>400</v>
      </c>
      <c r="J9" s="66" t="s">
        <v>401</v>
      </c>
      <c r="K9" s="66" t="s">
        <v>402</v>
      </c>
      <c r="L9" s="66" t="s">
        <v>403</v>
      </c>
      <c r="M9" s="66" t="s">
        <v>404</v>
      </c>
      <c r="N9" s="66" t="s">
        <v>405</v>
      </c>
      <c r="O9" s="66" t="s">
        <v>406</v>
      </c>
      <c r="P9" s="66" t="s">
        <v>407</v>
      </c>
      <c r="Q9" s="66" t="s">
        <v>408</v>
      </c>
      <c r="R9" s="66" t="s">
        <v>410</v>
      </c>
      <c r="T9" s="66" t="s">
        <v>395</v>
      </c>
      <c r="U9" s="66" t="s">
        <v>411</v>
      </c>
      <c r="V9" s="66" t="s">
        <v>414</v>
      </c>
      <c r="W9" s="66" t="s">
        <v>412</v>
      </c>
      <c r="X9" s="66" t="s">
        <v>413</v>
      </c>
      <c r="Y9" s="66" t="s">
        <v>456</v>
      </c>
      <c r="Z9" s="66" t="s">
        <v>457</v>
      </c>
      <c r="AA9" s="5" t="s">
        <v>475</v>
      </c>
      <c r="AB9" s="66" t="s">
        <v>478</v>
      </c>
      <c r="AC9" s="5" t="s">
        <v>476</v>
      </c>
      <c r="AD9" s="66" t="s">
        <v>479</v>
      </c>
      <c r="AE9" s="5" t="s">
        <v>477</v>
      </c>
      <c r="AF9" s="66" t="s">
        <v>480</v>
      </c>
      <c r="AG9" s="5" t="s">
        <v>481</v>
      </c>
      <c r="AH9" s="66" t="s">
        <v>482</v>
      </c>
      <c r="AI9" s="5" t="s">
        <v>483</v>
      </c>
      <c r="AJ9" s="66" t="s">
        <v>484</v>
      </c>
      <c r="AK9" s="5" t="s">
        <v>485</v>
      </c>
      <c r="AL9" s="66" t="s">
        <v>486</v>
      </c>
      <c r="AM9" s="5" t="s">
        <v>487</v>
      </c>
      <c r="AN9" s="66" t="s">
        <v>488</v>
      </c>
      <c r="AO9" s="5" t="s">
        <v>489</v>
      </c>
      <c r="AP9" s="66" t="s">
        <v>490</v>
      </c>
      <c r="AQ9" s="5" t="s">
        <v>491</v>
      </c>
      <c r="AR9" s="66" t="s">
        <v>492</v>
      </c>
      <c r="AS9" s="66" t="s">
        <v>493</v>
      </c>
      <c r="AT9" s="66" t="s">
        <v>494</v>
      </c>
      <c r="AU9" s="66" t="s">
        <v>495</v>
      </c>
      <c r="AV9" s="66" t="s">
        <v>496</v>
      </c>
      <c r="AW9" s="66" t="s">
        <v>497</v>
      </c>
      <c r="AX9" s="66" t="s">
        <v>498</v>
      </c>
      <c r="AY9" s="66" t="s">
        <v>415</v>
      </c>
      <c r="AZ9" s="66"/>
      <c r="BA9" s="66"/>
      <c r="BC9" s="140" t="s">
        <v>395</v>
      </c>
      <c r="BD9" s="140" t="s">
        <v>416</v>
      </c>
      <c r="BE9" s="140" t="s">
        <v>392</v>
      </c>
      <c r="BF9" s="140" t="s">
        <v>459</v>
      </c>
      <c r="BG9" s="140" t="s">
        <v>550</v>
      </c>
      <c r="BH9" s="140" t="s">
        <v>411</v>
      </c>
      <c r="BI9" s="140" t="s">
        <v>441</v>
      </c>
      <c r="BJ9" s="140" t="s">
        <v>396</v>
      </c>
      <c r="BK9" s="140" t="s">
        <v>458</v>
      </c>
      <c r="BL9" s="140" t="s">
        <v>417</v>
      </c>
      <c r="BM9" s="140" t="s">
        <v>442</v>
      </c>
      <c r="BN9" s="140" t="s">
        <v>443</v>
      </c>
      <c r="BO9" s="140" t="s">
        <v>552</v>
      </c>
      <c r="BP9" s="140" t="s">
        <v>553</v>
      </c>
      <c r="BQ9" s="141" t="s">
        <v>100</v>
      </c>
      <c r="BR9" s="141" t="s">
        <v>101</v>
      </c>
      <c r="BS9" s="141" t="s">
        <v>418</v>
      </c>
      <c r="BT9" s="141" t="s">
        <v>419</v>
      </c>
      <c r="BU9" s="141" t="s">
        <v>420</v>
      </c>
      <c r="BV9" s="141" t="s">
        <v>421</v>
      </c>
      <c r="BW9" s="141" t="s">
        <v>422</v>
      </c>
      <c r="BX9" s="141" t="s">
        <v>423</v>
      </c>
      <c r="BY9" s="141" t="s">
        <v>424</v>
      </c>
      <c r="BZ9" s="141" t="s">
        <v>425</v>
      </c>
      <c r="CA9" s="141" t="s">
        <v>426</v>
      </c>
      <c r="CB9" s="141" t="s">
        <v>427</v>
      </c>
      <c r="CC9" s="141" t="s">
        <v>428</v>
      </c>
      <c r="CD9" s="141" t="s">
        <v>429</v>
      </c>
      <c r="CE9" s="141" t="s">
        <v>430</v>
      </c>
      <c r="CF9" s="141" t="s">
        <v>431</v>
      </c>
      <c r="CG9" s="141" t="s">
        <v>432</v>
      </c>
      <c r="CH9" s="141" t="s">
        <v>433</v>
      </c>
      <c r="CI9" s="141" t="s">
        <v>434</v>
      </c>
      <c r="CJ9" s="141" t="s">
        <v>435</v>
      </c>
      <c r="CK9" s="141" t="s">
        <v>436</v>
      </c>
      <c r="CL9" s="141" t="s">
        <v>437</v>
      </c>
      <c r="CM9" s="141" t="s">
        <v>438</v>
      </c>
      <c r="CN9" s="141" t="s">
        <v>439</v>
      </c>
      <c r="CO9" s="141" t="s">
        <v>440</v>
      </c>
    </row>
    <row r="10" spans="1:93" x14ac:dyDescent="0.25">
      <c r="A10" s="5" t="e">
        <f ca="1">IF(AND(Критерий_Чувствительность_2[[#This Row],[Критерий]]&lt;&gt;"",Критерий_Чувствительность_2[[#This Row],[O.K.Критерий]]=1),ROW()-ROW(Критерий_Чувствительность_2[[#Headers],[№]]),"")</f>
        <v>#REF!</v>
      </c>
      <c r="B10" s="138" t="e">
        <f>Модель!#REF!</f>
        <v>#REF!</v>
      </c>
      <c r="C10"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0"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0"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0"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0"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0" s="135" t="str">
        <f ca="1">IFERROR(_xlfn.FORMULATEXT(INDIRECT(Критерий_Чувствительность_2[[#This Row],[Скритерий]],FALSE)),"ошибка")</f>
        <v>ошибка</v>
      </c>
      <c r="L10"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0"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0" s="136" t="str">
        <f ca="1">IFERROR(IF(N(INDIRECT(Критерий_Чувствительность_2[[#This Row],[ССрФизКритерий]],FALSE))=0,"ошибка",IFERROR(INDIRECT(Критерий_Чувствительность_2[[#This Row],[ССрФизКритерий]],FALSE),"ошибка")),"")</f>
        <v/>
      </c>
      <c r="Q10"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0" s="5">
        <f ca="1">IFERROR(IF(AND(Критерий_Чувствительность_2[[#This Row],[ВидКритерий]]="Критерий",Критерий_Чувствительность_2[[#This Row],[Фкритерий]]="=Приведение"),1,-1),-1)</f>
        <v>-1</v>
      </c>
      <c r="T10" s="66" t="e">
        <f ca="1">IF(AND(Свёртка_Чувствительность_2[[#This Row],[Свёртка]]&lt;&gt;"",Свёртка_Чувствительность_2[[#This Row],[O.K.Свёртка]]=1),ROW()-ROW(Свёртка_Чувствительность_2[[#Headers],[№]]),"")</f>
        <v>#REF!</v>
      </c>
      <c r="U10" s="137" t="e">
        <f>Модель!#REF!</f>
        <v>#REF!</v>
      </c>
      <c r="V10"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0" s="135" t="str">
        <f ca="1">IFERROR(_xlfn.FORMULATEXT(INDIRECT(Свёртка_Чувствительность_2[[#This Row],[ССвёртка]],FALSE)),"ошибка")</f>
        <v>ошибка</v>
      </c>
      <c r="X10" s="135" t="str">
        <f ca="1">IFERROR(IF(LEFT(Свёртка_Чувствительность_2[[#This Row],[ФСвёртка]],5)="=Прив","ошибка",IF(LEFT(Свёртка_Чувствительность_2[[#This Row],[ФСвёртка]],5)="=Матр","Свёртка","ошибка")),"ошибка")</f>
        <v>ошибка</v>
      </c>
      <c r="Y10"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0" s="136" t="str">
        <f ca="1">IFERROR(IF(LEN((INDIRECT(Свёртка_Чувствительность_2[[#This Row],[ССВ_1_1]],FALSE)))=0,"ошибка",IFERROR(INDIRECT(Свёртка_Чувствительность_2[[#This Row],[ССВ_1_1]],FALSE),"ошибка")),"ошибка")</f>
        <v>ошибка</v>
      </c>
      <c r="AB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0" s="136" t="str">
        <f ca="1">IFERROR(IF(LEN((INDIRECT(Свёртка_Чувствительность_2[[#This Row],[ССВ_2_1]],FALSE)))=0,"ошибка",IFERROR(INDIRECT(Свёртка_Чувствительность_2[[#This Row],[ССВ_2_1]],FALSE),"ошибка")),"ошибка")</f>
        <v>ошибка</v>
      </c>
      <c r="AD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0" s="136" t="str">
        <f ca="1">IFERROR(IF(LEN((INDIRECT(Свёртка_Чувствительность_2[[#This Row],[ССВ_1_2]],FALSE)))=0,"ошибка",IFERROR(INDIRECT(Свёртка_Чувствительность_2[[#This Row],[ССВ_1_2]],FALSE),"ошибка")),"ошибка")</f>
        <v>ошибка</v>
      </c>
      <c r="AF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0" s="136" t="str">
        <f ca="1">IFERROR(IF(LEN((INDIRECT(Свёртка_Чувствительность_2[[#This Row],[ССВ_2_2]],FALSE)))=0,"ошибка",IFERROR(INDIRECT(Свёртка_Чувствительность_2[[#This Row],[ССВ_2_2]],FALSE),"ошибка")),"ошибка")</f>
        <v>ошибка</v>
      </c>
      <c r="AH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0" s="136" t="str">
        <f ca="1">IFERROR(IF(LEN((INDIRECT(Свёртка_Чувствительность_2[[#This Row],[ССВ_3_1]],FALSE)))=0,"ошибка",IFERROR(INDIRECT(Свёртка_Чувствительность_2[[#This Row],[ССВ_3_1]],FALSE),"ошибка")),"ошибка")</f>
        <v>ошибка</v>
      </c>
      <c r="AJ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0" s="136" t="str">
        <f ca="1">IFERROR(IF(LEN((INDIRECT(Свёртка_Чувствительность_2[[#This Row],[ССВ_1_3]],FALSE)))=0,"ошибка",IFERROR(INDIRECT(Свёртка_Чувствительность_2[[#This Row],[ССВ_1_3]],FALSE),"ошибка")),"ошибка")</f>
        <v>ошибка</v>
      </c>
      <c r="AL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0" s="136" t="str">
        <f ca="1">IFERROR(IF(LEN((INDIRECT(Свёртка_Чувствительность_2[[#This Row],[ССВ_3_2]],FALSE)))=0,"ошибка",IFERROR(INDIRECT(Свёртка_Чувствительность_2[[#This Row],[ССВ_3_2]],FALSE),"ошибка")),"ошибка")</f>
        <v>ошибка</v>
      </c>
      <c r="AN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0" s="136" t="str">
        <f ca="1">IFERROR(IF(LEN((INDIRECT(Свёртка_Чувствительность_2[[#This Row],[ССВ_2_3]],FALSE)))=0,"ошибка",IFERROR(INDIRECT(Свёртка_Чувствительность_2[[#This Row],[ССВ_2_3]],FALSE),"ошибка")),"ошибка")</f>
        <v>ошибка</v>
      </c>
      <c r="AP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0" s="136" t="str">
        <f ca="1">IFERROR(IF(LEN((INDIRECT(Свёртка_Чувствительность_2[[#This Row],[ССВ_3_3]],FALSE)))=0,"ошибка",IFERROR(INDIRECT(Свёртка_Чувствительность_2[[#This Row],[ССВ_3_3]],FALSE),"ошибка")),"ошибка")</f>
        <v>ошибка</v>
      </c>
      <c r="AR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0" s="135" t="str">
        <f ca="1">IFERROR(IF(LEN((INDIRECT(Свёртка_Чувствительность_2[[#This Row],[СЛ]],FALSE)))=0,"ошибка",IFERROR(INDIRECT(Свёртка_Чувствительность_2[[#This Row],[СЛ]],FALSE),"ошибка")),"ошибка")</f>
        <v>ошибка</v>
      </c>
      <c r="AT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0" s="135" t="str">
        <f ca="1">IFERROR(_xlfn.FORMULATEXT(INDIRECT(Свёртка_Чувствительность_2[[#This Row],[СЛ]],FALSE)),"ошибка")</f>
        <v>ошибка</v>
      </c>
      <c r="AV10" s="135" t="str">
        <f ca="1">IFERROR(IF(LEN((INDIRECT(Свёртка_Чувствительность_2[[#This Row],[СП]],FALSE)))=0,"ошибка",IFERROR(INDIRECT(Свёртка_Чувствительность_2[[#This Row],[СП]],FALSE),"ошибка")),"ошибка")</f>
        <v>ошибка</v>
      </c>
      <c r="AW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0" s="135" t="str">
        <f ca="1">IFERROR(_xlfn.FORMULATEXT(INDIRECT(Свёртка_Чувствительность_2[[#This Row],[СП]],FALSE)),"ошибка")</f>
        <v>ошибка</v>
      </c>
      <c r="AY10"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0" s="66"/>
      <c r="BA10" s="66"/>
      <c r="BC10" s="134">
        <f>IF(AND(Множество[[#This Row],[Y]]=1),ROW()-ROW(Множество[[#Headers],[№]]),"")</f>
        <v>1</v>
      </c>
      <c r="BD10" s="142" t="s">
        <v>451</v>
      </c>
      <c r="BE10" s="142">
        <v>0.2</v>
      </c>
      <c r="BF10" s="142" t="s">
        <v>554</v>
      </c>
      <c r="BG10" s="142">
        <v>1</v>
      </c>
      <c r="BH10" s="134">
        <v>3</v>
      </c>
      <c r="BI10" s="134">
        <f>IF(LEN(Анализ_Чувствительность_2[[#This Row],[Свёртка]])&gt;0,1,-1)</f>
        <v>1</v>
      </c>
      <c r="BJ10" s="134">
        <v>7</v>
      </c>
      <c r="BK10" s="134">
        <f>IF(LEN(Анализ_Чувствительность_2[[#This Row],[Критерий]])&gt;0,1,-1)</f>
        <v>1</v>
      </c>
      <c r="BL10" s="134" t="s">
        <v>555</v>
      </c>
      <c r="BM10" s="134">
        <f>IF(LEN(Анализ_Чувствительность_2[[#This Row],[Критерии]])&gt;0,1,-1)</f>
        <v>1</v>
      </c>
      <c r="BN10" s="134">
        <f>IF(AND(LEN(Анализ_Чувствительность_2[[#This Row],[Свёртка]])&gt;0,LEN(Анализ_Чувствительность_2[[#This Row],[Критерии]])&gt;0,LEN(Анализ_Чувствительность_2[[#This Row],[Оценки]])&gt;0,LEN(Анализ_Чувствительность_2[[#This Row],[Представление]])&gt;0,LEN(Анализ_Чувствительность_2[[#This Row],[Критерий]])&gt;0,LEN(Анализ_Чувствительность_2[[#This Row],[Размещение]])&gt;0,LEN(Анализ_Чувствительность_2[[#This Row],[Шаг]])&gt;0,LEN(Анализ_Чувствительность_2[[#This Row],[min]])&gt;0,LEN(Анализ_Чувствительность_2[[#This Row],[max]])&gt;0,(Анализ_Чувствительность_2[[#This Row],[min]]&lt;&gt;Анализ_Чувствительность_2[[#This Row],[max]])),1,-1)</f>
        <v>1</v>
      </c>
      <c r="BO10" s="134">
        <v>1</v>
      </c>
      <c r="BP10" s="134">
        <v>31</v>
      </c>
      <c r="BQ10" s="133">
        <v>7</v>
      </c>
      <c r="BR10" s="133">
        <v>10</v>
      </c>
      <c r="BS10" s="133">
        <v>9</v>
      </c>
      <c r="BT10" s="133">
        <v>15</v>
      </c>
      <c r="BU10" s="133">
        <v>16</v>
      </c>
      <c r="BV10" s="133"/>
      <c r="BW10" s="133"/>
      <c r="BX10" s="133"/>
      <c r="BY10" s="133"/>
      <c r="BZ10" s="133"/>
      <c r="CA10" s="133"/>
      <c r="CB10" s="133"/>
      <c r="CC10" s="133"/>
      <c r="CD10" s="133"/>
      <c r="CE10" s="133"/>
      <c r="CF10" s="133"/>
      <c r="CG10" s="133"/>
      <c r="CH10" s="133"/>
      <c r="CI10" s="133"/>
      <c r="CJ10" s="133"/>
      <c r="CK10" s="133"/>
      <c r="CL10" s="133"/>
      <c r="CM10" s="133"/>
      <c r="CN10" s="133"/>
      <c r="CO10" s="133"/>
    </row>
    <row r="11" spans="1:93" x14ac:dyDescent="0.25">
      <c r="A11" s="66" t="e">
        <f ca="1">IF(AND(Критерий_Чувствительность_2[[#This Row],[Критерий]]&lt;&gt;"",Критерий_Чувствительность_2[[#This Row],[O.K.Критерий]]=1),ROW()-ROW(Критерий_Чувствительность_2[[#Headers],[№]]),"")</f>
        <v>#REF!</v>
      </c>
      <c r="B11" s="138" t="e">
        <f>Модель!#REF!</f>
        <v>#REF!</v>
      </c>
      <c r="C11"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1"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1"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1"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1"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1" s="135" t="str">
        <f ca="1">IFERROR(_xlfn.FORMULATEXT(INDIRECT(Критерий_Чувствительность_2[[#This Row],[Скритерий]],FALSE)),"ошибка")</f>
        <v>ошибка</v>
      </c>
      <c r="L11"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1"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1" s="136" t="str">
        <f ca="1">IFERROR(IF(N(INDIRECT(Критерий_Чувствительность_2[[#This Row],[ССрФизКритерий]],FALSE))=0,"ошибка",IFERROR(INDIRECT(Критерий_Чувствительность_2[[#This Row],[ССрФизКритерий]],FALSE),"ошибка")),"")</f>
        <v/>
      </c>
      <c r="Q11"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1" s="66">
        <f ca="1">IFERROR(IF(AND(Критерий_Чувствительность_2[[#This Row],[ВидКритерий]]="Критерий",Критерий_Чувствительность_2[[#This Row],[Фкритерий]]="=Приведение"),1,-1),-1)</f>
        <v>-1</v>
      </c>
      <c r="T11" s="66" t="e">
        <f ca="1">IF(AND(Свёртка_Чувствительность_2[[#This Row],[Свёртка]]&lt;&gt;"",Свёртка_Чувствительность_2[[#This Row],[O.K.Свёртка]]=1),ROW()-ROW(Свёртка_Чувствительность_2[[#Headers],[№]]),"")</f>
        <v>#REF!</v>
      </c>
      <c r="U11" s="137" t="e">
        <f>Модель!#REF!</f>
        <v>#REF!</v>
      </c>
      <c r="V11"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1" s="135" t="str">
        <f ca="1">IFERROR(_xlfn.FORMULATEXT(INDIRECT(Свёртка_Чувствительность_2[[#This Row],[ССвёртка]],FALSE)),"ошибка")</f>
        <v>ошибка</v>
      </c>
      <c r="X11" s="135" t="str">
        <f ca="1">IFERROR(IF(LEFT(Свёртка_Чувствительность_2[[#This Row],[ФСвёртка]],5)="=Прив","ошибка",IF(LEFT(Свёртка_Чувствительность_2[[#This Row],[ФСвёртка]],5)="=Матр","Свёртка","ошибка")),"ошибка")</f>
        <v>ошибка</v>
      </c>
      <c r="Y11"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1" s="136" t="str">
        <f ca="1">IFERROR(IF(LEN((INDIRECT(Свёртка_Чувствительность_2[[#This Row],[ССВ_1_1]],FALSE)))=0,"ошибка",IFERROR(INDIRECT(Свёртка_Чувствительность_2[[#This Row],[ССВ_1_1]],FALSE),"ошибка")),"ошибка")</f>
        <v>ошибка</v>
      </c>
      <c r="AB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1" s="136" t="str">
        <f ca="1">IFERROR(IF(LEN((INDIRECT(Свёртка_Чувствительность_2[[#This Row],[ССВ_2_1]],FALSE)))=0,"ошибка",IFERROR(INDIRECT(Свёртка_Чувствительность_2[[#This Row],[ССВ_2_1]],FALSE),"ошибка")),"ошибка")</f>
        <v>ошибка</v>
      </c>
      <c r="AD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1" s="136" t="str">
        <f ca="1">IFERROR(IF(LEN((INDIRECT(Свёртка_Чувствительность_2[[#This Row],[ССВ_1_2]],FALSE)))=0,"ошибка",IFERROR(INDIRECT(Свёртка_Чувствительность_2[[#This Row],[ССВ_1_2]],FALSE),"ошибка")),"ошибка")</f>
        <v>ошибка</v>
      </c>
      <c r="AF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1" s="136" t="str">
        <f ca="1">IFERROR(IF(LEN((INDIRECT(Свёртка_Чувствительность_2[[#This Row],[ССВ_2_2]],FALSE)))=0,"ошибка",IFERROR(INDIRECT(Свёртка_Чувствительность_2[[#This Row],[ССВ_2_2]],FALSE),"ошибка")),"ошибка")</f>
        <v>ошибка</v>
      </c>
      <c r="AH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1" s="136" t="str">
        <f ca="1">IFERROR(IF(LEN((INDIRECT(Свёртка_Чувствительность_2[[#This Row],[ССВ_3_1]],FALSE)))=0,"ошибка",IFERROR(INDIRECT(Свёртка_Чувствительность_2[[#This Row],[ССВ_3_1]],FALSE),"ошибка")),"ошибка")</f>
        <v>ошибка</v>
      </c>
      <c r="AJ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1" s="136" t="str">
        <f ca="1">IFERROR(IF(LEN((INDIRECT(Свёртка_Чувствительность_2[[#This Row],[ССВ_1_3]],FALSE)))=0,"ошибка",IFERROR(INDIRECT(Свёртка_Чувствительность_2[[#This Row],[ССВ_1_3]],FALSE),"ошибка")),"ошибка")</f>
        <v>ошибка</v>
      </c>
      <c r="AL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1" s="136" t="str">
        <f ca="1">IFERROR(IF(LEN((INDIRECT(Свёртка_Чувствительность_2[[#This Row],[ССВ_3_2]],FALSE)))=0,"ошибка",IFERROR(INDIRECT(Свёртка_Чувствительность_2[[#This Row],[ССВ_3_2]],FALSE),"ошибка")),"ошибка")</f>
        <v>ошибка</v>
      </c>
      <c r="AN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1" s="136" t="str">
        <f ca="1">IFERROR(IF(LEN((INDIRECT(Свёртка_Чувствительность_2[[#This Row],[ССВ_2_3]],FALSE)))=0,"ошибка",IFERROR(INDIRECT(Свёртка_Чувствительность_2[[#This Row],[ССВ_2_3]],FALSE),"ошибка")),"ошибка")</f>
        <v>ошибка</v>
      </c>
      <c r="AP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1" s="136" t="str">
        <f ca="1">IFERROR(IF(LEN((INDIRECT(Свёртка_Чувствительность_2[[#This Row],[ССВ_3_3]],FALSE)))=0,"ошибка",IFERROR(INDIRECT(Свёртка_Чувствительность_2[[#This Row],[ССВ_3_3]],FALSE),"ошибка")),"ошибка")</f>
        <v>ошибка</v>
      </c>
      <c r="AR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1" s="135" t="str">
        <f ca="1">IFERROR(IF(LEN((INDIRECT(Свёртка_Чувствительность_2[[#This Row],[СЛ]],FALSE)))=0,"ошибка",IFERROR(INDIRECT(Свёртка_Чувствительность_2[[#This Row],[СЛ]],FALSE),"ошибка")),"ошибка")</f>
        <v>ошибка</v>
      </c>
      <c r="AT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1" s="135" t="str">
        <f ca="1">IFERROR(_xlfn.FORMULATEXT(INDIRECT(Свёртка_Чувствительность_2[[#This Row],[СЛ]],FALSE)),"ошибка")</f>
        <v>ошибка</v>
      </c>
      <c r="AV11" s="135" t="str">
        <f ca="1">IFERROR(IF(LEN((INDIRECT(Свёртка_Чувствительность_2[[#This Row],[СП]],FALSE)))=0,"ошибка",IFERROR(INDIRECT(Свёртка_Чувствительность_2[[#This Row],[СП]],FALSE),"ошибка")),"ошибка")</f>
        <v>ошибка</v>
      </c>
      <c r="AW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1" s="135" t="str">
        <f ca="1">IFERROR(_xlfn.FORMULATEXT(INDIRECT(Свёртка_Чувствительность_2[[#This Row],[СП]],FALSE)),"ошибка")</f>
        <v>ошибка</v>
      </c>
      <c r="AY11"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1" s="66"/>
      <c r="BA11" s="66"/>
      <c r="BC11" s="143">
        <f>IF(AND(Множество[[#This Row],[Y]]=1),ROW()-ROW(Множество[[#Headers],[№]]),"")</f>
        <v>2</v>
      </c>
      <c r="BD11" s="144" t="s">
        <v>451</v>
      </c>
      <c r="BE11" s="144">
        <v>0.2</v>
      </c>
      <c r="BF11" s="144" t="s">
        <v>460</v>
      </c>
      <c r="BG11" s="144">
        <v>1</v>
      </c>
      <c r="BH11" s="143">
        <v>2</v>
      </c>
      <c r="BI11" s="143">
        <f>IF(LEN(Анализ_Чувствительность_2[[#This Row],[Свёртка]])&gt;0,1,-1)</f>
        <v>1</v>
      </c>
      <c r="BJ11" s="143">
        <v>2</v>
      </c>
      <c r="BK11" s="143">
        <f>IF(LEN(Анализ_Чувствительность_2[[#This Row],[Критерий]])&gt;0,1,-1)</f>
        <v>1</v>
      </c>
      <c r="BL11" s="143" t="s">
        <v>551</v>
      </c>
      <c r="BM11" s="143">
        <f>IF(LEN(Анализ_Чувствительность_2[[#This Row],[Критерии]])&gt;0,1,-1)</f>
        <v>1</v>
      </c>
      <c r="BN11" s="143">
        <f>IF(AND(LEN(Анализ_Чувствительность_2[[#This Row],[Свёртка]])&gt;0,LEN(Анализ_Чувствительность_2[[#This Row],[Критерии]])&gt;0,LEN(Анализ_Чувствительность_2[[#This Row],[Оценки]])&gt;0,LEN(Анализ_Чувствительность_2[[#This Row],[Представление]])&gt;0,LEN(Анализ_Чувствительность_2[[#This Row],[Критерий]])&gt;0,LEN(Анализ_Чувствительность_2[[#This Row],[Размещение]])&gt;0,LEN(Анализ_Чувствительность_2[[#This Row],[Шаг]])&gt;0,LEN(Анализ_Чувствительность_2[[#This Row],[min]])&gt;0,LEN(Анализ_Чувствительность_2[[#This Row],[max]])&gt;0,(Анализ_Чувствительность_2[[#This Row],[min]]&lt;&gt;Анализ_Чувствительность_2[[#This Row],[max]])),1,-1)</f>
        <v>1</v>
      </c>
      <c r="BO11" s="143">
        <v>0</v>
      </c>
      <c r="BP11" s="143">
        <v>5</v>
      </c>
      <c r="BQ11" s="145">
        <v>2</v>
      </c>
      <c r="BR11" s="145">
        <v>3</v>
      </c>
      <c r="BS11" s="145">
        <v>4</v>
      </c>
      <c r="BT11" s="145">
        <v>1.5</v>
      </c>
      <c r="BU11" s="145">
        <v>2.5</v>
      </c>
      <c r="BV11" s="145"/>
      <c r="BW11" s="145"/>
      <c r="BX11" s="145"/>
      <c r="BY11" s="145"/>
      <c r="BZ11" s="145"/>
      <c r="CA11" s="145"/>
      <c r="CB11" s="145"/>
      <c r="CC11" s="145"/>
      <c r="CD11" s="145"/>
      <c r="CE11" s="145"/>
      <c r="CF11" s="145"/>
      <c r="CG11" s="145"/>
      <c r="CH11" s="145"/>
      <c r="CI11" s="145"/>
      <c r="CJ11" s="145"/>
      <c r="CK11" s="145"/>
      <c r="CL11" s="145"/>
      <c r="CM11" s="145"/>
      <c r="CN11" s="145"/>
      <c r="CO11" s="145"/>
    </row>
    <row r="12" spans="1:93" x14ac:dyDescent="0.25">
      <c r="A12" s="66" t="e">
        <f ca="1">IF(AND(Критерий_Чувствительность_2[[#This Row],[Критерий]]&lt;&gt;"",Критерий_Чувствительность_2[[#This Row],[O.K.Критерий]]=1),ROW()-ROW(Критерий_Чувствительность_2[[#Headers],[№]]),"")</f>
        <v>#REF!</v>
      </c>
      <c r="B12" s="138" t="e">
        <f>Модель!#REF!</f>
        <v>#REF!</v>
      </c>
      <c r="C12"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2"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2"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2"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2"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2" s="135" t="str">
        <f ca="1">IFERROR(_xlfn.FORMULATEXT(INDIRECT(Критерий_Чувствительность_2[[#This Row],[Скритерий]],FALSE)),"ошибка")</f>
        <v>ошибка</v>
      </c>
      <c r="L12"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2"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2" s="136" t="str">
        <f ca="1">IFERROR(IF(N(INDIRECT(Критерий_Чувствительность_2[[#This Row],[ССрФизКритерий]],FALSE))=0,"ошибка",IFERROR(INDIRECT(Критерий_Чувствительность_2[[#This Row],[ССрФизКритерий]],FALSE),"ошибка")),"")</f>
        <v/>
      </c>
      <c r="Q12"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2" s="66">
        <f ca="1">IFERROR(IF(AND(Критерий_Чувствительность_2[[#This Row],[ВидКритерий]]="Критерий",Критерий_Чувствительность_2[[#This Row],[Фкритерий]]="=Приведение"),1,-1),-1)</f>
        <v>-1</v>
      </c>
      <c r="T12" s="66" t="e">
        <f ca="1">IF(AND(Свёртка_Чувствительность_2[[#This Row],[Свёртка]]&lt;&gt;"",Свёртка_Чувствительность_2[[#This Row],[O.K.Свёртка]]=1),ROW()-ROW(Свёртка_Чувствительность_2[[#Headers],[№]]),"")</f>
        <v>#REF!</v>
      </c>
      <c r="U12" s="137" t="e">
        <f>Модель!#REF!</f>
        <v>#REF!</v>
      </c>
      <c r="V12"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2" s="135" t="str">
        <f ca="1">IFERROR(_xlfn.FORMULATEXT(INDIRECT(Свёртка_Чувствительность_2[[#This Row],[ССвёртка]],FALSE)),"ошибка")</f>
        <v>ошибка</v>
      </c>
      <c r="X12" s="135" t="str">
        <f ca="1">IFERROR(IF(LEFT(Свёртка_Чувствительность_2[[#This Row],[ФСвёртка]],5)="=Прив","ошибка",IF(LEFT(Свёртка_Чувствительность_2[[#This Row],[ФСвёртка]],5)="=Матр","Свёртка","ошибка")),"ошибка")</f>
        <v>ошибка</v>
      </c>
      <c r="Y12"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2" s="136" t="str">
        <f ca="1">IFERROR(IF(LEN((INDIRECT(Свёртка_Чувствительность_2[[#This Row],[ССВ_1_1]],FALSE)))=0,"ошибка",IFERROR(INDIRECT(Свёртка_Чувствительность_2[[#This Row],[ССВ_1_1]],FALSE),"ошибка")),"ошибка")</f>
        <v>ошибка</v>
      </c>
      <c r="AB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2" s="136" t="str">
        <f ca="1">IFERROR(IF(LEN((INDIRECT(Свёртка_Чувствительность_2[[#This Row],[ССВ_2_1]],FALSE)))=0,"ошибка",IFERROR(INDIRECT(Свёртка_Чувствительность_2[[#This Row],[ССВ_2_1]],FALSE),"ошибка")),"ошибка")</f>
        <v>ошибка</v>
      </c>
      <c r="AD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2" s="136" t="str">
        <f ca="1">IFERROR(IF(LEN((INDIRECT(Свёртка_Чувствительность_2[[#This Row],[ССВ_1_2]],FALSE)))=0,"ошибка",IFERROR(INDIRECT(Свёртка_Чувствительность_2[[#This Row],[ССВ_1_2]],FALSE),"ошибка")),"ошибка")</f>
        <v>ошибка</v>
      </c>
      <c r="AF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2" s="136" t="str">
        <f ca="1">IFERROR(IF(LEN((INDIRECT(Свёртка_Чувствительность_2[[#This Row],[ССВ_2_2]],FALSE)))=0,"ошибка",IFERROR(INDIRECT(Свёртка_Чувствительность_2[[#This Row],[ССВ_2_2]],FALSE),"ошибка")),"ошибка")</f>
        <v>ошибка</v>
      </c>
      <c r="AH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2" s="136" t="str">
        <f ca="1">IFERROR(IF(LEN((INDIRECT(Свёртка_Чувствительность_2[[#This Row],[ССВ_3_1]],FALSE)))=0,"ошибка",IFERROR(INDIRECT(Свёртка_Чувствительность_2[[#This Row],[ССВ_3_1]],FALSE),"ошибка")),"ошибка")</f>
        <v>ошибка</v>
      </c>
      <c r="AJ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2" s="136" t="str">
        <f ca="1">IFERROR(IF(LEN((INDIRECT(Свёртка_Чувствительность_2[[#This Row],[ССВ_1_3]],FALSE)))=0,"ошибка",IFERROR(INDIRECT(Свёртка_Чувствительность_2[[#This Row],[ССВ_1_3]],FALSE),"ошибка")),"ошибка")</f>
        <v>ошибка</v>
      </c>
      <c r="AL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2" s="136" t="str">
        <f ca="1">IFERROR(IF(LEN((INDIRECT(Свёртка_Чувствительность_2[[#This Row],[ССВ_3_2]],FALSE)))=0,"ошибка",IFERROR(INDIRECT(Свёртка_Чувствительность_2[[#This Row],[ССВ_3_2]],FALSE),"ошибка")),"ошибка")</f>
        <v>ошибка</v>
      </c>
      <c r="AN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2" s="136" t="str">
        <f ca="1">IFERROR(IF(LEN((INDIRECT(Свёртка_Чувствительность_2[[#This Row],[ССВ_2_3]],FALSE)))=0,"ошибка",IFERROR(INDIRECT(Свёртка_Чувствительность_2[[#This Row],[ССВ_2_3]],FALSE),"ошибка")),"ошибка")</f>
        <v>ошибка</v>
      </c>
      <c r="AP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2" s="136" t="str">
        <f ca="1">IFERROR(IF(LEN((INDIRECT(Свёртка_Чувствительность_2[[#This Row],[ССВ_3_3]],FALSE)))=0,"ошибка",IFERROR(INDIRECT(Свёртка_Чувствительность_2[[#This Row],[ССВ_3_3]],FALSE),"ошибка")),"ошибка")</f>
        <v>ошибка</v>
      </c>
      <c r="AR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2" s="135" t="str">
        <f ca="1">IFERROR(IF(LEN((INDIRECT(Свёртка_Чувствительность_2[[#This Row],[СЛ]],FALSE)))=0,"ошибка",IFERROR(INDIRECT(Свёртка_Чувствительность_2[[#This Row],[СЛ]],FALSE),"ошибка")),"ошибка")</f>
        <v>ошибка</v>
      </c>
      <c r="AT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2" s="135" t="str">
        <f ca="1">IFERROR(_xlfn.FORMULATEXT(INDIRECT(Свёртка_Чувствительность_2[[#This Row],[СЛ]],FALSE)),"ошибка")</f>
        <v>ошибка</v>
      </c>
      <c r="AV12" s="135" t="str">
        <f ca="1">IFERROR(IF(LEN((INDIRECT(Свёртка_Чувствительность_2[[#This Row],[СП]],FALSE)))=0,"ошибка",IFERROR(INDIRECT(Свёртка_Чувствительность_2[[#This Row],[СП]],FALSE),"ошибка")),"ошибка")</f>
        <v>ошибка</v>
      </c>
      <c r="AW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2" s="135" t="str">
        <f ca="1">IFERROR(_xlfn.FORMULATEXT(INDIRECT(Свёртка_Чувствительность_2[[#This Row],[СП]],FALSE)),"ошибка")</f>
        <v>ошибка</v>
      </c>
      <c r="AY12"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2" s="66"/>
      <c r="BA12" s="66"/>
    </row>
    <row r="13" spans="1:93" x14ac:dyDescent="0.25">
      <c r="A13" s="66" t="e">
        <f ca="1">IF(AND(Критерий_Чувствительность_2[[#This Row],[Критерий]]&lt;&gt;"",Критерий_Чувствительность_2[[#This Row],[O.K.Критерий]]=1),ROW()-ROW(Критерий_Чувствительность_2[[#Headers],[№]]),"")</f>
        <v>#REF!</v>
      </c>
      <c r="B13" s="138" t="e">
        <f>Модель!#REF!</f>
        <v>#REF!</v>
      </c>
      <c r="C13"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3"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3"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3"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3"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3" s="135" t="str">
        <f ca="1">IFERROR(_xlfn.FORMULATEXT(INDIRECT(Критерий_Чувствительность_2[[#This Row],[Скритерий]],FALSE)),"ошибка")</f>
        <v>ошибка</v>
      </c>
      <c r="L13"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3"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3" s="136" t="str">
        <f ca="1">IFERROR(IF(N(INDIRECT(Критерий_Чувствительность_2[[#This Row],[ССрФизКритерий]],FALSE))=0,"ошибка",IFERROR(INDIRECT(Критерий_Чувствительность_2[[#This Row],[ССрФизКритерий]],FALSE),"ошибка")),"")</f>
        <v/>
      </c>
      <c r="Q13"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3" s="66">
        <f ca="1">IFERROR(IF(AND(Критерий_Чувствительность_2[[#This Row],[ВидКритерий]]="Критерий",Критерий_Чувствительность_2[[#This Row],[Фкритерий]]="=Приведение"),1,-1),-1)</f>
        <v>-1</v>
      </c>
      <c r="T13" s="66" t="e">
        <f ca="1">IF(AND(Свёртка_Чувствительность_2[[#This Row],[Свёртка]]&lt;&gt;"",Свёртка_Чувствительность_2[[#This Row],[O.K.Свёртка]]=1),ROW()-ROW(Свёртка_Чувствительность_2[[#Headers],[№]]),"")</f>
        <v>#REF!</v>
      </c>
      <c r="U13" s="137" t="e">
        <f>Модель!#REF!</f>
        <v>#REF!</v>
      </c>
      <c r="V13"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3" s="135" t="str">
        <f ca="1">IFERROR(_xlfn.FORMULATEXT(INDIRECT(Свёртка_Чувствительность_2[[#This Row],[ССвёртка]],FALSE)),"ошибка")</f>
        <v>ошибка</v>
      </c>
      <c r="X13" s="135" t="str">
        <f ca="1">IFERROR(IF(LEFT(Свёртка_Чувствительность_2[[#This Row],[ФСвёртка]],5)="=Прив","ошибка",IF(LEFT(Свёртка_Чувствительность_2[[#This Row],[ФСвёртка]],5)="=Матр","Свёртка","ошибка")),"ошибка")</f>
        <v>ошибка</v>
      </c>
      <c r="Y13"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3" s="136" t="str">
        <f ca="1">IFERROR(IF(LEN((INDIRECT(Свёртка_Чувствительность_2[[#This Row],[ССВ_1_1]],FALSE)))=0,"ошибка",IFERROR(INDIRECT(Свёртка_Чувствительность_2[[#This Row],[ССВ_1_1]],FALSE),"ошибка")),"ошибка")</f>
        <v>ошибка</v>
      </c>
      <c r="AB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3" s="136" t="str">
        <f ca="1">IFERROR(IF(LEN((INDIRECT(Свёртка_Чувствительность_2[[#This Row],[ССВ_2_1]],FALSE)))=0,"ошибка",IFERROR(INDIRECT(Свёртка_Чувствительность_2[[#This Row],[ССВ_2_1]],FALSE),"ошибка")),"ошибка")</f>
        <v>ошибка</v>
      </c>
      <c r="AD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3" s="136" t="str">
        <f ca="1">IFERROR(IF(LEN((INDIRECT(Свёртка_Чувствительность_2[[#This Row],[ССВ_1_2]],FALSE)))=0,"ошибка",IFERROR(INDIRECT(Свёртка_Чувствительность_2[[#This Row],[ССВ_1_2]],FALSE),"ошибка")),"ошибка")</f>
        <v>ошибка</v>
      </c>
      <c r="AF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3" s="136" t="str">
        <f ca="1">IFERROR(IF(LEN((INDIRECT(Свёртка_Чувствительность_2[[#This Row],[ССВ_2_2]],FALSE)))=0,"ошибка",IFERROR(INDIRECT(Свёртка_Чувствительность_2[[#This Row],[ССВ_2_2]],FALSE),"ошибка")),"ошибка")</f>
        <v>ошибка</v>
      </c>
      <c r="AH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3" s="136" t="str">
        <f ca="1">IFERROR(IF(LEN((INDIRECT(Свёртка_Чувствительность_2[[#This Row],[ССВ_3_1]],FALSE)))=0,"ошибка",IFERROR(INDIRECT(Свёртка_Чувствительность_2[[#This Row],[ССВ_3_1]],FALSE),"ошибка")),"ошибка")</f>
        <v>ошибка</v>
      </c>
      <c r="AJ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3" s="136" t="str">
        <f ca="1">IFERROR(IF(LEN((INDIRECT(Свёртка_Чувствительность_2[[#This Row],[ССВ_1_3]],FALSE)))=0,"ошибка",IFERROR(INDIRECT(Свёртка_Чувствительность_2[[#This Row],[ССВ_1_3]],FALSE),"ошибка")),"ошибка")</f>
        <v>ошибка</v>
      </c>
      <c r="AL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3" s="136" t="str">
        <f ca="1">IFERROR(IF(LEN((INDIRECT(Свёртка_Чувствительность_2[[#This Row],[ССВ_3_2]],FALSE)))=0,"ошибка",IFERROR(INDIRECT(Свёртка_Чувствительность_2[[#This Row],[ССВ_3_2]],FALSE),"ошибка")),"ошибка")</f>
        <v>ошибка</v>
      </c>
      <c r="AN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3" s="136" t="str">
        <f ca="1">IFERROR(IF(LEN((INDIRECT(Свёртка_Чувствительность_2[[#This Row],[ССВ_2_3]],FALSE)))=0,"ошибка",IFERROR(INDIRECT(Свёртка_Чувствительность_2[[#This Row],[ССВ_2_3]],FALSE),"ошибка")),"ошибка")</f>
        <v>ошибка</v>
      </c>
      <c r="AP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3" s="136" t="str">
        <f ca="1">IFERROR(IF(LEN((INDIRECT(Свёртка_Чувствительность_2[[#This Row],[ССВ_3_3]],FALSE)))=0,"ошибка",IFERROR(INDIRECT(Свёртка_Чувствительность_2[[#This Row],[ССВ_3_3]],FALSE),"ошибка")),"ошибка")</f>
        <v>ошибка</v>
      </c>
      <c r="AR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3" s="135" t="str">
        <f ca="1">IFERROR(IF(LEN((INDIRECT(Свёртка_Чувствительность_2[[#This Row],[СЛ]],FALSE)))=0,"ошибка",IFERROR(INDIRECT(Свёртка_Чувствительность_2[[#This Row],[СЛ]],FALSE),"ошибка")),"ошибка")</f>
        <v>ошибка</v>
      </c>
      <c r="AT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3" s="135" t="str">
        <f ca="1">IFERROR(_xlfn.FORMULATEXT(INDIRECT(Свёртка_Чувствительность_2[[#This Row],[СЛ]],FALSE)),"ошибка")</f>
        <v>ошибка</v>
      </c>
      <c r="AV13" s="135" t="str">
        <f ca="1">IFERROR(IF(LEN((INDIRECT(Свёртка_Чувствительность_2[[#This Row],[СП]],FALSE)))=0,"ошибка",IFERROR(INDIRECT(Свёртка_Чувствительность_2[[#This Row],[СП]],FALSE),"ошибка")),"ошибка")</f>
        <v>ошибка</v>
      </c>
      <c r="AW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3" s="135" t="str">
        <f ca="1">IFERROR(_xlfn.FORMULATEXT(INDIRECT(Свёртка_Чувствительность_2[[#This Row],[СП]],FALSE)),"ошибка")</f>
        <v>ошибка</v>
      </c>
      <c r="AY13"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3" s="66"/>
      <c r="BA13" s="66"/>
    </row>
    <row r="14" spans="1:93" x14ac:dyDescent="0.25">
      <c r="A14" s="66" t="e">
        <f ca="1">IF(AND(Критерий_Чувствительность_2[[#This Row],[Критерий]]&lt;&gt;"",Критерий_Чувствительность_2[[#This Row],[O.K.Критерий]]=1),ROW()-ROW(Критерий_Чувствительность_2[[#Headers],[№]]),"")</f>
        <v>#REF!</v>
      </c>
      <c r="B14" s="138" t="e">
        <f>Модель!#REF!</f>
        <v>#REF!</v>
      </c>
      <c r="C14"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4"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4"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4"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4"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4" s="135" t="str">
        <f ca="1">IFERROR(_xlfn.FORMULATEXT(INDIRECT(Критерий_Чувствительность_2[[#This Row],[Скритерий]],FALSE)),"ошибка")</f>
        <v>ошибка</v>
      </c>
      <c r="L14"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4"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4" s="136" t="str">
        <f ca="1">IFERROR(IF(N(INDIRECT(Критерий_Чувствительность_2[[#This Row],[ССрФизКритерий]],FALSE))=0,"ошибка",IFERROR(INDIRECT(Критерий_Чувствительность_2[[#This Row],[ССрФизКритерий]],FALSE),"ошибка")),"")</f>
        <v/>
      </c>
      <c r="Q14"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4" s="66">
        <f ca="1">IFERROR(IF(AND(Критерий_Чувствительность_2[[#This Row],[ВидКритерий]]="Критерий",Критерий_Чувствительность_2[[#This Row],[Фкритерий]]="=Приведение"),1,-1),-1)</f>
        <v>-1</v>
      </c>
      <c r="T14" s="66" t="e">
        <f ca="1">IF(AND(Свёртка_Чувствительность_2[[#This Row],[Свёртка]]&lt;&gt;"",Свёртка_Чувствительность_2[[#This Row],[O.K.Свёртка]]=1),ROW()-ROW(Свёртка_Чувствительность_2[[#Headers],[№]]),"")</f>
        <v>#REF!</v>
      </c>
      <c r="U14" s="137" t="e">
        <f>Модель!#REF!</f>
        <v>#REF!</v>
      </c>
      <c r="V14"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4" s="135" t="str">
        <f ca="1">IFERROR(_xlfn.FORMULATEXT(INDIRECT(Свёртка_Чувствительность_2[[#This Row],[ССвёртка]],FALSE)),"ошибка")</f>
        <v>ошибка</v>
      </c>
      <c r="X14" s="135" t="str">
        <f ca="1">IFERROR(IF(LEFT(Свёртка_Чувствительность_2[[#This Row],[ФСвёртка]],5)="=Прив","ошибка",IF(LEFT(Свёртка_Чувствительность_2[[#This Row],[ФСвёртка]],5)="=Матр","Свёртка","ошибка")),"ошибка")</f>
        <v>ошибка</v>
      </c>
      <c r="Y14"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4" s="136" t="str">
        <f ca="1">IFERROR(IF(LEN((INDIRECT(Свёртка_Чувствительность_2[[#This Row],[ССВ_1_1]],FALSE)))=0,"ошибка",IFERROR(INDIRECT(Свёртка_Чувствительность_2[[#This Row],[ССВ_1_1]],FALSE),"ошибка")),"ошибка")</f>
        <v>ошибка</v>
      </c>
      <c r="AB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4" s="136" t="str">
        <f ca="1">IFERROR(IF(LEN((INDIRECT(Свёртка_Чувствительность_2[[#This Row],[ССВ_2_1]],FALSE)))=0,"ошибка",IFERROR(INDIRECT(Свёртка_Чувствительность_2[[#This Row],[ССВ_2_1]],FALSE),"ошибка")),"ошибка")</f>
        <v>ошибка</v>
      </c>
      <c r="AD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4" s="136" t="str">
        <f ca="1">IFERROR(IF(LEN((INDIRECT(Свёртка_Чувствительность_2[[#This Row],[ССВ_1_2]],FALSE)))=0,"ошибка",IFERROR(INDIRECT(Свёртка_Чувствительность_2[[#This Row],[ССВ_1_2]],FALSE),"ошибка")),"ошибка")</f>
        <v>ошибка</v>
      </c>
      <c r="AF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4" s="136" t="str">
        <f ca="1">IFERROR(IF(LEN((INDIRECT(Свёртка_Чувствительность_2[[#This Row],[ССВ_2_2]],FALSE)))=0,"ошибка",IFERROR(INDIRECT(Свёртка_Чувствительность_2[[#This Row],[ССВ_2_2]],FALSE),"ошибка")),"ошибка")</f>
        <v>ошибка</v>
      </c>
      <c r="AH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4" s="136" t="str">
        <f ca="1">IFERROR(IF(LEN((INDIRECT(Свёртка_Чувствительность_2[[#This Row],[ССВ_3_1]],FALSE)))=0,"ошибка",IFERROR(INDIRECT(Свёртка_Чувствительность_2[[#This Row],[ССВ_3_1]],FALSE),"ошибка")),"ошибка")</f>
        <v>ошибка</v>
      </c>
      <c r="AJ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4" s="136" t="str">
        <f ca="1">IFERROR(IF(LEN((INDIRECT(Свёртка_Чувствительность_2[[#This Row],[ССВ_1_3]],FALSE)))=0,"ошибка",IFERROR(INDIRECT(Свёртка_Чувствительность_2[[#This Row],[ССВ_1_3]],FALSE),"ошибка")),"ошибка")</f>
        <v>ошибка</v>
      </c>
      <c r="AL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4" s="136" t="str">
        <f ca="1">IFERROR(IF(LEN((INDIRECT(Свёртка_Чувствительность_2[[#This Row],[ССВ_3_2]],FALSE)))=0,"ошибка",IFERROR(INDIRECT(Свёртка_Чувствительность_2[[#This Row],[ССВ_3_2]],FALSE),"ошибка")),"ошибка")</f>
        <v>ошибка</v>
      </c>
      <c r="AN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4" s="136" t="str">
        <f ca="1">IFERROR(IF(LEN((INDIRECT(Свёртка_Чувствительность_2[[#This Row],[ССВ_2_3]],FALSE)))=0,"ошибка",IFERROR(INDIRECT(Свёртка_Чувствительность_2[[#This Row],[ССВ_2_3]],FALSE),"ошибка")),"ошибка")</f>
        <v>ошибка</v>
      </c>
      <c r="AP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4" s="136" t="str">
        <f ca="1">IFERROR(IF(LEN((INDIRECT(Свёртка_Чувствительность_2[[#This Row],[ССВ_3_3]],FALSE)))=0,"ошибка",IFERROR(INDIRECT(Свёртка_Чувствительность_2[[#This Row],[ССВ_3_3]],FALSE),"ошибка")),"ошибка")</f>
        <v>ошибка</v>
      </c>
      <c r="AR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4" s="135" t="str">
        <f ca="1">IFERROR(IF(LEN((INDIRECT(Свёртка_Чувствительность_2[[#This Row],[СЛ]],FALSE)))=0,"ошибка",IFERROR(INDIRECT(Свёртка_Чувствительность_2[[#This Row],[СЛ]],FALSE),"ошибка")),"ошибка")</f>
        <v>ошибка</v>
      </c>
      <c r="AT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4" s="135" t="str">
        <f ca="1">IFERROR(_xlfn.FORMULATEXT(INDIRECT(Свёртка_Чувствительность_2[[#This Row],[СЛ]],FALSE)),"ошибка")</f>
        <v>ошибка</v>
      </c>
      <c r="AV14" s="135" t="str">
        <f ca="1">IFERROR(IF(LEN((INDIRECT(Свёртка_Чувствительность_2[[#This Row],[СП]],FALSE)))=0,"ошибка",IFERROR(INDIRECT(Свёртка_Чувствительность_2[[#This Row],[СП]],FALSE),"ошибка")),"ошибка")</f>
        <v>ошибка</v>
      </c>
      <c r="AW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4" s="135" t="str">
        <f ca="1">IFERROR(_xlfn.FORMULATEXT(INDIRECT(Свёртка_Чувствительность_2[[#This Row],[СП]],FALSE)),"ошибка")</f>
        <v>ошибка</v>
      </c>
      <c r="AY14"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4" s="66"/>
      <c r="BA14" s="66"/>
    </row>
    <row r="15" spans="1:93" x14ac:dyDescent="0.25">
      <c r="A15" s="66" t="e">
        <f ca="1">IF(AND(Критерий_Чувствительность_2[[#This Row],[Критерий]]&lt;&gt;"",Критерий_Чувствительность_2[[#This Row],[O.K.Критерий]]=1),ROW()-ROW(Критерий_Чувствительность_2[[#Headers],[№]]),"")</f>
        <v>#REF!</v>
      </c>
      <c r="B15" s="138" t="e">
        <f>Модель!#REF!</f>
        <v>#REF!</v>
      </c>
      <c r="C15"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5"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5"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5"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5"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5" s="135" t="str">
        <f ca="1">IFERROR(_xlfn.FORMULATEXT(INDIRECT(Критерий_Чувствительность_2[[#This Row],[Скритерий]],FALSE)),"ошибка")</f>
        <v>ошибка</v>
      </c>
      <c r="L15"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5"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5" s="136" t="str">
        <f ca="1">IFERROR(IF(N(INDIRECT(Критерий_Чувствительность_2[[#This Row],[ССрФизКритерий]],FALSE))=0,"ошибка",IFERROR(INDIRECT(Критерий_Чувствительность_2[[#This Row],[ССрФизКритерий]],FALSE),"ошибка")),"")</f>
        <v/>
      </c>
      <c r="Q15"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5" s="66">
        <f ca="1">IFERROR(IF(AND(Критерий_Чувствительность_2[[#This Row],[ВидКритерий]]="Критерий",Критерий_Чувствительность_2[[#This Row],[Фкритерий]]="=Приведение"),1,-1),-1)</f>
        <v>-1</v>
      </c>
      <c r="T15" s="66" t="e">
        <f ca="1">IF(AND(Свёртка_Чувствительность_2[[#This Row],[Свёртка]]&lt;&gt;"",Свёртка_Чувствительность_2[[#This Row],[O.K.Свёртка]]=1),ROW()-ROW(Свёртка_Чувствительность_2[[#Headers],[№]]),"")</f>
        <v>#REF!</v>
      </c>
      <c r="U15" s="137" t="e">
        <f>Модель!#REF!</f>
        <v>#REF!</v>
      </c>
      <c r="V15"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5" s="135" t="str">
        <f ca="1">IFERROR(_xlfn.FORMULATEXT(INDIRECT(Свёртка_Чувствительность_2[[#This Row],[ССвёртка]],FALSE)),"ошибка")</f>
        <v>ошибка</v>
      </c>
      <c r="X15" s="135" t="str">
        <f ca="1">IFERROR(IF(LEFT(Свёртка_Чувствительность_2[[#This Row],[ФСвёртка]],5)="=Прив","ошибка",IF(LEFT(Свёртка_Чувствительность_2[[#This Row],[ФСвёртка]],5)="=Матр","Свёртка","ошибка")),"ошибка")</f>
        <v>ошибка</v>
      </c>
      <c r="Y15"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5" s="136" t="str">
        <f ca="1">IFERROR(IF(LEN((INDIRECT(Свёртка_Чувствительность_2[[#This Row],[ССВ_1_1]],FALSE)))=0,"ошибка",IFERROR(INDIRECT(Свёртка_Чувствительность_2[[#This Row],[ССВ_1_1]],FALSE),"ошибка")),"ошибка")</f>
        <v>ошибка</v>
      </c>
      <c r="AB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5" s="136" t="str">
        <f ca="1">IFERROR(IF(LEN((INDIRECT(Свёртка_Чувствительность_2[[#This Row],[ССВ_2_1]],FALSE)))=0,"ошибка",IFERROR(INDIRECT(Свёртка_Чувствительность_2[[#This Row],[ССВ_2_1]],FALSE),"ошибка")),"ошибка")</f>
        <v>ошибка</v>
      </c>
      <c r="AD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5" s="136" t="str">
        <f ca="1">IFERROR(IF(LEN((INDIRECT(Свёртка_Чувствительность_2[[#This Row],[ССВ_1_2]],FALSE)))=0,"ошибка",IFERROR(INDIRECT(Свёртка_Чувствительность_2[[#This Row],[ССВ_1_2]],FALSE),"ошибка")),"ошибка")</f>
        <v>ошибка</v>
      </c>
      <c r="AF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5" s="136" t="str">
        <f ca="1">IFERROR(IF(LEN((INDIRECT(Свёртка_Чувствительность_2[[#This Row],[ССВ_2_2]],FALSE)))=0,"ошибка",IFERROR(INDIRECT(Свёртка_Чувствительность_2[[#This Row],[ССВ_2_2]],FALSE),"ошибка")),"ошибка")</f>
        <v>ошибка</v>
      </c>
      <c r="AH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5" s="136" t="str">
        <f ca="1">IFERROR(IF(LEN((INDIRECT(Свёртка_Чувствительность_2[[#This Row],[ССВ_3_1]],FALSE)))=0,"ошибка",IFERROR(INDIRECT(Свёртка_Чувствительность_2[[#This Row],[ССВ_3_1]],FALSE),"ошибка")),"ошибка")</f>
        <v>ошибка</v>
      </c>
      <c r="AJ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5" s="136" t="str">
        <f ca="1">IFERROR(IF(LEN((INDIRECT(Свёртка_Чувствительность_2[[#This Row],[ССВ_1_3]],FALSE)))=0,"ошибка",IFERROR(INDIRECT(Свёртка_Чувствительность_2[[#This Row],[ССВ_1_3]],FALSE),"ошибка")),"ошибка")</f>
        <v>ошибка</v>
      </c>
      <c r="AL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5" s="136" t="str">
        <f ca="1">IFERROR(IF(LEN((INDIRECT(Свёртка_Чувствительность_2[[#This Row],[ССВ_3_2]],FALSE)))=0,"ошибка",IFERROR(INDIRECT(Свёртка_Чувствительность_2[[#This Row],[ССВ_3_2]],FALSE),"ошибка")),"ошибка")</f>
        <v>ошибка</v>
      </c>
      <c r="AN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5" s="136" t="str">
        <f ca="1">IFERROR(IF(LEN((INDIRECT(Свёртка_Чувствительность_2[[#This Row],[ССВ_2_3]],FALSE)))=0,"ошибка",IFERROR(INDIRECT(Свёртка_Чувствительность_2[[#This Row],[ССВ_2_3]],FALSE),"ошибка")),"ошибка")</f>
        <v>ошибка</v>
      </c>
      <c r="AP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5" s="136" t="str">
        <f ca="1">IFERROR(IF(LEN((INDIRECT(Свёртка_Чувствительность_2[[#This Row],[ССВ_3_3]],FALSE)))=0,"ошибка",IFERROR(INDIRECT(Свёртка_Чувствительность_2[[#This Row],[ССВ_3_3]],FALSE),"ошибка")),"ошибка")</f>
        <v>ошибка</v>
      </c>
      <c r="AR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5" s="135" t="str">
        <f ca="1">IFERROR(IF(LEN((INDIRECT(Свёртка_Чувствительность_2[[#This Row],[СЛ]],FALSE)))=0,"ошибка",IFERROR(INDIRECT(Свёртка_Чувствительность_2[[#This Row],[СЛ]],FALSE),"ошибка")),"ошибка")</f>
        <v>ошибка</v>
      </c>
      <c r="AT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5" s="135" t="str">
        <f ca="1">IFERROR(_xlfn.FORMULATEXT(INDIRECT(Свёртка_Чувствительность_2[[#This Row],[СЛ]],FALSE)),"ошибка")</f>
        <v>ошибка</v>
      </c>
      <c r="AV15" s="135" t="str">
        <f ca="1">IFERROR(IF(LEN((INDIRECT(Свёртка_Чувствительность_2[[#This Row],[СП]],FALSE)))=0,"ошибка",IFERROR(INDIRECT(Свёртка_Чувствительность_2[[#This Row],[СП]],FALSE),"ошибка")),"ошибка")</f>
        <v>ошибка</v>
      </c>
      <c r="AW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5" s="135" t="str">
        <f ca="1">IFERROR(_xlfn.FORMULATEXT(INDIRECT(Свёртка_Чувствительность_2[[#This Row],[СП]],FALSE)),"ошибка")</f>
        <v>ошибка</v>
      </c>
      <c r="AY15"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5" s="66"/>
      <c r="BA15" s="66"/>
    </row>
    <row r="16" spans="1:93" x14ac:dyDescent="0.25">
      <c r="A16" s="66" t="e">
        <f ca="1">IF(AND(Критерий_Чувствительность_2[[#This Row],[Критерий]]&lt;&gt;"",Критерий_Чувствительность_2[[#This Row],[O.K.Критерий]]=1),ROW()-ROW(Критерий_Чувствительность_2[[#Headers],[№]]),"")</f>
        <v>#REF!</v>
      </c>
      <c r="B16" s="138" t="e">
        <f>Модель!#REF!</f>
        <v>#REF!</v>
      </c>
      <c r="C16"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6"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6"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6"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6"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6" s="135" t="str">
        <f ca="1">IFERROR(_xlfn.FORMULATEXT(INDIRECT(Критерий_Чувствительность_2[[#This Row],[Скритерий]],FALSE)),"ошибка")</f>
        <v>ошибка</v>
      </c>
      <c r="L16"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6"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6" s="136" t="str">
        <f ca="1">IFERROR(IF(N(INDIRECT(Критерий_Чувствительность_2[[#This Row],[ССрФизКритерий]],FALSE))=0,"ошибка",IFERROR(INDIRECT(Критерий_Чувствительность_2[[#This Row],[ССрФизКритерий]],FALSE),"ошибка")),"")</f>
        <v/>
      </c>
      <c r="Q16"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6" s="66">
        <f ca="1">IFERROR(IF(AND(Критерий_Чувствительность_2[[#This Row],[ВидКритерий]]="Критерий",Критерий_Чувствительность_2[[#This Row],[Фкритерий]]="=Приведение"),1,-1),-1)</f>
        <v>-1</v>
      </c>
      <c r="T16" s="66" t="e">
        <f ca="1">IF(AND(Свёртка_Чувствительность_2[[#This Row],[Свёртка]]&lt;&gt;"",Свёртка_Чувствительность_2[[#This Row],[O.K.Свёртка]]=1),ROW()-ROW(Свёртка_Чувствительность_2[[#Headers],[№]]),"")</f>
        <v>#REF!</v>
      </c>
      <c r="U16" s="137" t="e">
        <f>Модель!#REF!</f>
        <v>#REF!</v>
      </c>
      <c r="V16"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6" s="135" t="str">
        <f ca="1">IFERROR(_xlfn.FORMULATEXT(INDIRECT(Свёртка_Чувствительность_2[[#This Row],[ССвёртка]],FALSE)),"ошибка")</f>
        <v>ошибка</v>
      </c>
      <c r="X16" s="135" t="str">
        <f ca="1">IFERROR(IF(LEFT(Свёртка_Чувствительность_2[[#This Row],[ФСвёртка]],5)="=Прив","ошибка",IF(LEFT(Свёртка_Чувствительность_2[[#This Row],[ФСвёртка]],5)="=Матр","Свёртка","ошибка")),"ошибка")</f>
        <v>ошибка</v>
      </c>
      <c r="Y16"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6" s="136" t="str">
        <f ca="1">IFERROR(IF(LEN((INDIRECT(Свёртка_Чувствительность_2[[#This Row],[ССВ_1_1]],FALSE)))=0,"ошибка",IFERROR(INDIRECT(Свёртка_Чувствительность_2[[#This Row],[ССВ_1_1]],FALSE),"ошибка")),"ошибка")</f>
        <v>ошибка</v>
      </c>
      <c r="AB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6" s="136" t="str">
        <f ca="1">IFERROR(IF(LEN((INDIRECT(Свёртка_Чувствительность_2[[#This Row],[ССВ_2_1]],FALSE)))=0,"ошибка",IFERROR(INDIRECT(Свёртка_Чувствительность_2[[#This Row],[ССВ_2_1]],FALSE),"ошибка")),"ошибка")</f>
        <v>ошибка</v>
      </c>
      <c r="AD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6" s="136" t="str">
        <f ca="1">IFERROR(IF(LEN((INDIRECT(Свёртка_Чувствительность_2[[#This Row],[ССВ_1_2]],FALSE)))=0,"ошибка",IFERROR(INDIRECT(Свёртка_Чувствительность_2[[#This Row],[ССВ_1_2]],FALSE),"ошибка")),"ошибка")</f>
        <v>ошибка</v>
      </c>
      <c r="AF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6" s="136" t="str">
        <f ca="1">IFERROR(IF(LEN((INDIRECT(Свёртка_Чувствительность_2[[#This Row],[ССВ_2_2]],FALSE)))=0,"ошибка",IFERROR(INDIRECT(Свёртка_Чувствительность_2[[#This Row],[ССВ_2_2]],FALSE),"ошибка")),"ошибка")</f>
        <v>ошибка</v>
      </c>
      <c r="AH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6" s="136" t="str">
        <f ca="1">IFERROR(IF(LEN((INDIRECT(Свёртка_Чувствительность_2[[#This Row],[ССВ_3_1]],FALSE)))=0,"ошибка",IFERROR(INDIRECT(Свёртка_Чувствительность_2[[#This Row],[ССВ_3_1]],FALSE),"ошибка")),"ошибка")</f>
        <v>ошибка</v>
      </c>
      <c r="AJ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6" s="136" t="str">
        <f ca="1">IFERROR(IF(LEN((INDIRECT(Свёртка_Чувствительность_2[[#This Row],[ССВ_1_3]],FALSE)))=0,"ошибка",IFERROR(INDIRECT(Свёртка_Чувствительность_2[[#This Row],[ССВ_1_3]],FALSE),"ошибка")),"ошибка")</f>
        <v>ошибка</v>
      </c>
      <c r="AL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6" s="136" t="str">
        <f ca="1">IFERROR(IF(LEN((INDIRECT(Свёртка_Чувствительность_2[[#This Row],[ССВ_3_2]],FALSE)))=0,"ошибка",IFERROR(INDIRECT(Свёртка_Чувствительность_2[[#This Row],[ССВ_3_2]],FALSE),"ошибка")),"ошибка")</f>
        <v>ошибка</v>
      </c>
      <c r="AN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6" s="136" t="str">
        <f ca="1">IFERROR(IF(LEN((INDIRECT(Свёртка_Чувствительность_2[[#This Row],[ССВ_2_3]],FALSE)))=0,"ошибка",IFERROR(INDIRECT(Свёртка_Чувствительность_2[[#This Row],[ССВ_2_3]],FALSE),"ошибка")),"ошибка")</f>
        <v>ошибка</v>
      </c>
      <c r="AP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6" s="136" t="str">
        <f ca="1">IFERROR(IF(LEN((INDIRECT(Свёртка_Чувствительность_2[[#This Row],[ССВ_3_3]],FALSE)))=0,"ошибка",IFERROR(INDIRECT(Свёртка_Чувствительность_2[[#This Row],[ССВ_3_3]],FALSE),"ошибка")),"ошибка")</f>
        <v>ошибка</v>
      </c>
      <c r="AR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6" s="135" t="str">
        <f ca="1">IFERROR(IF(LEN((INDIRECT(Свёртка_Чувствительность_2[[#This Row],[СЛ]],FALSE)))=0,"ошибка",IFERROR(INDIRECT(Свёртка_Чувствительность_2[[#This Row],[СЛ]],FALSE),"ошибка")),"ошибка")</f>
        <v>ошибка</v>
      </c>
      <c r="AT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6" s="135" t="str">
        <f ca="1">IFERROR(_xlfn.FORMULATEXT(INDIRECT(Свёртка_Чувствительность_2[[#This Row],[СЛ]],FALSE)),"ошибка")</f>
        <v>ошибка</v>
      </c>
      <c r="AV16" s="135" t="str">
        <f ca="1">IFERROR(IF(LEN((INDIRECT(Свёртка_Чувствительность_2[[#This Row],[СП]],FALSE)))=0,"ошибка",IFERROR(INDIRECT(Свёртка_Чувствительность_2[[#This Row],[СП]],FALSE),"ошибка")),"ошибка")</f>
        <v>ошибка</v>
      </c>
      <c r="AW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6" s="135" t="str">
        <f ca="1">IFERROR(_xlfn.FORMULATEXT(INDIRECT(Свёртка_Чувствительность_2[[#This Row],[СП]],FALSE)),"ошибка")</f>
        <v>ошибка</v>
      </c>
      <c r="AY16"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6" s="66"/>
      <c r="BA16" s="66"/>
    </row>
    <row r="17" spans="1:53" x14ac:dyDescent="0.25">
      <c r="A17" s="66" t="e">
        <f ca="1">IF(AND(Критерий_Чувствительность_2[[#This Row],[Критерий]]&lt;&gt;"",Критерий_Чувствительность_2[[#This Row],[O.K.Критерий]]=1),ROW()-ROW(Критерий_Чувствительность_2[[#Headers],[№]]),"")</f>
        <v>#REF!</v>
      </c>
      <c r="B17" s="138" t="e">
        <f>Модель!#REF!</f>
        <v>#REF!</v>
      </c>
      <c r="C17"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7"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7"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7"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7"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7" s="135" t="str">
        <f ca="1">IFERROR(_xlfn.FORMULATEXT(INDIRECT(Критерий_Чувствительность_2[[#This Row],[Скритерий]],FALSE)),"ошибка")</f>
        <v>ошибка</v>
      </c>
      <c r="L17"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7"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7" s="136" t="str">
        <f ca="1">IFERROR(IF(N(INDIRECT(Критерий_Чувствительность_2[[#This Row],[ССрФизКритерий]],FALSE))=0,"ошибка",IFERROR(INDIRECT(Критерий_Чувствительность_2[[#This Row],[ССрФизКритерий]],FALSE),"ошибка")),"")</f>
        <v/>
      </c>
      <c r="Q17"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7" s="66">
        <f ca="1">IFERROR(IF(AND(Критерий_Чувствительность_2[[#This Row],[ВидКритерий]]="Критерий",Критерий_Чувствительность_2[[#This Row],[Фкритерий]]="=Приведение"),1,-1),-1)</f>
        <v>-1</v>
      </c>
      <c r="T17" s="66" t="e">
        <f ca="1">IF(AND(Свёртка_Чувствительность_2[[#This Row],[Свёртка]]&lt;&gt;"",Свёртка_Чувствительность_2[[#This Row],[O.K.Свёртка]]=1),ROW()-ROW(Свёртка_Чувствительность_2[[#Headers],[№]]),"")</f>
        <v>#REF!</v>
      </c>
      <c r="U17" s="137" t="e">
        <f>Модель!#REF!</f>
        <v>#REF!</v>
      </c>
      <c r="V17"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7" s="135" t="str">
        <f ca="1">IFERROR(_xlfn.FORMULATEXT(INDIRECT(Свёртка_Чувствительность_2[[#This Row],[ССвёртка]],FALSE)),"ошибка")</f>
        <v>ошибка</v>
      </c>
      <c r="X17" s="135" t="str">
        <f ca="1">IFERROR(IF(LEFT(Свёртка_Чувствительность_2[[#This Row],[ФСвёртка]],5)="=Прив","ошибка",IF(LEFT(Свёртка_Чувствительность_2[[#This Row],[ФСвёртка]],5)="=Матр","Свёртка","ошибка")),"ошибка")</f>
        <v>ошибка</v>
      </c>
      <c r="Y17"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7" s="136" t="str">
        <f ca="1">IFERROR(IF(LEN((INDIRECT(Свёртка_Чувствительность_2[[#This Row],[ССВ_1_1]],FALSE)))=0,"ошибка",IFERROR(INDIRECT(Свёртка_Чувствительность_2[[#This Row],[ССВ_1_1]],FALSE),"ошибка")),"ошибка")</f>
        <v>ошибка</v>
      </c>
      <c r="AB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7" s="136" t="str">
        <f ca="1">IFERROR(IF(LEN((INDIRECT(Свёртка_Чувствительность_2[[#This Row],[ССВ_2_1]],FALSE)))=0,"ошибка",IFERROR(INDIRECT(Свёртка_Чувствительность_2[[#This Row],[ССВ_2_1]],FALSE),"ошибка")),"ошибка")</f>
        <v>ошибка</v>
      </c>
      <c r="AD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7" s="136" t="str">
        <f ca="1">IFERROR(IF(LEN((INDIRECT(Свёртка_Чувствительность_2[[#This Row],[ССВ_1_2]],FALSE)))=0,"ошибка",IFERROR(INDIRECT(Свёртка_Чувствительность_2[[#This Row],[ССВ_1_2]],FALSE),"ошибка")),"ошибка")</f>
        <v>ошибка</v>
      </c>
      <c r="AF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7" s="136" t="str">
        <f ca="1">IFERROR(IF(LEN((INDIRECT(Свёртка_Чувствительность_2[[#This Row],[ССВ_2_2]],FALSE)))=0,"ошибка",IFERROR(INDIRECT(Свёртка_Чувствительность_2[[#This Row],[ССВ_2_2]],FALSE),"ошибка")),"ошибка")</f>
        <v>ошибка</v>
      </c>
      <c r="AH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7" s="136" t="str">
        <f ca="1">IFERROR(IF(LEN((INDIRECT(Свёртка_Чувствительность_2[[#This Row],[ССВ_3_1]],FALSE)))=0,"ошибка",IFERROR(INDIRECT(Свёртка_Чувствительность_2[[#This Row],[ССВ_3_1]],FALSE),"ошибка")),"ошибка")</f>
        <v>ошибка</v>
      </c>
      <c r="AJ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7" s="136" t="str">
        <f ca="1">IFERROR(IF(LEN((INDIRECT(Свёртка_Чувствительность_2[[#This Row],[ССВ_1_3]],FALSE)))=0,"ошибка",IFERROR(INDIRECT(Свёртка_Чувствительность_2[[#This Row],[ССВ_1_3]],FALSE),"ошибка")),"ошибка")</f>
        <v>ошибка</v>
      </c>
      <c r="AL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7" s="136" t="str">
        <f ca="1">IFERROR(IF(LEN((INDIRECT(Свёртка_Чувствительность_2[[#This Row],[ССВ_3_2]],FALSE)))=0,"ошибка",IFERROR(INDIRECT(Свёртка_Чувствительность_2[[#This Row],[ССВ_3_2]],FALSE),"ошибка")),"ошибка")</f>
        <v>ошибка</v>
      </c>
      <c r="AN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7" s="136" t="str">
        <f ca="1">IFERROR(IF(LEN((INDIRECT(Свёртка_Чувствительность_2[[#This Row],[ССВ_2_3]],FALSE)))=0,"ошибка",IFERROR(INDIRECT(Свёртка_Чувствительность_2[[#This Row],[ССВ_2_3]],FALSE),"ошибка")),"ошибка")</f>
        <v>ошибка</v>
      </c>
      <c r="AP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7" s="136" t="str">
        <f ca="1">IFERROR(IF(LEN((INDIRECT(Свёртка_Чувствительность_2[[#This Row],[ССВ_3_3]],FALSE)))=0,"ошибка",IFERROR(INDIRECT(Свёртка_Чувствительность_2[[#This Row],[ССВ_3_3]],FALSE),"ошибка")),"ошибка")</f>
        <v>ошибка</v>
      </c>
      <c r="AR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7" s="135" t="str">
        <f ca="1">IFERROR(IF(LEN((INDIRECT(Свёртка_Чувствительность_2[[#This Row],[СЛ]],FALSE)))=0,"ошибка",IFERROR(INDIRECT(Свёртка_Чувствительность_2[[#This Row],[СЛ]],FALSE),"ошибка")),"ошибка")</f>
        <v>ошибка</v>
      </c>
      <c r="AT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7" s="135" t="str">
        <f ca="1">IFERROR(_xlfn.FORMULATEXT(INDIRECT(Свёртка_Чувствительность_2[[#This Row],[СЛ]],FALSE)),"ошибка")</f>
        <v>ошибка</v>
      </c>
      <c r="AV17" s="135" t="str">
        <f ca="1">IFERROR(IF(LEN((INDIRECT(Свёртка_Чувствительность_2[[#This Row],[СП]],FALSE)))=0,"ошибка",IFERROR(INDIRECT(Свёртка_Чувствительность_2[[#This Row],[СП]],FALSE),"ошибка")),"ошибка")</f>
        <v>ошибка</v>
      </c>
      <c r="AW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7" s="135" t="str">
        <f ca="1">IFERROR(_xlfn.FORMULATEXT(INDIRECT(Свёртка_Чувствительность_2[[#This Row],[СП]],FALSE)),"ошибка")</f>
        <v>ошибка</v>
      </c>
      <c r="AY17"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7" s="66"/>
      <c r="BA17" s="66"/>
    </row>
    <row r="18" spans="1:53" x14ac:dyDescent="0.25">
      <c r="A18" s="66" t="e">
        <f ca="1">IF(AND(Критерий_Чувствительность_2[[#This Row],[Критерий]]&lt;&gt;"",Критерий_Чувствительность_2[[#This Row],[O.K.Критерий]]=1),ROW()-ROW(Критерий_Чувствительность_2[[#Headers],[№]]),"")</f>
        <v>#REF!</v>
      </c>
      <c r="B18" s="138" t="e">
        <f>Модель!#REF!</f>
        <v>#REF!</v>
      </c>
      <c r="C18"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8"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8"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8"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8"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8" s="135" t="str">
        <f ca="1">IFERROR(_xlfn.FORMULATEXT(INDIRECT(Критерий_Чувствительность_2[[#This Row],[Скритерий]],FALSE)),"ошибка")</f>
        <v>ошибка</v>
      </c>
      <c r="L18"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8"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8" s="136" t="str">
        <f ca="1">IFERROR(IF(N(INDIRECT(Критерий_Чувствительность_2[[#This Row],[ССрФизКритерий]],FALSE))=0,"ошибка",IFERROR(INDIRECT(Критерий_Чувствительность_2[[#This Row],[ССрФизКритерий]],FALSE),"ошибка")),"")</f>
        <v/>
      </c>
      <c r="Q18"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8" s="66">
        <f ca="1">IFERROR(IF(AND(Критерий_Чувствительность_2[[#This Row],[ВидКритерий]]="Критерий",Критерий_Чувствительность_2[[#This Row],[Фкритерий]]="=Приведение"),1,-1),-1)</f>
        <v>-1</v>
      </c>
      <c r="T18" s="66" t="str">
        <f ca="1">IF(AND(Свёртка_Чувствительность_2[[#This Row],[Свёртка]]&lt;&gt;"",Свёртка_Чувствительность_2[[#This Row],[O.K.Свёртка]]=1),ROW()-ROW(Свёртка_Чувствительность_2[[#Headers],[№]]),"")</f>
        <v/>
      </c>
      <c r="U18" s="137"/>
      <c r="V18"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8" s="135" t="str">
        <f ca="1">IFERROR(_xlfn.FORMULATEXT(INDIRECT(Свёртка_Чувствительность_2[[#This Row],[ССвёртка]],FALSE)),"ошибка")</f>
        <v>ошибка</v>
      </c>
      <c r="X18" s="135" t="str">
        <f ca="1">IFERROR(IF(LEFT(Свёртка_Чувствительность_2[[#This Row],[ФСвёртка]],5)="=Прив","ошибка",IF(LEFT(Свёртка_Чувствительность_2[[#This Row],[ФСвёртка]],5)="=Матр","Свёртка","ошибка")),"ошибка")</f>
        <v>ошибка</v>
      </c>
      <c r="Y18"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8" s="136" t="str">
        <f ca="1">IFERROR(IF(LEN((INDIRECT(Свёртка_Чувствительность_2[[#This Row],[ССВ_1_1]],FALSE)))=0,"ошибка",IFERROR(INDIRECT(Свёртка_Чувствительность_2[[#This Row],[ССВ_1_1]],FALSE),"ошибка")),"ошибка")</f>
        <v>ошибка</v>
      </c>
      <c r="AB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8" s="136" t="str">
        <f ca="1">IFERROR(IF(LEN((INDIRECT(Свёртка_Чувствительность_2[[#This Row],[ССВ_2_1]],FALSE)))=0,"ошибка",IFERROR(INDIRECT(Свёртка_Чувствительность_2[[#This Row],[ССВ_2_1]],FALSE),"ошибка")),"ошибка")</f>
        <v>ошибка</v>
      </c>
      <c r="AD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8" s="136" t="str">
        <f ca="1">IFERROR(IF(LEN((INDIRECT(Свёртка_Чувствительность_2[[#This Row],[ССВ_1_2]],FALSE)))=0,"ошибка",IFERROR(INDIRECT(Свёртка_Чувствительность_2[[#This Row],[ССВ_1_2]],FALSE),"ошибка")),"ошибка")</f>
        <v>ошибка</v>
      </c>
      <c r="AF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8" s="136" t="str">
        <f ca="1">IFERROR(IF(LEN((INDIRECT(Свёртка_Чувствительность_2[[#This Row],[ССВ_2_2]],FALSE)))=0,"ошибка",IFERROR(INDIRECT(Свёртка_Чувствительность_2[[#This Row],[ССВ_2_2]],FALSE),"ошибка")),"ошибка")</f>
        <v>ошибка</v>
      </c>
      <c r="AH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8" s="136" t="str">
        <f ca="1">IFERROR(IF(LEN((INDIRECT(Свёртка_Чувствительность_2[[#This Row],[ССВ_3_1]],FALSE)))=0,"ошибка",IFERROR(INDIRECT(Свёртка_Чувствительность_2[[#This Row],[ССВ_3_1]],FALSE),"ошибка")),"ошибка")</f>
        <v>ошибка</v>
      </c>
      <c r="AJ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8" s="136" t="str">
        <f ca="1">IFERROR(IF(LEN((INDIRECT(Свёртка_Чувствительность_2[[#This Row],[ССВ_1_3]],FALSE)))=0,"ошибка",IFERROR(INDIRECT(Свёртка_Чувствительность_2[[#This Row],[ССВ_1_3]],FALSE),"ошибка")),"ошибка")</f>
        <v>ошибка</v>
      </c>
      <c r="AL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8" s="136" t="str">
        <f ca="1">IFERROR(IF(LEN((INDIRECT(Свёртка_Чувствительность_2[[#This Row],[ССВ_3_2]],FALSE)))=0,"ошибка",IFERROR(INDIRECT(Свёртка_Чувствительность_2[[#This Row],[ССВ_3_2]],FALSE),"ошибка")),"ошибка")</f>
        <v>ошибка</v>
      </c>
      <c r="AN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8" s="136" t="str">
        <f ca="1">IFERROR(IF(LEN((INDIRECT(Свёртка_Чувствительность_2[[#This Row],[ССВ_2_3]],FALSE)))=0,"ошибка",IFERROR(INDIRECT(Свёртка_Чувствительность_2[[#This Row],[ССВ_2_3]],FALSE),"ошибка")),"ошибка")</f>
        <v>ошибка</v>
      </c>
      <c r="AP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8" s="136" t="str">
        <f ca="1">IFERROR(IF(LEN((INDIRECT(Свёртка_Чувствительность_2[[#This Row],[ССВ_3_3]],FALSE)))=0,"ошибка",IFERROR(INDIRECT(Свёртка_Чувствительность_2[[#This Row],[ССВ_3_3]],FALSE),"ошибка")),"ошибка")</f>
        <v>ошибка</v>
      </c>
      <c r="AR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8" s="135" t="str">
        <f ca="1">IFERROR(IF(LEN((INDIRECT(Свёртка_Чувствительность_2[[#This Row],[СЛ]],FALSE)))=0,"ошибка",IFERROR(INDIRECT(Свёртка_Чувствительность_2[[#This Row],[СЛ]],FALSE),"ошибка")),"ошибка")</f>
        <v>ошибка</v>
      </c>
      <c r="AT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8" s="135" t="str">
        <f ca="1">IFERROR(_xlfn.FORMULATEXT(INDIRECT(Свёртка_Чувствительность_2[[#This Row],[СЛ]],FALSE)),"ошибка")</f>
        <v>ошибка</v>
      </c>
      <c r="AV18" s="135" t="str">
        <f ca="1">IFERROR(IF(LEN((INDIRECT(Свёртка_Чувствительность_2[[#This Row],[СП]],FALSE)))=0,"ошибка",IFERROR(INDIRECT(Свёртка_Чувствительность_2[[#This Row],[СП]],FALSE),"ошибка")),"ошибка")</f>
        <v>ошибка</v>
      </c>
      <c r="AW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8" s="135" t="str">
        <f ca="1">IFERROR(_xlfn.FORMULATEXT(INDIRECT(Свёртка_Чувствительность_2[[#This Row],[СП]],FALSE)),"ошибка")</f>
        <v>ошибка</v>
      </c>
      <c r="AY18"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8" s="66"/>
      <c r="BA18" s="66"/>
    </row>
    <row r="19" spans="1:53" x14ac:dyDescent="0.25">
      <c r="A19" s="66" t="e">
        <f ca="1">IF(AND(Критерий_Чувствительность_2[[#This Row],[Критерий]]&lt;&gt;"",Критерий_Чувствительность_2[[#This Row],[O.K.Критерий]]=1),ROW()-ROW(Критерий_Чувствительность_2[[#Headers],[№]]),"")</f>
        <v>#REF!</v>
      </c>
      <c r="B19" s="138" t="e">
        <f>Модель!#REF!</f>
        <v>#REF!</v>
      </c>
      <c r="C19"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9"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9"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9"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9"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9" s="135" t="str">
        <f ca="1">IFERROR(_xlfn.FORMULATEXT(INDIRECT(Критерий_Чувствительность_2[[#This Row],[Скритерий]],FALSE)),"ошибка")</f>
        <v>ошибка</v>
      </c>
      <c r="L19"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9"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9" s="136" t="str">
        <f ca="1">IFERROR(IF(N(INDIRECT(Критерий_Чувствительность_2[[#This Row],[ССрФизКритерий]],FALSE))=0,"ошибка",IFERROR(INDIRECT(Критерий_Чувствительность_2[[#This Row],[ССрФизКритерий]],FALSE),"ошибка")),"")</f>
        <v/>
      </c>
      <c r="Q19"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9" s="66">
        <f ca="1">IFERROR(IF(AND(Критерий_Чувствительность_2[[#This Row],[ВидКритерий]]="Критерий",Критерий_Чувствительность_2[[#This Row],[Фкритерий]]="=Приведение"),1,-1),-1)</f>
        <v>-1</v>
      </c>
    </row>
    <row r="20" spans="1:53" x14ac:dyDescent="0.25">
      <c r="A20" s="66" t="e">
        <f ca="1">IF(AND(Критерий_Чувствительность_2[[#This Row],[Критерий]]&lt;&gt;"",Критерий_Чувствительность_2[[#This Row],[O.K.Критерий]]=1),ROW()-ROW(Критерий_Чувствительность_2[[#Headers],[№]]),"")</f>
        <v>#REF!</v>
      </c>
      <c r="B20" s="138" t="e">
        <f>Модель!#REF!</f>
        <v>#REF!</v>
      </c>
      <c r="C20"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20"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20"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20"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20"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20" s="135" t="str">
        <f ca="1">IFERROR(_xlfn.FORMULATEXT(INDIRECT(Критерий_Чувствительность_2[[#This Row],[Скритерий]],FALSE)),"ошибка")</f>
        <v>ошибка</v>
      </c>
      <c r="L20"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20"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20" s="136" t="str">
        <f ca="1">IFERROR(IF(N(INDIRECT(Критерий_Чувствительность_2[[#This Row],[ССрФизКритерий]],FALSE))=0,"ошибка",IFERROR(INDIRECT(Критерий_Чувствительность_2[[#This Row],[ССрФизКритерий]],FALSE),"ошибка")),"")</f>
        <v/>
      </c>
      <c r="Q20"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20" s="66">
        <f ca="1">IFERROR(IF(AND(Критерий_Чувствительность_2[[#This Row],[ВидКритерий]]="Критерий",Критерий_Чувствительность_2[[#This Row],[Фкритерий]]="=Приведение"),1,-1),-1)</f>
        <v>-1</v>
      </c>
    </row>
    <row r="21" spans="1:53" x14ac:dyDescent="0.25">
      <c r="A21" s="66" t="e">
        <f ca="1">IF(AND(Критерий_Чувствительность_2[[#This Row],[Критерий]]&lt;&gt;"",Критерий_Чувствительность_2[[#This Row],[O.K.Критерий]]=1),ROW()-ROW(Критерий_Чувствительность_2[[#Headers],[№]]),"")</f>
        <v>#REF!</v>
      </c>
      <c r="B21" s="138" t="e">
        <f>Модель!#REF!</f>
        <v>#REF!</v>
      </c>
      <c r="C21"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21"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21"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21"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21"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21" s="135" t="str">
        <f ca="1">IFERROR(_xlfn.FORMULATEXT(INDIRECT(Критерий_Чувствительность_2[[#This Row],[Скритерий]],FALSE)),"ошибка")</f>
        <v>ошибка</v>
      </c>
      <c r="L21"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21"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21" s="136" t="str">
        <f ca="1">IFERROR(IF(N(INDIRECT(Критерий_Чувствительность_2[[#This Row],[ССрФизКритерий]],FALSE))=0,"ошибка",IFERROR(INDIRECT(Критерий_Чувствительность_2[[#This Row],[ССрФизКритерий]],FALSE),"ошибка")),"")</f>
        <v/>
      </c>
      <c r="Q21"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21" s="66">
        <f ca="1">IFERROR(IF(AND(Критерий_Чувствительность_2[[#This Row],[ВидКритерий]]="Критерий",Критерий_Чувствительность_2[[#This Row],[Фкритерий]]="=Приведение"),1,-1),-1)</f>
        <v>-1</v>
      </c>
    </row>
  </sheetData>
  <conditionalFormatting sqref="B10">
    <cfRule type="cellIs" dxfId="802" priority="18" stopIfTrue="1" operator="notBetween">
      <formula>1</formula>
      <formula>4</formula>
    </cfRule>
  </conditionalFormatting>
  <conditionalFormatting sqref="R10:R17">
    <cfRule type="iconSet" priority="19">
      <iconSet showValue="0">
        <cfvo type="percent" val="0"/>
        <cfvo type="num" val="0"/>
        <cfvo type="num" val="1"/>
      </iconSet>
    </cfRule>
  </conditionalFormatting>
  <conditionalFormatting sqref="U10">
    <cfRule type="cellIs" dxfId="801" priority="20" stopIfTrue="1" operator="notBetween">
      <formula>1</formula>
      <formula>4</formula>
    </cfRule>
  </conditionalFormatting>
  <conditionalFormatting sqref="AY10:BA10">
    <cfRule type="iconSet" priority="21">
      <iconSet showValue="0">
        <cfvo type="percent" val="0"/>
        <cfvo type="num" val="0"/>
        <cfvo type="num" val="1"/>
      </iconSet>
    </cfRule>
  </conditionalFormatting>
  <conditionalFormatting sqref="B11:B17">
    <cfRule type="cellIs" dxfId="800" priority="17" stopIfTrue="1" operator="notBetween">
      <formula>1</formula>
      <formula>4</formula>
    </cfRule>
  </conditionalFormatting>
  <conditionalFormatting sqref="U11:U18">
    <cfRule type="cellIs" dxfId="799" priority="15" stopIfTrue="1" operator="notBetween">
      <formula>1</formula>
      <formula>4</formula>
    </cfRule>
  </conditionalFormatting>
  <conditionalFormatting sqref="AY11:BA18">
    <cfRule type="iconSet" priority="16">
      <iconSet showValue="0">
        <cfvo type="percent" val="0"/>
        <cfvo type="num" val="0"/>
        <cfvo type="num" val="1"/>
      </iconSet>
    </cfRule>
  </conditionalFormatting>
  <conditionalFormatting sqref="BQ10:CO11">
    <cfRule type="expression" dxfId="798" priority="14">
      <formula>IF(AND(LEN($BL10)&gt;0,LEN($BL10)-LEN(SUBSTITUTE($BL10,";",""))+1&gt;=COLUMN()-68),0,1)</formula>
    </cfRule>
  </conditionalFormatting>
  <conditionalFormatting sqref="BD10:BH11 BJ10:BJ11 BL10:BL11">
    <cfRule type="containsBlanks" dxfId="797" priority="23">
      <formula>LEN(TRIM(BD10))=0</formula>
    </cfRule>
  </conditionalFormatting>
  <conditionalFormatting sqref="BM10:BN11 BK10:BK11 BI10:BI11">
    <cfRule type="iconSet" priority="12">
      <iconSet showValue="0">
        <cfvo type="percent" val="0"/>
        <cfvo type="num" val="0"/>
        <cfvo type="num" val="0" gte="0"/>
      </iconSet>
    </cfRule>
  </conditionalFormatting>
  <conditionalFormatting sqref="R18:R21">
    <cfRule type="iconSet" priority="8">
      <iconSet showValue="0">
        <cfvo type="percent" val="0"/>
        <cfvo type="num" val="0"/>
        <cfvo type="num" val="1"/>
      </iconSet>
    </cfRule>
  </conditionalFormatting>
  <conditionalFormatting sqref="B18:B21">
    <cfRule type="cellIs" dxfId="796" priority="7" stopIfTrue="1" operator="notBetween">
      <formula>1</formula>
      <formula>4</formula>
    </cfRule>
  </conditionalFormatting>
  <dataValidations count="7">
    <dataValidation type="list" allowBlank="1" showInputMessage="1" showErrorMessage="1" sqref="BH10:BH11" xr:uid="{00000000-0002-0000-0400-000000000000}">
      <formula1>INDIRECT("Свёртка_Чувствительность_2[№]")</formula1>
    </dataValidation>
    <dataValidation type="list" allowBlank="1" showInputMessage="1" showErrorMessage="1" sqref="BD10:BD11" xr:uid="{00000000-0002-0000-0400-000001000000}">
      <formula1>"Качественные, Количественные"</formula1>
    </dataValidation>
    <dataValidation type="list" allowBlank="1" showInputMessage="1" showErrorMessage="1" sqref="BL10:BL11 BJ10:BJ11" xr:uid="{00000000-0002-0000-0400-000002000000}">
      <formula1>INDIRECT("Критерий_Чувствительность_2[№]")</formula1>
    </dataValidation>
    <dataValidation type="list" allowBlank="1" showInputMessage="1" showErrorMessage="1" sqref="BF10:BF11" xr:uid="{00000000-0002-0000-0400-000003000000}">
      <formula1>"Стандарт, Спрос, Предложение"</formula1>
    </dataValidation>
    <dataValidation type="whole" allowBlank="1" showInputMessage="1" showErrorMessage="1" sqref="BI10:BI11 BK10:BK11 BM10:BN11" xr:uid="{00000000-0002-0000-0400-000004000000}">
      <formula1>-1</formula1>
      <formula2>1</formula2>
    </dataValidation>
    <dataValidation type="decimal" allowBlank="1" showInputMessage="1" showErrorMessage="1" sqref="BE10:BE11" xr:uid="{00000000-0002-0000-0400-000005000000}">
      <formula1>-1E+25</formula1>
      <formula2>1E+24</formula2>
    </dataValidation>
    <dataValidation type="decimal" allowBlank="1" showInputMessage="1" showErrorMessage="1" sqref="BO10:BP11" xr:uid="{00000000-0002-0000-0400-000006000000}">
      <formula1>-1E+37</formula1>
      <formula2>1E+38</formula2>
    </dataValidation>
  </dataValidations>
  <pageMargins left="0.7" right="0.7" top="0.75" bottom="0.75" header="0.3" footer="0.3"/>
  <pageSetup paperSize="9" orientation="portrait" horizontalDpi="4294967295" verticalDpi="4294967295"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1211"/>
  <dimension ref="A1:BL1009"/>
  <sheetViews>
    <sheetView topLeftCell="B9" zoomScale="85" zoomScaleNormal="85" workbookViewId="0">
      <selection activeCell="AD12" sqref="AD12"/>
    </sheetView>
  </sheetViews>
  <sheetFormatPr defaultRowHeight="15" outlineLevelRow="1" x14ac:dyDescent="0.25"/>
  <cols>
    <col min="1" max="1" width="8.85546875" hidden="1" customWidth="1"/>
    <col min="2" max="2" width="4.7109375" customWidth="1"/>
    <col min="3" max="3" width="11.28515625" customWidth="1"/>
    <col min="4" max="4" width="13.28515625" hidden="1" customWidth="1"/>
    <col min="5" max="5" width="15.42578125" customWidth="1"/>
    <col min="6" max="6" width="23.42578125" style="66" customWidth="1"/>
    <col min="7" max="7" width="15.42578125" hidden="1" customWidth="1"/>
    <col min="8" max="8" width="15.5703125" hidden="1" customWidth="1"/>
    <col min="9" max="9" width="16.7109375" hidden="1" customWidth="1"/>
    <col min="10" max="10" width="15.28515625" hidden="1" customWidth="1"/>
    <col min="11" max="11" width="16.42578125" hidden="1" customWidth="1"/>
    <col min="12" max="12" width="13.5703125" hidden="1" customWidth="1"/>
    <col min="13" max="13" width="19.5703125" hidden="1" customWidth="1"/>
    <col min="14" max="14" width="20.7109375" hidden="1" customWidth="1"/>
    <col min="15" max="15" width="20.28515625" hidden="1" customWidth="1"/>
    <col min="16" max="16" width="21.28515625" hidden="1" customWidth="1"/>
    <col min="17" max="17" width="17.7109375" hidden="1" customWidth="1"/>
    <col min="18" max="18" width="18.85546875" hidden="1" customWidth="1"/>
    <col min="19" max="19" width="4.7109375" customWidth="1"/>
    <col min="20" max="20" width="3.7109375" customWidth="1"/>
    <col min="21" max="21" width="4.7109375" customWidth="1"/>
    <col min="22" max="22" width="10.140625" customWidth="1"/>
    <col min="23" max="23" width="15.7109375" hidden="1" customWidth="1"/>
    <col min="24" max="24" width="16.140625" hidden="1" customWidth="1"/>
    <col min="25" max="26" width="18" customWidth="1"/>
    <col min="27" max="27" width="18" hidden="1" customWidth="1"/>
    <col min="28" max="28" width="4.7109375" customWidth="1"/>
    <col min="32" max="32" width="8.85546875" customWidth="1"/>
    <col min="33" max="33" width="7.7109375" style="66" customWidth="1"/>
    <col min="34" max="34" width="10.5703125" customWidth="1"/>
    <col min="35" max="35" width="13.28515625" style="66" customWidth="1"/>
    <col min="36" max="36" width="3.5703125" customWidth="1"/>
    <col min="37" max="37" width="21.5703125" style="66" customWidth="1"/>
    <col min="38" max="38" width="4.28515625" style="66" customWidth="1"/>
    <col min="39" max="39" width="8.85546875" customWidth="1"/>
  </cols>
  <sheetData>
    <row r="1" spans="1:64" hidden="1" outlineLevel="1" x14ac:dyDescent="0.25">
      <c r="A1" t="s">
        <v>461</v>
      </c>
      <c r="D1" t="s">
        <v>461</v>
      </c>
      <c r="G1" t="s">
        <v>461</v>
      </c>
      <c r="H1" t="s">
        <v>461</v>
      </c>
      <c r="I1" t="s">
        <v>461</v>
      </c>
      <c r="J1" t="s">
        <v>461</v>
      </c>
      <c r="K1" t="s">
        <v>461</v>
      </c>
      <c r="L1" t="s">
        <v>461</v>
      </c>
      <c r="M1" t="s">
        <v>461</v>
      </c>
      <c r="N1" t="s">
        <v>461</v>
      </c>
      <c r="O1" t="s">
        <v>461</v>
      </c>
      <c r="P1" t="s">
        <v>461</v>
      </c>
      <c r="Q1" t="s">
        <v>461</v>
      </c>
      <c r="R1" t="s">
        <v>461</v>
      </c>
      <c r="W1" t="s">
        <v>461</v>
      </c>
      <c r="X1" t="s">
        <v>461</v>
      </c>
      <c r="AA1" t="s">
        <v>461</v>
      </c>
      <c r="AJ1" t="s">
        <v>461</v>
      </c>
      <c r="AL1" s="66" t="s">
        <v>461</v>
      </c>
    </row>
    <row r="2" spans="1:64" hidden="1" outlineLevel="1" x14ac:dyDescent="0.25">
      <c r="A2" t="s">
        <v>461</v>
      </c>
      <c r="C2" t="s">
        <v>364</v>
      </c>
      <c r="E2">
        <f>ROWS(Критерий[])</f>
        <v>114</v>
      </c>
      <c r="V2" t="s">
        <v>364</v>
      </c>
      <c r="X2">
        <f>ROWS(Свёртка[])</f>
        <v>57</v>
      </c>
      <c r="AH2" t="s">
        <v>444</v>
      </c>
      <c r="AK2" s="66">
        <f>SUMIF(Множество[Y],1)</f>
        <v>349</v>
      </c>
    </row>
    <row r="3" spans="1:64" hidden="1" outlineLevel="1" x14ac:dyDescent="0.25">
      <c r="A3" t="s">
        <v>461</v>
      </c>
      <c r="C3" t="s">
        <v>365</v>
      </c>
      <c r="E3">
        <f ca="1">COUNTIF(Критерий[Критерий],"&gt;=1")-COUNTIF(Критерий[Критерий],"&gt;4")</f>
        <v>2</v>
      </c>
      <c r="V3" t="s">
        <v>365</v>
      </c>
      <c r="X3">
        <f ca="1">COUNTIF(Свёртка[Свёртка],"&gt;=1")-COUNTIF(Свёртка[Свёртка],"&gt;4")</f>
        <v>1</v>
      </c>
      <c r="AH3" t="s">
        <v>445</v>
      </c>
      <c r="AK3" s="66">
        <f>ROWS(Множество[Свёртка])</f>
        <v>1000</v>
      </c>
      <c r="AM3">
        <f>ROWS(Множество[Критерии])</f>
        <v>1000</v>
      </c>
    </row>
    <row r="4" spans="1:64" hidden="1" outlineLevel="1" x14ac:dyDescent="0.25">
      <c r="A4" t="s">
        <v>461</v>
      </c>
      <c r="C4" t="s">
        <v>447</v>
      </c>
      <c r="E4">
        <f ca="1">COUNTIF(Критерий[O.K.Критерий],1)</f>
        <v>2</v>
      </c>
      <c r="V4" t="s">
        <v>447</v>
      </c>
      <c r="X4">
        <f ca="1">COUNTIF(Свёртка[O.K.Свёртка],1)</f>
        <v>1</v>
      </c>
      <c r="AH4" t="s">
        <v>446</v>
      </c>
      <c r="AK4" s="66">
        <f>SUMIF(Множество[_],1)</f>
        <v>1000</v>
      </c>
      <c r="AM4">
        <f>SUMIF(Множество[__],1)</f>
        <v>1000</v>
      </c>
    </row>
    <row r="5" spans="1:64" hidden="1" outlineLevel="1" x14ac:dyDescent="0.25">
      <c r="A5" t="s">
        <v>461</v>
      </c>
    </row>
    <row r="6" spans="1:64" hidden="1" outlineLevel="1" x14ac:dyDescent="0.25">
      <c r="A6" t="s">
        <v>461</v>
      </c>
      <c r="G6">
        <v>-2</v>
      </c>
      <c r="I6">
        <v>1</v>
      </c>
      <c r="K6">
        <v>-1</v>
      </c>
      <c r="N6">
        <v>1</v>
      </c>
      <c r="P6">
        <v>1</v>
      </c>
      <c r="R6">
        <v>1</v>
      </c>
      <c r="W6">
        <f>V6+1</f>
        <v>1</v>
      </c>
      <c r="X6">
        <f t="shared" ref="X6:Y8" si="0">W6+1</f>
        <v>2</v>
      </c>
      <c r="Y6">
        <f t="shared" si="0"/>
        <v>3</v>
      </c>
      <c r="Z6">
        <f>Y6+1</f>
        <v>4</v>
      </c>
      <c r="AA6">
        <v>-3</v>
      </c>
    </row>
    <row r="7" spans="1:64" hidden="1" outlineLevel="1" x14ac:dyDescent="0.25">
      <c r="A7" t="s">
        <v>461</v>
      </c>
      <c r="G7">
        <v>-3</v>
      </c>
      <c r="I7">
        <v>0</v>
      </c>
      <c r="K7">
        <v>-3</v>
      </c>
      <c r="N7">
        <v>-3</v>
      </c>
      <c r="P7">
        <v>-1</v>
      </c>
      <c r="R7">
        <v>-2</v>
      </c>
      <c r="W7">
        <f>V7+1</f>
        <v>1</v>
      </c>
      <c r="X7">
        <f t="shared" si="0"/>
        <v>2</v>
      </c>
      <c r="Y7">
        <f t="shared" si="0"/>
        <v>3</v>
      </c>
      <c r="Z7">
        <f>Y7+1</f>
        <v>4</v>
      </c>
      <c r="AA7">
        <v>0</v>
      </c>
    </row>
    <row r="8" spans="1:64" ht="15.75" hidden="1" outlineLevel="1" thickBot="1" x14ac:dyDescent="0.3">
      <c r="A8" t="s">
        <v>461</v>
      </c>
      <c r="D8">
        <v>1</v>
      </c>
      <c r="E8">
        <v>2</v>
      </c>
      <c r="F8" s="66">
        <v>3</v>
      </c>
      <c r="G8">
        <v>4</v>
      </c>
      <c r="H8">
        <v>5</v>
      </c>
      <c r="I8">
        <v>6</v>
      </c>
      <c r="J8">
        <v>7</v>
      </c>
      <c r="K8">
        <v>8</v>
      </c>
      <c r="L8">
        <v>9</v>
      </c>
      <c r="M8">
        <v>10</v>
      </c>
      <c r="N8">
        <v>11</v>
      </c>
      <c r="O8">
        <v>12</v>
      </c>
      <c r="P8">
        <v>13</v>
      </c>
      <c r="Q8">
        <v>14</v>
      </c>
      <c r="R8">
        <v>15</v>
      </c>
      <c r="W8">
        <f>V8+1</f>
        <v>1</v>
      </c>
      <c r="X8">
        <f t="shared" si="0"/>
        <v>2</v>
      </c>
      <c r="Y8">
        <f t="shared" si="0"/>
        <v>3</v>
      </c>
      <c r="Z8">
        <f>Y8+1</f>
        <v>4</v>
      </c>
      <c r="AA8">
        <f>Z8+1</f>
        <v>5</v>
      </c>
    </row>
    <row r="9" spans="1:64" ht="15.75" collapsed="1" thickBot="1" x14ac:dyDescent="0.3">
      <c r="B9" s="87" t="s">
        <v>395</v>
      </c>
      <c r="C9" s="87" t="s">
        <v>396</v>
      </c>
      <c r="D9" s="87" t="s">
        <v>397</v>
      </c>
      <c r="E9" s="87" t="s">
        <v>409</v>
      </c>
      <c r="F9" s="87" t="s">
        <v>456</v>
      </c>
      <c r="G9" s="87" t="s">
        <v>457</v>
      </c>
      <c r="H9" s="87" t="s">
        <v>398</v>
      </c>
      <c r="I9" s="87" t="s">
        <v>399</v>
      </c>
      <c r="J9" s="87" t="s">
        <v>400</v>
      </c>
      <c r="K9" s="87" t="s">
        <v>401</v>
      </c>
      <c r="L9" s="87" t="s">
        <v>402</v>
      </c>
      <c r="M9" s="87" t="s">
        <v>403</v>
      </c>
      <c r="N9" s="87" t="s">
        <v>404</v>
      </c>
      <c r="O9" s="87" t="s">
        <v>405</v>
      </c>
      <c r="P9" s="87" t="s">
        <v>406</v>
      </c>
      <c r="Q9" s="87" t="s">
        <v>407</v>
      </c>
      <c r="R9" s="87" t="s">
        <v>408</v>
      </c>
      <c r="S9" s="86" t="s">
        <v>410</v>
      </c>
      <c r="U9" s="88" t="s">
        <v>395</v>
      </c>
      <c r="V9" s="89" t="s">
        <v>411</v>
      </c>
      <c r="W9" s="89" t="s">
        <v>414</v>
      </c>
      <c r="X9" s="89" t="s">
        <v>412</v>
      </c>
      <c r="Y9" s="89" t="s">
        <v>413</v>
      </c>
      <c r="Z9" s="89" t="s">
        <v>456</v>
      </c>
      <c r="AA9" s="89" t="s">
        <v>457</v>
      </c>
      <c r="AB9" s="90" t="s">
        <v>415</v>
      </c>
      <c r="AG9" s="66" t="s">
        <v>395</v>
      </c>
      <c r="AH9" s="66" t="s">
        <v>416</v>
      </c>
      <c r="AI9" s="66" t="s">
        <v>411</v>
      </c>
      <c r="AJ9" s="66" t="s">
        <v>441</v>
      </c>
      <c r="AK9" s="66" t="s">
        <v>417</v>
      </c>
      <c r="AL9" s="66" t="s">
        <v>442</v>
      </c>
      <c r="AM9" s="66" t="s">
        <v>443</v>
      </c>
      <c r="AN9" s="5" t="s">
        <v>100</v>
      </c>
      <c r="AO9" s="5" t="s">
        <v>101</v>
      </c>
      <c r="AP9" s="5" t="s">
        <v>418</v>
      </c>
      <c r="AQ9" s="5" t="s">
        <v>419</v>
      </c>
      <c r="AR9" s="5" t="s">
        <v>420</v>
      </c>
      <c r="AS9" s="5" t="s">
        <v>421</v>
      </c>
      <c r="AT9" s="5" t="s">
        <v>422</v>
      </c>
      <c r="AU9" s="5" t="s">
        <v>423</v>
      </c>
      <c r="AV9" s="5" t="s">
        <v>424</v>
      </c>
      <c r="AW9" s="5" t="s">
        <v>425</v>
      </c>
      <c r="AX9" s="5" t="s">
        <v>426</v>
      </c>
      <c r="AY9" s="5" t="s">
        <v>427</v>
      </c>
      <c r="AZ9" s="5" t="s">
        <v>428</v>
      </c>
      <c r="BA9" s="5" t="s">
        <v>429</v>
      </c>
      <c r="BB9" s="5" t="s">
        <v>430</v>
      </c>
      <c r="BC9" s="5" t="s">
        <v>431</v>
      </c>
      <c r="BD9" s="5" t="s">
        <v>432</v>
      </c>
      <c r="BE9" s="5" t="s">
        <v>433</v>
      </c>
      <c r="BF9" s="5" t="s">
        <v>434</v>
      </c>
      <c r="BG9" s="5" t="s">
        <v>435</v>
      </c>
      <c r="BH9" s="5" t="s">
        <v>436</v>
      </c>
      <c r="BI9" s="5" t="s">
        <v>437</v>
      </c>
      <c r="BJ9" s="5" t="s">
        <v>438</v>
      </c>
      <c r="BK9" s="5" t="s">
        <v>439</v>
      </c>
      <c r="BL9" s="5" t="s">
        <v>440</v>
      </c>
    </row>
    <row r="10" spans="1:64" x14ac:dyDescent="0.25">
      <c r="B10" s="66">
        <f ca="1">IF(AND(Критерий[[#This Row],[Критерий]]&lt;&gt;"",Критерий[[#This Row],[O.K.Критерий]]=1),ROW()-ROW(Критерий[[#Headers],[№]]),"")</f>
        <v>1</v>
      </c>
      <c r="C10" s="84">
        <f ca="1">Модель!CG9</f>
        <v>2.7142857142857144</v>
      </c>
      <c r="D10"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Модель!R9C85</v>
      </c>
      <c r="E10" t="str">
        <f ca="1">IFERROR(IF(IFERROR(SEARCH("Прив",Критерий[[#This Row],[Фкритерий]]),0)&gt;0,"Критерий",IF(IFERROR(SEARCH("Матр",Критерий[[#This Row],[Фкритерий]]),0)&gt;0,"ошибка","ошибка")),"ошибка")</f>
        <v>Критерий</v>
      </c>
      <c r="F10" s="66">
        <f ca="1">IFERROR(IF(LEN((INDIRECT(Критерий[[#This Row],[СНаименование]],FALSE)))=0,"ошибка",IFERROR(INDIRECT(Критерий[[#This Row],[СНаименование]],FALSE),"ошибка")),"ошибка")</f>
        <v>1</v>
      </c>
      <c r="G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Модель!R7C82</v>
      </c>
      <c r="H10">
        <f ca="1">IFERROR(IF(N(INDIRECT(Критерий[[#This Row],[СФизКритерий]],FALSE))=0,"ошибка",IFERROR(INDIRECT(Критерий[[#This Row],[СФизКритерий]],FALSE),"ошибка")),"ошибка")</f>
        <v>10</v>
      </c>
      <c r="I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Модель!R10C85</v>
      </c>
      <c r="J10"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Опт. в макс.</v>
      </c>
      <c r="K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Модель!R8C82</v>
      </c>
      <c r="L10" t="str">
        <f ca="1">IFERROR(_xlfn.FORMULATEXT(INDIRECT(Критерий[[#This Row],[Скритерий]],FALSE)),"ошибка")</f>
        <v>=Приведение</v>
      </c>
      <c r="M10">
        <f ca="1">IFERROR(IF(N(INDIRECT(Критерий[[#This Row],[СМинФизКритерий]],FALSE))=0,"ошибка",IFERROR(INDIRECT(Критерий[[#This Row],[СМинФизКритерий]],FALSE),"ошибка")),"ошибка")</f>
        <v>-20</v>
      </c>
      <c r="N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Модель!R10C82</v>
      </c>
      <c r="O10">
        <f ca="1">IFERROR(IF(N(INDIRECT(Критерий[[#This Row],[СМаксФизКритерий]],FALSE))=0,"ошибка",IFERROR(INDIRECT(Критерий[[#This Row],[СМаксФизКритерий]],FALSE),"ошибка")),"ошибка")</f>
        <v>20</v>
      </c>
      <c r="P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Модель!R10C84</v>
      </c>
      <c r="Q10">
        <f ca="1">IFERROR(IF(N(INDIRECT(Критерий[[#This Row],[ССрФизКритерий]],FALSE))=0,"ошибка",IFERROR(INDIRECT(Критерий[[#This Row],[ССрФизКритерий]],FALSE),"ошибка")),"")</f>
        <v>2.5</v>
      </c>
      <c r="R10"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Модель!R10C83</v>
      </c>
      <c r="S10" s="67">
        <f ca="1">IFERROR(IF(AND(Критерий[[#This Row],[ВидКритерий]]="Критерий",IFERROR(SEARCH("Приведение",Критерий[[#This Row],[Фкритерий]]),0)&gt;0),1,-1),-1)</f>
        <v>1</v>
      </c>
      <c r="U10" s="66">
        <f ca="1">IF(AND(Свёртка[[#This Row],[Свёртка]]&lt;&gt;"",Свёртка[[#This Row],[O.K.Свёртка]]=1),ROW()-ROW(Свёртка[[#Headers],[№]]),"")</f>
        <v>1</v>
      </c>
      <c r="V10" s="84">
        <f ca="1">Модель!CF5</f>
        <v>2.63</v>
      </c>
      <c r="W10" s="85"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Модель!R5C84</v>
      </c>
      <c r="X10" s="85" t="str">
        <f ca="1">IFERROR(_xlfn.FORMULATEXT(INDIRECT(Свёртка[[#This Row],[ССвёртка]],FALSE)),"ошибка")</f>
        <v>=Матрица_Расчёт</v>
      </c>
      <c r="Y10" s="85" t="str">
        <f ca="1">IFERROR(IF(IFERROR(SEARCH("Прив",Свёртка[[#This Row],[ФСвёртка]]),0)&gt;0,"ошибка",IF(IFERROR(SEARCH("Матр",Свёртка[[#This Row],[ФСвёртка]]),0)&gt;0,"Свёртка","ошибка")),"ошибка")</f>
        <v>Свёртка</v>
      </c>
      <c r="Z10" s="123">
        <f ca="1">IFERROR(IF(LEN((INDIRECT(Свёртка[[#This Row],[СНаименование]],FALSE)))=0,"ошибка",IFERROR(INDIRECT(Свёртка[[#This Row],[СНаименование]],FALSE),"ошибка")),"ошибка")</f>
        <v>0</v>
      </c>
      <c r="AA10" s="123"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Модель!R2C84</v>
      </c>
      <c r="AB10" s="67">
        <f ca="1">IF(Свёртка[[#This Row],[ВидСвёртка]]="Свёртка",1,-1)</f>
        <v>1</v>
      </c>
      <c r="AG10" s="66">
        <f>IF(AND(Множество[[#This Row],[Y]]=1),ROW()-ROW(Множество[[#Headers],[№]]),"")</f>
        <v>1</v>
      </c>
      <c r="AH10" t="s">
        <v>608</v>
      </c>
      <c r="AI10" s="66">
        <v>1</v>
      </c>
      <c r="AJ10" s="66">
        <f>IF(LEN(Множество[[#This Row],[Свёртка]])&gt;0,1,-1)</f>
        <v>1</v>
      </c>
      <c r="AK10" s="66" t="s">
        <v>1781</v>
      </c>
      <c r="AL10" s="66">
        <f>IF(LEN(Множество[[#This Row],[Критерии]])&gt;0,1,-1)</f>
        <v>1</v>
      </c>
      <c r="AM10" s="66">
        <f>IF(AND(LEN(Множество[[#This Row],[Свёртка]])&gt;0,LEN(Множество[[#This Row],[Критерии]])&gt;0,LEN(Множество[[#This Row],[Оценки]])&gt;0),1,-1)</f>
        <v>1</v>
      </c>
      <c r="AN10">
        <v>7.1666666666666696</v>
      </c>
      <c r="AO10">
        <v>-12.533333333333299</v>
      </c>
      <c r="AP10" s="208"/>
      <c r="AQ10" s="208"/>
      <c r="AR10" s="228"/>
      <c r="AS10" s="227"/>
      <c r="AT10" s="227"/>
      <c r="AU10" s="227"/>
      <c r="AV10" s="227"/>
      <c r="AW10" s="227"/>
      <c r="AX10" s="227"/>
      <c r="AY10" s="227"/>
    </row>
    <row r="11" spans="1:64" x14ac:dyDescent="0.25">
      <c r="B11" s="66">
        <f ca="1">IF(AND(Критерий[[#This Row],[Критерий]]&lt;&gt;"",Критерий[[#This Row],[O.K.Критерий]]=1),ROW()-ROW(Критерий[[#Headers],[№]]),"")</f>
        <v>2</v>
      </c>
      <c r="C11" s="84">
        <f ca="1">Модель!CN9</f>
        <v>2.5</v>
      </c>
      <c r="D11"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Модель!R9C92</v>
      </c>
      <c r="E11" t="str">
        <f ca="1">IFERROR(IF(IFERROR(SEARCH("Прив",Критерий[[#This Row],[Фкритерий]]),0)&gt;0,"Критерий",IF(IFERROR(SEARCH("Матр",Критерий[[#This Row],[Фкритерий]]),0)&gt;0,"ошибка","ошибка")),"ошибка")</f>
        <v>Критерий</v>
      </c>
      <c r="F11" s="66" t="str">
        <f ca="1">IFERROR(IF(LEN((INDIRECT(Критерий[[#This Row],[СНаименование]],FALSE)))=0,"ошибка",IFERROR(INDIRECT(Критерий[[#This Row],[СНаименование]],FALSE),"ошибка")),"ошибка")</f>
        <v>ошибка</v>
      </c>
      <c r="G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Модель!R7C89</v>
      </c>
      <c r="H11">
        <f ca="1">IFERROR(IF(N(INDIRECT(Критерий[[#This Row],[СФизКритерий]],FALSE))=0,"ошибка",IFERROR(INDIRECT(Критерий[[#This Row],[СФизКритерий]],FALSE),"ошибка")),"ошибка")</f>
        <v>-12.5</v>
      </c>
      <c r="I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Модель!R10C92</v>
      </c>
      <c r="J11"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Опт. в мин.</v>
      </c>
      <c r="K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Модель!R8C89</v>
      </c>
      <c r="L11" t="str">
        <f ca="1">IFERROR(_xlfn.FORMULATEXT(INDIRECT(Критерий[[#This Row],[Скритерий]],FALSE)),"ошибка")</f>
        <v>=Приведение</v>
      </c>
      <c r="M11">
        <f ca="1">IFERROR(IF(N(INDIRECT(Критерий[[#This Row],[СМинФизКритерий]],FALSE))=0,"ошибка",IFERROR(INDIRECT(Критерий[[#This Row],[СМинФизКритерий]],FALSE),"ошибка")),"ошибка")</f>
        <v>-10</v>
      </c>
      <c r="N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Модель!R10C89</v>
      </c>
      <c r="O11">
        <f ca="1">IFERROR(IF(N(INDIRECT(Критерий[[#This Row],[СМаксФизКритерий]],FALSE))=0,"ошибка",IFERROR(INDIRECT(Критерий[[#This Row],[СМаксФизКритерий]],FALSE),"ошибка")),"ошибка")</f>
        <v>-20</v>
      </c>
      <c r="P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Модель!R10C91</v>
      </c>
      <c r="Q11">
        <f ca="1">IFERROR(IF(N(INDIRECT(Критерий[[#This Row],[ССрФизКритерий]],FALSE))=0,"ошибка",IFERROR(INDIRECT(Критерий[[#This Row],[ССрФизКритерий]],FALSE),"ошибка")),"")</f>
        <v>-15</v>
      </c>
      <c r="R11"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Модель!R10C90</v>
      </c>
      <c r="S11" s="67">
        <f ca="1">IFERROR(IF(AND(Критерий[[#This Row],[ВидКритерий]]="Критерий",IFERROR(SEARCH("Приведение",Критерий[[#This Row],[Фкритерий]]),0)&gt;0),1,-1),-1)</f>
        <v>1</v>
      </c>
      <c r="U11" s="66" t="str">
        <f ca="1">IF(AND(Свёртка[[#This Row],[Свёртка]]&lt;&gt;"",Свёртка[[#This Row],[O.K.Свёртка]]=1),ROW()-ROW(Свёртка[[#Headers],[№]]),"")</f>
        <v/>
      </c>
      <c r="V11" s="84"/>
      <c r="W11"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1" t="str">
        <f ca="1">IFERROR(_xlfn.FORMULATEXT(INDIRECT(Свёртка[[#This Row],[ССвёртка]],FALSE)),"ошибка")</f>
        <v>ошибка</v>
      </c>
      <c r="Y11" t="str">
        <f ca="1">IFERROR(IF(IFERROR(SEARCH("Прив",Свёртка[[#This Row],[ФСвёртка]]),0)&gt;0,"ошибка",IF(IFERROR(SEARCH("Матр",Свёртка[[#This Row],[ФСвёртка]]),0)&gt;0,"Свёртка","ошибка")),"ошибка")</f>
        <v>ошибка</v>
      </c>
      <c r="Z11" t="str">
        <f ca="1">IFERROR(IF(LEN((INDIRECT(Свёртка[[#This Row],[СНаименование]],FALSE)))=0,"ошибка",IFERROR(INDIRECT(Свёртка[[#This Row],[СНаименование]],FALSE),"ошибка")),"ошибка")</f>
        <v>ошибка</v>
      </c>
      <c r="AA11"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1" s="67">
        <f ca="1">IF(Свёртка[[#This Row],[ВидСвёртка]]="Свёртка",1,-1)</f>
        <v>-1</v>
      </c>
      <c r="AG11" s="66">
        <f>IF(AND(Множество[[#This Row],[Y]]=1),ROW()-ROW(Множество[[#Headers],[№]]),"")</f>
        <v>2</v>
      </c>
      <c r="AH11" t="s">
        <v>608</v>
      </c>
      <c r="AI11" s="66">
        <v>1</v>
      </c>
      <c r="AJ11" s="66">
        <f>IF(LEN(Множество[[#This Row],[Свёртка]])&gt;0,1,-1)</f>
        <v>1</v>
      </c>
      <c r="AK11" s="66" t="s">
        <v>1781</v>
      </c>
      <c r="AL11" s="66">
        <f>IF(LEN(Множество[[#This Row],[Критерии]])&gt;0,1,-1)</f>
        <v>1</v>
      </c>
      <c r="AM11" s="66">
        <f>IF(AND(LEN(Множество[[#This Row],[Свёртка]])&gt;0,LEN(Множество[[#This Row],[Критерии]])&gt;0,LEN(Множество[[#This Row],[Оценки]])&gt;0),1,-1)</f>
        <v>1</v>
      </c>
      <c r="AN11">
        <v>7.1083333333333298</v>
      </c>
      <c r="AO11">
        <v>-12.5833333333333</v>
      </c>
      <c r="AP11" s="208"/>
      <c r="AQ11" s="208"/>
      <c r="AR11" s="226"/>
      <c r="AS11" s="225"/>
      <c r="AT11" s="225"/>
      <c r="AU11" s="225"/>
      <c r="AV11" s="225"/>
      <c r="AW11" s="225"/>
      <c r="AX11" s="225"/>
      <c r="AY11" s="225"/>
    </row>
    <row r="12" spans="1:64" x14ac:dyDescent="0.25">
      <c r="B12" s="66" t="str">
        <f ca="1">IF(AND(Критерий[[#This Row],[Критерий]]&lt;&gt;"",Критерий[[#This Row],[O.K.Критерий]]=1),ROW()-ROW(Критерий[[#Headers],[№]]),"")</f>
        <v/>
      </c>
      <c r="C12" s="84"/>
      <c r="D12"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 t="str">
        <f ca="1">IFERROR(IF(IFERROR(SEARCH("Прив",Критерий[[#This Row],[Фкритерий]]),0)&gt;0,"Критерий",IF(IFERROR(SEARCH("Матр",Критерий[[#This Row],[Фкритерий]]),0)&gt;0,"ошибка","ошибка")),"ошибка")</f>
        <v>ошибка</v>
      </c>
      <c r="F12" s="66" t="str">
        <f ca="1">IFERROR(IF(LEN((INDIRECT(Критерий[[#This Row],[СНаименование]],FALSE)))=0,"ошибка",IFERROR(INDIRECT(Критерий[[#This Row],[СНаименование]],FALSE),"ошибка")),"ошибка")</f>
        <v>ошибка</v>
      </c>
      <c r="G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 t="str">
        <f ca="1">IFERROR(IF(N(INDIRECT(Критерий[[#This Row],[СФизКритерий]],FALSE))=0,"ошибка",IFERROR(INDIRECT(Критерий[[#This Row],[СФизКритерий]],FALSE),"ошибка")),"ошибка")</f>
        <v>ошибка</v>
      </c>
      <c r="I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 t="str">
        <f ca="1">IFERROR(_xlfn.FORMULATEXT(INDIRECT(Критерий[[#This Row],[Скритерий]],FALSE)),"ошибка")</f>
        <v>ошибка</v>
      </c>
      <c r="M12" t="str">
        <f ca="1">IFERROR(IF(N(INDIRECT(Критерий[[#This Row],[СМинФизКритерий]],FALSE))=0,"ошибка",IFERROR(INDIRECT(Критерий[[#This Row],[СМинФизКритерий]],FALSE),"ошибка")),"ошибка")</f>
        <v>ошибка</v>
      </c>
      <c r="N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 t="str">
        <f ca="1">IFERROR(IF(N(INDIRECT(Критерий[[#This Row],[СМаксФизКритерий]],FALSE))=0,"ошибка",IFERROR(INDIRECT(Критерий[[#This Row],[СМаксФизКритерий]],FALSE),"ошибка")),"ошибка")</f>
        <v>ошибка</v>
      </c>
      <c r="P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 t="str">
        <f ca="1">IFERROR(IF(N(INDIRECT(Критерий[[#This Row],[ССрФизКритерий]],FALSE))=0,"ошибка",IFERROR(INDIRECT(Критерий[[#This Row],[ССрФизКритерий]],FALSE),"ошибка")),"")</f>
        <v/>
      </c>
      <c r="R12"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 s="67">
        <f ca="1">IFERROR(IF(AND(Критерий[[#This Row],[ВидКритерий]]="Критерий",IFERROR(SEARCH("Приведение",Критерий[[#This Row],[Фкритерий]]),0)&gt;0),1,-1),-1)</f>
        <v>-1</v>
      </c>
      <c r="U12" s="222" t="str">
        <f ca="1">IF(AND(Свёртка[[#This Row],[Свёртка]]&lt;&gt;"",Свёртка[[#This Row],[O.K.Свёртка]]=1),ROW()-ROW(Свёртка[[#Headers],[№]]),"")</f>
        <v/>
      </c>
      <c r="V12" s="84"/>
      <c r="W1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2" s="208" t="str">
        <f ca="1">IFERROR(_xlfn.FORMULATEXT(INDIRECT(Свёртка[[#This Row],[ССвёртка]],FALSE)),"ошибка")</f>
        <v>ошибка</v>
      </c>
      <c r="Y12" s="208" t="str">
        <f ca="1">IFERROR(IF(IFERROR(SEARCH("Прив",Свёртка[[#This Row],[ФСвёртка]]),0)&gt;0,"ошибка",IF(IFERROR(SEARCH("Матр",Свёртка[[#This Row],[ФСвёртка]]),0)&gt;0,"Свёртка","ошибка")),"ошибка")</f>
        <v>ошибка</v>
      </c>
      <c r="Z12" s="208" t="str">
        <f ca="1">IFERROR(IF(LEN((INDIRECT(Свёртка[[#This Row],[СНаименование]],FALSE)))=0,"ошибка",IFERROR(INDIRECT(Свёртка[[#This Row],[СНаименование]],FALSE),"ошибка")),"ошибка")</f>
        <v>ошибка</v>
      </c>
      <c r="AA1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2" s="212">
        <f ca="1">IF(Свёртка[[#This Row],[ВидСвёртка]]="Свёртка",1,-1)</f>
        <v>-1</v>
      </c>
      <c r="AG12" s="66">
        <f>IF(AND(Множество[[#This Row],[Y]]=1),ROW()-ROW(Множество[[#Headers],[№]]),"")</f>
        <v>3</v>
      </c>
      <c r="AH12" t="s">
        <v>608</v>
      </c>
      <c r="AI12" s="66">
        <v>1</v>
      </c>
      <c r="AJ12" s="66">
        <f>IF(LEN(Множество[[#This Row],[Свёртка]])&gt;0,1,-1)</f>
        <v>1</v>
      </c>
      <c r="AK12" s="66" t="s">
        <v>1781</v>
      </c>
      <c r="AL12" s="66">
        <f>IF(LEN(Множество[[#This Row],[Критерии]])&gt;0,1,-1)</f>
        <v>1</v>
      </c>
      <c r="AM12" s="66">
        <f>IF(AND(LEN(Множество[[#This Row],[Свёртка]])&gt;0,LEN(Множество[[#This Row],[Критерии]])&gt;0,LEN(Множество[[#This Row],[Оценки]])&gt;0),1,-1)</f>
        <v>1</v>
      </c>
      <c r="AN12">
        <v>7.05</v>
      </c>
      <c r="AO12">
        <v>-12.633333333333301</v>
      </c>
      <c r="AP12" s="208"/>
      <c r="AQ12" s="208"/>
      <c r="AR12" s="226"/>
      <c r="AS12" s="225"/>
      <c r="AT12" s="225"/>
      <c r="AU12" s="225"/>
      <c r="AV12" s="225"/>
      <c r="AW12" s="225"/>
      <c r="AX12" s="225"/>
      <c r="AY12" s="225"/>
    </row>
    <row r="13" spans="1:64" x14ac:dyDescent="0.25">
      <c r="B13" s="66" t="str">
        <f ca="1">IF(AND(Критерий[[#This Row],[Критерий]]&lt;&gt;"",Критерий[[#This Row],[O.K.Критерий]]=1),ROW()-ROW(Критерий[[#Headers],[№]]),"")</f>
        <v/>
      </c>
      <c r="C13" s="84"/>
      <c r="D13"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3" t="str">
        <f ca="1">IFERROR(IF(IFERROR(SEARCH("Прив",Критерий[[#This Row],[Фкритерий]]),0)&gt;0,"Критерий",IF(IFERROR(SEARCH("Матр",Критерий[[#This Row],[Фкритерий]]),0)&gt;0,"ошибка","ошибка")),"ошибка")</f>
        <v>ошибка</v>
      </c>
      <c r="F13" s="66" t="str">
        <f ca="1">IFERROR(IF(LEN((INDIRECT(Критерий[[#This Row],[СНаименование]],FALSE)))=0,"ошибка",IFERROR(INDIRECT(Критерий[[#This Row],[СНаименование]],FALSE),"ошибка")),"ошибка")</f>
        <v>ошибка</v>
      </c>
      <c r="G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3" t="str">
        <f ca="1">IFERROR(IF(N(INDIRECT(Критерий[[#This Row],[СФизКритерий]],FALSE))=0,"ошибка",IFERROR(INDIRECT(Критерий[[#This Row],[СФизКритерий]],FALSE),"ошибка")),"ошибка")</f>
        <v>ошибка</v>
      </c>
      <c r="I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3"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3" t="str">
        <f ca="1">IFERROR(_xlfn.FORMULATEXT(INDIRECT(Критерий[[#This Row],[Скритерий]],FALSE)),"ошибка")</f>
        <v>ошибка</v>
      </c>
      <c r="M13" t="str">
        <f ca="1">IFERROR(IF(N(INDIRECT(Критерий[[#This Row],[СМинФизКритерий]],FALSE))=0,"ошибка",IFERROR(INDIRECT(Критерий[[#This Row],[СМинФизКритерий]],FALSE),"ошибка")),"ошибка")</f>
        <v>ошибка</v>
      </c>
      <c r="N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3" t="str">
        <f ca="1">IFERROR(IF(N(INDIRECT(Критерий[[#This Row],[СМаксФизКритерий]],FALSE))=0,"ошибка",IFERROR(INDIRECT(Критерий[[#This Row],[СМаксФизКритерий]],FALSE),"ошибка")),"ошибка")</f>
        <v>ошибка</v>
      </c>
      <c r="P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3" t="str">
        <f ca="1">IFERROR(IF(N(INDIRECT(Критерий[[#This Row],[ССрФизКритерий]],FALSE))=0,"ошибка",IFERROR(INDIRECT(Критерий[[#This Row],[ССрФизКритерий]],FALSE),"ошибка")),"")</f>
        <v/>
      </c>
      <c r="R13"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3" s="67">
        <f ca="1">IFERROR(IF(AND(Критерий[[#This Row],[ВидКритерий]]="Критерий",IFERROR(SEARCH("Приведение",Критерий[[#This Row],[Фкритерий]]),0)&gt;0),1,-1),-1)</f>
        <v>-1</v>
      </c>
      <c r="U13" s="222" t="str">
        <f ca="1">IF(AND(Свёртка[[#This Row],[Свёртка]]&lt;&gt;"",Свёртка[[#This Row],[O.K.Свёртка]]=1),ROW()-ROW(Свёртка[[#Headers],[№]]),"")</f>
        <v/>
      </c>
      <c r="V13" s="84"/>
      <c r="W1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3" s="208" t="str">
        <f ca="1">IFERROR(_xlfn.FORMULATEXT(INDIRECT(Свёртка[[#This Row],[ССвёртка]],FALSE)),"ошибка")</f>
        <v>ошибка</v>
      </c>
      <c r="Y13" s="208" t="str">
        <f ca="1">IFERROR(IF(IFERROR(SEARCH("Прив",Свёртка[[#This Row],[ФСвёртка]]),0)&gt;0,"ошибка",IF(IFERROR(SEARCH("Матр",Свёртка[[#This Row],[ФСвёртка]]),0)&gt;0,"Свёртка","ошибка")),"ошибка")</f>
        <v>ошибка</v>
      </c>
      <c r="Z13" s="208" t="str">
        <f ca="1">IFERROR(IF(LEN((INDIRECT(Свёртка[[#This Row],[СНаименование]],FALSE)))=0,"ошибка",IFERROR(INDIRECT(Свёртка[[#This Row],[СНаименование]],FALSE),"ошибка")),"ошибка")</f>
        <v>ошибка</v>
      </c>
      <c r="AA1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3" s="212">
        <f ca="1">IF(Свёртка[[#This Row],[ВидСвёртка]]="Свёртка",1,-1)</f>
        <v>-1</v>
      </c>
      <c r="AG13" s="66">
        <f>IF(AND(Множество[[#This Row],[Y]]=1),ROW()-ROW(Множество[[#Headers],[№]]),"")</f>
        <v>4</v>
      </c>
      <c r="AH13" t="s">
        <v>608</v>
      </c>
      <c r="AI13" s="66">
        <v>1</v>
      </c>
      <c r="AJ13" s="66">
        <f>IF(LEN(Множество[[#This Row],[Свёртка]])&gt;0,1,-1)</f>
        <v>1</v>
      </c>
      <c r="AK13" s="66" t="s">
        <v>1781</v>
      </c>
      <c r="AL13" s="66">
        <f>IF(LEN(Множество[[#This Row],[Критерии]])&gt;0,1,-1)</f>
        <v>1</v>
      </c>
      <c r="AM13" s="66">
        <f>IF(AND(LEN(Множество[[#This Row],[Свёртка]])&gt;0,LEN(Множество[[#This Row],[Критерии]])&gt;0,LEN(Множество[[#This Row],[Оценки]])&gt;0),1,-1)</f>
        <v>1</v>
      </c>
      <c r="AN13">
        <v>6.9916666666666698</v>
      </c>
      <c r="AO13">
        <v>-12.6666666666667</v>
      </c>
      <c r="AP13" s="208"/>
      <c r="AQ13" s="208"/>
      <c r="AR13" s="226"/>
      <c r="AS13" s="225"/>
      <c r="AT13" s="225"/>
      <c r="AU13" s="225"/>
      <c r="AV13" s="225"/>
      <c r="AW13" s="225"/>
      <c r="AX13" s="225"/>
      <c r="AY13" s="225"/>
    </row>
    <row r="14" spans="1:64" x14ac:dyDescent="0.25">
      <c r="B14" s="209" t="str">
        <f ca="1">IF(AND(Критерий[[#This Row],[Критерий]]&lt;&gt;"",Критерий[[#This Row],[O.K.Критерий]]=1),ROW()-ROW(Критерий[[#Headers],[№]]),"")</f>
        <v/>
      </c>
      <c r="C14" s="84"/>
      <c r="D1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4" s="208" t="str">
        <f ca="1">IFERROR(IF(IFERROR(SEARCH("Прив",Критерий[[#This Row],[Фкритерий]]),0)&gt;0,"Критерий",IF(IFERROR(SEARCH("Матр",Критерий[[#This Row],[Фкритерий]]),0)&gt;0,"ошибка","ошибка")),"ошибка")</f>
        <v>ошибка</v>
      </c>
      <c r="F14" s="211" t="str">
        <f ca="1">IFERROR(IF(LEN((INDIRECT(Критерий[[#This Row],[СНаименование]],FALSE)))=0,"ошибка",IFERROR(INDIRECT(Критерий[[#This Row],[СНаименование]],FALSE),"ошибка")),"ошибка")</f>
        <v>ошибка</v>
      </c>
      <c r="G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4" s="208" t="str">
        <f ca="1">IFERROR(IF(N(INDIRECT(Критерий[[#This Row],[СФизКритерий]],FALSE))=0,"ошибка",IFERROR(INDIRECT(Критерий[[#This Row],[СФизКритерий]],FALSE),"ошибка")),"ошибка")</f>
        <v>ошибка</v>
      </c>
      <c r="I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4" s="208" t="str">
        <f ca="1">IFERROR(_xlfn.FORMULATEXT(INDIRECT(Критерий[[#This Row],[Скритерий]],FALSE)),"ошибка")</f>
        <v>ошибка</v>
      </c>
      <c r="M14" s="208" t="str">
        <f ca="1">IFERROR(IF(N(INDIRECT(Критерий[[#This Row],[СМинФизКритерий]],FALSE))=0,"ошибка",IFERROR(INDIRECT(Критерий[[#This Row],[СМинФизКритерий]],FALSE),"ошибка")),"ошибка")</f>
        <v>ошибка</v>
      </c>
      <c r="N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4" s="208" t="str">
        <f ca="1">IFERROR(IF(N(INDIRECT(Критерий[[#This Row],[СМаксФизКритерий]],FALSE))=0,"ошибка",IFERROR(INDIRECT(Критерий[[#This Row],[СМаксФизКритерий]],FALSE),"ошибка")),"ошибка")</f>
        <v>ошибка</v>
      </c>
      <c r="P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4" s="208" t="str">
        <f ca="1">IFERROR(IF(N(INDIRECT(Критерий[[#This Row],[ССрФизКритерий]],FALSE))=0,"ошибка",IFERROR(INDIRECT(Критерий[[#This Row],[ССрФизКритерий]],FALSE),"ошибка")),"")</f>
        <v/>
      </c>
      <c r="R1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4" s="212">
        <f ca="1">IFERROR(IF(AND(Критерий[[#This Row],[ВидКритерий]]="Критерий",IFERROR(SEARCH("Приведение",Критерий[[#This Row],[Фкритерий]]),0)&gt;0),1,-1),-1)</f>
        <v>-1</v>
      </c>
      <c r="U14" s="222" t="str">
        <f ca="1">IF(AND(Свёртка[[#This Row],[Свёртка]]&lt;&gt;"",Свёртка[[#This Row],[O.K.Свёртка]]=1),ROW()-ROW(Свёртка[[#Headers],[№]]),"")</f>
        <v/>
      </c>
      <c r="V14" s="84"/>
      <c r="W1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4" s="208" t="str">
        <f ca="1">IFERROR(_xlfn.FORMULATEXT(INDIRECT(Свёртка[[#This Row],[ССвёртка]],FALSE)),"ошибка")</f>
        <v>ошибка</v>
      </c>
      <c r="Y14" s="208" t="str">
        <f ca="1">IFERROR(IF(IFERROR(SEARCH("Прив",Свёртка[[#This Row],[ФСвёртка]]),0)&gt;0,"ошибка",IF(IFERROR(SEARCH("Матр",Свёртка[[#This Row],[ФСвёртка]]),0)&gt;0,"Свёртка","ошибка")),"ошибка")</f>
        <v>ошибка</v>
      </c>
      <c r="Z14" s="208" t="str">
        <f ca="1">IFERROR(IF(LEN((INDIRECT(Свёртка[[#This Row],[СНаименование]],FALSE)))=0,"ошибка",IFERROR(INDIRECT(Свёртка[[#This Row],[СНаименование]],FALSE),"ошибка")),"ошибка")</f>
        <v>ошибка</v>
      </c>
      <c r="AA1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4" s="212">
        <f ca="1">IF(Свёртка[[#This Row],[ВидСвёртка]]="Свёртка",1,-1)</f>
        <v>-1</v>
      </c>
      <c r="AG14" s="66">
        <f>IF(AND(Множество[[#This Row],[Y]]=1),ROW()-ROW(Множество[[#Headers],[№]]),"")</f>
        <v>5</v>
      </c>
      <c r="AH14" t="s">
        <v>608</v>
      </c>
      <c r="AI14" s="66">
        <v>1</v>
      </c>
      <c r="AJ14" s="66">
        <f>IF(LEN(Множество[[#This Row],[Свёртка]])&gt;0,1,-1)</f>
        <v>1</v>
      </c>
      <c r="AK14" s="66" t="s">
        <v>1781</v>
      </c>
      <c r="AL14" s="66">
        <f>IF(LEN(Множество[[#This Row],[Критерии]])&gt;0,1,-1)</f>
        <v>1</v>
      </c>
      <c r="AM14" s="66">
        <f>IF(AND(LEN(Множество[[#This Row],[Свёртка]])&gt;0,LEN(Множество[[#This Row],[Критерии]])&gt;0,LEN(Множество[[#This Row],[Оценки]])&gt;0),1,-1)</f>
        <v>1</v>
      </c>
      <c r="AN14">
        <v>6.93333333333333</v>
      </c>
      <c r="AO14">
        <v>-12.716666666666701</v>
      </c>
      <c r="AP14" s="208"/>
      <c r="AQ14" s="208"/>
      <c r="AR14" s="226"/>
      <c r="AS14" s="225"/>
      <c r="AT14" s="225"/>
      <c r="AU14" s="225"/>
      <c r="AV14" s="225"/>
      <c r="AW14" s="225"/>
      <c r="AX14" s="225"/>
      <c r="AY14" s="225"/>
    </row>
    <row r="15" spans="1:64" x14ac:dyDescent="0.25">
      <c r="B15" s="209" t="str">
        <f ca="1">IF(AND(Критерий[[#This Row],[Критерий]]&lt;&gt;"",Критерий[[#This Row],[O.K.Критерий]]=1),ROW()-ROW(Критерий[[#Headers],[№]]),"")</f>
        <v/>
      </c>
      <c r="C15" s="84"/>
      <c r="D1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5" s="208" t="str">
        <f ca="1">IFERROR(IF(IFERROR(SEARCH("Прив",Критерий[[#This Row],[Фкритерий]]),0)&gt;0,"Критерий",IF(IFERROR(SEARCH("Матр",Критерий[[#This Row],[Фкритерий]]),0)&gt;0,"ошибка","ошибка")),"ошибка")</f>
        <v>ошибка</v>
      </c>
      <c r="F15" s="211" t="str">
        <f ca="1">IFERROR(IF(LEN((INDIRECT(Критерий[[#This Row],[СНаименование]],FALSE)))=0,"ошибка",IFERROR(INDIRECT(Критерий[[#This Row],[СНаименование]],FALSE),"ошибка")),"ошибка")</f>
        <v>ошибка</v>
      </c>
      <c r="G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5" s="208" t="str">
        <f ca="1">IFERROR(IF(N(INDIRECT(Критерий[[#This Row],[СФизКритерий]],FALSE))=0,"ошибка",IFERROR(INDIRECT(Критерий[[#This Row],[СФизКритерий]],FALSE),"ошибка")),"ошибка")</f>
        <v>ошибка</v>
      </c>
      <c r="I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5" s="208" t="str">
        <f ca="1">IFERROR(_xlfn.FORMULATEXT(INDIRECT(Критерий[[#This Row],[Скритерий]],FALSE)),"ошибка")</f>
        <v>ошибка</v>
      </c>
      <c r="M15" s="208" t="str">
        <f ca="1">IFERROR(IF(N(INDIRECT(Критерий[[#This Row],[СМинФизКритерий]],FALSE))=0,"ошибка",IFERROR(INDIRECT(Критерий[[#This Row],[СМинФизКритерий]],FALSE),"ошибка")),"ошибка")</f>
        <v>ошибка</v>
      </c>
      <c r="N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5" s="208" t="str">
        <f ca="1">IFERROR(IF(N(INDIRECT(Критерий[[#This Row],[СМаксФизКритерий]],FALSE))=0,"ошибка",IFERROR(INDIRECT(Критерий[[#This Row],[СМаксФизКритерий]],FALSE),"ошибка")),"ошибка")</f>
        <v>ошибка</v>
      </c>
      <c r="P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5" s="208" t="str">
        <f ca="1">IFERROR(IF(N(INDIRECT(Критерий[[#This Row],[ССрФизКритерий]],FALSE))=0,"ошибка",IFERROR(INDIRECT(Критерий[[#This Row],[ССрФизКритерий]],FALSE),"ошибка")),"")</f>
        <v/>
      </c>
      <c r="R1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5" s="212">
        <f ca="1">IFERROR(IF(AND(Критерий[[#This Row],[ВидКритерий]]="Критерий",IFERROR(SEARCH("Приведение",Критерий[[#This Row],[Фкритерий]]),0)&gt;0),1,-1),-1)</f>
        <v>-1</v>
      </c>
      <c r="U15" s="222" t="str">
        <f ca="1">IF(AND(Свёртка[[#This Row],[Свёртка]]&lt;&gt;"",Свёртка[[#This Row],[O.K.Свёртка]]=1),ROW()-ROW(Свёртка[[#Headers],[№]]),"")</f>
        <v/>
      </c>
      <c r="V15" s="84"/>
      <c r="W1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5" s="208" t="str">
        <f ca="1">IFERROR(_xlfn.FORMULATEXT(INDIRECT(Свёртка[[#This Row],[ССвёртка]],FALSE)),"ошибка")</f>
        <v>ошибка</v>
      </c>
      <c r="Y15" s="208" t="str">
        <f ca="1">IFERROR(IF(IFERROR(SEARCH("Прив",Свёртка[[#This Row],[ФСвёртка]]),0)&gt;0,"ошибка",IF(IFERROR(SEARCH("Матр",Свёртка[[#This Row],[ФСвёртка]]),0)&gt;0,"Свёртка","ошибка")),"ошибка")</f>
        <v>ошибка</v>
      </c>
      <c r="Z15" s="208" t="str">
        <f ca="1">IFERROR(IF(LEN((INDIRECT(Свёртка[[#This Row],[СНаименование]],FALSE)))=0,"ошибка",IFERROR(INDIRECT(Свёртка[[#This Row],[СНаименование]],FALSE),"ошибка")),"ошибка")</f>
        <v>ошибка</v>
      </c>
      <c r="AA1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5" s="212">
        <f ca="1">IF(Свёртка[[#This Row],[ВидСвёртка]]="Свёртка",1,-1)</f>
        <v>-1</v>
      </c>
      <c r="AG15" s="66">
        <f>IF(AND(Множество[[#This Row],[Y]]=1),ROW()-ROW(Множество[[#Headers],[№]]),"")</f>
        <v>6</v>
      </c>
      <c r="AH15" t="s">
        <v>608</v>
      </c>
      <c r="AI15" s="66">
        <v>1</v>
      </c>
      <c r="AJ15" s="66">
        <f>IF(LEN(Множество[[#This Row],[Свёртка]])&gt;0,1,-1)</f>
        <v>1</v>
      </c>
      <c r="AK15" s="66" t="s">
        <v>1781</v>
      </c>
      <c r="AL15" s="66">
        <f>IF(LEN(Множество[[#This Row],[Критерии]])&gt;0,1,-1)</f>
        <v>1</v>
      </c>
      <c r="AM15" s="66">
        <f>IF(AND(LEN(Множество[[#This Row],[Свёртка]])&gt;0,LEN(Множество[[#This Row],[Критерии]])&gt;0,LEN(Множество[[#This Row],[Оценки]])&gt;0),1,-1)</f>
        <v>1</v>
      </c>
      <c r="AN15">
        <v>6.875</v>
      </c>
      <c r="AO15">
        <v>-12.75</v>
      </c>
      <c r="AP15" s="208"/>
      <c r="AQ15" s="208"/>
      <c r="AR15" s="226"/>
      <c r="AS15" s="225"/>
      <c r="AT15" s="225"/>
      <c r="AU15" s="225"/>
      <c r="AV15" s="225"/>
      <c r="AW15" s="225"/>
      <c r="AX15" s="225"/>
      <c r="AY15" s="225"/>
    </row>
    <row r="16" spans="1:64" x14ac:dyDescent="0.25">
      <c r="B16" s="209" t="str">
        <f ca="1">IF(AND(Критерий[[#This Row],[Критерий]]&lt;&gt;"",Критерий[[#This Row],[O.K.Критерий]]=1),ROW()-ROW(Критерий[[#Headers],[№]]),"")</f>
        <v/>
      </c>
      <c r="C16" s="84"/>
      <c r="D1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6" s="208" t="str">
        <f ca="1">IFERROR(IF(IFERROR(SEARCH("Прив",Критерий[[#This Row],[Фкритерий]]),0)&gt;0,"Критерий",IF(IFERROR(SEARCH("Матр",Критерий[[#This Row],[Фкритерий]]),0)&gt;0,"ошибка","ошибка")),"ошибка")</f>
        <v>ошибка</v>
      </c>
      <c r="F16" s="211" t="str">
        <f ca="1">IFERROR(IF(LEN((INDIRECT(Критерий[[#This Row],[СНаименование]],FALSE)))=0,"ошибка",IFERROR(INDIRECT(Критерий[[#This Row],[СНаименование]],FALSE),"ошибка")),"ошибка")</f>
        <v>ошибка</v>
      </c>
      <c r="G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6" s="208" t="str">
        <f ca="1">IFERROR(IF(N(INDIRECT(Критерий[[#This Row],[СФизКритерий]],FALSE))=0,"ошибка",IFERROR(INDIRECT(Критерий[[#This Row],[СФизКритерий]],FALSE),"ошибка")),"ошибка")</f>
        <v>ошибка</v>
      </c>
      <c r="I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6" s="208" t="str">
        <f ca="1">IFERROR(_xlfn.FORMULATEXT(INDIRECT(Критерий[[#This Row],[Скритерий]],FALSE)),"ошибка")</f>
        <v>ошибка</v>
      </c>
      <c r="M16" s="208" t="str">
        <f ca="1">IFERROR(IF(N(INDIRECT(Критерий[[#This Row],[СМинФизКритерий]],FALSE))=0,"ошибка",IFERROR(INDIRECT(Критерий[[#This Row],[СМинФизКритерий]],FALSE),"ошибка")),"ошибка")</f>
        <v>ошибка</v>
      </c>
      <c r="N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6" s="208" t="str">
        <f ca="1">IFERROR(IF(N(INDIRECT(Критерий[[#This Row],[СМаксФизКритерий]],FALSE))=0,"ошибка",IFERROR(INDIRECT(Критерий[[#This Row],[СМаксФизКритерий]],FALSE),"ошибка")),"ошибка")</f>
        <v>ошибка</v>
      </c>
      <c r="P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6" s="208" t="str">
        <f ca="1">IFERROR(IF(N(INDIRECT(Критерий[[#This Row],[ССрФизКритерий]],FALSE))=0,"ошибка",IFERROR(INDIRECT(Критерий[[#This Row],[ССрФизКритерий]],FALSE),"ошибка")),"")</f>
        <v/>
      </c>
      <c r="R1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6" s="212">
        <f ca="1">IFERROR(IF(AND(Критерий[[#This Row],[ВидКритерий]]="Критерий",IFERROR(SEARCH("Приведение",Критерий[[#This Row],[Фкритерий]]),0)&gt;0),1,-1),-1)</f>
        <v>-1</v>
      </c>
      <c r="U16" s="222" t="str">
        <f ca="1">IF(AND(Свёртка[[#This Row],[Свёртка]]&lt;&gt;"",Свёртка[[#This Row],[O.K.Свёртка]]=1),ROW()-ROW(Свёртка[[#Headers],[№]]),"")</f>
        <v/>
      </c>
      <c r="V16" s="84"/>
      <c r="W1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6" s="208" t="str">
        <f ca="1">IFERROR(_xlfn.FORMULATEXT(INDIRECT(Свёртка[[#This Row],[ССвёртка]],FALSE)),"ошибка")</f>
        <v>ошибка</v>
      </c>
      <c r="Y16" s="208" t="str">
        <f ca="1">IFERROR(IF(IFERROR(SEARCH("Прив",Свёртка[[#This Row],[ФСвёртка]]),0)&gt;0,"ошибка",IF(IFERROR(SEARCH("Матр",Свёртка[[#This Row],[ФСвёртка]]),0)&gt;0,"Свёртка","ошибка")),"ошибка")</f>
        <v>ошибка</v>
      </c>
      <c r="Z16" s="208" t="str">
        <f ca="1">IFERROR(IF(LEN((INDIRECT(Свёртка[[#This Row],[СНаименование]],FALSE)))=0,"ошибка",IFERROR(INDIRECT(Свёртка[[#This Row],[СНаименование]],FALSE),"ошибка")),"ошибка")</f>
        <v>ошибка</v>
      </c>
      <c r="AA1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6" s="212">
        <f ca="1">IF(Свёртка[[#This Row],[ВидСвёртка]]="Свёртка",1,-1)</f>
        <v>-1</v>
      </c>
      <c r="AG16" s="66">
        <f>IF(AND(Множество[[#This Row],[Y]]=1),ROW()-ROW(Множество[[#Headers],[№]]),"")</f>
        <v>7</v>
      </c>
      <c r="AH16" t="s">
        <v>608</v>
      </c>
      <c r="AI16" s="66">
        <v>1</v>
      </c>
      <c r="AJ16" s="66">
        <f>IF(LEN(Множество[[#This Row],[Свёртка]])&gt;0,1,-1)</f>
        <v>1</v>
      </c>
      <c r="AK16" s="66" t="s">
        <v>1781</v>
      </c>
      <c r="AL16" s="66">
        <f>IF(LEN(Множество[[#This Row],[Критерии]])&gt;0,1,-1)</f>
        <v>1</v>
      </c>
      <c r="AM16" s="66">
        <f>IF(AND(LEN(Множество[[#This Row],[Свёртка]])&gt;0,LEN(Множество[[#This Row],[Критерии]])&gt;0,LEN(Множество[[#This Row],[Оценки]])&gt;0),1,-1)</f>
        <v>1</v>
      </c>
      <c r="AN16">
        <v>6.81666666666667</v>
      </c>
      <c r="AO16">
        <v>-12.8</v>
      </c>
      <c r="AP16" s="208"/>
      <c r="AQ16" s="208"/>
      <c r="AR16" s="226"/>
      <c r="AS16" s="225"/>
      <c r="AT16" s="226"/>
      <c r="AU16" s="225"/>
      <c r="AV16" s="225"/>
      <c r="AW16" s="225"/>
      <c r="AX16" s="225"/>
      <c r="AY16" s="225"/>
    </row>
    <row r="17" spans="2:51" x14ac:dyDescent="0.25">
      <c r="B17" s="209" t="str">
        <f ca="1">IF(AND(Критерий[[#This Row],[Критерий]]&lt;&gt;"",Критерий[[#This Row],[O.K.Критерий]]=1),ROW()-ROW(Критерий[[#Headers],[№]]),"")</f>
        <v/>
      </c>
      <c r="C17" s="84"/>
      <c r="D1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7" s="208" t="str">
        <f ca="1">IFERROR(IF(IFERROR(SEARCH("Прив",Критерий[[#This Row],[Фкритерий]]),0)&gt;0,"Критерий",IF(IFERROR(SEARCH("Матр",Критерий[[#This Row],[Фкритерий]]),0)&gt;0,"ошибка","ошибка")),"ошибка")</f>
        <v>ошибка</v>
      </c>
      <c r="F17" s="211" t="str">
        <f ca="1">IFERROR(IF(LEN((INDIRECT(Критерий[[#This Row],[СНаименование]],FALSE)))=0,"ошибка",IFERROR(INDIRECT(Критерий[[#This Row],[СНаименование]],FALSE),"ошибка")),"ошибка")</f>
        <v>ошибка</v>
      </c>
      <c r="G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7" s="208" t="str">
        <f ca="1">IFERROR(IF(N(INDIRECT(Критерий[[#This Row],[СФизКритерий]],FALSE))=0,"ошибка",IFERROR(INDIRECT(Критерий[[#This Row],[СФизКритерий]],FALSE),"ошибка")),"ошибка")</f>
        <v>ошибка</v>
      </c>
      <c r="I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7" s="208" t="str">
        <f ca="1">IFERROR(_xlfn.FORMULATEXT(INDIRECT(Критерий[[#This Row],[Скритерий]],FALSE)),"ошибка")</f>
        <v>ошибка</v>
      </c>
      <c r="M17" s="208" t="str">
        <f ca="1">IFERROR(IF(N(INDIRECT(Критерий[[#This Row],[СМинФизКритерий]],FALSE))=0,"ошибка",IFERROR(INDIRECT(Критерий[[#This Row],[СМинФизКритерий]],FALSE),"ошибка")),"ошибка")</f>
        <v>ошибка</v>
      </c>
      <c r="N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7" s="208" t="str">
        <f ca="1">IFERROR(IF(N(INDIRECT(Критерий[[#This Row],[СМаксФизКритерий]],FALSE))=0,"ошибка",IFERROR(INDIRECT(Критерий[[#This Row],[СМаксФизКритерий]],FALSE),"ошибка")),"ошибка")</f>
        <v>ошибка</v>
      </c>
      <c r="P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7" s="208" t="str">
        <f ca="1">IFERROR(IF(N(INDIRECT(Критерий[[#This Row],[ССрФизКритерий]],FALSE))=0,"ошибка",IFERROR(INDIRECT(Критерий[[#This Row],[ССрФизКритерий]],FALSE),"ошибка")),"")</f>
        <v/>
      </c>
      <c r="R1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7" s="212">
        <f ca="1">IFERROR(IF(AND(Критерий[[#This Row],[ВидКритерий]]="Критерий",IFERROR(SEARCH("Приведение",Критерий[[#This Row],[Фкритерий]]),0)&gt;0),1,-1),-1)</f>
        <v>-1</v>
      </c>
      <c r="U17" s="222" t="str">
        <f ca="1">IF(AND(Свёртка[[#This Row],[Свёртка]]&lt;&gt;"",Свёртка[[#This Row],[O.K.Свёртка]]=1),ROW()-ROW(Свёртка[[#Headers],[№]]),"")</f>
        <v/>
      </c>
      <c r="V17" s="84"/>
      <c r="W1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7" s="208" t="str">
        <f ca="1">IFERROR(_xlfn.FORMULATEXT(INDIRECT(Свёртка[[#This Row],[ССвёртка]],FALSE)),"ошибка")</f>
        <v>ошибка</v>
      </c>
      <c r="Y17" s="208" t="str">
        <f ca="1">IFERROR(IF(IFERROR(SEARCH("Прив",Свёртка[[#This Row],[ФСвёртка]]),0)&gt;0,"ошибка",IF(IFERROR(SEARCH("Матр",Свёртка[[#This Row],[ФСвёртка]]),0)&gt;0,"Свёртка","ошибка")),"ошибка")</f>
        <v>ошибка</v>
      </c>
      <c r="Z17" s="208" t="str">
        <f ca="1">IFERROR(IF(LEN((INDIRECT(Свёртка[[#This Row],[СНаименование]],FALSE)))=0,"ошибка",IFERROR(INDIRECT(Свёртка[[#This Row],[СНаименование]],FALSE),"ошибка")),"ошибка")</f>
        <v>ошибка</v>
      </c>
      <c r="AA1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7" s="212">
        <f ca="1">IF(Свёртка[[#This Row],[ВидСвёртка]]="Свёртка",1,-1)</f>
        <v>-1</v>
      </c>
      <c r="AG17" s="66">
        <f>IF(AND(Множество[[#This Row],[Y]]=1),ROW()-ROW(Множество[[#Headers],[№]]),"")</f>
        <v>8</v>
      </c>
      <c r="AH17" t="s">
        <v>608</v>
      </c>
      <c r="AI17" s="66">
        <v>1</v>
      </c>
      <c r="AJ17" s="66">
        <f>IF(LEN(Множество[[#This Row],[Свёртка]])&gt;0,1,-1)</f>
        <v>1</v>
      </c>
      <c r="AK17" s="66" t="s">
        <v>1781</v>
      </c>
      <c r="AL17" s="66">
        <f>IF(LEN(Множество[[#This Row],[Критерии]])&gt;0,1,-1)</f>
        <v>1</v>
      </c>
      <c r="AM17" s="66">
        <f>IF(AND(LEN(Множество[[#This Row],[Свёртка]])&gt;0,LEN(Множество[[#This Row],[Критерии]])&gt;0,LEN(Множество[[#This Row],[Оценки]])&gt;0),1,-1)</f>
        <v>1</v>
      </c>
      <c r="AN17">
        <v>6.7583333333333302</v>
      </c>
      <c r="AO17">
        <v>-12.85</v>
      </c>
      <c r="AP17" s="208"/>
      <c r="AQ17" s="208"/>
      <c r="AR17" s="226"/>
      <c r="AS17" s="225"/>
      <c r="AT17" s="226"/>
      <c r="AU17" s="225"/>
      <c r="AV17" s="225"/>
      <c r="AW17" s="225"/>
      <c r="AX17" s="225"/>
      <c r="AY17" s="225"/>
    </row>
    <row r="18" spans="2:51" x14ac:dyDescent="0.25">
      <c r="B18" s="209" t="str">
        <f ca="1">IF(AND(Критерий[[#This Row],[Критерий]]&lt;&gt;"",Критерий[[#This Row],[O.K.Критерий]]=1),ROW()-ROW(Критерий[[#Headers],[№]]),"")</f>
        <v/>
      </c>
      <c r="C18" s="84"/>
      <c r="D1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8" s="208" t="str">
        <f ca="1">IFERROR(IF(IFERROR(SEARCH("Прив",Критерий[[#This Row],[Фкритерий]]),0)&gt;0,"Критерий",IF(IFERROR(SEARCH("Матр",Критерий[[#This Row],[Фкритерий]]),0)&gt;0,"ошибка","ошибка")),"ошибка")</f>
        <v>ошибка</v>
      </c>
      <c r="F18" s="211" t="str">
        <f ca="1">IFERROR(IF(LEN((INDIRECT(Критерий[[#This Row],[СНаименование]],FALSE)))=0,"ошибка",IFERROR(INDIRECT(Критерий[[#This Row],[СНаименование]],FALSE),"ошибка")),"ошибка")</f>
        <v>ошибка</v>
      </c>
      <c r="G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8" s="208" t="str">
        <f ca="1">IFERROR(IF(N(INDIRECT(Критерий[[#This Row],[СФизКритерий]],FALSE))=0,"ошибка",IFERROR(INDIRECT(Критерий[[#This Row],[СФизКритерий]],FALSE),"ошибка")),"ошибка")</f>
        <v>ошибка</v>
      </c>
      <c r="I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8" s="208" t="str">
        <f ca="1">IFERROR(_xlfn.FORMULATEXT(INDIRECT(Критерий[[#This Row],[Скритерий]],FALSE)),"ошибка")</f>
        <v>ошибка</v>
      </c>
      <c r="M18" s="208" t="str">
        <f ca="1">IFERROR(IF(N(INDIRECT(Критерий[[#This Row],[СМинФизКритерий]],FALSE))=0,"ошибка",IFERROR(INDIRECT(Критерий[[#This Row],[СМинФизКритерий]],FALSE),"ошибка")),"ошибка")</f>
        <v>ошибка</v>
      </c>
      <c r="N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8" s="208" t="str">
        <f ca="1">IFERROR(IF(N(INDIRECT(Критерий[[#This Row],[СМаксФизКритерий]],FALSE))=0,"ошибка",IFERROR(INDIRECT(Критерий[[#This Row],[СМаксФизКритерий]],FALSE),"ошибка")),"ошибка")</f>
        <v>ошибка</v>
      </c>
      <c r="P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8" s="208" t="str">
        <f ca="1">IFERROR(IF(N(INDIRECT(Критерий[[#This Row],[ССрФизКритерий]],FALSE))=0,"ошибка",IFERROR(INDIRECT(Критерий[[#This Row],[ССрФизКритерий]],FALSE),"ошибка")),"")</f>
        <v/>
      </c>
      <c r="R1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8" s="212">
        <f ca="1">IFERROR(IF(AND(Критерий[[#This Row],[ВидКритерий]]="Критерий",IFERROR(SEARCH("Приведение",Критерий[[#This Row],[Фкритерий]]),0)&gt;0),1,-1),-1)</f>
        <v>-1</v>
      </c>
      <c r="U18" s="222" t="str">
        <f ca="1">IF(AND(Свёртка[[#This Row],[Свёртка]]&lt;&gt;"",Свёртка[[#This Row],[O.K.Свёртка]]=1),ROW()-ROW(Свёртка[[#Headers],[№]]),"")</f>
        <v/>
      </c>
      <c r="V18" s="84"/>
      <c r="W1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8" s="208" t="str">
        <f ca="1">IFERROR(_xlfn.FORMULATEXT(INDIRECT(Свёртка[[#This Row],[ССвёртка]],FALSE)),"ошибка")</f>
        <v>ошибка</v>
      </c>
      <c r="Y18" s="208" t="str">
        <f ca="1">IFERROR(IF(IFERROR(SEARCH("Прив",Свёртка[[#This Row],[ФСвёртка]]),0)&gt;0,"ошибка",IF(IFERROR(SEARCH("Матр",Свёртка[[#This Row],[ФСвёртка]]),0)&gt;0,"Свёртка","ошибка")),"ошибка")</f>
        <v>ошибка</v>
      </c>
      <c r="Z18" s="208" t="str">
        <f ca="1">IFERROR(IF(LEN((INDIRECT(Свёртка[[#This Row],[СНаименование]],FALSE)))=0,"ошибка",IFERROR(INDIRECT(Свёртка[[#This Row],[СНаименование]],FALSE),"ошибка")),"ошибка")</f>
        <v>ошибка</v>
      </c>
      <c r="AA1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8" s="212">
        <f ca="1">IF(Свёртка[[#This Row],[ВидСвёртка]]="Свёртка",1,-1)</f>
        <v>-1</v>
      </c>
      <c r="AG18" s="66">
        <f>IF(AND(Множество[[#This Row],[Y]]=1),ROW()-ROW(Множество[[#Headers],[№]]),"")</f>
        <v>9</v>
      </c>
      <c r="AH18" t="s">
        <v>608</v>
      </c>
      <c r="AI18" s="66">
        <v>1</v>
      </c>
      <c r="AJ18" s="66">
        <f>IF(LEN(Множество[[#This Row],[Свёртка]])&gt;0,1,-1)</f>
        <v>1</v>
      </c>
      <c r="AK18" s="66" t="s">
        <v>1781</v>
      </c>
      <c r="AL18" s="66">
        <f>IF(LEN(Множество[[#This Row],[Критерии]])&gt;0,1,-1)</f>
        <v>1</v>
      </c>
      <c r="AM18" s="66">
        <f>IF(AND(LEN(Множество[[#This Row],[Свёртка]])&gt;0,LEN(Множество[[#This Row],[Критерии]])&gt;0,LEN(Множество[[#This Row],[Оценки]])&gt;0),1,-1)</f>
        <v>1</v>
      </c>
      <c r="AN18">
        <v>6.7</v>
      </c>
      <c r="AO18">
        <v>-13.3333333333333</v>
      </c>
      <c r="AP18" s="208"/>
      <c r="AQ18" s="208"/>
      <c r="AR18" s="226"/>
      <c r="AS18" s="225"/>
      <c r="AT18" s="226"/>
      <c r="AU18" s="225"/>
      <c r="AV18" s="225"/>
      <c r="AW18" s="225"/>
      <c r="AX18" s="225"/>
      <c r="AY18" s="225"/>
    </row>
    <row r="19" spans="2:51" x14ac:dyDescent="0.25">
      <c r="B19" s="209" t="str">
        <f ca="1">IF(AND(Критерий[[#This Row],[Критерий]]&lt;&gt;"",Критерий[[#This Row],[O.K.Критерий]]=1),ROW()-ROW(Критерий[[#Headers],[№]]),"")</f>
        <v/>
      </c>
      <c r="C19" s="84"/>
      <c r="D1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9" s="208" t="str">
        <f ca="1">IFERROR(IF(IFERROR(SEARCH("Прив",Критерий[[#This Row],[Фкритерий]]),0)&gt;0,"Критерий",IF(IFERROR(SEARCH("Матр",Критерий[[#This Row],[Фкритерий]]),0)&gt;0,"ошибка","ошибка")),"ошибка")</f>
        <v>ошибка</v>
      </c>
      <c r="F19" s="211" t="str">
        <f ca="1">IFERROR(IF(LEN((INDIRECT(Критерий[[#This Row],[СНаименование]],FALSE)))=0,"ошибка",IFERROR(INDIRECT(Критерий[[#This Row],[СНаименование]],FALSE),"ошибка")),"ошибка")</f>
        <v>ошибка</v>
      </c>
      <c r="G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9" s="208" t="str">
        <f ca="1">IFERROR(IF(N(INDIRECT(Критерий[[#This Row],[СФизКритерий]],FALSE))=0,"ошибка",IFERROR(INDIRECT(Критерий[[#This Row],[СФизКритерий]],FALSE),"ошибка")),"ошибка")</f>
        <v>ошибка</v>
      </c>
      <c r="I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9" s="208" t="str">
        <f ca="1">IFERROR(_xlfn.FORMULATEXT(INDIRECT(Критерий[[#This Row],[Скритерий]],FALSE)),"ошибка")</f>
        <v>ошибка</v>
      </c>
      <c r="M19" s="208" t="str">
        <f ca="1">IFERROR(IF(N(INDIRECT(Критерий[[#This Row],[СМинФизКритерий]],FALSE))=0,"ошибка",IFERROR(INDIRECT(Критерий[[#This Row],[СМинФизКритерий]],FALSE),"ошибка")),"ошибка")</f>
        <v>ошибка</v>
      </c>
      <c r="N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9" s="208" t="str">
        <f ca="1">IFERROR(IF(N(INDIRECT(Критерий[[#This Row],[СМаксФизКритерий]],FALSE))=0,"ошибка",IFERROR(INDIRECT(Критерий[[#This Row],[СМаксФизКритерий]],FALSE),"ошибка")),"ошибка")</f>
        <v>ошибка</v>
      </c>
      <c r="P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9" s="208" t="str">
        <f ca="1">IFERROR(IF(N(INDIRECT(Критерий[[#This Row],[ССрФизКритерий]],FALSE))=0,"ошибка",IFERROR(INDIRECT(Критерий[[#This Row],[ССрФизКритерий]],FALSE),"ошибка")),"")</f>
        <v/>
      </c>
      <c r="R1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9" s="212">
        <f ca="1">IFERROR(IF(AND(Критерий[[#This Row],[ВидКритерий]]="Критерий",IFERROR(SEARCH("Приведение",Критерий[[#This Row],[Фкритерий]]),0)&gt;0),1,-1),-1)</f>
        <v>-1</v>
      </c>
      <c r="U19" s="222" t="str">
        <f ca="1">IF(AND(Свёртка[[#This Row],[Свёртка]]&lt;&gt;"",Свёртка[[#This Row],[O.K.Свёртка]]=1),ROW()-ROW(Свёртка[[#Headers],[№]]),"")</f>
        <v/>
      </c>
      <c r="V19" s="84"/>
      <c r="W1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9" s="208" t="str">
        <f ca="1">IFERROR(_xlfn.FORMULATEXT(INDIRECT(Свёртка[[#This Row],[ССвёртка]],FALSE)),"ошибка")</f>
        <v>ошибка</v>
      </c>
      <c r="Y19" s="208" t="str">
        <f ca="1">IFERROR(IF(IFERROR(SEARCH("Прив",Свёртка[[#This Row],[ФСвёртка]]),0)&gt;0,"ошибка",IF(IFERROR(SEARCH("Матр",Свёртка[[#This Row],[ФСвёртка]]),0)&gt;0,"Свёртка","ошибка")),"ошибка")</f>
        <v>ошибка</v>
      </c>
      <c r="Z19" s="208" t="str">
        <f ca="1">IFERROR(IF(LEN((INDIRECT(Свёртка[[#This Row],[СНаименование]],FALSE)))=0,"ошибка",IFERROR(INDIRECT(Свёртка[[#This Row],[СНаименование]],FALSE),"ошибка")),"ошибка")</f>
        <v>ошибка</v>
      </c>
      <c r="AA1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9" s="212">
        <f ca="1">IF(Свёртка[[#This Row],[ВидСвёртка]]="Свёртка",1,-1)</f>
        <v>-1</v>
      </c>
      <c r="AG19" s="66">
        <f>IF(AND(Множество[[#This Row],[Y]]=1),ROW()-ROW(Множество[[#Headers],[№]]),"")</f>
        <v>10</v>
      </c>
      <c r="AH19" t="s">
        <v>608</v>
      </c>
      <c r="AI19" s="66">
        <v>1</v>
      </c>
      <c r="AJ19" s="66">
        <f>IF(LEN(Множество[[#This Row],[Свёртка]])&gt;0,1,-1)</f>
        <v>1</v>
      </c>
      <c r="AK19" s="66" t="s">
        <v>1781</v>
      </c>
      <c r="AL19" s="66">
        <f>IF(LEN(Множество[[#This Row],[Критерии]])&gt;0,1,-1)</f>
        <v>1</v>
      </c>
      <c r="AM19" s="66">
        <f>IF(AND(LEN(Множество[[#This Row],[Свёртка]])&gt;0,LEN(Множество[[#This Row],[Критерии]])&gt;0,LEN(Множество[[#This Row],[Оценки]])&gt;0),1,-1)</f>
        <v>1</v>
      </c>
      <c r="AN19">
        <v>6.7</v>
      </c>
      <c r="AO19">
        <v>-11.6666666666667</v>
      </c>
      <c r="AP19" s="208"/>
      <c r="AQ19" s="208"/>
      <c r="AR19" s="226"/>
      <c r="AS19" s="225"/>
      <c r="AT19" s="226"/>
      <c r="AU19" s="225"/>
      <c r="AV19" s="225"/>
      <c r="AW19" s="225"/>
      <c r="AX19" s="225"/>
      <c r="AY19" s="225"/>
    </row>
    <row r="20" spans="2:51" x14ac:dyDescent="0.25">
      <c r="B20" s="209" t="str">
        <f ca="1">IF(AND(Критерий[[#This Row],[Критерий]]&lt;&gt;"",Критерий[[#This Row],[O.K.Критерий]]=1),ROW()-ROW(Критерий[[#Headers],[№]]),"")</f>
        <v/>
      </c>
      <c r="C20" s="84"/>
      <c r="D2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0" s="208" t="str">
        <f ca="1">IFERROR(IF(IFERROR(SEARCH("Прив",Критерий[[#This Row],[Фкритерий]]),0)&gt;0,"Критерий",IF(IFERROR(SEARCH("Матр",Критерий[[#This Row],[Фкритерий]]),0)&gt;0,"ошибка","ошибка")),"ошибка")</f>
        <v>ошибка</v>
      </c>
      <c r="F20" s="211" t="str">
        <f ca="1">IFERROR(IF(LEN((INDIRECT(Критерий[[#This Row],[СНаименование]],FALSE)))=0,"ошибка",IFERROR(INDIRECT(Критерий[[#This Row],[СНаименование]],FALSE),"ошибка")),"ошибка")</f>
        <v>ошибка</v>
      </c>
      <c r="G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0" s="208" t="str">
        <f ca="1">IFERROR(IF(N(INDIRECT(Критерий[[#This Row],[СФизКритерий]],FALSE))=0,"ошибка",IFERROR(INDIRECT(Критерий[[#This Row],[СФизКритерий]],FALSE),"ошибка")),"ошибка")</f>
        <v>ошибка</v>
      </c>
      <c r="I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0" s="208" t="str">
        <f ca="1">IFERROR(_xlfn.FORMULATEXT(INDIRECT(Критерий[[#This Row],[Скритерий]],FALSE)),"ошибка")</f>
        <v>ошибка</v>
      </c>
      <c r="M20" s="208" t="str">
        <f ca="1">IFERROR(IF(N(INDIRECT(Критерий[[#This Row],[СМинФизКритерий]],FALSE))=0,"ошибка",IFERROR(INDIRECT(Критерий[[#This Row],[СМинФизКритерий]],FALSE),"ошибка")),"ошибка")</f>
        <v>ошибка</v>
      </c>
      <c r="N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0" s="208" t="str">
        <f ca="1">IFERROR(IF(N(INDIRECT(Критерий[[#This Row],[СМаксФизКритерий]],FALSE))=0,"ошибка",IFERROR(INDIRECT(Критерий[[#This Row],[СМаксФизКритерий]],FALSE),"ошибка")),"ошибка")</f>
        <v>ошибка</v>
      </c>
      <c r="P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0" s="208" t="str">
        <f ca="1">IFERROR(IF(N(INDIRECT(Критерий[[#This Row],[ССрФизКритерий]],FALSE))=0,"ошибка",IFERROR(INDIRECT(Критерий[[#This Row],[ССрФизКритерий]],FALSE),"ошибка")),"")</f>
        <v/>
      </c>
      <c r="R2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0" s="212">
        <f ca="1">IFERROR(IF(AND(Критерий[[#This Row],[ВидКритерий]]="Критерий",IFERROR(SEARCH("Приведение",Критерий[[#This Row],[Фкритерий]]),0)&gt;0),1,-1),-1)</f>
        <v>-1</v>
      </c>
      <c r="U20" s="222" t="str">
        <f ca="1">IF(AND(Свёртка[[#This Row],[Свёртка]]&lt;&gt;"",Свёртка[[#This Row],[O.K.Свёртка]]=1),ROW()-ROW(Свёртка[[#Headers],[№]]),"")</f>
        <v/>
      </c>
      <c r="V20" s="84"/>
      <c r="W2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0" s="208" t="str">
        <f ca="1">IFERROR(_xlfn.FORMULATEXT(INDIRECT(Свёртка[[#This Row],[ССвёртка]],FALSE)),"ошибка")</f>
        <v>ошибка</v>
      </c>
      <c r="Y20" s="208" t="str">
        <f ca="1">IFERROR(IF(IFERROR(SEARCH("Прив",Свёртка[[#This Row],[ФСвёртка]]),0)&gt;0,"ошибка",IF(IFERROR(SEARCH("Матр",Свёртка[[#This Row],[ФСвёртка]]),0)&gt;0,"Свёртка","ошибка")),"ошибка")</f>
        <v>ошибка</v>
      </c>
      <c r="Z20" s="208" t="str">
        <f ca="1">IFERROR(IF(LEN((INDIRECT(Свёртка[[#This Row],[СНаименование]],FALSE)))=0,"ошибка",IFERROR(INDIRECT(Свёртка[[#This Row],[СНаименование]],FALSE),"ошибка")),"ошибка")</f>
        <v>ошибка</v>
      </c>
      <c r="AA2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0" s="212">
        <f ca="1">IF(Свёртка[[#This Row],[ВидСвёртка]]="Свёртка",1,-1)</f>
        <v>-1</v>
      </c>
      <c r="AG20" s="66">
        <f>IF(AND(Множество[[#This Row],[Y]]=1),ROW()-ROW(Множество[[#Headers],[№]]),"")</f>
        <v>11</v>
      </c>
      <c r="AH20" t="s">
        <v>608</v>
      </c>
      <c r="AI20" s="66">
        <v>1</v>
      </c>
      <c r="AJ20" s="66">
        <f>IF(LEN(Множество[[#This Row],[Свёртка]])&gt;0,1,-1)</f>
        <v>1</v>
      </c>
      <c r="AK20" s="66" t="s">
        <v>1781</v>
      </c>
      <c r="AL20" s="66">
        <f>IF(LEN(Множество[[#This Row],[Критерии]])&gt;0,1,-1)</f>
        <v>1</v>
      </c>
      <c r="AM20" s="66">
        <f>IF(AND(LEN(Множество[[#This Row],[Свёртка]])&gt;0,LEN(Множество[[#This Row],[Критерии]])&gt;0,LEN(Множество[[#This Row],[Оценки]])&gt;0),1,-1)</f>
        <v>1</v>
      </c>
      <c r="AN20">
        <v>6.6416666666666702</v>
      </c>
      <c r="AO20">
        <v>-13.35</v>
      </c>
      <c r="AP20" s="208"/>
      <c r="AQ20" s="208"/>
      <c r="AR20" s="226"/>
      <c r="AS20" s="225"/>
      <c r="AT20" s="226"/>
      <c r="AU20" s="225"/>
      <c r="AV20" s="225"/>
      <c r="AW20" s="225"/>
      <c r="AX20" s="225"/>
      <c r="AY20" s="225"/>
    </row>
    <row r="21" spans="2:51" x14ac:dyDescent="0.25">
      <c r="B21" s="209" t="str">
        <f ca="1">IF(AND(Критерий[[#This Row],[Критерий]]&lt;&gt;"",Критерий[[#This Row],[O.K.Критерий]]=1),ROW()-ROW(Критерий[[#Headers],[№]]),"")</f>
        <v/>
      </c>
      <c r="C21" s="84"/>
      <c r="D2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1" s="208" t="str">
        <f ca="1">IFERROR(IF(IFERROR(SEARCH("Прив",Критерий[[#This Row],[Фкритерий]]),0)&gt;0,"Критерий",IF(IFERROR(SEARCH("Матр",Критерий[[#This Row],[Фкритерий]]),0)&gt;0,"ошибка","ошибка")),"ошибка")</f>
        <v>ошибка</v>
      </c>
      <c r="F21" s="211" t="str">
        <f ca="1">IFERROR(IF(LEN((INDIRECT(Критерий[[#This Row],[СНаименование]],FALSE)))=0,"ошибка",IFERROR(INDIRECT(Критерий[[#This Row],[СНаименование]],FALSE),"ошибка")),"ошибка")</f>
        <v>ошибка</v>
      </c>
      <c r="G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1" s="208" t="str">
        <f ca="1">IFERROR(IF(N(INDIRECT(Критерий[[#This Row],[СФизКритерий]],FALSE))=0,"ошибка",IFERROR(INDIRECT(Критерий[[#This Row],[СФизКритерий]],FALSE),"ошибка")),"ошибка")</f>
        <v>ошибка</v>
      </c>
      <c r="I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1" s="208" t="str">
        <f ca="1">IFERROR(_xlfn.FORMULATEXT(INDIRECT(Критерий[[#This Row],[Скритерий]],FALSE)),"ошибка")</f>
        <v>ошибка</v>
      </c>
      <c r="M21" s="208" t="str">
        <f ca="1">IFERROR(IF(N(INDIRECT(Критерий[[#This Row],[СМинФизКритерий]],FALSE))=0,"ошибка",IFERROR(INDIRECT(Критерий[[#This Row],[СМинФизКритерий]],FALSE),"ошибка")),"ошибка")</f>
        <v>ошибка</v>
      </c>
      <c r="N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1" s="208" t="str">
        <f ca="1">IFERROR(IF(N(INDIRECT(Критерий[[#This Row],[СМаксФизКритерий]],FALSE))=0,"ошибка",IFERROR(INDIRECT(Критерий[[#This Row],[СМаксФизКритерий]],FALSE),"ошибка")),"ошибка")</f>
        <v>ошибка</v>
      </c>
      <c r="P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1" s="208" t="str">
        <f ca="1">IFERROR(IF(N(INDIRECT(Критерий[[#This Row],[ССрФизКритерий]],FALSE))=0,"ошибка",IFERROR(INDIRECT(Критерий[[#This Row],[ССрФизКритерий]],FALSE),"ошибка")),"")</f>
        <v/>
      </c>
      <c r="R2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1" s="212">
        <f ca="1">IFERROR(IF(AND(Критерий[[#This Row],[ВидКритерий]]="Критерий",IFERROR(SEARCH("Приведение",Критерий[[#This Row],[Фкритерий]]),0)&gt;0),1,-1),-1)</f>
        <v>-1</v>
      </c>
      <c r="U21" s="222" t="str">
        <f ca="1">IF(AND(Свёртка[[#This Row],[Свёртка]]&lt;&gt;"",Свёртка[[#This Row],[O.K.Свёртка]]=1),ROW()-ROW(Свёртка[[#Headers],[№]]),"")</f>
        <v/>
      </c>
      <c r="V21" s="84"/>
      <c r="W2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1" s="208" t="str">
        <f ca="1">IFERROR(_xlfn.FORMULATEXT(INDIRECT(Свёртка[[#This Row],[ССвёртка]],FALSE)),"ошибка")</f>
        <v>ошибка</v>
      </c>
      <c r="Y21" s="208" t="str">
        <f ca="1">IFERROR(IF(IFERROR(SEARCH("Прив",Свёртка[[#This Row],[ФСвёртка]]),0)&gt;0,"ошибка",IF(IFERROR(SEARCH("Матр",Свёртка[[#This Row],[ФСвёртка]]),0)&gt;0,"Свёртка","ошибка")),"ошибка")</f>
        <v>ошибка</v>
      </c>
      <c r="Z21" s="208" t="str">
        <f ca="1">IFERROR(IF(LEN((INDIRECT(Свёртка[[#This Row],[СНаименование]],FALSE)))=0,"ошибка",IFERROR(INDIRECT(Свёртка[[#This Row],[СНаименование]],FALSE),"ошибка")),"ошибка")</f>
        <v>ошибка</v>
      </c>
      <c r="AA2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1" s="212">
        <f ca="1">IF(Свёртка[[#This Row],[ВидСвёртка]]="Свёртка",1,-1)</f>
        <v>-1</v>
      </c>
      <c r="AG21" s="66">
        <f>IF(AND(Множество[[#This Row],[Y]]=1),ROW()-ROW(Множество[[#Headers],[№]]),"")</f>
        <v>12</v>
      </c>
      <c r="AH21" t="s">
        <v>608</v>
      </c>
      <c r="AI21" s="66">
        <v>1</v>
      </c>
      <c r="AJ21" s="66">
        <f>IF(LEN(Множество[[#This Row],[Свёртка]])&gt;0,1,-1)</f>
        <v>1</v>
      </c>
      <c r="AK21" s="66" t="s">
        <v>1781</v>
      </c>
      <c r="AL21" s="66">
        <f>IF(LEN(Множество[[#This Row],[Критерии]])&gt;0,1,-1)</f>
        <v>1</v>
      </c>
      <c r="AM21" s="66">
        <f>IF(AND(LEN(Множество[[#This Row],[Свёртка]])&gt;0,LEN(Множество[[#This Row],[Критерии]])&gt;0,LEN(Множество[[#This Row],[Оценки]])&gt;0),1,-1)</f>
        <v>1</v>
      </c>
      <c r="AN21">
        <v>6.5250000000000004</v>
      </c>
      <c r="AO21">
        <v>-13.366666666666699</v>
      </c>
      <c r="AP21" s="208"/>
      <c r="AQ21" s="208"/>
      <c r="AR21" s="226"/>
      <c r="AS21" s="225"/>
      <c r="AT21" s="226"/>
      <c r="AU21" s="225"/>
      <c r="AV21" s="225"/>
      <c r="AW21" s="225"/>
      <c r="AX21" s="225"/>
      <c r="AY21" s="225"/>
    </row>
    <row r="22" spans="2:51" x14ac:dyDescent="0.25">
      <c r="B22" s="209" t="str">
        <f ca="1">IF(AND(Критерий[[#This Row],[Критерий]]&lt;&gt;"",Критерий[[#This Row],[O.K.Критерий]]=1),ROW()-ROW(Критерий[[#Headers],[№]]),"")</f>
        <v/>
      </c>
      <c r="C22" s="84"/>
      <c r="D2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2" s="208" t="str">
        <f ca="1">IFERROR(IF(IFERROR(SEARCH("Прив",Критерий[[#This Row],[Фкритерий]]),0)&gt;0,"Критерий",IF(IFERROR(SEARCH("Матр",Критерий[[#This Row],[Фкритерий]]),0)&gt;0,"ошибка","ошибка")),"ошибка")</f>
        <v>ошибка</v>
      </c>
      <c r="F22" s="211" t="str">
        <f ca="1">IFERROR(IF(LEN((INDIRECT(Критерий[[#This Row],[СНаименование]],FALSE)))=0,"ошибка",IFERROR(INDIRECT(Критерий[[#This Row],[СНаименование]],FALSE),"ошибка")),"ошибка")</f>
        <v>ошибка</v>
      </c>
      <c r="G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2" s="208" t="str">
        <f ca="1">IFERROR(IF(N(INDIRECT(Критерий[[#This Row],[СФизКритерий]],FALSE))=0,"ошибка",IFERROR(INDIRECT(Критерий[[#This Row],[СФизКритерий]],FALSE),"ошибка")),"ошибка")</f>
        <v>ошибка</v>
      </c>
      <c r="I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2" s="208" t="str">
        <f ca="1">IFERROR(_xlfn.FORMULATEXT(INDIRECT(Критерий[[#This Row],[Скритерий]],FALSE)),"ошибка")</f>
        <v>ошибка</v>
      </c>
      <c r="M22" s="208" t="str">
        <f ca="1">IFERROR(IF(N(INDIRECT(Критерий[[#This Row],[СМинФизКритерий]],FALSE))=0,"ошибка",IFERROR(INDIRECT(Критерий[[#This Row],[СМинФизКритерий]],FALSE),"ошибка")),"ошибка")</f>
        <v>ошибка</v>
      </c>
      <c r="N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2" s="208" t="str">
        <f ca="1">IFERROR(IF(N(INDIRECT(Критерий[[#This Row],[СМаксФизКритерий]],FALSE))=0,"ошибка",IFERROR(INDIRECT(Критерий[[#This Row],[СМаксФизКритерий]],FALSE),"ошибка")),"ошибка")</f>
        <v>ошибка</v>
      </c>
      <c r="P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2" s="208" t="str">
        <f ca="1">IFERROR(IF(N(INDIRECT(Критерий[[#This Row],[ССрФизКритерий]],FALSE))=0,"ошибка",IFERROR(INDIRECT(Критерий[[#This Row],[ССрФизКритерий]],FALSE),"ошибка")),"")</f>
        <v/>
      </c>
      <c r="R2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2" s="212">
        <f ca="1">IFERROR(IF(AND(Критерий[[#This Row],[ВидКритерий]]="Критерий",IFERROR(SEARCH("Приведение",Критерий[[#This Row],[Фкритерий]]),0)&gt;0),1,-1),-1)</f>
        <v>-1</v>
      </c>
      <c r="U22" s="222" t="str">
        <f ca="1">IF(AND(Свёртка[[#This Row],[Свёртка]]&lt;&gt;"",Свёртка[[#This Row],[O.K.Свёртка]]=1),ROW()-ROW(Свёртка[[#Headers],[№]]),"")</f>
        <v/>
      </c>
      <c r="V22" s="84"/>
      <c r="W2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2" s="208" t="str">
        <f ca="1">IFERROR(_xlfn.FORMULATEXT(INDIRECT(Свёртка[[#This Row],[ССвёртка]],FALSE)),"ошибка")</f>
        <v>ошибка</v>
      </c>
      <c r="Y22" s="208" t="str">
        <f ca="1">IFERROR(IF(IFERROR(SEARCH("Прив",Свёртка[[#This Row],[ФСвёртка]]),0)&gt;0,"ошибка",IF(IFERROR(SEARCH("Матр",Свёртка[[#This Row],[ФСвёртка]]),0)&gt;0,"Свёртка","ошибка")),"ошибка")</f>
        <v>ошибка</v>
      </c>
      <c r="Z22" s="208" t="str">
        <f ca="1">IFERROR(IF(LEN((INDIRECT(Свёртка[[#This Row],[СНаименование]],FALSE)))=0,"ошибка",IFERROR(INDIRECT(Свёртка[[#This Row],[СНаименование]],FALSE),"ошибка")),"ошибка")</f>
        <v>ошибка</v>
      </c>
      <c r="AA2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2" s="212">
        <f ca="1">IF(Свёртка[[#This Row],[ВидСвёртка]]="Свёртка",1,-1)</f>
        <v>-1</v>
      </c>
      <c r="AG22" s="66">
        <f>IF(AND(Множество[[#This Row],[Y]]=1),ROW()-ROW(Множество[[#Headers],[№]]),"")</f>
        <v>13</v>
      </c>
      <c r="AH22" t="s">
        <v>608</v>
      </c>
      <c r="AI22" s="66">
        <v>1</v>
      </c>
      <c r="AJ22" s="66">
        <f>IF(LEN(Множество[[#This Row],[Свёртка]])&gt;0,1,-1)</f>
        <v>1</v>
      </c>
      <c r="AK22" s="66" t="s">
        <v>1781</v>
      </c>
      <c r="AL22" s="66">
        <f>IF(LEN(Множество[[#This Row],[Критерии]])&gt;0,1,-1)</f>
        <v>1</v>
      </c>
      <c r="AM22" s="66">
        <f>IF(AND(LEN(Множество[[#This Row],[Свёртка]])&gt;0,LEN(Множество[[#This Row],[Критерии]])&gt;0,LEN(Множество[[#This Row],[Оценки]])&gt;0),1,-1)</f>
        <v>1</v>
      </c>
      <c r="AN22">
        <v>6.4666666666666703</v>
      </c>
      <c r="AO22">
        <v>-13.383333333333301</v>
      </c>
      <c r="AP22" s="208"/>
      <c r="AQ22" s="208"/>
      <c r="AR22" s="226"/>
      <c r="AS22" s="225"/>
      <c r="AT22" s="226"/>
      <c r="AU22" s="225"/>
      <c r="AV22" s="225"/>
      <c r="AW22" s="225"/>
      <c r="AX22" s="225"/>
      <c r="AY22" s="225"/>
    </row>
    <row r="23" spans="2:51" x14ac:dyDescent="0.25">
      <c r="B23" s="209" t="str">
        <f ca="1">IF(AND(Критерий[[#This Row],[Критерий]]&lt;&gt;"",Критерий[[#This Row],[O.K.Критерий]]=1),ROW()-ROW(Критерий[[#Headers],[№]]),"")</f>
        <v/>
      </c>
      <c r="C23" s="84"/>
      <c r="D2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3" s="208" t="str">
        <f ca="1">IFERROR(IF(IFERROR(SEARCH("Прив",Критерий[[#This Row],[Фкритерий]]),0)&gt;0,"Критерий",IF(IFERROR(SEARCH("Матр",Критерий[[#This Row],[Фкритерий]]),0)&gt;0,"ошибка","ошибка")),"ошибка")</f>
        <v>ошибка</v>
      </c>
      <c r="F23" s="211" t="str">
        <f ca="1">IFERROR(IF(LEN((INDIRECT(Критерий[[#This Row],[СНаименование]],FALSE)))=0,"ошибка",IFERROR(INDIRECT(Критерий[[#This Row],[СНаименование]],FALSE),"ошибка")),"ошибка")</f>
        <v>ошибка</v>
      </c>
      <c r="G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3" s="208" t="str">
        <f ca="1">IFERROR(IF(N(INDIRECT(Критерий[[#This Row],[СФизКритерий]],FALSE))=0,"ошибка",IFERROR(INDIRECT(Критерий[[#This Row],[СФизКритерий]],FALSE),"ошибка")),"ошибка")</f>
        <v>ошибка</v>
      </c>
      <c r="I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3" s="208" t="str">
        <f ca="1">IFERROR(_xlfn.FORMULATEXT(INDIRECT(Критерий[[#This Row],[Скритерий]],FALSE)),"ошибка")</f>
        <v>ошибка</v>
      </c>
      <c r="M23" s="208" t="str">
        <f ca="1">IFERROR(IF(N(INDIRECT(Критерий[[#This Row],[СМинФизКритерий]],FALSE))=0,"ошибка",IFERROR(INDIRECT(Критерий[[#This Row],[СМинФизКритерий]],FALSE),"ошибка")),"ошибка")</f>
        <v>ошибка</v>
      </c>
      <c r="N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3" s="208" t="str">
        <f ca="1">IFERROR(IF(N(INDIRECT(Критерий[[#This Row],[СМаксФизКритерий]],FALSE))=0,"ошибка",IFERROR(INDIRECT(Критерий[[#This Row],[СМаксФизКритерий]],FALSE),"ошибка")),"ошибка")</f>
        <v>ошибка</v>
      </c>
      <c r="P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3" s="208" t="str">
        <f ca="1">IFERROR(IF(N(INDIRECT(Критерий[[#This Row],[ССрФизКритерий]],FALSE))=0,"ошибка",IFERROR(INDIRECT(Критерий[[#This Row],[ССрФизКритерий]],FALSE),"ошибка")),"")</f>
        <v/>
      </c>
      <c r="R2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3" s="212">
        <f ca="1">IFERROR(IF(AND(Критерий[[#This Row],[ВидКритерий]]="Критерий",IFERROR(SEARCH("Приведение",Критерий[[#This Row],[Фкритерий]]),0)&gt;0),1,-1),-1)</f>
        <v>-1</v>
      </c>
      <c r="U23" s="222" t="str">
        <f ca="1">IF(AND(Свёртка[[#This Row],[Свёртка]]&lt;&gt;"",Свёртка[[#This Row],[O.K.Свёртка]]=1),ROW()-ROW(Свёртка[[#Headers],[№]]),"")</f>
        <v/>
      </c>
      <c r="V23" s="84"/>
      <c r="W2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3" s="208" t="str">
        <f ca="1">IFERROR(_xlfn.FORMULATEXT(INDIRECT(Свёртка[[#This Row],[ССвёртка]],FALSE)),"ошибка")</f>
        <v>ошибка</v>
      </c>
      <c r="Y23" s="208" t="str">
        <f ca="1">IFERROR(IF(IFERROR(SEARCH("Прив",Свёртка[[#This Row],[ФСвёртка]]),0)&gt;0,"ошибка",IF(IFERROR(SEARCH("Матр",Свёртка[[#This Row],[ФСвёртка]]),0)&gt;0,"Свёртка","ошибка")),"ошибка")</f>
        <v>ошибка</v>
      </c>
      <c r="Z23" s="208" t="str">
        <f ca="1">IFERROR(IF(LEN((INDIRECT(Свёртка[[#This Row],[СНаименование]],FALSE)))=0,"ошибка",IFERROR(INDIRECT(Свёртка[[#This Row],[СНаименование]],FALSE),"ошибка")),"ошибка")</f>
        <v>ошибка</v>
      </c>
      <c r="AA2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3" s="212">
        <f ca="1">IF(Свёртка[[#This Row],[ВидСвёртка]]="Свёртка",1,-1)</f>
        <v>-1</v>
      </c>
      <c r="AG23" s="66">
        <f>IF(AND(Множество[[#This Row],[Y]]=1),ROW()-ROW(Множество[[#Headers],[№]]),"")</f>
        <v>14</v>
      </c>
      <c r="AH23" t="s">
        <v>608</v>
      </c>
      <c r="AI23" s="66">
        <v>1</v>
      </c>
      <c r="AJ23" s="66">
        <f>IF(LEN(Множество[[#This Row],[Свёртка]])&gt;0,1,-1)</f>
        <v>1</v>
      </c>
      <c r="AK23" s="66" t="s">
        <v>1781</v>
      </c>
      <c r="AL23" s="66">
        <f>IF(LEN(Множество[[#This Row],[Критерии]])&gt;0,1,-1)</f>
        <v>1</v>
      </c>
      <c r="AM23" s="66">
        <f>IF(AND(LEN(Множество[[#This Row],[Свёртка]])&gt;0,LEN(Множество[[#This Row],[Критерии]])&gt;0,LEN(Множество[[#This Row],[Оценки]])&gt;0),1,-1)</f>
        <v>1</v>
      </c>
      <c r="AN23">
        <v>7.1666666666666696</v>
      </c>
      <c r="AO23">
        <v>-10.866666666666699</v>
      </c>
      <c r="AP23" s="208"/>
      <c r="AQ23" s="208"/>
      <c r="AR23" s="226"/>
      <c r="AS23" s="225"/>
      <c r="AT23" s="226"/>
      <c r="AU23" s="225"/>
      <c r="AV23" s="225"/>
      <c r="AW23" s="225"/>
      <c r="AX23" s="225"/>
      <c r="AY23" s="225"/>
    </row>
    <row r="24" spans="2:51" x14ac:dyDescent="0.25">
      <c r="B24" s="209" t="str">
        <f ca="1">IF(AND(Критерий[[#This Row],[Критерий]]&lt;&gt;"",Критерий[[#This Row],[O.K.Критерий]]=1),ROW()-ROW(Критерий[[#Headers],[№]]),"")</f>
        <v/>
      </c>
      <c r="C24" s="84"/>
      <c r="D2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4" s="208" t="str">
        <f ca="1">IFERROR(IF(IFERROR(SEARCH("Прив",Критерий[[#This Row],[Фкритерий]]),0)&gt;0,"Критерий",IF(IFERROR(SEARCH("Матр",Критерий[[#This Row],[Фкритерий]]),0)&gt;0,"ошибка","ошибка")),"ошибка")</f>
        <v>ошибка</v>
      </c>
      <c r="F24" s="211" t="str">
        <f ca="1">IFERROR(IF(LEN((INDIRECT(Критерий[[#This Row],[СНаименование]],FALSE)))=0,"ошибка",IFERROR(INDIRECT(Критерий[[#This Row],[СНаименование]],FALSE),"ошибка")),"ошибка")</f>
        <v>ошибка</v>
      </c>
      <c r="G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4" s="208" t="str">
        <f ca="1">IFERROR(IF(N(INDIRECT(Критерий[[#This Row],[СФизКритерий]],FALSE))=0,"ошибка",IFERROR(INDIRECT(Критерий[[#This Row],[СФизКритерий]],FALSE),"ошибка")),"ошибка")</f>
        <v>ошибка</v>
      </c>
      <c r="I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4" s="208" t="str">
        <f ca="1">IFERROR(_xlfn.FORMULATEXT(INDIRECT(Критерий[[#This Row],[Скритерий]],FALSE)),"ошибка")</f>
        <v>ошибка</v>
      </c>
      <c r="M24" s="208" t="str">
        <f ca="1">IFERROR(IF(N(INDIRECT(Критерий[[#This Row],[СМинФизКритерий]],FALSE))=0,"ошибка",IFERROR(INDIRECT(Критерий[[#This Row],[СМинФизКритерий]],FALSE),"ошибка")),"ошибка")</f>
        <v>ошибка</v>
      </c>
      <c r="N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4" s="208" t="str">
        <f ca="1">IFERROR(IF(N(INDIRECT(Критерий[[#This Row],[СМаксФизКритерий]],FALSE))=0,"ошибка",IFERROR(INDIRECT(Критерий[[#This Row],[СМаксФизКритерий]],FALSE),"ошибка")),"ошибка")</f>
        <v>ошибка</v>
      </c>
      <c r="P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4" s="208" t="str">
        <f ca="1">IFERROR(IF(N(INDIRECT(Критерий[[#This Row],[ССрФизКритерий]],FALSE))=0,"ошибка",IFERROR(INDIRECT(Критерий[[#This Row],[ССрФизКритерий]],FALSE),"ошибка")),"")</f>
        <v/>
      </c>
      <c r="R2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4" s="212">
        <f ca="1">IFERROR(IF(AND(Критерий[[#This Row],[ВидКритерий]]="Критерий",IFERROR(SEARCH("Приведение",Критерий[[#This Row],[Фкритерий]]),0)&gt;0),1,-1),-1)</f>
        <v>-1</v>
      </c>
      <c r="U24" s="222" t="str">
        <f ca="1">IF(AND(Свёртка[[#This Row],[Свёртка]]&lt;&gt;"",Свёртка[[#This Row],[O.K.Свёртка]]=1),ROW()-ROW(Свёртка[[#Headers],[№]]),"")</f>
        <v/>
      </c>
      <c r="V24" s="84"/>
      <c r="W2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4" s="208" t="str">
        <f ca="1">IFERROR(_xlfn.FORMULATEXT(INDIRECT(Свёртка[[#This Row],[ССвёртка]],FALSE)),"ошибка")</f>
        <v>ошибка</v>
      </c>
      <c r="Y24" s="208" t="str">
        <f ca="1">IFERROR(IF(IFERROR(SEARCH("Прив",Свёртка[[#This Row],[ФСвёртка]]),0)&gt;0,"ошибка",IF(IFERROR(SEARCH("Матр",Свёртка[[#This Row],[ФСвёртка]]),0)&gt;0,"Свёртка","ошибка")),"ошибка")</f>
        <v>ошибка</v>
      </c>
      <c r="Z24" s="208" t="str">
        <f ca="1">IFERROR(IF(LEN((INDIRECT(Свёртка[[#This Row],[СНаименование]],FALSE)))=0,"ошибка",IFERROR(INDIRECT(Свёртка[[#This Row],[СНаименование]],FALSE),"ошибка")),"ошибка")</f>
        <v>ошибка</v>
      </c>
      <c r="AA2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4" s="212">
        <f ca="1">IF(Свёртка[[#This Row],[ВидСвёртка]]="Свёртка",1,-1)</f>
        <v>-1</v>
      </c>
      <c r="AG24" s="66">
        <f>IF(AND(Множество[[#This Row],[Y]]=1),ROW()-ROW(Множество[[#Headers],[№]]),"")</f>
        <v>15</v>
      </c>
      <c r="AH24" t="s">
        <v>608</v>
      </c>
      <c r="AI24" s="66">
        <v>1</v>
      </c>
      <c r="AJ24" s="66">
        <f>IF(LEN(Множество[[#This Row],[Свёртка]])&gt;0,1,-1)</f>
        <v>1</v>
      </c>
      <c r="AK24" s="66" t="s">
        <v>1781</v>
      </c>
      <c r="AL24" s="66">
        <f>IF(LEN(Множество[[#This Row],[Критерии]])&gt;0,1,-1)</f>
        <v>1</v>
      </c>
      <c r="AM24" s="66">
        <f>IF(AND(LEN(Множество[[#This Row],[Свёртка]])&gt;0,LEN(Множество[[#This Row],[Критерии]])&gt;0,LEN(Множество[[#This Row],[Оценки]])&gt;0),1,-1)</f>
        <v>1</v>
      </c>
      <c r="AN24">
        <v>7.2249999999999996</v>
      </c>
      <c r="AO24">
        <v>-10.8333333333333</v>
      </c>
      <c r="AP24" s="208"/>
      <c r="AQ24" s="208"/>
      <c r="AR24" s="226"/>
      <c r="AS24" s="225"/>
      <c r="AT24" s="226"/>
      <c r="AU24" s="225"/>
      <c r="AV24" s="225"/>
      <c r="AW24" s="225"/>
      <c r="AX24" s="225"/>
      <c r="AY24" s="225"/>
    </row>
    <row r="25" spans="2:51" x14ac:dyDescent="0.25">
      <c r="B25" s="209" t="str">
        <f ca="1">IF(AND(Критерий[[#This Row],[Критерий]]&lt;&gt;"",Критерий[[#This Row],[O.K.Критерий]]=1),ROW()-ROW(Критерий[[#Headers],[№]]),"")</f>
        <v/>
      </c>
      <c r="C25" s="84"/>
      <c r="D2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5" s="208" t="str">
        <f ca="1">IFERROR(IF(IFERROR(SEARCH("Прив",Критерий[[#This Row],[Фкритерий]]),0)&gt;0,"Критерий",IF(IFERROR(SEARCH("Матр",Критерий[[#This Row],[Фкритерий]]),0)&gt;0,"ошибка","ошибка")),"ошибка")</f>
        <v>ошибка</v>
      </c>
      <c r="F25" s="211" t="str">
        <f ca="1">IFERROR(IF(LEN((INDIRECT(Критерий[[#This Row],[СНаименование]],FALSE)))=0,"ошибка",IFERROR(INDIRECT(Критерий[[#This Row],[СНаименование]],FALSE),"ошибка")),"ошибка")</f>
        <v>ошибка</v>
      </c>
      <c r="G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5" s="208" t="str">
        <f ca="1">IFERROR(IF(N(INDIRECT(Критерий[[#This Row],[СФизКритерий]],FALSE))=0,"ошибка",IFERROR(INDIRECT(Критерий[[#This Row],[СФизКритерий]],FALSE),"ошибка")),"ошибка")</f>
        <v>ошибка</v>
      </c>
      <c r="I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5" s="208" t="str">
        <f ca="1">IFERROR(_xlfn.FORMULATEXT(INDIRECT(Критерий[[#This Row],[Скритерий]],FALSE)),"ошибка")</f>
        <v>ошибка</v>
      </c>
      <c r="M25" s="208" t="str">
        <f ca="1">IFERROR(IF(N(INDIRECT(Критерий[[#This Row],[СМинФизКритерий]],FALSE))=0,"ошибка",IFERROR(INDIRECT(Критерий[[#This Row],[СМинФизКритерий]],FALSE),"ошибка")),"ошибка")</f>
        <v>ошибка</v>
      </c>
      <c r="N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5" s="208" t="str">
        <f ca="1">IFERROR(IF(N(INDIRECT(Критерий[[#This Row],[СМаксФизКритерий]],FALSE))=0,"ошибка",IFERROR(INDIRECT(Критерий[[#This Row],[СМаксФизКритерий]],FALSE),"ошибка")),"ошибка")</f>
        <v>ошибка</v>
      </c>
      <c r="P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5" s="208" t="str">
        <f ca="1">IFERROR(IF(N(INDIRECT(Критерий[[#This Row],[ССрФизКритерий]],FALSE))=0,"ошибка",IFERROR(INDIRECT(Критерий[[#This Row],[ССрФизКритерий]],FALSE),"ошибка")),"")</f>
        <v/>
      </c>
      <c r="R2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5" s="212">
        <f ca="1">IFERROR(IF(AND(Критерий[[#This Row],[ВидКритерий]]="Критерий",IFERROR(SEARCH("Приведение",Критерий[[#This Row],[Фкритерий]]),0)&gt;0),1,-1),-1)</f>
        <v>-1</v>
      </c>
      <c r="U25" s="222" t="str">
        <f ca="1">IF(AND(Свёртка[[#This Row],[Свёртка]]&lt;&gt;"",Свёртка[[#This Row],[O.K.Свёртка]]=1),ROW()-ROW(Свёртка[[#Headers],[№]]),"")</f>
        <v/>
      </c>
      <c r="V25" s="84"/>
      <c r="W2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5" s="208" t="str">
        <f ca="1">IFERROR(_xlfn.FORMULATEXT(INDIRECT(Свёртка[[#This Row],[ССвёртка]],FALSE)),"ошибка")</f>
        <v>ошибка</v>
      </c>
      <c r="Y25" s="208" t="str">
        <f ca="1">IFERROR(IF(IFERROR(SEARCH("Прив",Свёртка[[#This Row],[ФСвёртка]]),0)&gt;0,"ошибка",IF(IFERROR(SEARCH("Матр",Свёртка[[#This Row],[ФСвёртка]]),0)&gt;0,"Свёртка","ошибка")),"ошибка")</f>
        <v>ошибка</v>
      </c>
      <c r="Z25" s="208" t="str">
        <f ca="1">IFERROR(IF(LEN((INDIRECT(Свёртка[[#This Row],[СНаименование]],FALSE)))=0,"ошибка",IFERROR(INDIRECT(Свёртка[[#This Row],[СНаименование]],FALSE),"ошибка")),"ошибка")</f>
        <v>ошибка</v>
      </c>
      <c r="AA2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5" s="212">
        <f ca="1">IF(Свёртка[[#This Row],[ВидСвёртка]]="Свёртка",1,-1)</f>
        <v>-1</v>
      </c>
      <c r="AG25" s="66">
        <f>IF(AND(Множество[[#This Row],[Y]]=1),ROW()-ROW(Множество[[#Headers],[№]]),"")</f>
        <v>16</v>
      </c>
      <c r="AH25" t="s">
        <v>608</v>
      </c>
      <c r="AI25" s="66">
        <v>1</v>
      </c>
      <c r="AJ25" s="66">
        <f>IF(LEN(Множество[[#This Row],[Свёртка]])&gt;0,1,-1)</f>
        <v>1</v>
      </c>
      <c r="AK25" s="66" t="s">
        <v>1781</v>
      </c>
      <c r="AL25" s="66">
        <f>IF(LEN(Множество[[#This Row],[Критерии]])&gt;0,1,-1)</f>
        <v>1</v>
      </c>
      <c r="AM25" s="66">
        <f>IF(AND(LEN(Множество[[#This Row],[Свёртка]])&gt;0,LEN(Множество[[#This Row],[Критерии]])&gt;0,LEN(Множество[[#This Row],[Оценки]])&gt;0),1,-1)</f>
        <v>1</v>
      </c>
      <c r="AN25">
        <v>7.05</v>
      </c>
      <c r="AO25">
        <v>-10.966666666666701</v>
      </c>
      <c r="AP25" s="208"/>
      <c r="AQ25" s="208"/>
      <c r="AR25" s="226"/>
      <c r="AS25" s="225"/>
      <c r="AT25" s="226"/>
      <c r="AU25" s="225"/>
      <c r="AV25" s="225"/>
      <c r="AW25" s="225"/>
      <c r="AX25" s="225"/>
      <c r="AY25" s="225"/>
    </row>
    <row r="26" spans="2:51" x14ac:dyDescent="0.25">
      <c r="B26" s="209" t="str">
        <f ca="1">IF(AND(Критерий[[#This Row],[Критерий]]&lt;&gt;"",Критерий[[#This Row],[O.K.Критерий]]=1),ROW()-ROW(Критерий[[#Headers],[№]]),"")</f>
        <v/>
      </c>
      <c r="C26" s="84"/>
      <c r="D2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6" s="208" t="str">
        <f ca="1">IFERROR(IF(IFERROR(SEARCH("Прив",Критерий[[#This Row],[Фкритерий]]),0)&gt;0,"Критерий",IF(IFERROR(SEARCH("Матр",Критерий[[#This Row],[Фкритерий]]),0)&gt;0,"ошибка","ошибка")),"ошибка")</f>
        <v>ошибка</v>
      </c>
      <c r="F26" s="224" t="str">
        <f ca="1">IFERROR(IF(LEN((INDIRECT(Критерий[[#This Row],[СНаименование]],FALSE)))=0,"ошибка",IFERROR(INDIRECT(Критерий[[#This Row],[СНаименование]],FALSE),"ошибка")),"ошибка")</f>
        <v>ошибка</v>
      </c>
      <c r="G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6" s="208" t="str">
        <f ca="1">IFERROR(IF(N(INDIRECT(Критерий[[#This Row],[СФизКритерий]],FALSE))=0,"ошибка",IFERROR(INDIRECT(Критерий[[#This Row],[СФизКритерий]],FALSE),"ошибка")),"ошибка")</f>
        <v>ошибка</v>
      </c>
      <c r="I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6" s="208" t="str">
        <f ca="1">IFERROR(_xlfn.FORMULATEXT(INDIRECT(Критерий[[#This Row],[Скритерий]],FALSE)),"ошибка")</f>
        <v>ошибка</v>
      </c>
      <c r="M26" s="208" t="str">
        <f ca="1">IFERROR(IF(N(INDIRECT(Критерий[[#This Row],[СМинФизКритерий]],FALSE))=0,"ошибка",IFERROR(INDIRECT(Критерий[[#This Row],[СМинФизКритерий]],FALSE),"ошибка")),"ошибка")</f>
        <v>ошибка</v>
      </c>
      <c r="N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6" s="208" t="str">
        <f ca="1">IFERROR(IF(N(INDIRECT(Критерий[[#This Row],[СМаксФизКритерий]],FALSE))=0,"ошибка",IFERROR(INDIRECT(Критерий[[#This Row],[СМаксФизКритерий]],FALSE),"ошибка")),"ошибка")</f>
        <v>ошибка</v>
      </c>
      <c r="P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6" s="208" t="str">
        <f ca="1">IFERROR(IF(N(INDIRECT(Критерий[[#This Row],[ССрФизКритерий]],FALSE))=0,"ошибка",IFERROR(INDIRECT(Критерий[[#This Row],[ССрФизКритерий]],FALSE),"ошибка")),"")</f>
        <v/>
      </c>
      <c r="R2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6" s="212">
        <f ca="1">IFERROR(IF(AND(Критерий[[#This Row],[ВидКритерий]]="Критерий",IFERROR(SEARCH("Приведение",Критерий[[#This Row],[Фкритерий]]),0)&gt;0),1,-1),-1)</f>
        <v>-1</v>
      </c>
      <c r="U26" s="222" t="str">
        <f ca="1">IF(AND(Свёртка[[#This Row],[Свёртка]]&lt;&gt;"",Свёртка[[#This Row],[O.K.Свёртка]]=1),ROW()-ROW(Свёртка[[#Headers],[№]]),"")</f>
        <v/>
      </c>
      <c r="V26" s="84"/>
      <c r="W2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6" s="208" t="str">
        <f ca="1">IFERROR(_xlfn.FORMULATEXT(INDIRECT(Свёртка[[#This Row],[ССвёртка]],FALSE)),"ошибка")</f>
        <v>ошибка</v>
      </c>
      <c r="Y26" s="208" t="str">
        <f ca="1">IFERROR(IF(IFERROR(SEARCH("Прив",Свёртка[[#This Row],[ФСвёртка]]),0)&gt;0,"ошибка",IF(IFERROR(SEARCH("Матр",Свёртка[[#This Row],[ФСвёртка]]),0)&gt;0,"Свёртка","ошибка")),"ошибка")</f>
        <v>ошибка</v>
      </c>
      <c r="Z26" s="208" t="str">
        <f ca="1">IFERROR(IF(LEN((INDIRECT(Свёртка[[#This Row],[СНаименование]],FALSE)))=0,"ошибка",IFERROR(INDIRECT(Свёртка[[#This Row],[СНаименование]],FALSE),"ошибка")),"ошибка")</f>
        <v>ошибка</v>
      </c>
      <c r="AA2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6" s="212">
        <f ca="1">IF(Свёртка[[#This Row],[ВидСвёртка]]="Свёртка",1,-1)</f>
        <v>-1</v>
      </c>
      <c r="AG26" s="66">
        <f>IF(AND(Множество[[#This Row],[Y]]=1),ROW()-ROW(Множество[[#Headers],[№]]),"")</f>
        <v>17</v>
      </c>
      <c r="AH26" t="s">
        <v>608</v>
      </c>
      <c r="AI26" s="66">
        <v>1</v>
      </c>
      <c r="AJ26" s="66">
        <f>IF(LEN(Множество[[#This Row],[Свёртка]])&gt;0,1,-1)</f>
        <v>1</v>
      </c>
      <c r="AK26" s="66" t="s">
        <v>1781</v>
      </c>
      <c r="AL26" s="66">
        <f>IF(LEN(Множество[[#This Row],[Критерии]])&gt;0,1,-1)</f>
        <v>1</v>
      </c>
      <c r="AM26" s="66">
        <f>IF(AND(LEN(Множество[[#This Row],[Свёртка]])&gt;0,LEN(Множество[[#This Row],[Критерии]])&gt;0,LEN(Множество[[#This Row],[Оценки]])&gt;0),1,-1)</f>
        <v>1</v>
      </c>
      <c r="AN26">
        <v>6.35</v>
      </c>
      <c r="AO26">
        <v>-13.4166666666667</v>
      </c>
      <c r="AP26" s="208"/>
      <c r="AQ26" s="208"/>
      <c r="AR26" s="226"/>
      <c r="AS26" s="225"/>
      <c r="AT26" s="226"/>
      <c r="AU26" s="225"/>
      <c r="AV26" s="225"/>
      <c r="AW26" s="225"/>
      <c r="AX26" s="225"/>
      <c r="AY26" s="225"/>
    </row>
    <row r="27" spans="2:51" x14ac:dyDescent="0.25">
      <c r="B27" s="209" t="str">
        <f ca="1">IF(AND(Критерий[[#This Row],[Критерий]]&lt;&gt;"",Критерий[[#This Row],[O.K.Критерий]]=1),ROW()-ROW(Критерий[[#Headers],[№]]),"")</f>
        <v/>
      </c>
      <c r="C27" s="84"/>
      <c r="D2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7" s="208" t="str">
        <f ca="1">IFERROR(IF(IFERROR(SEARCH("Прив",Критерий[[#This Row],[Фкритерий]]),0)&gt;0,"Критерий",IF(IFERROR(SEARCH("Матр",Критерий[[#This Row],[Фкритерий]]),0)&gt;0,"ошибка","ошибка")),"ошибка")</f>
        <v>ошибка</v>
      </c>
      <c r="F27" s="224" t="str">
        <f ca="1">IFERROR(IF(LEN((INDIRECT(Критерий[[#This Row],[СНаименование]],FALSE)))=0,"ошибка",IFERROR(INDIRECT(Критерий[[#This Row],[СНаименование]],FALSE),"ошибка")),"ошибка")</f>
        <v>ошибка</v>
      </c>
      <c r="G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7" s="208" t="str">
        <f ca="1">IFERROR(IF(N(INDIRECT(Критерий[[#This Row],[СФизКритерий]],FALSE))=0,"ошибка",IFERROR(INDIRECT(Критерий[[#This Row],[СФизКритерий]],FALSE),"ошибка")),"ошибка")</f>
        <v>ошибка</v>
      </c>
      <c r="I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7" s="208" t="str">
        <f ca="1">IFERROR(_xlfn.FORMULATEXT(INDIRECT(Критерий[[#This Row],[Скритерий]],FALSE)),"ошибка")</f>
        <v>ошибка</v>
      </c>
      <c r="M27" s="208" t="str">
        <f ca="1">IFERROR(IF(N(INDIRECT(Критерий[[#This Row],[СМинФизКритерий]],FALSE))=0,"ошибка",IFERROR(INDIRECT(Критерий[[#This Row],[СМинФизКритерий]],FALSE),"ошибка")),"ошибка")</f>
        <v>ошибка</v>
      </c>
      <c r="N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7" s="208" t="str">
        <f ca="1">IFERROR(IF(N(INDIRECT(Критерий[[#This Row],[СМаксФизКритерий]],FALSE))=0,"ошибка",IFERROR(INDIRECT(Критерий[[#This Row],[СМаксФизКритерий]],FALSE),"ошибка")),"ошибка")</f>
        <v>ошибка</v>
      </c>
      <c r="P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7" s="208" t="str">
        <f ca="1">IFERROR(IF(N(INDIRECT(Критерий[[#This Row],[ССрФизКритерий]],FALSE))=0,"ошибка",IFERROR(INDIRECT(Критерий[[#This Row],[ССрФизКритерий]],FALSE),"ошибка")),"")</f>
        <v/>
      </c>
      <c r="R2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7" s="212">
        <f ca="1">IFERROR(IF(AND(Критерий[[#This Row],[ВидКритерий]]="Критерий",IFERROR(SEARCH("Приведение",Критерий[[#This Row],[Фкритерий]]),0)&gt;0),1,-1),-1)</f>
        <v>-1</v>
      </c>
      <c r="U27" s="222" t="str">
        <f ca="1">IF(AND(Свёртка[[#This Row],[Свёртка]]&lt;&gt;"",Свёртка[[#This Row],[O.K.Свёртка]]=1),ROW()-ROW(Свёртка[[#Headers],[№]]),"")</f>
        <v/>
      </c>
      <c r="V27" s="84"/>
      <c r="W2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7" s="208" t="str">
        <f ca="1">IFERROR(_xlfn.FORMULATEXT(INDIRECT(Свёртка[[#This Row],[ССвёртка]],FALSE)),"ошибка")</f>
        <v>ошибка</v>
      </c>
      <c r="Y27" s="208" t="str">
        <f ca="1">IFERROR(IF(IFERROR(SEARCH("Прив",Свёртка[[#This Row],[ФСвёртка]]),0)&gt;0,"ошибка",IF(IFERROR(SEARCH("Матр",Свёртка[[#This Row],[ФСвёртка]]),0)&gt;0,"Свёртка","ошибка")),"ошибка")</f>
        <v>ошибка</v>
      </c>
      <c r="Z27" s="208" t="str">
        <f ca="1">IFERROR(IF(LEN((INDIRECT(Свёртка[[#This Row],[СНаименование]],FALSE)))=0,"ошибка",IFERROR(INDIRECT(Свёртка[[#This Row],[СНаименование]],FALSE),"ошибка")),"ошибка")</f>
        <v>ошибка</v>
      </c>
      <c r="AA2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7" s="212">
        <f ca="1">IF(Свёртка[[#This Row],[ВидСвёртка]]="Свёртка",1,-1)</f>
        <v>-1</v>
      </c>
      <c r="AG27" s="66">
        <f>IF(AND(Множество[[#This Row],[Y]]=1),ROW()-ROW(Множество[[#Headers],[№]]),"")</f>
        <v>18</v>
      </c>
      <c r="AH27" t="s">
        <v>608</v>
      </c>
      <c r="AI27" s="66">
        <v>1</v>
      </c>
      <c r="AJ27" s="66">
        <f>IF(LEN(Множество[[#This Row],[Свёртка]])&gt;0,1,-1)</f>
        <v>1</v>
      </c>
      <c r="AK27" s="66" t="s">
        <v>1781</v>
      </c>
      <c r="AL27" s="66">
        <f>IF(LEN(Множество[[#This Row],[Критерии]])&gt;0,1,-1)</f>
        <v>1</v>
      </c>
      <c r="AM27" s="66">
        <f>IF(AND(LEN(Множество[[#This Row],[Свёртка]])&gt;0,LEN(Множество[[#This Row],[Критерии]])&gt;0,LEN(Множество[[#This Row],[Оценки]])&gt;0),1,-1)</f>
        <v>1</v>
      </c>
      <c r="AN27">
        <v>6.7583333333333302</v>
      </c>
      <c r="AO27">
        <v>-11.1833333333333</v>
      </c>
      <c r="AP27" s="208"/>
      <c r="AQ27" s="208"/>
      <c r="AR27" s="226"/>
      <c r="AS27" s="225"/>
      <c r="AT27" s="226"/>
      <c r="AU27" s="225"/>
      <c r="AV27" s="225"/>
      <c r="AW27" s="225"/>
      <c r="AX27" s="225"/>
      <c r="AY27" s="225"/>
    </row>
    <row r="28" spans="2:51" x14ac:dyDescent="0.25">
      <c r="B28" s="209" t="str">
        <f ca="1">IF(AND(Критерий[[#This Row],[Критерий]]&lt;&gt;"",Критерий[[#This Row],[O.K.Критерий]]=1),ROW()-ROW(Критерий[[#Headers],[№]]),"")</f>
        <v/>
      </c>
      <c r="C28" s="84"/>
      <c r="D2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8" s="208" t="str">
        <f ca="1">IFERROR(IF(IFERROR(SEARCH("Прив",Критерий[[#This Row],[Фкритерий]]),0)&gt;0,"Критерий",IF(IFERROR(SEARCH("Матр",Критерий[[#This Row],[Фкритерий]]),0)&gt;0,"ошибка","ошибка")),"ошибка")</f>
        <v>ошибка</v>
      </c>
      <c r="F28" s="224" t="str">
        <f ca="1">IFERROR(IF(LEN((INDIRECT(Критерий[[#This Row],[СНаименование]],FALSE)))=0,"ошибка",IFERROR(INDIRECT(Критерий[[#This Row],[СНаименование]],FALSE),"ошибка")),"ошибка")</f>
        <v>ошибка</v>
      </c>
      <c r="G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8" s="208" t="str">
        <f ca="1">IFERROR(IF(N(INDIRECT(Критерий[[#This Row],[СФизКритерий]],FALSE))=0,"ошибка",IFERROR(INDIRECT(Критерий[[#This Row],[СФизКритерий]],FALSE),"ошибка")),"ошибка")</f>
        <v>ошибка</v>
      </c>
      <c r="I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8" s="208" t="str">
        <f ca="1">IFERROR(_xlfn.FORMULATEXT(INDIRECT(Критерий[[#This Row],[Скритерий]],FALSE)),"ошибка")</f>
        <v>ошибка</v>
      </c>
      <c r="M28" s="208" t="str">
        <f ca="1">IFERROR(IF(N(INDIRECT(Критерий[[#This Row],[СМинФизКритерий]],FALSE))=0,"ошибка",IFERROR(INDIRECT(Критерий[[#This Row],[СМинФизКритерий]],FALSE),"ошибка")),"ошибка")</f>
        <v>ошибка</v>
      </c>
      <c r="N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8" s="208" t="str">
        <f ca="1">IFERROR(IF(N(INDIRECT(Критерий[[#This Row],[СМаксФизКритерий]],FALSE))=0,"ошибка",IFERROR(INDIRECT(Критерий[[#This Row],[СМаксФизКритерий]],FALSE),"ошибка")),"ошибка")</f>
        <v>ошибка</v>
      </c>
      <c r="P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8" s="208" t="str">
        <f ca="1">IFERROR(IF(N(INDIRECT(Критерий[[#This Row],[ССрФизКритерий]],FALSE))=0,"ошибка",IFERROR(INDIRECT(Критерий[[#This Row],[ССрФизКритерий]],FALSE),"ошибка")),"")</f>
        <v/>
      </c>
      <c r="R2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8" s="212">
        <f ca="1">IFERROR(IF(AND(Критерий[[#This Row],[ВидКритерий]]="Критерий",IFERROR(SEARCH("Приведение",Критерий[[#This Row],[Фкритерий]]),0)&gt;0),1,-1),-1)</f>
        <v>-1</v>
      </c>
      <c r="U28" s="222" t="str">
        <f ca="1">IF(AND(Свёртка[[#This Row],[Свёртка]]&lt;&gt;"",Свёртка[[#This Row],[O.K.Свёртка]]=1),ROW()-ROW(Свёртка[[#Headers],[№]]),"")</f>
        <v/>
      </c>
      <c r="V28" s="84"/>
      <c r="W2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8" s="208" t="str">
        <f ca="1">IFERROR(_xlfn.FORMULATEXT(INDIRECT(Свёртка[[#This Row],[ССвёртка]],FALSE)),"ошибка")</f>
        <v>ошибка</v>
      </c>
      <c r="Y28" s="208" t="str">
        <f ca="1">IFERROR(IF(IFERROR(SEARCH("Прив",Свёртка[[#This Row],[ФСвёртка]]),0)&gt;0,"ошибка",IF(IFERROR(SEARCH("Матр",Свёртка[[#This Row],[ФСвёртка]]),0)&gt;0,"Свёртка","ошибка")),"ошибка")</f>
        <v>ошибка</v>
      </c>
      <c r="Z28" s="208" t="str">
        <f ca="1">IFERROR(IF(LEN((INDIRECT(Свёртка[[#This Row],[СНаименование]],FALSE)))=0,"ошибка",IFERROR(INDIRECT(Свёртка[[#This Row],[СНаименование]],FALSE),"ошибка")),"ошибка")</f>
        <v>ошибка</v>
      </c>
      <c r="AA2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8" s="212">
        <f ca="1">IF(Свёртка[[#This Row],[ВидСвёртка]]="Свёртка",1,-1)</f>
        <v>-1</v>
      </c>
      <c r="AG28" s="66">
        <f>IF(AND(Множество[[#This Row],[Y]]=1),ROW()-ROW(Множество[[#Headers],[№]]),"")</f>
        <v>19</v>
      </c>
      <c r="AH28" t="s">
        <v>608</v>
      </c>
      <c r="AI28" s="66">
        <v>1</v>
      </c>
      <c r="AJ28" s="66">
        <f>IF(LEN(Множество[[#This Row],[Свёртка]])&gt;0,1,-1)</f>
        <v>1</v>
      </c>
      <c r="AK28" s="66" t="s">
        <v>1781</v>
      </c>
      <c r="AL28" s="66">
        <f>IF(LEN(Множество[[#This Row],[Критерии]])&gt;0,1,-1)</f>
        <v>1</v>
      </c>
      <c r="AM28" s="66">
        <f>IF(AND(LEN(Множество[[#This Row],[Свёртка]])&gt;0,LEN(Множество[[#This Row],[Критерии]])&gt;0,LEN(Множество[[#This Row],[Оценки]])&gt;0),1,-1)</f>
        <v>1</v>
      </c>
      <c r="AN28">
        <v>6.875</v>
      </c>
      <c r="AO28">
        <v>-11.0833333333333</v>
      </c>
      <c r="AP28" s="208"/>
      <c r="AQ28" s="208"/>
      <c r="AR28" s="226"/>
      <c r="AS28" s="225"/>
      <c r="AT28" s="226"/>
      <c r="AU28" s="225"/>
      <c r="AV28" s="225"/>
      <c r="AW28" s="225"/>
      <c r="AX28" s="225"/>
      <c r="AY28" s="225"/>
    </row>
    <row r="29" spans="2:51" x14ac:dyDescent="0.25">
      <c r="B29" s="209" t="str">
        <f ca="1">IF(AND(Критерий[[#This Row],[Критерий]]&lt;&gt;"",Критерий[[#This Row],[O.K.Критерий]]=1),ROW()-ROW(Критерий[[#Headers],[№]]),"")</f>
        <v/>
      </c>
      <c r="C29" s="84"/>
      <c r="D2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9" s="208" t="str">
        <f ca="1">IFERROR(IF(IFERROR(SEARCH("Прив",Критерий[[#This Row],[Фкритерий]]),0)&gt;0,"Критерий",IF(IFERROR(SEARCH("Матр",Критерий[[#This Row],[Фкритерий]]),0)&gt;0,"ошибка","ошибка")),"ошибка")</f>
        <v>ошибка</v>
      </c>
      <c r="F29" s="224" t="str">
        <f ca="1">IFERROR(IF(LEN((INDIRECT(Критерий[[#This Row],[СНаименование]],FALSE)))=0,"ошибка",IFERROR(INDIRECT(Критерий[[#This Row],[СНаименование]],FALSE),"ошибка")),"ошибка")</f>
        <v>ошибка</v>
      </c>
      <c r="G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9" s="208" t="str">
        <f ca="1">IFERROR(IF(N(INDIRECT(Критерий[[#This Row],[СФизКритерий]],FALSE))=0,"ошибка",IFERROR(INDIRECT(Критерий[[#This Row],[СФизКритерий]],FALSE),"ошибка")),"ошибка")</f>
        <v>ошибка</v>
      </c>
      <c r="I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9" s="208" t="str">
        <f ca="1">IFERROR(_xlfn.FORMULATEXT(INDIRECT(Критерий[[#This Row],[Скритерий]],FALSE)),"ошибка")</f>
        <v>ошибка</v>
      </c>
      <c r="M29" s="208" t="str">
        <f ca="1">IFERROR(IF(N(INDIRECT(Критерий[[#This Row],[СМинФизКритерий]],FALSE))=0,"ошибка",IFERROR(INDIRECT(Критерий[[#This Row],[СМинФизКритерий]],FALSE),"ошибка")),"ошибка")</f>
        <v>ошибка</v>
      </c>
      <c r="N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9" s="208" t="str">
        <f ca="1">IFERROR(IF(N(INDIRECT(Критерий[[#This Row],[СМаксФизКритерий]],FALSE))=0,"ошибка",IFERROR(INDIRECT(Критерий[[#This Row],[СМаксФизКритерий]],FALSE),"ошибка")),"ошибка")</f>
        <v>ошибка</v>
      </c>
      <c r="P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9" s="208" t="str">
        <f ca="1">IFERROR(IF(N(INDIRECT(Критерий[[#This Row],[ССрФизКритерий]],FALSE))=0,"ошибка",IFERROR(INDIRECT(Критерий[[#This Row],[ССрФизКритерий]],FALSE),"ошибка")),"")</f>
        <v/>
      </c>
      <c r="R2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9" s="212">
        <f ca="1">IFERROR(IF(AND(Критерий[[#This Row],[ВидКритерий]]="Критерий",IFERROR(SEARCH("Приведение",Критерий[[#This Row],[Фкритерий]]),0)&gt;0),1,-1),-1)</f>
        <v>-1</v>
      </c>
      <c r="U29" s="222" t="str">
        <f ca="1">IF(AND(Свёртка[[#This Row],[Свёртка]]&lt;&gt;"",Свёртка[[#This Row],[O.K.Свёртка]]=1),ROW()-ROW(Свёртка[[#Headers],[№]]),"")</f>
        <v/>
      </c>
      <c r="V29" s="84"/>
      <c r="W2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9" s="208" t="str">
        <f ca="1">IFERROR(_xlfn.FORMULATEXT(INDIRECT(Свёртка[[#This Row],[ССвёртка]],FALSE)),"ошибка")</f>
        <v>ошибка</v>
      </c>
      <c r="Y29" s="208" t="str">
        <f ca="1">IFERROR(IF(IFERROR(SEARCH("Прив",Свёртка[[#This Row],[ФСвёртка]]),0)&gt;0,"ошибка",IF(IFERROR(SEARCH("Матр",Свёртка[[#This Row],[ФСвёртка]]),0)&gt;0,"Свёртка","ошибка")),"ошибка")</f>
        <v>ошибка</v>
      </c>
      <c r="Z29" s="208" t="str">
        <f ca="1">IFERROR(IF(LEN((INDIRECT(Свёртка[[#This Row],[СНаименование]],FALSE)))=0,"ошибка",IFERROR(INDIRECT(Свёртка[[#This Row],[СНаименование]],FALSE),"ошибка")),"ошибка")</f>
        <v>ошибка</v>
      </c>
      <c r="AA2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9" s="212">
        <f ca="1">IF(Свёртка[[#This Row],[ВидСвёртка]]="Свёртка",1,-1)</f>
        <v>-1</v>
      </c>
      <c r="AG29" s="66">
        <f>IF(AND(Множество[[#This Row],[Y]]=1),ROW()-ROW(Множество[[#Headers],[№]]),"")</f>
        <v>20</v>
      </c>
      <c r="AH29" t="s">
        <v>608</v>
      </c>
      <c r="AI29" s="66">
        <v>1</v>
      </c>
      <c r="AJ29" s="66">
        <f>IF(LEN(Множество[[#This Row],[Свёртка]])&gt;0,1,-1)</f>
        <v>1</v>
      </c>
      <c r="AK29" s="66" t="s">
        <v>1781</v>
      </c>
      <c r="AL29" s="66">
        <f>IF(LEN(Множество[[#This Row],[Критерии]])&gt;0,1,-1)</f>
        <v>1</v>
      </c>
      <c r="AM29" s="66">
        <f>IF(AND(LEN(Множество[[#This Row],[Свёртка]])&gt;0,LEN(Множество[[#This Row],[Критерии]])&gt;0,LEN(Множество[[#This Row],[Оценки]])&gt;0),1,-1)</f>
        <v>1</v>
      </c>
      <c r="AN29">
        <v>6.4083333333333297</v>
      </c>
      <c r="AO29">
        <v>-13.4</v>
      </c>
      <c r="AP29" s="208"/>
      <c r="AQ29" s="208"/>
      <c r="AR29" s="226"/>
      <c r="AS29" s="225"/>
      <c r="AT29" s="226"/>
      <c r="AU29" s="225"/>
      <c r="AV29" s="225"/>
      <c r="AW29" s="225"/>
      <c r="AX29" s="225"/>
      <c r="AY29" s="225"/>
    </row>
    <row r="30" spans="2:51" x14ac:dyDescent="0.25">
      <c r="B30" s="209" t="str">
        <f ca="1">IF(AND(Критерий[[#This Row],[Критерий]]&lt;&gt;"",Критерий[[#This Row],[O.K.Критерий]]=1),ROW()-ROW(Критерий[[#Headers],[№]]),"")</f>
        <v/>
      </c>
      <c r="C30" s="84"/>
      <c r="D3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0" s="208" t="str">
        <f ca="1">IFERROR(IF(IFERROR(SEARCH("Прив",Критерий[[#This Row],[Фкритерий]]),0)&gt;0,"Критерий",IF(IFERROR(SEARCH("Матр",Критерий[[#This Row],[Фкритерий]]),0)&gt;0,"ошибка","ошибка")),"ошибка")</f>
        <v>ошибка</v>
      </c>
      <c r="F30" s="224" t="str">
        <f ca="1">IFERROR(IF(LEN((INDIRECT(Критерий[[#This Row],[СНаименование]],FALSE)))=0,"ошибка",IFERROR(INDIRECT(Критерий[[#This Row],[СНаименование]],FALSE),"ошибка")),"ошибка")</f>
        <v>ошибка</v>
      </c>
      <c r="G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0" s="208" t="str">
        <f ca="1">IFERROR(IF(N(INDIRECT(Критерий[[#This Row],[СФизКритерий]],FALSE))=0,"ошибка",IFERROR(INDIRECT(Критерий[[#This Row],[СФизКритерий]],FALSE),"ошибка")),"ошибка")</f>
        <v>ошибка</v>
      </c>
      <c r="I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0" s="208" t="str">
        <f ca="1">IFERROR(_xlfn.FORMULATEXT(INDIRECT(Критерий[[#This Row],[Скритерий]],FALSE)),"ошибка")</f>
        <v>ошибка</v>
      </c>
      <c r="M30" s="208" t="str">
        <f ca="1">IFERROR(IF(N(INDIRECT(Критерий[[#This Row],[СМинФизКритерий]],FALSE))=0,"ошибка",IFERROR(INDIRECT(Критерий[[#This Row],[СМинФизКритерий]],FALSE),"ошибка")),"ошибка")</f>
        <v>ошибка</v>
      </c>
      <c r="N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0" s="208" t="str">
        <f ca="1">IFERROR(IF(N(INDIRECT(Критерий[[#This Row],[СМаксФизКритерий]],FALSE))=0,"ошибка",IFERROR(INDIRECT(Критерий[[#This Row],[СМаксФизКритерий]],FALSE),"ошибка")),"ошибка")</f>
        <v>ошибка</v>
      </c>
      <c r="P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0" s="208" t="str">
        <f ca="1">IFERROR(IF(N(INDIRECT(Критерий[[#This Row],[ССрФизКритерий]],FALSE))=0,"ошибка",IFERROR(INDIRECT(Критерий[[#This Row],[ССрФизКритерий]],FALSE),"ошибка")),"")</f>
        <v/>
      </c>
      <c r="R3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0" s="212">
        <f ca="1">IFERROR(IF(AND(Критерий[[#This Row],[ВидКритерий]]="Критерий",IFERROR(SEARCH("Приведение",Критерий[[#This Row],[Фкритерий]]),0)&gt;0),1,-1),-1)</f>
        <v>-1</v>
      </c>
      <c r="U30" s="222" t="str">
        <f ca="1">IF(AND(Свёртка[[#This Row],[Свёртка]]&lt;&gt;"",Свёртка[[#This Row],[O.K.Свёртка]]=1),ROW()-ROW(Свёртка[[#Headers],[№]]),"")</f>
        <v/>
      </c>
      <c r="V30" s="84"/>
      <c r="W3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0" s="208" t="str">
        <f ca="1">IFERROR(_xlfn.FORMULATEXT(INDIRECT(Свёртка[[#This Row],[ССвёртка]],FALSE)),"ошибка")</f>
        <v>ошибка</v>
      </c>
      <c r="Y30" s="208" t="str">
        <f ca="1">IFERROR(IF(IFERROR(SEARCH("Прив",Свёртка[[#This Row],[ФСвёртка]]),0)&gt;0,"ошибка",IF(IFERROR(SEARCH("Матр",Свёртка[[#This Row],[ФСвёртка]]),0)&gt;0,"Свёртка","ошибка")),"ошибка")</f>
        <v>ошибка</v>
      </c>
      <c r="Z30" s="208" t="str">
        <f ca="1">IFERROR(IF(LEN((INDIRECT(Свёртка[[#This Row],[СНаименование]],FALSE)))=0,"ошибка",IFERROR(INDIRECT(Свёртка[[#This Row],[СНаименование]],FALSE),"ошибка")),"ошибка")</f>
        <v>ошибка</v>
      </c>
      <c r="AA3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0" s="212">
        <f ca="1">IF(Свёртка[[#This Row],[ВидСвёртка]]="Свёртка",1,-1)</f>
        <v>-1</v>
      </c>
      <c r="AG30" s="66">
        <f>IF(AND(Множество[[#This Row],[Y]]=1),ROW()-ROW(Множество[[#Headers],[№]]),"")</f>
        <v>21</v>
      </c>
      <c r="AH30" t="s">
        <v>608</v>
      </c>
      <c r="AI30" s="66">
        <v>1</v>
      </c>
      <c r="AJ30" s="66">
        <f>IF(LEN(Множество[[#This Row],[Свёртка]])&gt;0,1,-1)</f>
        <v>1</v>
      </c>
      <c r="AK30" s="66" t="s">
        <v>1781</v>
      </c>
      <c r="AL30" s="66">
        <f>IF(LEN(Множество[[#This Row],[Критерии]])&gt;0,1,-1)</f>
        <v>1</v>
      </c>
      <c r="AM30" s="66">
        <f>IF(AND(LEN(Множество[[#This Row],[Свёртка]])&gt;0,LEN(Множество[[#This Row],[Критерии]])&gt;0,LEN(Множество[[#This Row],[Оценки]])&gt;0),1,-1)</f>
        <v>1</v>
      </c>
      <c r="AN30">
        <v>7.1083333333333298</v>
      </c>
      <c r="AO30">
        <v>-10.9166666666667</v>
      </c>
      <c r="AP30" s="208"/>
      <c r="AQ30" s="208"/>
      <c r="AR30" s="226"/>
      <c r="AS30" s="225"/>
      <c r="AT30" s="226"/>
      <c r="AU30" s="225"/>
      <c r="AV30" s="225"/>
      <c r="AW30" s="225"/>
      <c r="AX30" s="225"/>
      <c r="AY30" s="225"/>
    </row>
    <row r="31" spans="2:51" x14ac:dyDescent="0.25">
      <c r="B31" s="209" t="str">
        <f ca="1">IF(AND(Критерий[[#This Row],[Критерий]]&lt;&gt;"",Критерий[[#This Row],[O.K.Критерий]]=1),ROW()-ROW(Критерий[[#Headers],[№]]),"")</f>
        <v/>
      </c>
      <c r="C31" s="84"/>
      <c r="D3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1" s="208" t="str">
        <f ca="1">IFERROR(IF(IFERROR(SEARCH("Прив",Критерий[[#This Row],[Фкритерий]]),0)&gt;0,"Критерий",IF(IFERROR(SEARCH("Матр",Критерий[[#This Row],[Фкритерий]]),0)&gt;0,"ошибка","ошибка")),"ошибка")</f>
        <v>ошибка</v>
      </c>
      <c r="F31" s="224" t="str">
        <f ca="1">IFERROR(IF(LEN((INDIRECT(Критерий[[#This Row],[СНаименование]],FALSE)))=0,"ошибка",IFERROR(INDIRECT(Критерий[[#This Row],[СНаименование]],FALSE),"ошибка")),"ошибка")</f>
        <v>ошибка</v>
      </c>
      <c r="G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1" s="208" t="str">
        <f ca="1">IFERROR(IF(N(INDIRECT(Критерий[[#This Row],[СФизКритерий]],FALSE))=0,"ошибка",IFERROR(INDIRECT(Критерий[[#This Row],[СФизКритерий]],FALSE),"ошибка")),"ошибка")</f>
        <v>ошибка</v>
      </c>
      <c r="I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1" s="208" t="str">
        <f ca="1">IFERROR(_xlfn.FORMULATEXT(INDIRECT(Критерий[[#This Row],[Скритерий]],FALSE)),"ошибка")</f>
        <v>ошибка</v>
      </c>
      <c r="M31" s="208" t="str">
        <f ca="1">IFERROR(IF(N(INDIRECT(Критерий[[#This Row],[СМинФизКритерий]],FALSE))=0,"ошибка",IFERROR(INDIRECT(Критерий[[#This Row],[СМинФизКритерий]],FALSE),"ошибка")),"ошибка")</f>
        <v>ошибка</v>
      </c>
      <c r="N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1" s="208" t="str">
        <f ca="1">IFERROR(IF(N(INDIRECT(Критерий[[#This Row],[СМаксФизКритерий]],FALSE))=0,"ошибка",IFERROR(INDIRECT(Критерий[[#This Row],[СМаксФизКритерий]],FALSE),"ошибка")),"ошибка")</f>
        <v>ошибка</v>
      </c>
      <c r="P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1" s="208" t="str">
        <f ca="1">IFERROR(IF(N(INDIRECT(Критерий[[#This Row],[ССрФизКритерий]],FALSE))=0,"ошибка",IFERROR(INDIRECT(Критерий[[#This Row],[ССрФизКритерий]],FALSE),"ошибка")),"")</f>
        <v/>
      </c>
      <c r="R3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1" s="212">
        <f ca="1">IFERROR(IF(AND(Критерий[[#This Row],[ВидКритерий]]="Критерий",IFERROR(SEARCH("Приведение",Критерий[[#This Row],[Фкритерий]]),0)&gt;0),1,-1),-1)</f>
        <v>-1</v>
      </c>
      <c r="U31" s="222" t="str">
        <f ca="1">IF(AND(Свёртка[[#This Row],[Свёртка]]&lt;&gt;"",Свёртка[[#This Row],[O.K.Свёртка]]=1),ROW()-ROW(Свёртка[[#Headers],[№]]),"")</f>
        <v/>
      </c>
      <c r="V31" s="84"/>
      <c r="W3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1" s="208" t="str">
        <f ca="1">IFERROR(_xlfn.FORMULATEXT(INDIRECT(Свёртка[[#This Row],[ССвёртка]],FALSE)),"ошибка")</f>
        <v>ошибка</v>
      </c>
      <c r="Y31" s="208" t="str">
        <f ca="1">IFERROR(IF(IFERROR(SEARCH("Прив",Свёртка[[#This Row],[ФСвёртка]]),0)&gt;0,"ошибка",IF(IFERROR(SEARCH("Матр",Свёртка[[#This Row],[ФСвёртка]]),0)&gt;0,"Свёртка","ошибка")),"ошибка")</f>
        <v>ошибка</v>
      </c>
      <c r="Z31" s="208" t="str">
        <f ca="1">IFERROR(IF(LEN((INDIRECT(Свёртка[[#This Row],[СНаименование]],FALSE)))=0,"ошибка",IFERROR(INDIRECT(Свёртка[[#This Row],[СНаименование]],FALSE),"ошибка")),"ошибка")</f>
        <v>ошибка</v>
      </c>
      <c r="AA3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1" s="212">
        <f ca="1">IF(Свёртка[[#This Row],[ВидСвёртка]]="Свёртка",1,-1)</f>
        <v>-1</v>
      </c>
      <c r="AG31" s="66">
        <f>IF(AND(Множество[[#This Row],[Y]]=1),ROW()-ROW(Множество[[#Headers],[№]]),"")</f>
        <v>22</v>
      </c>
      <c r="AH31" t="s">
        <v>608</v>
      </c>
      <c r="AI31" s="66">
        <v>1</v>
      </c>
      <c r="AJ31" s="66">
        <f>IF(LEN(Множество[[#This Row],[Свёртка]])&gt;0,1,-1)</f>
        <v>1</v>
      </c>
      <c r="AK31" s="66" t="s">
        <v>1781</v>
      </c>
      <c r="AL31" s="66">
        <f>IF(LEN(Множество[[#This Row],[Критерии]])&gt;0,1,-1)</f>
        <v>1</v>
      </c>
      <c r="AM31" s="66">
        <f>IF(AND(LEN(Множество[[#This Row],[Свёртка]])&gt;0,LEN(Множество[[#This Row],[Критерии]])&gt;0,LEN(Множество[[#This Row],[Оценки]])&gt;0),1,-1)</f>
        <v>1</v>
      </c>
      <c r="AN31">
        <v>6.93333333333333</v>
      </c>
      <c r="AO31">
        <v>-11.05</v>
      </c>
      <c r="AP31" s="208"/>
      <c r="AQ31" s="208"/>
      <c r="AR31" s="226"/>
      <c r="AS31" s="225"/>
      <c r="AT31" s="226"/>
      <c r="AU31" s="225"/>
      <c r="AV31" s="225"/>
      <c r="AW31" s="225"/>
      <c r="AX31" s="225"/>
      <c r="AY31" s="225"/>
    </row>
    <row r="32" spans="2:51" x14ac:dyDescent="0.25">
      <c r="B32" s="209" t="str">
        <f ca="1">IF(AND(Критерий[[#This Row],[Критерий]]&lt;&gt;"",Критерий[[#This Row],[O.K.Критерий]]=1),ROW()-ROW(Критерий[[#Headers],[№]]),"")</f>
        <v/>
      </c>
      <c r="C32" s="84"/>
      <c r="D3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2" s="208" t="str">
        <f ca="1">IFERROR(IF(IFERROR(SEARCH("Прив",Критерий[[#This Row],[Фкритерий]]),0)&gt;0,"Критерий",IF(IFERROR(SEARCH("Матр",Критерий[[#This Row],[Фкритерий]]),0)&gt;0,"ошибка","ошибка")),"ошибка")</f>
        <v>ошибка</v>
      </c>
      <c r="F32" s="224" t="str">
        <f ca="1">IFERROR(IF(LEN((INDIRECT(Критерий[[#This Row],[СНаименование]],FALSE)))=0,"ошибка",IFERROR(INDIRECT(Критерий[[#This Row],[СНаименование]],FALSE),"ошибка")),"ошибка")</f>
        <v>ошибка</v>
      </c>
      <c r="G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2" s="208" t="str">
        <f ca="1">IFERROR(IF(N(INDIRECT(Критерий[[#This Row],[СФизКритерий]],FALSE))=0,"ошибка",IFERROR(INDIRECT(Критерий[[#This Row],[СФизКритерий]],FALSE),"ошибка")),"ошибка")</f>
        <v>ошибка</v>
      </c>
      <c r="I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2" s="208" t="str">
        <f ca="1">IFERROR(_xlfn.FORMULATEXT(INDIRECT(Критерий[[#This Row],[Скритерий]],FALSE)),"ошибка")</f>
        <v>ошибка</v>
      </c>
      <c r="M32" s="208" t="str">
        <f ca="1">IFERROR(IF(N(INDIRECT(Критерий[[#This Row],[СМинФизКритерий]],FALSE))=0,"ошибка",IFERROR(INDIRECT(Критерий[[#This Row],[СМинФизКритерий]],FALSE),"ошибка")),"ошибка")</f>
        <v>ошибка</v>
      </c>
      <c r="N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2" s="208" t="str">
        <f ca="1">IFERROR(IF(N(INDIRECT(Критерий[[#This Row],[СМаксФизКритерий]],FALSE))=0,"ошибка",IFERROR(INDIRECT(Критерий[[#This Row],[СМаксФизКритерий]],FALSE),"ошибка")),"ошибка")</f>
        <v>ошибка</v>
      </c>
      <c r="P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2" s="208" t="str">
        <f ca="1">IFERROR(IF(N(INDIRECT(Критерий[[#This Row],[ССрФизКритерий]],FALSE))=0,"ошибка",IFERROR(INDIRECT(Критерий[[#This Row],[ССрФизКритерий]],FALSE),"ошибка")),"")</f>
        <v/>
      </c>
      <c r="R3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2" s="212">
        <f ca="1">IFERROR(IF(AND(Критерий[[#This Row],[ВидКритерий]]="Критерий",IFERROR(SEARCH("Приведение",Критерий[[#This Row],[Фкритерий]]),0)&gt;0),1,-1),-1)</f>
        <v>-1</v>
      </c>
      <c r="U32" s="222" t="str">
        <f ca="1">IF(AND(Свёртка[[#This Row],[Свёртка]]&lt;&gt;"",Свёртка[[#This Row],[O.K.Свёртка]]=1),ROW()-ROW(Свёртка[[#Headers],[№]]),"")</f>
        <v/>
      </c>
      <c r="V32" s="84"/>
      <c r="W3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2" s="208" t="str">
        <f ca="1">IFERROR(_xlfn.FORMULATEXT(INDIRECT(Свёртка[[#This Row],[ССвёртка]],FALSE)),"ошибка")</f>
        <v>ошибка</v>
      </c>
      <c r="Y32" s="208" t="str">
        <f ca="1">IFERROR(IF(IFERROR(SEARCH("Прив",Свёртка[[#This Row],[ФСвёртка]]),0)&gt;0,"ошибка",IF(IFERROR(SEARCH("Матр",Свёртка[[#This Row],[ФСвёртка]]),0)&gt;0,"Свёртка","ошибка")),"ошибка")</f>
        <v>ошибка</v>
      </c>
      <c r="Z32" s="208" t="str">
        <f ca="1">IFERROR(IF(LEN((INDIRECT(Свёртка[[#This Row],[СНаименование]],FALSE)))=0,"ошибка",IFERROR(INDIRECT(Свёртка[[#This Row],[СНаименование]],FALSE),"ошибка")),"ошибка")</f>
        <v>ошибка</v>
      </c>
      <c r="AA3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2" s="212">
        <f ca="1">IF(Свёртка[[#This Row],[ВидСвёртка]]="Свёртка",1,-1)</f>
        <v>-1</v>
      </c>
      <c r="AG32" s="66">
        <f>IF(AND(Множество[[#This Row],[Y]]=1),ROW()-ROW(Множество[[#Headers],[№]]),"")</f>
        <v>23</v>
      </c>
      <c r="AH32" t="s">
        <v>608</v>
      </c>
      <c r="AI32" s="66">
        <v>1</v>
      </c>
      <c r="AJ32" s="66">
        <f>IF(LEN(Множество[[#This Row],[Свёртка]])&gt;0,1,-1)</f>
        <v>1</v>
      </c>
      <c r="AK32" s="66" t="s">
        <v>1781</v>
      </c>
      <c r="AL32" s="66">
        <f>IF(LEN(Множество[[#This Row],[Критерии]])&gt;0,1,-1)</f>
        <v>1</v>
      </c>
      <c r="AM32" s="66">
        <f>IF(AND(LEN(Множество[[#This Row],[Свёртка]])&gt;0,LEN(Множество[[#This Row],[Критерии]])&gt;0,LEN(Множество[[#This Row],[Оценки]])&gt;0),1,-1)</f>
        <v>1</v>
      </c>
      <c r="AN32">
        <v>6.81666666666667</v>
      </c>
      <c r="AO32">
        <v>-11.133333333333301</v>
      </c>
      <c r="AP32" s="208"/>
      <c r="AQ32" s="208"/>
      <c r="AR32" s="226"/>
      <c r="AS32" s="225"/>
      <c r="AT32" s="226"/>
      <c r="AU32" s="225"/>
      <c r="AV32" s="225"/>
      <c r="AW32" s="225"/>
      <c r="AX32" s="225"/>
      <c r="AY32" s="225"/>
    </row>
    <row r="33" spans="2:51" x14ac:dyDescent="0.25">
      <c r="B33" s="209" t="str">
        <f ca="1">IF(AND(Критерий[[#This Row],[Критерий]]&lt;&gt;"",Критерий[[#This Row],[O.K.Критерий]]=1),ROW()-ROW(Критерий[[#Headers],[№]]),"")</f>
        <v/>
      </c>
      <c r="C33" s="84"/>
      <c r="D3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3" s="208" t="str">
        <f ca="1">IFERROR(IF(IFERROR(SEARCH("Прив",Критерий[[#This Row],[Фкритерий]]),0)&gt;0,"Критерий",IF(IFERROR(SEARCH("Матр",Критерий[[#This Row],[Фкритерий]]),0)&gt;0,"ошибка","ошибка")),"ошибка")</f>
        <v>ошибка</v>
      </c>
      <c r="F33" s="224" t="str">
        <f ca="1">IFERROR(IF(LEN((INDIRECT(Критерий[[#This Row],[СНаименование]],FALSE)))=0,"ошибка",IFERROR(INDIRECT(Критерий[[#This Row],[СНаименование]],FALSE),"ошибка")),"ошибка")</f>
        <v>ошибка</v>
      </c>
      <c r="G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3" s="208" t="str">
        <f ca="1">IFERROR(IF(N(INDIRECT(Критерий[[#This Row],[СФизКритерий]],FALSE))=0,"ошибка",IFERROR(INDIRECT(Критерий[[#This Row],[СФизКритерий]],FALSE),"ошибка")),"ошибка")</f>
        <v>ошибка</v>
      </c>
      <c r="I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3" s="208" t="str">
        <f ca="1">IFERROR(_xlfn.FORMULATEXT(INDIRECT(Критерий[[#This Row],[Скритерий]],FALSE)),"ошибка")</f>
        <v>ошибка</v>
      </c>
      <c r="M33" s="208" t="str">
        <f ca="1">IFERROR(IF(N(INDIRECT(Критерий[[#This Row],[СМинФизКритерий]],FALSE))=0,"ошибка",IFERROR(INDIRECT(Критерий[[#This Row],[СМинФизКритерий]],FALSE),"ошибка")),"ошибка")</f>
        <v>ошибка</v>
      </c>
      <c r="N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3" s="208" t="str">
        <f ca="1">IFERROR(IF(N(INDIRECT(Критерий[[#This Row],[СМаксФизКритерий]],FALSE))=0,"ошибка",IFERROR(INDIRECT(Критерий[[#This Row],[СМаксФизКритерий]],FALSE),"ошибка")),"ошибка")</f>
        <v>ошибка</v>
      </c>
      <c r="P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3" s="208" t="str">
        <f ca="1">IFERROR(IF(N(INDIRECT(Критерий[[#This Row],[ССрФизКритерий]],FALSE))=0,"ошибка",IFERROR(INDIRECT(Критерий[[#This Row],[ССрФизКритерий]],FALSE),"ошибка")),"")</f>
        <v/>
      </c>
      <c r="R3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3" s="212">
        <f ca="1">IFERROR(IF(AND(Критерий[[#This Row],[ВидКритерий]]="Критерий",IFERROR(SEARCH("Приведение",Критерий[[#This Row],[Фкритерий]]),0)&gt;0),1,-1),-1)</f>
        <v>-1</v>
      </c>
      <c r="U33" s="222" t="str">
        <f ca="1">IF(AND(Свёртка[[#This Row],[Свёртка]]&lt;&gt;"",Свёртка[[#This Row],[O.K.Свёртка]]=1),ROW()-ROW(Свёртка[[#Headers],[№]]),"")</f>
        <v/>
      </c>
      <c r="V33" s="84"/>
      <c r="W3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3" s="208" t="str">
        <f ca="1">IFERROR(_xlfn.FORMULATEXT(INDIRECT(Свёртка[[#This Row],[ССвёртка]],FALSE)),"ошибка")</f>
        <v>ошибка</v>
      </c>
      <c r="Y33" s="208" t="str">
        <f ca="1">IFERROR(IF(IFERROR(SEARCH("Прив",Свёртка[[#This Row],[ФСвёртка]]),0)&gt;0,"ошибка",IF(IFERROR(SEARCH("Матр",Свёртка[[#This Row],[ФСвёртка]]),0)&gt;0,"Свёртка","ошибка")),"ошибка")</f>
        <v>ошибка</v>
      </c>
      <c r="Z33" s="208" t="str">
        <f ca="1">IFERROR(IF(LEN((INDIRECT(Свёртка[[#This Row],[СНаименование]],FALSE)))=0,"ошибка",IFERROR(INDIRECT(Свёртка[[#This Row],[СНаименование]],FALSE),"ошибка")),"ошибка")</f>
        <v>ошибка</v>
      </c>
      <c r="AA3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3" s="212">
        <f ca="1">IF(Свёртка[[#This Row],[ВидСвёртка]]="Свёртка",1,-1)</f>
        <v>-1</v>
      </c>
      <c r="AG33" s="66">
        <f>IF(AND(Множество[[#This Row],[Y]]=1),ROW()-ROW(Множество[[#Headers],[№]]),"")</f>
        <v>24</v>
      </c>
      <c r="AH33" t="s">
        <v>608</v>
      </c>
      <c r="AI33" s="66">
        <v>1</v>
      </c>
      <c r="AJ33" s="66">
        <f>IF(LEN(Множество[[#This Row],[Свёртка]])&gt;0,1,-1)</f>
        <v>1</v>
      </c>
      <c r="AK33" s="66" t="s">
        <v>1781</v>
      </c>
      <c r="AL33" s="66">
        <f>IF(LEN(Множество[[#This Row],[Критерии]])&gt;0,1,-1)</f>
        <v>1</v>
      </c>
      <c r="AM33" s="66">
        <f>IF(AND(LEN(Множество[[#This Row],[Свёртка]])&gt;0,LEN(Множество[[#This Row],[Критерии]])&gt;0,LEN(Множество[[#This Row],[Оценки]])&gt;0),1,-1)</f>
        <v>1</v>
      </c>
      <c r="AN33">
        <v>6.9916666666666698</v>
      </c>
      <c r="AO33">
        <v>-11</v>
      </c>
      <c r="AP33" s="208"/>
      <c r="AQ33" s="208"/>
      <c r="AR33" s="226"/>
      <c r="AS33" s="225"/>
      <c r="AT33" s="226"/>
      <c r="AU33" s="225"/>
      <c r="AV33" s="225"/>
      <c r="AW33" s="225"/>
      <c r="AX33" s="225"/>
      <c r="AY33" s="225"/>
    </row>
    <row r="34" spans="2:51" x14ac:dyDescent="0.25">
      <c r="B34" s="209" t="str">
        <f ca="1">IF(AND(Критерий[[#This Row],[Критерий]]&lt;&gt;"",Критерий[[#This Row],[O.K.Критерий]]=1),ROW()-ROW(Критерий[[#Headers],[№]]),"")</f>
        <v/>
      </c>
      <c r="C34" s="84"/>
      <c r="D3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4" s="208" t="str">
        <f ca="1">IFERROR(IF(IFERROR(SEARCH("Прив",Критерий[[#This Row],[Фкритерий]]),0)&gt;0,"Критерий",IF(IFERROR(SEARCH("Матр",Критерий[[#This Row],[Фкритерий]]),0)&gt;0,"ошибка","ошибка")),"ошибка")</f>
        <v>ошибка</v>
      </c>
      <c r="F34" s="224" t="str">
        <f ca="1">IFERROR(IF(LEN((INDIRECT(Критерий[[#This Row],[СНаименование]],FALSE)))=0,"ошибка",IFERROR(INDIRECT(Критерий[[#This Row],[СНаименование]],FALSE),"ошибка")),"ошибка")</f>
        <v>ошибка</v>
      </c>
      <c r="G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4" s="208" t="str">
        <f ca="1">IFERROR(IF(N(INDIRECT(Критерий[[#This Row],[СФизКритерий]],FALSE))=0,"ошибка",IFERROR(INDIRECT(Критерий[[#This Row],[СФизКритерий]],FALSE),"ошибка")),"ошибка")</f>
        <v>ошибка</v>
      </c>
      <c r="I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4" s="208" t="str">
        <f ca="1">IFERROR(_xlfn.FORMULATEXT(INDIRECT(Критерий[[#This Row],[Скритерий]],FALSE)),"ошибка")</f>
        <v>ошибка</v>
      </c>
      <c r="M34" s="208" t="str">
        <f ca="1">IFERROR(IF(N(INDIRECT(Критерий[[#This Row],[СМинФизКритерий]],FALSE))=0,"ошибка",IFERROR(INDIRECT(Критерий[[#This Row],[СМинФизКритерий]],FALSE),"ошибка")),"ошибка")</f>
        <v>ошибка</v>
      </c>
      <c r="N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4" s="208" t="str">
        <f ca="1">IFERROR(IF(N(INDIRECT(Критерий[[#This Row],[СМаксФизКритерий]],FALSE))=0,"ошибка",IFERROR(INDIRECT(Критерий[[#This Row],[СМаксФизКритерий]],FALSE),"ошибка")),"ошибка")</f>
        <v>ошибка</v>
      </c>
      <c r="P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4" s="208" t="str">
        <f ca="1">IFERROR(IF(N(INDIRECT(Критерий[[#This Row],[ССрФизКритерий]],FALSE))=0,"ошибка",IFERROR(INDIRECT(Критерий[[#This Row],[ССрФизКритерий]],FALSE),"ошибка")),"")</f>
        <v/>
      </c>
      <c r="R3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4" s="212">
        <f ca="1">IFERROR(IF(AND(Критерий[[#This Row],[ВидКритерий]]="Критерий",IFERROR(SEARCH("Приведение",Критерий[[#This Row],[Фкритерий]]),0)&gt;0),1,-1),-1)</f>
        <v>-1</v>
      </c>
      <c r="U34" s="222" t="str">
        <f ca="1">IF(AND(Свёртка[[#This Row],[Свёртка]]&lt;&gt;"",Свёртка[[#This Row],[O.K.Свёртка]]=1),ROW()-ROW(Свёртка[[#Headers],[№]]),"")</f>
        <v/>
      </c>
      <c r="V34" s="84"/>
      <c r="W3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4" s="208" t="str">
        <f ca="1">IFERROR(_xlfn.FORMULATEXT(INDIRECT(Свёртка[[#This Row],[ССвёртка]],FALSE)),"ошибка")</f>
        <v>ошибка</v>
      </c>
      <c r="Y34" s="208" t="str">
        <f ca="1">IFERROR(IF(IFERROR(SEARCH("Прив",Свёртка[[#This Row],[ФСвёртка]]),0)&gt;0,"ошибка",IF(IFERROR(SEARCH("Матр",Свёртка[[#This Row],[ФСвёртка]]),0)&gt;0,"Свёртка","ошибка")),"ошибка")</f>
        <v>ошибка</v>
      </c>
      <c r="Z34" s="208" t="str">
        <f ca="1">IFERROR(IF(LEN((INDIRECT(Свёртка[[#This Row],[СНаименование]],FALSE)))=0,"ошибка",IFERROR(INDIRECT(Свёртка[[#This Row],[СНаименование]],FALSE),"ошибка")),"ошибка")</f>
        <v>ошибка</v>
      </c>
      <c r="AA3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4" s="212">
        <f ca="1">IF(Свёртка[[#This Row],[ВидСвёртка]]="Свёртка",1,-1)</f>
        <v>-1</v>
      </c>
      <c r="AG34" s="66">
        <f>IF(AND(Множество[[#This Row],[Y]]=1),ROW()-ROW(Множество[[#Headers],[№]]),"")</f>
        <v>25</v>
      </c>
      <c r="AH34" t="s">
        <v>608</v>
      </c>
      <c r="AI34" s="66">
        <v>1</v>
      </c>
      <c r="AJ34" s="66">
        <f>IF(LEN(Множество[[#This Row],[Свёртка]])&gt;0,1,-1)</f>
        <v>1</v>
      </c>
      <c r="AK34" s="66" t="s">
        <v>1781</v>
      </c>
      <c r="AL34" s="66">
        <f>IF(LEN(Множество[[#This Row],[Критерии]])&gt;0,1,-1)</f>
        <v>1</v>
      </c>
      <c r="AM34" s="66">
        <f>IF(AND(LEN(Множество[[#This Row],[Свёртка]])&gt;0,LEN(Множество[[#This Row],[Критерии]])&gt;0,LEN(Множество[[#This Row],[Оценки]])&gt;0),1,-1)</f>
        <v>1</v>
      </c>
      <c r="AN34">
        <v>6.2333333333333298</v>
      </c>
      <c r="AO34">
        <v>-13.4333333333333</v>
      </c>
      <c r="AP34" s="208"/>
      <c r="AQ34" s="208"/>
      <c r="AR34" s="226"/>
      <c r="AS34" s="225"/>
      <c r="AT34" s="226"/>
      <c r="AU34" s="225"/>
      <c r="AV34" s="225"/>
      <c r="AW34" s="225"/>
      <c r="AX34" s="225"/>
      <c r="AY34" s="225"/>
    </row>
    <row r="35" spans="2:51" x14ac:dyDescent="0.25">
      <c r="B35" s="209" t="str">
        <f ca="1">IF(AND(Критерий[[#This Row],[Критерий]]&lt;&gt;"",Критерий[[#This Row],[O.K.Критерий]]=1),ROW()-ROW(Критерий[[#Headers],[№]]),"")</f>
        <v/>
      </c>
      <c r="C35" s="84"/>
      <c r="D3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5" s="208" t="str">
        <f ca="1">IFERROR(IF(IFERROR(SEARCH("Прив",Критерий[[#This Row],[Фкритерий]]),0)&gt;0,"Критерий",IF(IFERROR(SEARCH("Матр",Критерий[[#This Row],[Фкритерий]]),0)&gt;0,"ошибка","ошибка")),"ошибка")</f>
        <v>ошибка</v>
      </c>
      <c r="F35" s="224" t="str">
        <f ca="1">IFERROR(IF(LEN((INDIRECT(Критерий[[#This Row],[СНаименование]],FALSE)))=0,"ошибка",IFERROR(INDIRECT(Критерий[[#This Row],[СНаименование]],FALSE),"ошибка")),"ошибка")</f>
        <v>ошибка</v>
      </c>
      <c r="G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5" s="208" t="str">
        <f ca="1">IFERROR(IF(N(INDIRECT(Критерий[[#This Row],[СФизКритерий]],FALSE))=0,"ошибка",IFERROR(INDIRECT(Критерий[[#This Row],[СФизКритерий]],FALSE),"ошибка")),"ошибка")</f>
        <v>ошибка</v>
      </c>
      <c r="I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5" s="208" t="str">
        <f ca="1">IFERROR(_xlfn.FORMULATEXT(INDIRECT(Критерий[[#This Row],[Скритерий]],FALSE)),"ошибка")</f>
        <v>ошибка</v>
      </c>
      <c r="M35" s="208" t="str">
        <f ca="1">IFERROR(IF(N(INDIRECT(Критерий[[#This Row],[СМинФизКритерий]],FALSE))=0,"ошибка",IFERROR(INDIRECT(Критерий[[#This Row],[СМинФизКритерий]],FALSE),"ошибка")),"ошибка")</f>
        <v>ошибка</v>
      </c>
      <c r="N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5" s="208" t="str">
        <f ca="1">IFERROR(IF(N(INDIRECT(Критерий[[#This Row],[СМаксФизКритерий]],FALSE))=0,"ошибка",IFERROR(INDIRECT(Критерий[[#This Row],[СМаксФизКритерий]],FALSE),"ошибка")),"ошибка")</f>
        <v>ошибка</v>
      </c>
      <c r="P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5" s="208" t="str">
        <f ca="1">IFERROR(IF(N(INDIRECT(Критерий[[#This Row],[ССрФизКритерий]],FALSE))=0,"ошибка",IFERROR(INDIRECT(Критерий[[#This Row],[ССрФизКритерий]],FALSE),"ошибка")),"")</f>
        <v/>
      </c>
      <c r="R3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5" s="212">
        <f ca="1">IFERROR(IF(AND(Критерий[[#This Row],[ВидКритерий]]="Критерий",IFERROR(SEARCH("Приведение",Критерий[[#This Row],[Фкритерий]]),0)&gt;0),1,-1),-1)</f>
        <v>-1</v>
      </c>
      <c r="U35" s="222" t="str">
        <f ca="1">IF(AND(Свёртка[[#This Row],[Свёртка]]&lt;&gt;"",Свёртка[[#This Row],[O.K.Свёртка]]=1),ROW()-ROW(Свёртка[[#Headers],[№]]),"")</f>
        <v/>
      </c>
      <c r="V35" s="84"/>
      <c r="W3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5" s="208" t="str">
        <f ca="1">IFERROR(_xlfn.FORMULATEXT(INDIRECT(Свёртка[[#This Row],[ССвёртка]],FALSE)),"ошибка")</f>
        <v>ошибка</v>
      </c>
      <c r="Y35" s="208" t="str">
        <f ca="1">IFERROR(IF(IFERROR(SEARCH("Прив",Свёртка[[#This Row],[ФСвёртка]]),0)&gt;0,"ошибка",IF(IFERROR(SEARCH("Матр",Свёртка[[#This Row],[ФСвёртка]]),0)&gt;0,"Свёртка","ошибка")),"ошибка")</f>
        <v>ошибка</v>
      </c>
      <c r="Z35" s="208" t="str">
        <f ca="1">IFERROR(IF(LEN((INDIRECT(Свёртка[[#This Row],[СНаименование]],FALSE)))=0,"ошибка",IFERROR(INDIRECT(Свёртка[[#This Row],[СНаименование]],FALSE),"ошибка")),"ошибка")</f>
        <v>ошибка</v>
      </c>
      <c r="AA3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5" s="212">
        <f ca="1">IF(Свёртка[[#This Row],[ВидСвёртка]]="Свёртка",1,-1)</f>
        <v>-1</v>
      </c>
      <c r="AG35" s="66">
        <f>IF(AND(Множество[[#This Row],[Y]]=1),ROW()-ROW(Множество[[#Headers],[№]]),"")</f>
        <v>26</v>
      </c>
      <c r="AH35" t="s">
        <v>608</v>
      </c>
      <c r="AI35" s="66">
        <v>1</v>
      </c>
      <c r="AJ35" s="66">
        <f>IF(LEN(Множество[[#This Row],[Свёртка]])&gt;0,1,-1)</f>
        <v>1</v>
      </c>
      <c r="AK35" s="66" t="s">
        <v>1781</v>
      </c>
      <c r="AL35" s="66">
        <f>IF(LEN(Множество[[#This Row],[Критерии]])&gt;0,1,-1)</f>
        <v>1</v>
      </c>
      <c r="AM35" s="66">
        <f>IF(AND(LEN(Множество[[#This Row],[Свёртка]])&gt;0,LEN(Множество[[#This Row],[Критерии]])&gt;0,LEN(Множество[[#This Row],[Оценки]])&gt;0),1,-1)</f>
        <v>1</v>
      </c>
      <c r="AN35">
        <v>6.1749999999999998</v>
      </c>
      <c r="AO35">
        <v>-13.45</v>
      </c>
      <c r="AP35" s="208"/>
      <c r="AQ35" s="208"/>
      <c r="AR35" s="226"/>
      <c r="AS35" s="225"/>
      <c r="AT35" s="226"/>
      <c r="AU35" s="225"/>
      <c r="AV35" s="225"/>
      <c r="AW35" s="225"/>
      <c r="AX35" s="225"/>
      <c r="AY35" s="225"/>
    </row>
    <row r="36" spans="2:51" x14ac:dyDescent="0.25">
      <c r="B36" s="209" t="str">
        <f ca="1">IF(AND(Критерий[[#This Row],[Критерий]]&lt;&gt;"",Критерий[[#This Row],[O.K.Критерий]]=1),ROW()-ROW(Критерий[[#Headers],[№]]),"")</f>
        <v/>
      </c>
      <c r="C36" s="84"/>
      <c r="D3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6" s="208" t="str">
        <f ca="1">IFERROR(IF(IFERROR(SEARCH("Прив",Критерий[[#This Row],[Фкритерий]]),0)&gt;0,"Критерий",IF(IFERROR(SEARCH("Матр",Критерий[[#This Row],[Фкритерий]]),0)&gt;0,"ошибка","ошибка")),"ошибка")</f>
        <v>ошибка</v>
      </c>
      <c r="F36" s="224" t="str">
        <f ca="1">IFERROR(IF(LEN((INDIRECT(Критерий[[#This Row],[СНаименование]],FALSE)))=0,"ошибка",IFERROR(INDIRECT(Критерий[[#This Row],[СНаименование]],FALSE),"ошибка")),"ошибка")</f>
        <v>ошибка</v>
      </c>
      <c r="G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6" s="208" t="str">
        <f ca="1">IFERROR(IF(N(INDIRECT(Критерий[[#This Row],[СФизКритерий]],FALSE))=0,"ошибка",IFERROR(INDIRECT(Критерий[[#This Row],[СФизКритерий]],FALSE),"ошибка")),"ошибка")</f>
        <v>ошибка</v>
      </c>
      <c r="I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6" s="208" t="str">
        <f ca="1">IFERROR(_xlfn.FORMULATEXT(INDIRECT(Критерий[[#This Row],[Скритерий]],FALSE)),"ошибка")</f>
        <v>ошибка</v>
      </c>
      <c r="M36" s="208" t="str">
        <f ca="1">IFERROR(IF(N(INDIRECT(Критерий[[#This Row],[СМинФизКритерий]],FALSE))=0,"ошибка",IFERROR(INDIRECT(Критерий[[#This Row],[СМинФизКритерий]],FALSE),"ошибка")),"ошибка")</f>
        <v>ошибка</v>
      </c>
      <c r="N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6" s="208" t="str">
        <f ca="1">IFERROR(IF(N(INDIRECT(Критерий[[#This Row],[СМаксФизКритерий]],FALSE))=0,"ошибка",IFERROR(INDIRECT(Критерий[[#This Row],[СМаксФизКритерий]],FALSE),"ошибка")),"ошибка")</f>
        <v>ошибка</v>
      </c>
      <c r="P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6" s="208" t="str">
        <f ca="1">IFERROR(IF(N(INDIRECT(Критерий[[#This Row],[ССрФизКритерий]],FALSE))=0,"ошибка",IFERROR(INDIRECT(Критерий[[#This Row],[ССрФизКритерий]],FALSE),"ошибка")),"")</f>
        <v/>
      </c>
      <c r="R3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6" s="212">
        <f ca="1">IFERROR(IF(AND(Критерий[[#This Row],[ВидКритерий]]="Критерий",IFERROR(SEARCH("Приведение",Критерий[[#This Row],[Фкритерий]]),0)&gt;0),1,-1),-1)</f>
        <v>-1</v>
      </c>
      <c r="U36" s="222" t="str">
        <f ca="1">IF(AND(Свёртка[[#This Row],[Свёртка]]&lt;&gt;"",Свёртка[[#This Row],[O.K.Свёртка]]=1),ROW()-ROW(Свёртка[[#Headers],[№]]),"")</f>
        <v/>
      </c>
      <c r="V36" s="84"/>
      <c r="W3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6" s="208" t="str">
        <f ca="1">IFERROR(_xlfn.FORMULATEXT(INDIRECT(Свёртка[[#This Row],[ССвёртка]],FALSE)),"ошибка")</f>
        <v>ошибка</v>
      </c>
      <c r="Y36" s="208" t="str">
        <f ca="1">IFERROR(IF(IFERROR(SEARCH("Прив",Свёртка[[#This Row],[ФСвёртка]]),0)&gt;0,"ошибка",IF(IFERROR(SEARCH("Матр",Свёртка[[#This Row],[ФСвёртка]]),0)&gt;0,"Свёртка","ошибка")),"ошибка")</f>
        <v>ошибка</v>
      </c>
      <c r="Z36" s="208" t="str">
        <f ca="1">IFERROR(IF(LEN((INDIRECT(Свёртка[[#This Row],[СНаименование]],FALSE)))=0,"ошибка",IFERROR(INDIRECT(Свёртка[[#This Row],[СНаименование]],FALSE),"ошибка")),"ошибка")</f>
        <v>ошибка</v>
      </c>
      <c r="AA3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6" s="212">
        <f ca="1">IF(Свёртка[[#This Row],[ВидСвёртка]]="Свёртка",1,-1)</f>
        <v>-1</v>
      </c>
      <c r="AG36" s="66">
        <f>IF(AND(Множество[[#This Row],[Y]]=1),ROW()-ROW(Множество[[#Headers],[№]]),"")</f>
        <v>27</v>
      </c>
      <c r="AH36" t="s">
        <v>608</v>
      </c>
      <c r="AI36" s="66">
        <v>1</v>
      </c>
      <c r="AJ36" s="66">
        <f>IF(LEN(Множество[[#This Row],[Свёртка]])&gt;0,1,-1)</f>
        <v>1</v>
      </c>
      <c r="AK36" s="66" t="s">
        <v>1781</v>
      </c>
      <c r="AL36" s="66">
        <f>IF(LEN(Множество[[#This Row],[Критерии]])&gt;0,1,-1)</f>
        <v>1</v>
      </c>
      <c r="AM36" s="66">
        <f>IF(AND(LEN(Множество[[#This Row],[Свёртка]])&gt;0,LEN(Множество[[#This Row],[Критерии]])&gt;0,LEN(Множество[[#This Row],[Оценки]])&gt;0),1,-1)</f>
        <v>1</v>
      </c>
      <c r="AN36">
        <v>6.1166666666666698</v>
      </c>
      <c r="AO36">
        <v>-13.466666666666701</v>
      </c>
      <c r="AP36" s="208"/>
      <c r="AQ36" s="208"/>
      <c r="AR36" s="226"/>
      <c r="AS36" s="225"/>
      <c r="AT36" s="226"/>
      <c r="AU36" s="225"/>
      <c r="AV36" s="225"/>
      <c r="AW36" s="225"/>
      <c r="AX36" s="225"/>
      <c r="AY36" s="225"/>
    </row>
    <row r="37" spans="2:51" x14ac:dyDescent="0.25">
      <c r="B37" s="209" t="str">
        <f ca="1">IF(AND(Критерий[[#This Row],[Критерий]]&lt;&gt;"",Критерий[[#This Row],[O.K.Критерий]]=1),ROW()-ROW(Критерий[[#Headers],[№]]),"")</f>
        <v/>
      </c>
      <c r="C37" s="84"/>
      <c r="D3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7" s="208" t="str">
        <f ca="1">IFERROR(IF(IFERROR(SEARCH("Прив",Критерий[[#This Row],[Фкритерий]]),0)&gt;0,"Критерий",IF(IFERROR(SEARCH("Матр",Критерий[[#This Row],[Фкритерий]]),0)&gt;0,"ошибка","ошибка")),"ошибка")</f>
        <v>ошибка</v>
      </c>
      <c r="F37" s="224" t="str">
        <f ca="1">IFERROR(IF(LEN((INDIRECT(Критерий[[#This Row],[СНаименование]],FALSE)))=0,"ошибка",IFERROR(INDIRECT(Критерий[[#This Row],[СНаименование]],FALSE),"ошибка")),"ошибка")</f>
        <v>ошибка</v>
      </c>
      <c r="G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7" s="208" t="str">
        <f ca="1">IFERROR(IF(N(INDIRECT(Критерий[[#This Row],[СФизКритерий]],FALSE))=0,"ошибка",IFERROR(INDIRECT(Критерий[[#This Row],[СФизКритерий]],FALSE),"ошибка")),"ошибка")</f>
        <v>ошибка</v>
      </c>
      <c r="I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7" s="208" t="str">
        <f ca="1">IFERROR(_xlfn.FORMULATEXT(INDIRECT(Критерий[[#This Row],[Скритерий]],FALSE)),"ошибка")</f>
        <v>ошибка</v>
      </c>
      <c r="M37" s="208" t="str">
        <f ca="1">IFERROR(IF(N(INDIRECT(Критерий[[#This Row],[СМинФизКритерий]],FALSE))=0,"ошибка",IFERROR(INDIRECT(Критерий[[#This Row],[СМинФизКритерий]],FALSE),"ошибка")),"ошибка")</f>
        <v>ошибка</v>
      </c>
      <c r="N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7" s="208" t="str">
        <f ca="1">IFERROR(IF(N(INDIRECT(Критерий[[#This Row],[СМаксФизКритерий]],FALSE))=0,"ошибка",IFERROR(INDIRECT(Критерий[[#This Row],[СМаксФизКритерий]],FALSE),"ошибка")),"ошибка")</f>
        <v>ошибка</v>
      </c>
      <c r="P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7" s="208" t="str">
        <f ca="1">IFERROR(IF(N(INDIRECT(Критерий[[#This Row],[ССрФизКритерий]],FALSE))=0,"ошибка",IFERROR(INDIRECT(Критерий[[#This Row],[ССрФизКритерий]],FALSE),"ошибка")),"")</f>
        <v/>
      </c>
      <c r="R3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7" s="212">
        <f ca="1">IFERROR(IF(AND(Критерий[[#This Row],[ВидКритерий]]="Критерий",IFERROR(SEARCH("Приведение",Критерий[[#This Row],[Фкритерий]]),0)&gt;0),1,-1),-1)</f>
        <v>-1</v>
      </c>
      <c r="U37" s="222" t="str">
        <f ca="1">IF(AND(Свёртка[[#This Row],[Свёртка]]&lt;&gt;"",Свёртка[[#This Row],[O.K.Свёртка]]=1),ROW()-ROW(Свёртка[[#Headers],[№]]),"")</f>
        <v/>
      </c>
      <c r="V37" s="84"/>
      <c r="W3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7" s="208" t="str">
        <f ca="1">IFERROR(_xlfn.FORMULATEXT(INDIRECT(Свёртка[[#This Row],[ССвёртка]],FALSE)),"ошибка")</f>
        <v>ошибка</v>
      </c>
      <c r="Y37" s="208" t="str">
        <f ca="1">IFERROR(IF(IFERROR(SEARCH("Прив",Свёртка[[#This Row],[ФСвёртка]]),0)&gt;0,"ошибка",IF(IFERROR(SEARCH("Матр",Свёртка[[#This Row],[ФСвёртка]]),0)&gt;0,"Свёртка","ошибка")),"ошибка")</f>
        <v>ошибка</v>
      </c>
      <c r="Z37" s="208" t="str">
        <f ca="1">IFERROR(IF(LEN((INDIRECT(Свёртка[[#This Row],[СНаименование]],FALSE)))=0,"ошибка",IFERROR(INDIRECT(Свёртка[[#This Row],[СНаименование]],FALSE),"ошибка")),"ошибка")</f>
        <v>ошибка</v>
      </c>
      <c r="AA3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7" s="212">
        <f ca="1">IF(Свёртка[[#This Row],[ВидСвёртка]]="Свёртка",1,-1)</f>
        <v>-1</v>
      </c>
      <c r="AG37" s="66">
        <f>IF(AND(Множество[[#This Row],[Y]]=1),ROW()-ROW(Множество[[#Headers],[№]]),"")</f>
        <v>28</v>
      </c>
      <c r="AH37" t="s">
        <v>608</v>
      </c>
      <c r="AI37" s="66">
        <v>1</v>
      </c>
      <c r="AJ37" s="66">
        <f>IF(LEN(Множество[[#This Row],[Свёртка]])&gt;0,1,-1)</f>
        <v>1</v>
      </c>
      <c r="AK37" s="66" t="s">
        <v>1781</v>
      </c>
      <c r="AL37" s="66">
        <f>IF(LEN(Множество[[#This Row],[Критерии]])&gt;0,1,-1)</f>
        <v>1</v>
      </c>
      <c r="AM37" s="66">
        <f>IF(AND(LEN(Множество[[#This Row],[Свёртка]])&gt;0,LEN(Множество[[#This Row],[Критерии]])&gt;0,LEN(Множество[[#This Row],[Оценки]])&gt;0),1,-1)</f>
        <v>1</v>
      </c>
      <c r="AN37">
        <v>6</v>
      </c>
      <c r="AO37">
        <v>-13.483333333333301</v>
      </c>
      <c r="AP37" s="208"/>
      <c r="AQ37" s="208"/>
      <c r="AR37" s="226"/>
      <c r="AS37" s="225"/>
      <c r="AT37" s="226"/>
      <c r="AU37" s="225"/>
      <c r="AV37" s="225"/>
      <c r="AW37" s="225"/>
      <c r="AX37" s="225"/>
      <c r="AY37" s="225"/>
    </row>
    <row r="38" spans="2:51" x14ac:dyDescent="0.25">
      <c r="B38" s="209" t="str">
        <f ca="1">IF(AND(Критерий[[#This Row],[Критерий]]&lt;&gt;"",Критерий[[#This Row],[O.K.Критерий]]=1),ROW()-ROW(Критерий[[#Headers],[№]]),"")</f>
        <v/>
      </c>
      <c r="C38" s="84"/>
      <c r="D3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8" s="208" t="str">
        <f ca="1">IFERROR(IF(IFERROR(SEARCH("Прив",Критерий[[#This Row],[Фкритерий]]),0)&gt;0,"Критерий",IF(IFERROR(SEARCH("Матр",Критерий[[#This Row],[Фкритерий]]),0)&gt;0,"ошибка","ошибка")),"ошибка")</f>
        <v>ошибка</v>
      </c>
      <c r="F38" s="224" t="str">
        <f ca="1">IFERROR(IF(LEN((INDIRECT(Критерий[[#This Row],[СНаименование]],FALSE)))=0,"ошибка",IFERROR(INDIRECT(Критерий[[#This Row],[СНаименование]],FALSE),"ошибка")),"ошибка")</f>
        <v>ошибка</v>
      </c>
      <c r="G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8" s="208" t="str">
        <f ca="1">IFERROR(IF(N(INDIRECT(Критерий[[#This Row],[СФизКритерий]],FALSE))=0,"ошибка",IFERROR(INDIRECT(Критерий[[#This Row],[СФизКритерий]],FALSE),"ошибка")),"ошибка")</f>
        <v>ошибка</v>
      </c>
      <c r="I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8" s="208" t="str">
        <f ca="1">IFERROR(_xlfn.FORMULATEXT(INDIRECT(Критерий[[#This Row],[Скритерий]],FALSE)),"ошибка")</f>
        <v>ошибка</v>
      </c>
      <c r="M38" s="208" t="str">
        <f ca="1">IFERROR(IF(N(INDIRECT(Критерий[[#This Row],[СМинФизКритерий]],FALSE))=0,"ошибка",IFERROR(INDIRECT(Критерий[[#This Row],[СМинФизКритерий]],FALSE),"ошибка")),"ошибка")</f>
        <v>ошибка</v>
      </c>
      <c r="N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8" s="208" t="str">
        <f ca="1">IFERROR(IF(N(INDIRECT(Критерий[[#This Row],[СМаксФизКритерий]],FALSE))=0,"ошибка",IFERROR(INDIRECT(Критерий[[#This Row],[СМаксФизКритерий]],FALSE),"ошибка")),"ошибка")</f>
        <v>ошибка</v>
      </c>
      <c r="P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8" s="208" t="str">
        <f ca="1">IFERROR(IF(N(INDIRECT(Критерий[[#This Row],[ССрФизКритерий]],FALSE))=0,"ошибка",IFERROR(INDIRECT(Критерий[[#This Row],[ССрФизКритерий]],FALSE),"ошибка")),"")</f>
        <v/>
      </c>
      <c r="R3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8" s="212">
        <f ca="1">IFERROR(IF(AND(Критерий[[#This Row],[ВидКритерий]]="Критерий",IFERROR(SEARCH("Приведение",Критерий[[#This Row],[Фкритерий]]),0)&gt;0),1,-1),-1)</f>
        <v>-1</v>
      </c>
      <c r="U38" s="222" t="str">
        <f ca="1">IF(AND(Свёртка[[#This Row],[Свёртка]]&lt;&gt;"",Свёртка[[#This Row],[O.K.Свёртка]]=1),ROW()-ROW(Свёртка[[#Headers],[№]]),"")</f>
        <v/>
      </c>
      <c r="V38" s="84"/>
      <c r="W3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8" s="208" t="str">
        <f ca="1">IFERROR(_xlfn.FORMULATEXT(INDIRECT(Свёртка[[#This Row],[ССвёртка]],FALSE)),"ошибка")</f>
        <v>ошибка</v>
      </c>
      <c r="Y38" s="208" t="str">
        <f ca="1">IFERROR(IF(IFERROR(SEARCH("Прив",Свёртка[[#This Row],[ФСвёртка]]),0)&gt;0,"ошибка",IF(IFERROR(SEARCH("Матр",Свёртка[[#This Row],[ФСвёртка]]),0)&gt;0,"Свёртка","ошибка")),"ошибка")</f>
        <v>ошибка</v>
      </c>
      <c r="Z38" s="208" t="str">
        <f ca="1">IFERROR(IF(LEN((INDIRECT(Свёртка[[#This Row],[СНаименование]],FALSE)))=0,"ошибка",IFERROR(INDIRECT(Свёртка[[#This Row],[СНаименование]],FALSE),"ошибка")),"ошибка")</f>
        <v>ошибка</v>
      </c>
      <c r="AA3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8" s="212">
        <f ca="1">IF(Свёртка[[#This Row],[ВидСвёртка]]="Свёртка",1,-1)</f>
        <v>-1</v>
      </c>
      <c r="AG38" s="66">
        <f>IF(AND(Множество[[#This Row],[Y]]=1),ROW()-ROW(Множество[[#Headers],[№]]),"")</f>
        <v>29</v>
      </c>
      <c r="AH38" t="s">
        <v>608</v>
      </c>
      <c r="AI38" s="66">
        <v>1</v>
      </c>
      <c r="AJ38" s="66">
        <f>IF(LEN(Множество[[#This Row],[Свёртка]])&gt;0,1,-1)</f>
        <v>1</v>
      </c>
      <c r="AK38" s="66" t="s">
        <v>1781</v>
      </c>
      <c r="AL38" s="66">
        <f>IF(LEN(Множество[[#This Row],[Критерии]])&gt;0,1,-1)</f>
        <v>1</v>
      </c>
      <c r="AM38" s="66">
        <f>IF(AND(LEN(Множество[[#This Row],[Свёртка]])&gt;0,LEN(Множество[[#This Row],[Критерии]])&gt;0,LEN(Множество[[#This Row],[Оценки]])&gt;0),1,-1)</f>
        <v>1</v>
      </c>
      <c r="AN38">
        <v>6.05833333333333</v>
      </c>
      <c r="AO38">
        <v>-13.483333333333301</v>
      </c>
      <c r="AP38" s="208"/>
      <c r="AQ38" s="208"/>
      <c r="AR38" s="226"/>
      <c r="AS38" s="225"/>
      <c r="AT38" s="226"/>
      <c r="AU38" s="225"/>
      <c r="AV38" s="225"/>
      <c r="AW38" s="225"/>
      <c r="AX38" s="225"/>
      <c r="AY38" s="225"/>
    </row>
    <row r="39" spans="2:51" x14ac:dyDescent="0.25">
      <c r="B39" s="209" t="str">
        <f ca="1">IF(AND(Критерий[[#This Row],[Критерий]]&lt;&gt;"",Критерий[[#This Row],[O.K.Критерий]]=1),ROW()-ROW(Критерий[[#Headers],[№]]),"")</f>
        <v/>
      </c>
      <c r="C39" s="84"/>
      <c r="D3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9" s="208" t="str">
        <f ca="1">IFERROR(IF(IFERROR(SEARCH("Прив",Критерий[[#This Row],[Фкритерий]]),0)&gt;0,"Критерий",IF(IFERROR(SEARCH("Матр",Критерий[[#This Row],[Фкритерий]]),0)&gt;0,"ошибка","ошибка")),"ошибка")</f>
        <v>ошибка</v>
      </c>
      <c r="F39" s="224" t="str">
        <f ca="1">IFERROR(IF(LEN((INDIRECT(Критерий[[#This Row],[СНаименование]],FALSE)))=0,"ошибка",IFERROR(INDIRECT(Критерий[[#This Row],[СНаименование]],FALSE),"ошибка")),"ошибка")</f>
        <v>ошибка</v>
      </c>
      <c r="G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9" s="208" t="str">
        <f ca="1">IFERROR(IF(N(INDIRECT(Критерий[[#This Row],[СФизКритерий]],FALSE))=0,"ошибка",IFERROR(INDIRECT(Критерий[[#This Row],[СФизКритерий]],FALSE),"ошибка")),"ошибка")</f>
        <v>ошибка</v>
      </c>
      <c r="I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9" s="208" t="str">
        <f ca="1">IFERROR(_xlfn.FORMULATEXT(INDIRECT(Критерий[[#This Row],[Скритерий]],FALSE)),"ошибка")</f>
        <v>ошибка</v>
      </c>
      <c r="M39" s="208" t="str">
        <f ca="1">IFERROR(IF(N(INDIRECT(Критерий[[#This Row],[СМинФизКритерий]],FALSE))=0,"ошибка",IFERROR(INDIRECT(Критерий[[#This Row],[СМинФизКритерий]],FALSE),"ошибка")),"ошибка")</f>
        <v>ошибка</v>
      </c>
      <c r="N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9" s="208" t="str">
        <f ca="1">IFERROR(IF(N(INDIRECT(Критерий[[#This Row],[СМаксФизКритерий]],FALSE))=0,"ошибка",IFERROR(INDIRECT(Критерий[[#This Row],[СМаксФизКритерий]],FALSE),"ошибка")),"ошибка")</f>
        <v>ошибка</v>
      </c>
      <c r="P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9" s="208" t="str">
        <f ca="1">IFERROR(IF(N(INDIRECT(Критерий[[#This Row],[ССрФизКритерий]],FALSE))=0,"ошибка",IFERROR(INDIRECT(Критерий[[#This Row],[ССрФизКритерий]],FALSE),"ошибка")),"")</f>
        <v/>
      </c>
      <c r="R3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9" s="212">
        <f ca="1">IFERROR(IF(AND(Критерий[[#This Row],[ВидКритерий]]="Критерий",IFERROR(SEARCH("Приведение",Критерий[[#This Row],[Фкритерий]]),0)&gt;0),1,-1),-1)</f>
        <v>-1</v>
      </c>
      <c r="U39" s="222" t="str">
        <f ca="1">IF(AND(Свёртка[[#This Row],[Свёртка]]&lt;&gt;"",Свёртка[[#This Row],[O.K.Свёртка]]=1),ROW()-ROW(Свёртка[[#Headers],[№]]),"")</f>
        <v/>
      </c>
      <c r="V39" s="84"/>
      <c r="W3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9" s="208" t="str">
        <f ca="1">IFERROR(_xlfn.FORMULATEXT(INDIRECT(Свёртка[[#This Row],[ССвёртка]],FALSE)),"ошибка")</f>
        <v>ошибка</v>
      </c>
      <c r="Y39" s="208" t="str">
        <f ca="1">IFERROR(IF(IFERROR(SEARCH("Прив",Свёртка[[#This Row],[ФСвёртка]]),0)&gt;0,"ошибка",IF(IFERROR(SEARCH("Матр",Свёртка[[#This Row],[ФСвёртка]]),0)&gt;0,"Свёртка","ошибка")),"ошибка")</f>
        <v>ошибка</v>
      </c>
      <c r="Z39" s="208" t="str">
        <f ca="1">IFERROR(IF(LEN((INDIRECT(Свёртка[[#This Row],[СНаименование]],FALSE)))=0,"ошибка",IFERROR(INDIRECT(Свёртка[[#This Row],[СНаименование]],FALSE),"ошибка")),"ошибка")</f>
        <v>ошибка</v>
      </c>
      <c r="AA3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9" s="212">
        <f ca="1">IF(Свёртка[[#This Row],[ВидСвёртка]]="Свёртка",1,-1)</f>
        <v>-1</v>
      </c>
      <c r="AG39" s="66">
        <f>IF(AND(Множество[[#This Row],[Y]]=1),ROW()-ROW(Множество[[#Headers],[№]]),"")</f>
        <v>30</v>
      </c>
      <c r="AH39" t="s">
        <v>608</v>
      </c>
      <c r="AI39" s="66">
        <v>1</v>
      </c>
      <c r="AJ39" s="66">
        <f>IF(LEN(Множество[[#This Row],[Свёртка]])&gt;0,1,-1)</f>
        <v>1</v>
      </c>
      <c r="AK39" s="66" t="s">
        <v>1781</v>
      </c>
      <c r="AL39" s="66">
        <f>IF(LEN(Множество[[#This Row],[Критерии]])&gt;0,1,-1)</f>
        <v>1</v>
      </c>
      <c r="AM39" s="66">
        <f>IF(AND(LEN(Множество[[#This Row],[Свёртка]])&gt;0,LEN(Множество[[#This Row],[Критерии]])&gt;0,LEN(Множество[[#This Row],[Оценки]])&gt;0),1,-1)</f>
        <v>1</v>
      </c>
      <c r="AN39">
        <v>5.94166666666667</v>
      </c>
      <c r="AO39">
        <v>-13.5</v>
      </c>
      <c r="AP39" s="208"/>
      <c r="AQ39" s="208"/>
      <c r="AR39" s="226"/>
      <c r="AS39" s="225"/>
      <c r="AT39" s="226"/>
      <c r="AU39" s="225"/>
      <c r="AV39" s="225"/>
      <c r="AW39" s="225"/>
      <c r="AX39" s="225"/>
      <c r="AY39" s="225"/>
    </row>
    <row r="40" spans="2:51" x14ac:dyDescent="0.25">
      <c r="B40" s="209" t="str">
        <f ca="1">IF(AND(Критерий[[#This Row],[Критерий]]&lt;&gt;"",Критерий[[#This Row],[O.K.Критерий]]=1),ROW()-ROW(Критерий[[#Headers],[№]]),"")</f>
        <v/>
      </c>
      <c r="C40" s="84"/>
      <c r="D4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0" s="208" t="str">
        <f ca="1">IFERROR(IF(IFERROR(SEARCH("Прив",Критерий[[#This Row],[Фкритерий]]),0)&gt;0,"Критерий",IF(IFERROR(SEARCH("Матр",Критерий[[#This Row],[Фкритерий]]),0)&gt;0,"ошибка","ошибка")),"ошибка")</f>
        <v>ошибка</v>
      </c>
      <c r="F40" s="224" t="str">
        <f ca="1">IFERROR(IF(LEN((INDIRECT(Критерий[[#This Row],[СНаименование]],FALSE)))=0,"ошибка",IFERROR(INDIRECT(Критерий[[#This Row],[СНаименование]],FALSE),"ошибка")),"ошибка")</f>
        <v>ошибка</v>
      </c>
      <c r="G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0" s="208" t="str">
        <f ca="1">IFERROR(IF(N(INDIRECT(Критерий[[#This Row],[СФизКритерий]],FALSE))=0,"ошибка",IFERROR(INDIRECT(Критерий[[#This Row],[СФизКритерий]],FALSE),"ошибка")),"ошибка")</f>
        <v>ошибка</v>
      </c>
      <c r="I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0" s="208" t="str">
        <f ca="1">IFERROR(_xlfn.FORMULATEXT(INDIRECT(Критерий[[#This Row],[Скритерий]],FALSE)),"ошибка")</f>
        <v>ошибка</v>
      </c>
      <c r="M40" s="208" t="str">
        <f ca="1">IFERROR(IF(N(INDIRECT(Критерий[[#This Row],[СМинФизКритерий]],FALSE))=0,"ошибка",IFERROR(INDIRECT(Критерий[[#This Row],[СМинФизКритерий]],FALSE),"ошибка")),"ошибка")</f>
        <v>ошибка</v>
      </c>
      <c r="N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0" s="208" t="str">
        <f ca="1">IFERROR(IF(N(INDIRECT(Критерий[[#This Row],[СМаксФизКритерий]],FALSE))=0,"ошибка",IFERROR(INDIRECT(Критерий[[#This Row],[СМаксФизКритерий]],FALSE),"ошибка")),"ошибка")</f>
        <v>ошибка</v>
      </c>
      <c r="P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0" s="208" t="str">
        <f ca="1">IFERROR(IF(N(INDIRECT(Критерий[[#This Row],[ССрФизКритерий]],FALSE))=0,"ошибка",IFERROR(INDIRECT(Критерий[[#This Row],[ССрФизКритерий]],FALSE),"ошибка")),"")</f>
        <v/>
      </c>
      <c r="R4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0" s="212">
        <f ca="1">IFERROR(IF(AND(Критерий[[#This Row],[ВидКритерий]]="Критерий",IFERROR(SEARCH("Приведение",Критерий[[#This Row],[Фкритерий]]),0)&gt;0),1,-1),-1)</f>
        <v>-1</v>
      </c>
      <c r="U40" s="222" t="str">
        <f ca="1">IF(AND(Свёртка[[#This Row],[Свёртка]]&lt;&gt;"",Свёртка[[#This Row],[O.K.Свёртка]]=1),ROW()-ROW(Свёртка[[#Headers],[№]]),"")</f>
        <v/>
      </c>
      <c r="V40" s="84"/>
      <c r="W4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0" s="208" t="str">
        <f ca="1">IFERROR(_xlfn.FORMULATEXT(INDIRECT(Свёртка[[#This Row],[ССвёртка]],FALSE)),"ошибка")</f>
        <v>ошибка</v>
      </c>
      <c r="Y40" s="208" t="str">
        <f ca="1">IFERROR(IF(IFERROR(SEARCH("Прив",Свёртка[[#This Row],[ФСвёртка]]),0)&gt;0,"ошибка",IF(IFERROR(SEARCH("Матр",Свёртка[[#This Row],[ФСвёртка]]),0)&gt;0,"Свёртка","ошибка")),"ошибка")</f>
        <v>ошибка</v>
      </c>
      <c r="Z40" s="208" t="str">
        <f ca="1">IFERROR(IF(LEN((INDIRECT(Свёртка[[#This Row],[СНаименование]],FALSE)))=0,"ошибка",IFERROR(INDIRECT(Свёртка[[#This Row],[СНаименование]],FALSE),"ошибка")),"ошибка")</f>
        <v>ошибка</v>
      </c>
      <c r="AA4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0" s="212">
        <f ca="1">IF(Свёртка[[#This Row],[ВидСвёртка]]="Свёртка",1,-1)</f>
        <v>-1</v>
      </c>
      <c r="AG40" s="66">
        <f>IF(AND(Множество[[#This Row],[Y]]=1),ROW()-ROW(Множество[[#Headers],[№]]),"")</f>
        <v>31</v>
      </c>
      <c r="AH40" t="s">
        <v>608</v>
      </c>
      <c r="AI40" s="66">
        <v>1</v>
      </c>
      <c r="AJ40" s="66">
        <f>IF(LEN(Множество[[#This Row],[Свёртка]])&gt;0,1,-1)</f>
        <v>1</v>
      </c>
      <c r="AK40" s="66" t="s">
        <v>1781</v>
      </c>
      <c r="AL40" s="66">
        <f>IF(LEN(Множество[[#This Row],[Критерии]])&gt;0,1,-1)</f>
        <v>1</v>
      </c>
      <c r="AM40" s="66">
        <f>IF(AND(LEN(Множество[[#This Row],[Свёртка]])&gt;0,LEN(Множество[[#This Row],[Критерии]])&gt;0,LEN(Множество[[#This Row],[Оценки]])&gt;0),1,-1)</f>
        <v>1</v>
      </c>
      <c r="AN40">
        <v>5.8833333333333302</v>
      </c>
      <c r="AO40">
        <v>-13.516666666666699</v>
      </c>
      <c r="AP40" s="208"/>
      <c r="AQ40" s="208"/>
      <c r="AR40" s="226"/>
      <c r="AS40" s="225"/>
      <c r="AT40" s="226"/>
      <c r="AU40" s="225"/>
      <c r="AV40" s="225"/>
      <c r="AW40" s="225"/>
      <c r="AX40" s="225"/>
      <c r="AY40" s="225"/>
    </row>
    <row r="41" spans="2:51" x14ac:dyDescent="0.25">
      <c r="B41" s="209" t="str">
        <f ca="1">IF(AND(Критерий[[#This Row],[Критерий]]&lt;&gt;"",Критерий[[#This Row],[O.K.Критерий]]=1),ROW()-ROW(Критерий[[#Headers],[№]]),"")</f>
        <v/>
      </c>
      <c r="C41" s="84"/>
      <c r="D4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1" s="208" t="str">
        <f ca="1">IFERROR(IF(IFERROR(SEARCH("Прив",Критерий[[#This Row],[Фкритерий]]),0)&gt;0,"Критерий",IF(IFERROR(SEARCH("Матр",Критерий[[#This Row],[Фкритерий]]),0)&gt;0,"ошибка","ошибка")),"ошибка")</f>
        <v>ошибка</v>
      </c>
      <c r="F41" s="224" t="str">
        <f ca="1">IFERROR(IF(LEN((INDIRECT(Критерий[[#This Row],[СНаименование]],FALSE)))=0,"ошибка",IFERROR(INDIRECT(Критерий[[#This Row],[СНаименование]],FALSE),"ошибка")),"ошибка")</f>
        <v>ошибка</v>
      </c>
      <c r="G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1" s="208" t="str">
        <f ca="1">IFERROR(IF(N(INDIRECT(Критерий[[#This Row],[СФизКритерий]],FALSE))=0,"ошибка",IFERROR(INDIRECT(Критерий[[#This Row],[СФизКритерий]],FALSE),"ошибка")),"ошибка")</f>
        <v>ошибка</v>
      </c>
      <c r="I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1" s="208" t="str">
        <f ca="1">IFERROR(_xlfn.FORMULATEXT(INDIRECT(Критерий[[#This Row],[Скритерий]],FALSE)),"ошибка")</f>
        <v>ошибка</v>
      </c>
      <c r="M41" s="208" t="str">
        <f ca="1">IFERROR(IF(N(INDIRECT(Критерий[[#This Row],[СМинФизКритерий]],FALSE))=0,"ошибка",IFERROR(INDIRECT(Критерий[[#This Row],[СМинФизКритерий]],FALSE),"ошибка")),"ошибка")</f>
        <v>ошибка</v>
      </c>
      <c r="N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1" s="208" t="str">
        <f ca="1">IFERROR(IF(N(INDIRECT(Критерий[[#This Row],[СМаксФизКритерий]],FALSE))=0,"ошибка",IFERROR(INDIRECT(Критерий[[#This Row],[СМаксФизКритерий]],FALSE),"ошибка")),"ошибка")</f>
        <v>ошибка</v>
      </c>
      <c r="P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1" s="208" t="str">
        <f ca="1">IFERROR(IF(N(INDIRECT(Критерий[[#This Row],[ССрФизКритерий]],FALSE))=0,"ошибка",IFERROR(INDIRECT(Критерий[[#This Row],[ССрФизКритерий]],FALSE),"ошибка")),"")</f>
        <v/>
      </c>
      <c r="R4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1" s="212">
        <f ca="1">IFERROR(IF(AND(Критерий[[#This Row],[ВидКритерий]]="Критерий",IFERROR(SEARCH("Приведение",Критерий[[#This Row],[Фкритерий]]),0)&gt;0),1,-1),-1)</f>
        <v>-1</v>
      </c>
      <c r="U41" s="222" t="str">
        <f ca="1">IF(AND(Свёртка[[#This Row],[Свёртка]]&lt;&gt;"",Свёртка[[#This Row],[O.K.Свёртка]]=1),ROW()-ROW(Свёртка[[#Headers],[№]]),"")</f>
        <v/>
      </c>
      <c r="V41" s="84"/>
      <c r="W4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1" s="208" t="str">
        <f ca="1">IFERROR(_xlfn.FORMULATEXT(INDIRECT(Свёртка[[#This Row],[ССвёртка]],FALSE)),"ошибка")</f>
        <v>ошибка</v>
      </c>
      <c r="Y41" s="208" t="str">
        <f ca="1">IFERROR(IF(IFERROR(SEARCH("Прив",Свёртка[[#This Row],[ФСвёртка]]),0)&gt;0,"ошибка",IF(IFERROR(SEARCH("Матр",Свёртка[[#This Row],[ФСвёртка]]),0)&gt;0,"Свёртка","ошибка")),"ошибка")</f>
        <v>ошибка</v>
      </c>
      <c r="Z41" s="208" t="str">
        <f ca="1">IFERROR(IF(LEN((INDIRECT(Свёртка[[#This Row],[СНаименование]],FALSE)))=0,"ошибка",IFERROR(INDIRECT(Свёртка[[#This Row],[СНаименование]],FALSE),"ошибка")),"ошибка")</f>
        <v>ошибка</v>
      </c>
      <c r="AA4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1" s="212">
        <f ca="1">IF(Свёртка[[#This Row],[ВидСвёртка]]="Свёртка",1,-1)</f>
        <v>-1</v>
      </c>
      <c r="AG41" s="66">
        <f>IF(AND(Множество[[#This Row],[Y]]=1),ROW()-ROW(Множество[[#Headers],[№]]),"")</f>
        <v>32</v>
      </c>
      <c r="AH41" t="s">
        <v>608</v>
      </c>
      <c r="AI41" s="66">
        <v>1</v>
      </c>
      <c r="AJ41" s="66">
        <f>IF(LEN(Множество[[#This Row],[Свёртка]])&gt;0,1,-1)</f>
        <v>1</v>
      </c>
      <c r="AK41" s="66" t="s">
        <v>1781</v>
      </c>
      <c r="AL41" s="66">
        <f>IF(LEN(Множество[[#This Row],[Критерии]])&gt;0,1,-1)</f>
        <v>1</v>
      </c>
      <c r="AM41" s="66">
        <f>IF(AND(LEN(Множество[[#This Row],[Свёртка]])&gt;0,LEN(Множество[[#This Row],[Критерии]])&gt;0,LEN(Множество[[#This Row],[Оценки]])&gt;0),1,-1)</f>
        <v>1</v>
      </c>
      <c r="AN41">
        <v>5.8250000000000002</v>
      </c>
      <c r="AO41">
        <v>-13.533333333333299</v>
      </c>
      <c r="AP41" s="208"/>
      <c r="AQ41" s="208"/>
      <c r="AR41" s="226"/>
      <c r="AS41" s="225"/>
      <c r="AT41" s="226"/>
      <c r="AU41" s="225"/>
      <c r="AV41" s="225"/>
      <c r="AW41" s="225"/>
      <c r="AX41" s="225"/>
      <c r="AY41" s="225"/>
    </row>
    <row r="42" spans="2:51" x14ac:dyDescent="0.25">
      <c r="B42" s="209" t="str">
        <f ca="1">IF(AND(Критерий[[#This Row],[Критерий]]&lt;&gt;"",Критерий[[#This Row],[O.K.Критерий]]=1),ROW()-ROW(Критерий[[#Headers],[№]]),"")</f>
        <v/>
      </c>
      <c r="C42" s="84"/>
      <c r="D4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2" s="208" t="str">
        <f ca="1">IFERROR(IF(IFERROR(SEARCH("Прив",Критерий[[#This Row],[Фкритерий]]),0)&gt;0,"Критерий",IF(IFERROR(SEARCH("Матр",Критерий[[#This Row],[Фкритерий]]),0)&gt;0,"ошибка","ошибка")),"ошибка")</f>
        <v>ошибка</v>
      </c>
      <c r="F42" s="224" t="str">
        <f ca="1">IFERROR(IF(LEN((INDIRECT(Критерий[[#This Row],[СНаименование]],FALSE)))=0,"ошибка",IFERROR(INDIRECT(Критерий[[#This Row],[СНаименование]],FALSE),"ошибка")),"ошибка")</f>
        <v>ошибка</v>
      </c>
      <c r="G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2" s="208" t="str">
        <f ca="1">IFERROR(IF(N(INDIRECT(Критерий[[#This Row],[СФизКритерий]],FALSE))=0,"ошибка",IFERROR(INDIRECT(Критерий[[#This Row],[СФизКритерий]],FALSE),"ошибка")),"ошибка")</f>
        <v>ошибка</v>
      </c>
      <c r="I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2" s="208" t="str">
        <f ca="1">IFERROR(_xlfn.FORMULATEXT(INDIRECT(Критерий[[#This Row],[Скритерий]],FALSE)),"ошибка")</f>
        <v>ошибка</v>
      </c>
      <c r="M42" s="208" t="str">
        <f ca="1">IFERROR(IF(N(INDIRECT(Критерий[[#This Row],[СМинФизКритерий]],FALSE))=0,"ошибка",IFERROR(INDIRECT(Критерий[[#This Row],[СМинФизКритерий]],FALSE),"ошибка")),"ошибка")</f>
        <v>ошибка</v>
      </c>
      <c r="N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2" s="208" t="str">
        <f ca="1">IFERROR(IF(N(INDIRECT(Критерий[[#This Row],[СМаксФизКритерий]],FALSE))=0,"ошибка",IFERROR(INDIRECT(Критерий[[#This Row],[СМаксФизКритерий]],FALSE),"ошибка")),"ошибка")</f>
        <v>ошибка</v>
      </c>
      <c r="P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2" s="208" t="str">
        <f ca="1">IFERROR(IF(N(INDIRECT(Критерий[[#This Row],[ССрФизКритерий]],FALSE))=0,"ошибка",IFERROR(INDIRECT(Критерий[[#This Row],[ССрФизКритерий]],FALSE),"ошибка")),"")</f>
        <v/>
      </c>
      <c r="R4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2" s="212">
        <f ca="1">IFERROR(IF(AND(Критерий[[#This Row],[ВидКритерий]]="Критерий",IFERROR(SEARCH("Приведение",Критерий[[#This Row],[Фкритерий]]),0)&gt;0),1,-1),-1)</f>
        <v>-1</v>
      </c>
      <c r="U42" s="222" t="str">
        <f ca="1">IF(AND(Свёртка[[#This Row],[Свёртка]]&lt;&gt;"",Свёртка[[#This Row],[O.K.Свёртка]]=1),ROW()-ROW(Свёртка[[#Headers],[№]]),"")</f>
        <v/>
      </c>
      <c r="V42" s="84"/>
      <c r="W4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2" s="208" t="str">
        <f ca="1">IFERROR(_xlfn.FORMULATEXT(INDIRECT(Свёртка[[#This Row],[ССвёртка]],FALSE)),"ошибка")</f>
        <v>ошибка</v>
      </c>
      <c r="Y42" s="208" t="str">
        <f ca="1">IFERROR(IF(IFERROR(SEARCH("Прив",Свёртка[[#This Row],[ФСвёртка]]),0)&gt;0,"ошибка",IF(IFERROR(SEARCH("Матр",Свёртка[[#This Row],[ФСвёртка]]),0)&gt;0,"Свёртка","ошибка")),"ошибка")</f>
        <v>ошибка</v>
      </c>
      <c r="Z42" s="208" t="str">
        <f ca="1">IFERROR(IF(LEN((INDIRECT(Свёртка[[#This Row],[СНаименование]],FALSE)))=0,"ошибка",IFERROR(INDIRECT(Свёртка[[#This Row],[СНаименование]],FALSE),"ошибка")),"ошибка")</f>
        <v>ошибка</v>
      </c>
      <c r="AA4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2" s="212">
        <f ca="1">IF(Свёртка[[#This Row],[ВидСвёртка]]="Свёртка",1,-1)</f>
        <v>-1</v>
      </c>
      <c r="AG42" s="66">
        <f>IF(AND(Множество[[#This Row],[Y]]=1),ROW()-ROW(Множество[[#Headers],[№]]),"")</f>
        <v>33</v>
      </c>
      <c r="AH42" t="s">
        <v>608</v>
      </c>
      <c r="AI42" s="66">
        <v>1</v>
      </c>
      <c r="AJ42" s="66">
        <f>IF(LEN(Множество[[#This Row],[Свёртка]])&gt;0,1,-1)</f>
        <v>1</v>
      </c>
      <c r="AK42" s="66" t="s">
        <v>1781</v>
      </c>
      <c r="AL42" s="66">
        <f>IF(LEN(Множество[[#This Row],[Критерии]])&gt;0,1,-1)</f>
        <v>1</v>
      </c>
      <c r="AM42" s="66">
        <f>IF(AND(LEN(Множество[[#This Row],[Свёртка]])&gt;0,LEN(Множество[[#This Row],[Критерии]])&gt;0,LEN(Множество[[#This Row],[Оценки]])&gt;0),1,-1)</f>
        <v>1</v>
      </c>
      <c r="AN42">
        <v>5.7083333333333304</v>
      </c>
      <c r="AO42">
        <v>-13.55</v>
      </c>
      <c r="AP42" s="208"/>
      <c r="AQ42" s="208"/>
      <c r="AR42" s="226"/>
      <c r="AS42" s="225"/>
      <c r="AT42" s="226"/>
      <c r="AU42" s="225"/>
      <c r="AV42" s="225"/>
      <c r="AW42" s="225"/>
      <c r="AX42" s="225"/>
      <c r="AY42" s="225"/>
    </row>
    <row r="43" spans="2:51" x14ac:dyDescent="0.25">
      <c r="B43" s="209" t="str">
        <f ca="1">IF(AND(Критерий[[#This Row],[Критерий]]&lt;&gt;"",Критерий[[#This Row],[O.K.Критерий]]=1),ROW()-ROW(Критерий[[#Headers],[№]]),"")</f>
        <v/>
      </c>
      <c r="C43" s="84"/>
      <c r="D4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3" s="208" t="str">
        <f ca="1">IFERROR(IF(IFERROR(SEARCH("Прив",Критерий[[#This Row],[Фкритерий]]),0)&gt;0,"Критерий",IF(IFERROR(SEARCH("Матр",Критерий[[#This Row],[Фкритерий]]),0)&gt;0,"ошибка","ошибка")),"ошибка")</f>
        <v>ошибка</v>
      </c>
      <c r="F43" s="224" t="str">
        <f ca="1">IFERROR(IF(LEN((INDIRECT(Критерий[[#This Row],[СНаименование]],FALSE)))=0,"ошибка",IFERROR(INDIRECT(Критерий[[#This Row],[СНаименование]],FALSE),"ошибка")),"ошибка")</f>
        <v>ошибка</v>
      </c>
      <c r="G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3" s="208" t="str">
        <f ca="1">IFERROR(IF(N(INDIRECT(Критерий[[#This Row],[СФизКритерий]],FALSE))=0,"ошибка",IFERROR(INDIRECT(Критерий[[#This Row],[СФизКритерий]],FALSE),"ошибка")),"ошибка")</f>
        <v>ошибка</v>
      </c>
      <c r="I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3" s="208" t="str">
        <f ca="1">IFERROR(_xlfn.FORMULATEXT(INDIRECT(Критерий[[#This Row],[Скритерий]],FALSE)),"ошибка")</f>
        <v>ошибка</v>
      </c>
      <c r="M43" s="208" t="str">
        <f ca="1">IFERROR(IF(N(INDIRECT(Критерий[[#This Row],[СМинФизКритерий]],FALSE))=0,"ошибка",IFERROR(INDIRECT(Критерий[[#This Row],[СМинФизКритерий]],FALSE),"ошибка")),"ошибка")</f>
        <v>ошибка</v>
      </c>
      <c r="N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3" s="208" t="str">
        <f ca="1">IFERROR(IF(N(INDIRECT(Критерий[[#This Row],[СМаксФизКритерий]],FALSE))=0,"ошибка",IFERROR(INDIRECT(Критерий[[#This Row],[СМаксФизКритерий]],FALSE),"ошибка")),"ошибка")</f>
        <v>ошибка</v>
      </c>
      <c r="P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3" s="208" t="str">
        <f ca="1">IFERROR(IF(N(INDIRECT(Критерий[[#This Row],[ССрФизКритерий]],FALSE))=0,"ошибка",IFERROR(INDIRECT(Критерий[[#This Row],[ССрФизКритерий]],FALSE),"ошибка")),"")</f>
        <v/>
      </c>
      <c r="R4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3" s="212">
        <f ca="1">IFERROR(IF(AND(Критерий[[#This Row],[ВидКритерий]]="Критерий",IFERROR(SEARCH("Приведение",Критерий[[#This Row],[Фкритерий]]),0)&gt;0),1,-1),-1)</f>
        <v>-1</v>
      </c>
      <c r="U43" s="222" t="str">
        <f ca="1">IF(AND(Свёртка[[#This Row],[Свёртка]]&lt;&gt;"",Свёртка[[#This Row],[O.K.Свёртка]]=1),ROW()-ROW(Свёртка[[#Headers],[№]]),"")</f>
        <v/>
      </c>
      <c r="V43" s="84"/>
      <c r="W4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3" s="208" t="str">
        <f ca="1">IFERROR(_xlfn.FORMULATEXT(INDIRECT(Свёртка[[#This Row],[ССвёртка]],FALSE)),"ошибка")</f>
        <v>ошибка</v>
      </c>
      <c r="Y43" s="208" t="str">
        <f ca="1">IFERROR(IF(IFERROR(SEARCH("Прив",Свёртка[[#This Row],[ФСвёртка]]),0)&gt;0,"ошибка",IF(IFERROR(SEARCH("Матр",Свёртка[[#This Row],[ФСвёртка]]),0)&gt;0,"Свёртка","ошибка")),"ошибка")</f>
        <v>ошибка</v>
      </c>
      <c r="Z43" s="208" t="str">
        <f ca="1">IFERROR(IF(LEN((INDIRECT(Свёртка[[#This Row],[СНаименование]],FALSE)))=0,"ошибка",IFERROR(INDIRECT(Свёртка[[#This Row],[СНаименование]],FALSE),"ошибка")),"ошибка")</f>
        <v>ошибка</v>
      </c>
      <c r="AA4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3" s="212">
        <f ca="1">IF(Свёртка[[#This Row],[ВидСвёртка]]="Свёртка",1,-1)</f>
        <v>-1</v>
      </c>
      <c r="AG43" s="66">
        <f>IF(AND(Множество[[#This Row],[Y]]=1),ROW()-ROW(Множество[[#Headers],[№]]),"")</f>
        <v>34</v>
      </c>
      <c r="AH43" t="s">
        <v>608</v>
      </c>
      <c r="AI43" s="66">
        <v>1</v>
      </c>
      <c r="AJ43" s="66">
        <f>IF(LEN(Множество[[#This Row],[Свёртка]])&gt;0,1,-1)</f>
        <v>1</v>
      </c>
      <c r="AK43" s="66" t="s">
        <v>1781</v>
      </c>
      <c r="AL43" s="66">
        <f>IF(LEN(Множество[[#This Row],[Критерии]])&gt;0,1,-1)</f>
        <v>1</v>
      </c>
      <c r="AM43" s="66">
        <f>IF(AND(LEN(Множество[[#This Row],[Свёртка]])&gt;0,LEN(Множество[[#This Row],[Критерии]])&gt;0,LEN(Множество[[#This Row],[Оценки]])&gt;0),1,-1)</f>
        <v>1</v>
      </c>
      <c r="AN43">
        <v>5.65</v>
      </c>
      <c r="AO43">
        <v>-13.5666666666667</v>
      </c>
      <c r="AP43" s="208"/>
      <c r="AQ43" s="208"/>
      <c r="AR43" s="226"/>
      <c r="AS43" s="225"/>
      <c r="AT43" s="226"/>
      <c r="AU43" s="225"/>
      <c r="AV43" s="225"/>
      <c r="AW43" s="225"/>
      <c r="AX43" s="225"/>
      <c r="AY43" s="225"/>
    </row>
    <row r="44" spans="2:51" x14ac:dyDescent="0.25">
      <c r="B44" s="209" t="str">
        <f ca="1">IF(AND(Критерий[[#This Row],[Критерий]]&lt;&gt;"",Критерий[[#This Row],[O.K.Критерий]]=1),ROW()-ROW(Критерий[[#Headers],[№]]),"")</f>
        <v/>
      </c>
      <c r="C44" s="84"/>
      <c r="D4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4" s="208" t="str">
        <f ca="1">IFERROR(IF(IFERROR(SEARCH("Прив",Критерий[[#This Row],[Фкритерий]]),0)&gt;0,"Критерий",IF(IFERROR(SEARCH("Матр",Критерий[[#This Row],[Фкритерий]]),0)&gt;0,"ошибка","ошибка")),"ошибка")</f>
        <v>ошибка</v>
      </c>
      <c r="F44" s="224" t="str">
        <f ca="1">IFERROR(IF(LEN((INDIRECT(Критерий[[#This Row],[СНаименование]],FALSE)))=0,"ошибка",IFERROR(INDIRECT(Критерий[[#This Row],[СНаименование]],FALSE),"ошибка")),"ошибка")</f>
        <v>ошибка</v>
      </c>
      <c r="G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4" s="208" t="str">
        <f ca="1">IFERROR(IF(N(INDIRECT(Критерий[[#This Row],[СФизКритерий]],FALSE))=0,"ошибка",IFERROR(INDIRECT(Критерий[[#This Row],[СФизКритерий]],FALSE),"ошибка")),"ошибка")</f>
        <v>ошибка</v>
      </c>
      <c r="I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4" s="208" t="str">
        <f ca="1">IFERROR(_xlfn.FORMULATEXT(INDIRECT(Критерий[[#This Row],[Скритерий]],FALSE)),"ошибка")</f>
        <v>ошибка</v>
      </c>
      <c r="M44" s="208" t="str">
        <f ca="1">IFERROR(IF(N(INDIRECT(Критерий[[#This Row],[СМинФизКритерий]],FALSE))=0,"ошибка",IFERROR(INDIRECT(Критерий[[#This Row],[СМинФизКритерий]],FALSE),"ошибка")),"ошибка")</f>
        <v>ошибка</v>
      </c>
      <c r="N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4" s="208" t="str">
        <f ca="1">IFERROR(IF(N(INDIRECT(Критерий[[#This Row],[СМаксФизКритерий]],FALSE))=0,"ошибка",IFERROR(INDIRECT(Критерий[[#This Row],[СМаксФизКритерий]],FALSE),"ошибка")),"ошибка")</f>
        <v>ошибка</v>
      </c>
      <c r="P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4" s="208" t="str">
        <f ca="1">IFERROR(IF(N(INDIRECT(Критерий[[#This Row],[ССрФизКритерий]],FALSE))=0,"ошибка",IFERROR(INDIRECT(Критерий[[#This Row],[ССрФизКритерий]],FALSE),"ошибка")),"")</f>
        <v/>
      </c>
      <c r="R4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4" s="212">
        <f ca="1">IFERROR(IF(AND(Критерий[[#This Row],[ВидКритерий]]="Критерий",IFERROR(SEARCH("Приведение",Критерий[[#This Row],[Фкритерий]]),0)&gt;0),1,-1),-1)</f>
        <v>-1</v>
      </c>
      <c r="U44" s="222" t="str">
        <f ca="1">IF(AND(Свёртка[[#This Row],[Свёртка]]&lt;&gt;"",Свёртка[[#This Row],[O.K.Свёртка]]=1),ROW()-ROW(Свёртка[[#Headers],[№]]),"")</f>
        <v/>
      </c>
      <c r="V44" s="84"/>
      <c r="W4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4" s="208" t="str">
        <f ca="1">IFERROR(_xlfn.FORMULATEXT(INDIRECT(Свёртка[[#This Row],[ССвёртка]],FALSE)),"ошибка")</f>
        <v>ошибка</v>
      </c>
      <c r="Y44" s="208" t="str">
        <f ca="1">IFERROR(IF(IFERROR(SEARCH("Прив",Свёртка[[#This Row],[ФСвёртка]]),0)&gt;0,"ошибка",IF(IFERROR(SEARCH("Матр",Свёртка[[#This Row],[ФСвёртка]]),0)&gt;0,"Свёртка","ошибка")),"ошибка")</f>
        <v>ошибка</v>
      </c>
      <c r="Z44" s="208" t="str">
        <f ca="1">IFERROR(IF(LEN((INDIRECT(Свёртка[[#This Row],[СНаименование]],FALSE)))=0,"ошибка",IFERROR(INDIRECT(Свёртка[[#This Row],[СНаименование]],FALSE),"ошибка")),"ошибка")</f>
        <v>ошибка</v>
      </c>
      <c r="AA4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4" s="212">
        <f ca="1">IF(Свёртка[[#This Row],[ВидСвёртка]]="Свёртка",1,-1)</f>
        <v>-1</v>
      </c>
      <c r="AG44" s="66">
        <f>IF(AND(Множество[[#This Row],[Y]]=1),ROW()-ROW(Множество[[#Headers],[№]]),"")</f>
        <v>35</v>
      </c>
      <c r="AH44" t="s">
        <v>608</v>
      </c>
      <c r="AI44" s="66">
        <v>1</v>
      </c>
      <c r="AJ44" s="66">
        <f>IF(LEN(Множество[[#This Row],[Свёртка]])&gt;0,1,-1)</f>
        <v>1</v>
      </c>
      <c r="AK44" s="66" t="s">
        <v>1781</v>
      </c>
      <c r="AL44" s="66">
        <f>IF(LEN(Множество[[#This Row],[Критерии]])&gt;0,1,-1)</f>
        <v>1</v>
      </c>
      <c r="AM44" s="66">
        <f>IF(AND(LEN(Множество[[#This Row],[Свёртка]])&gt;0,LEN(Множество[[#This Row],[Критерии]])&gt;0,LEN(Множество[[#This Row],[Оценки]])&gt;0),1,-1)</f>
        <v>1</v>
      </c>
      <c r="AN44">
        <v>5.5916666666666703</v>
      </c>
      <c r="AO44">
        <v>-13.5833333333333</v>
      </c>
      <c r="AP44" s="208"/>
      <c r="AQ44" s="208"/>
      <c r="AR44" s="226"/>
      <c r="AS44" s="225"/>
      <c r="AT44" s="226"/>
      <c r="AU44" s="225"/>
      <c r="AV44" s="225"/>
      <c r="AW44" s="225"/>
      <c r="AX44" s="225"/>
      <c r="AY44" s="225"/>
    </row>
    <row r="45" spans="2:51" x14ac:dyDescent="0.25">
      <c r="B45" s="209" t="str">
        <f ca="1">IF(AND(Критерий[[#This Row],[Критерий]]&lt;&gt;"",Критерий[[#This Row],[O.K.Критерий]]=1),ROW()-ROW(Критерий[[#Headers],[№]]),"")</f>
        <v/>
      </c>
      <c r="C45" s="84"/>
      <c r="D4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5" s="208" t="str">
        <f ca="1">IFERROR(IF(IFERROR(SEARCH("Прив",Критерий[[#This Row],[Фкритерий]]),0)&gt;0,"Критерий",IF(IFERROR(SEARCH("Матр",Критерий[[#This Row],[Фкритерий]]),0)&gt;0,"ошибка","ошибка")),"ошибка")</f>
        <v>ошибка</v>
      </c>
      <c r="F45" s="224" t="str">
        <f ca="1">IFERROR(IF(LEN((INDIRECT(Критерий[[#This Row],[СНаименование]],FALSE)))=0,"ошибка",IFERROR(INDIRECT(Критерий[[#This Row],[СНаименование]],FALSE),"ошибка")),"ошибка")</f>
        <v>ошибка</v>
      </c>
      <c r="G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5" s="208" t="str">
        <f ca="1">IFERROR(IF(N(INDIRECT(Критерий[[#This Row],[СФизКритерий]],FALSE))=0,"ошибка",IFERROR(INDIRECT(Критерий[[#This Row],[СФизКритерий]],FALSE),"ошибка")),"ошибка")</f>
        <v>ошибка</v>
      </c>
      <c r="I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5" s="208" t="str">
        <f ca="1">IFERROR(_xlfn.FORMULATEXT(INDIRECT(Критерий[[#This Row],[Скритерий]],FALSE)),"ошибка")</f>
        <v>ошибка</v>
      </c>
      <c r="M45" s="208" t="str">
        <f ca="1">IFERROR(IF(N(INDIRECT(Критерий[[#This Row],[СМинФизКритерий]],FALSE))=0,"ошибка",IFERROR(INDIRECT(Критерий[[#This Row],[СМинФизКритерий]],FALSE),"ошибка")),"ошибка")</f>
        <v>ошибка</v>
      </c>
      <c r="N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5" s="208" t="str">
        <f ca="1">IFERROR(IF(N(INDIRECT(Критерий[[#This Row],[СМаксФизКритерий]],FALSE))=0,"ошибка",IFERROR(INDIRECT(Критерий[[#This Row],[СМаксФизКритерий]],FALSE),"ошибка")),"ошибка")</f>
        <v>ошибка</v>
      </c>
      <c r="P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5" s="208" t="str">
        <f ca="1">IFERROR(IF(N(INDIRECT(Критерий[[#This Row],[ССрФизКритерий]],FALSE))=0,"ошибка",IFERROR(INDIRECT(Критерий[[#This Row],[ССрФизКритерий]],FALSE),"ошибка")),"")</f>
        <v/>
      </c>
      <c r="R4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5" s="212">
        <f ca="1">IFERROR(IF(AND(Критерий[[#This Row],[ВидКритерий]]="Критерий",IFERROR(SEARCH("Приведение",Критерий[[#This Row],[Фкритерий]]),0)&gt;0),1,-1),-1)</f>
        <v>-1</v>
      </c>
      <c r="U45" s="222" t="str">
        <f ca="1">IF(AND(Свёртка[[#This Row],[Свёртка]]&lt;&gt;"",Свёртка[[#This Row],[O.K.Свёртка]]=1),ROW()-ROW(Свёртка[[#Headers],[№]]),"")</f>
        <v/>
      </c>
      <c r="V45" s="84"/>
      <c r="W4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5" s="208" t="str">
        <f ca="1">IFERROR(_xlfn.FORMULATEXT(INDIRECT(Свёртка[[#This Row],[ССвёртка]],FALSE)),"ошибка")</f>
        <v>ошибка</v>
      </c>
      <c r="Y45" s="208" t="str">
        <f ca="1">IFERROR(IF(IFERROR(SEARCH("Прив",Свёртка[[#This Row],[ФСвёртка]]),0)&gt;0,"ошибка",IF(IFERROR(SEARCH("Матр",Свёртка[[#This Row],[ФСвёртка]]),0)&gt;0,"Свёртка","ошибка")),"ошибка")</f>
        <v>ошибка</v>
      </c>
      <c r="Z45" s="208" t="str">
        <f ca="1">IFERROR(IF(LEN((INDIRECT(Свёртка[[#This Row],[СНаименование]],FALSE)))=0,"ошибка",IFERROR(INDIRECT(Свёртка[[#This Row],[СНаименование]],FALSE),"ошибка")),"ошибка")</f>
        <v>ошибка</v>
      </c>
      <c r="AA4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5" s="212">
        <f ca="1">IF(Свёртка[[#This Row],[ВидСвёртка]]="Свёртка",1,-1)</f>
        <v>-1</v>
      </c>
      <c r="AG45" s="66">
        <f>IF(AND(Множество[[#This Row],[Y]]=1),ROW()-ROW(Множество[[#Headers],[№]]),"")</f>
        <v>36</v>
      </c>
      <c r="AH45" t="s">
        <v>608</v>
      </c>
      <c r="AI45" s="66">
        <v>1</v>
      </c>
      <c r="AJ45" s="66">
        <f>IF(LEN(Множество[[#This Row],[Свёртка]])&gt;0,1,-1)</f>
        <v>1</v>
      </c>
      <c r="AK45" s="66" t="s">
        <v>1781</v>
      </c>
      <c r="AL45" s="66">
        <f>IF(LEN(Множество[[#This Row],[Критерии]])&gt;0,1,-1)</f>
        <v>1</v>
      </c>
      <c r="AM45" s="66">
        <f>IF(AND(LEN(Множество[[#This Row],[Свёртка]])&gt;0,LEN(Множество[[#This Row],[Критерии]])&gt;0,LEN(Множество[[#This Row],[Оценки]])&gt;0),1,-1)</f>
        <v>1</v>
      </c>
      <c r="AN45">
        <v>5.5333333333333297</v>
      </c>
      <c r="AO45">
        <v>-13.6</v>
      </c>
      <c r="AP45" s="208"/>
      <c r="AQ45" s="208"/>
      <c r="AR45" s="226"/>
      <c r="AS45" s="225"/>
      <c r="AT45" s="226"/>
      <c r="AU45" s="225"/>
      <c r="AV45" s="225"/>
      <c r="AW45" s="225"/>
      <c r="AX45" s="225"/>
      <c r="AY45" s="225"/>
    </row>
    <row r="46" spans="2:51" x14ac:dyDescent="0.25">
      <c r="B46" s="209" t="str">
        <f ca="1">IF(AND(Критерий[[#This Row],[Критерий]]&lt;&gt;"",Критерий[[#This Row],[O.K.Критерий]]=1),ROW()-ROW(Критерий[[#Headers],[№]]),"")</f>
        <v/>
      </c>
      <c r="C46" s="84"/>
      <c r="D4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6" s="208" t="str">
        <f ca="1">IFERROR(IF(IFERROR(SEARCH("Прив",Критерий[[#This Row],[Фкритерий]]),0)&gt;0,"Критерий",IF(IFERROR(SEARCH("Матр",Критерий[[#This Row],[Фкритерий]]),0)&gt;0,"ошибка","ошибка")),"ошибка")</f>
        <v>ошибка</v>
      </c>
      <c r="F46" s="224" t="str">
        <f ca="1">IFERROR(IF(LEN((INDIRECT(Критерий[[#This Row],[СНаименование]],FALSE)))=0,"ошибка",IFERROR(INDIRECT(Критерий[[#This Row],[СНаименование]],FALSE),"ошибка")),"ошибка")</f>
        <v>ошибка</v>
      </c>
      <c r="G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6" s="208" t="str">
        <f ca="1">IFERROR(IF(N(INDIRECT(Критерий[[#This Row],[СФизКритерий]],FALSE))=0,"ошибка",IFERROR(INDIRECT(Критерий[[#This Row],[СФизКритерий]],FALSE),"ошибка")),"ошибка")</f>
        <v>ошибка</v>
      </c>
      <c r="I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6" s="208" t="str">
        <f ca="1">IFERROR(_xlfn.FORMULATEXT(INDIRECT(Критерий[[#This Row],[Скритерий]],FALSE)),"ошибка")</f>
        <v>ошибка</v>
      </c>
      <c r="M46" s="208" t="str">
        <f ca="1">IFERROR(IF(N(INDIRECT(Критерий[[#This Row],[СМинФизКритерий]],FALSE))=0,"ошибка",IFERROR(INDIRECT(Критерий[[#This Row],[СМинФизКритерий]],FALSE),"ошибка")),"ошибка")</f>
        <v>ошибка</v>
      </c>
      <c r="N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6" s="208" t="str">
        <f ca="1">IFERROR(IF(N(INDIRECT(Критерий[[#This Row],[СМаксФизКритерий]],FALSE))=0,"ошибка",IFERROR(INDIRECT(Критерий[[#This Row],[СМаксФизКритерий]],FALSE),"ошибка")),"ошибка")</f>
        <v>ошибка</v>
      </c>
      <c r="P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6" s="208" t="str">
        <f ca="1">IFERROR(IF(N(INDIRECT(Критерий[[#This Row],[ССрФизКритерий]],FALSE))=0,"ошибка",IFERROR(INDIRECT(Критерий[[#This Row],[ССрФизКритерий]],FALSE),"ошибка")),"")</f>
        <v/>
      </c>
      <c r="R4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6" s="212">
        <f ca="1">IFERROR(IF(AND(Критерий[[#This Row],[ВидКритерий]]="Критерий",IFERROR(SEARCH("Приведение",Критерий[[#This Row],[Фкритерий]]),0)&gt;0),1,-1),-1)</f>
        <v>-1</v>
      </c>
      <c r="U46" s="222" t="str">
        <f ca="1">IF(AND(Свёртка[[#This Row],[Свёртка]]&lt;&gt;"",Свёртка[[#This Row],[O.K.Свёртка]]=1),ROW()-ROW(Свёртка[[#Headers],[№]]),"")</f>
        <v/>
      </c>
      <c r="V46" s="84"/>
      <c r="W4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6" s="208" t="str">
        <f ca="1">IFERROR(_xlfn.FORMULATEXT(INDIRECT(Свёртка[[#This Row],[ССвёртка]],FALSE)),"ошибка")</f>
        <v>ошибка</v>
      </c>
      <c r="Y46" s="208" t="str">
        <f ca="1">IFERROR(IF(IFERROR(SEARCH("Прив",Свёртка[[#This Row],[ФСвёртка]]),0)&gt;0,"ошибка",IF(IFERROR(SEARCH("Матр",Свёртка[[#This Row],[ФСвёртка]]),0)&gt;0,"Свёртка","ошибка")),"ошибка")</f>
        <v>ошибка</v>
      </c>
      <c r="Z46" s="208" t="str">
        <f ca="1">IFERROR(IF(LEN((INDIRECT(Свёртка[[#This Row],[СНаименование]],FALSE)))=0,"ошибка",IFERROR(INDIRECT(Свёртка[[#This Row],[СНаименование]],FALSE),"ошибка")),"ошибка")</f>
        <v>ошибка</v>
      </c>
      <c r="AA4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6" s="212">
        <f ca="1">IF(Свёртка[[#This Row],[ВидСвёртка]]="Свёртка",1,-1)</f>
        <v>-1</v>
      </c>
      <c r="AG46" s="66">
        <f>IF(AND(Множество[[#This Row],[Y]]=1),ROW()-ROW(Множество[[#Headers],[№]]),"")</f>
        <v>37</v>
      </c>
      <c r="AH46" t="s">
        <v>608</v>
      </c>
      <c r="AI46" s="66">
        <v>1</v>
      </c>
      <c r="AJ46" s="66">
        <f>IF(LEN(Множество[[#This Row],[Свёртка]])&gt;0,1,-1)</f>
        <v>1</v>
      </c>
      <c r="AK46" s="66" t="s">
        <v>1781</v>
      </c>
      <c r="AL46" s="66">
        <f>IF(LEN(Множество[[#This Row],[Критерии]])&gt;0,1,-1)</f>
        <v>1</v>
      </c>
      <c r="AM46" s="66">
        <f>IF(AND(LEN(Множество[[#This Row],[Свёртка]])&gt;0,LEN(Множество[[#This Row],[Критерии]])&gt;0,LEN(Множество[[#This Row],[Оценки]])&gt;0),1,-1)</f>
        <v>1</v>
      </c>
      <c r="AN46">
        <v>5.4166666666666696</v>
      </c>
      <c r="AO46">
        <v>-13.616666666666699</v>
      </c>
      <c r="AP46" s="208"/>
      <c r="AQ46" s="208"/>
      <c r="AR46" s="226"/>
      <c r="AS46" s="225"/>
      <c r="AT46" s="226"/>
      <c r="AU46" s="225"/>
      <c r="AV46" s="225"/>
      <c r="AW46" s="225"/>
      <c r="AX46" s="225"/>
      <c r="AY46" s="225"/>
    </row>
    <row r="47" spans="2:51" x14ac:dyDescent="0.25">
      <c r="B47" s="209" t="str">
        <f ca="1">IF(AND(Критерий[[#This Row],[Критерий]]&lt;&gt;"",Критерий[[#This Row],[O.K.Критерий]]=1),ROW()-ROW(Критерий[[#Headers],[№]]),"")</f>
        <v/>
      </c>
      <c r="C47" s="84"/>
      <c r="D4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7" s="208" t="str">
        <f ca="1">IFERROR(IF(IFERROR(SEARCH("Прив",Критерий[[#This Row],[Фкритерий]]),0)&gt;0,"Критерий",IF(IFERROR(SEARCH("Матр",Критерий[[#This Row],[Фкритерий]]),0)&gt;0,"ошибка","ошибка")),"ошибка")</f>
        <v>ошибка</v>
      </c>
      <c r="F47" s="224" t="str">
        <f ca="1">IFERROR(IF(LEN((INDIRECT(Критерий[[#This Row],[СНаименование]],FALSE)))=0,"ошибка",IFERROR(INDIRECT(Критерий[[#This Row],[СНаименование]],FALSE),"ошибка")),"ошибка")</f>
        <v>ошибка</v>
      </c>
      <c r="G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7" s="208" t="str">
        <f ca="1">IFERROR(IF(N(INDIRECT(Критерий[[#This Row],[СФизКритерий]],FALSE))=0,"ошибка",IFERROR(INDIRECT(Критерий[[#This Row],[СФизКритерий]],FALSE),"ошибка")),"ошибка")</f>
        <v>ошибка</v>
      </c>
      <c r="I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7" s="208" t="str">
        <f ca="1">IFERROR(_xlfn.FORMULATEXT(INDIRECT(Критерий[[#This Row],[Скритерий]],FALSE)),"ошибка")</f>
        <v>ошибка</v>
      </c>
      <c r="M47" s="208" t="str">
        <f ca="1">IFERROR(IF(N(INDIRECT(Критерий[[#This Row],[СМинФизКритерий]],FALSE))=0,"ошибка",IFERROR(INDIRECT(Критерий[[#This Row],[СМинФизКритерий]],FALSE),"ошибка")),"ошибка")</f>
        <v>ошибка</v>
      </c>
      <c r="N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7" s="208" t="str">
        <f ca="1">IFERROR(IF(N(INDIRECT(Критерий[[#This Row],[СМаксФизКритерий]],FALSE))=0,"ошибка",IFERROR(INDIRECT(Критерий[[#This Row],[СМаксФизКритерий]],FALSE),"ошибка")),"ошибка")</f>
        <v>ошибка</v>
      </c>
      <c r="P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7" s="208" t="str">
        <f ca="1">IFERROR(IF(N(INDIRECT(Критерий[[#This Row],[ССрФизКритерий]],FALSE))=0,"ошибка",IFERROR(INDIRECT(Критерий[[#This Row],[ССрФизКритерий]],FALSE),"ошибка")),"")</f>
        <v/>
      </c>
      <c r="R4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7" s="212">
        <f ca="1">IFERROR(IF(AND(Критерий[[#This Row],[ВидКритерий]]="Критерий",IFERROR(SEARCH("Приведение",Критерий[[#This Row],[Фкритерий]]),0)&gt;0),1,-1),-1)</f>
        <v>-1</v>
      </c>
      <c r="U47" s="222" t="str">
        <f ca="1">IF(AND(Свёртка[[#This Row],[Свёртка]]&lt;&gt;"",Свёртка[[#This Row],[O.K.Свёртка]]=1),ROW()-ROW(Свёртка[[#Headers],[№]]),"")</f>
        <v/>
      </c>
      <c r="V47" s="84"/>
      <c r="W4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7" s="208" t="str">
        <f ca="1">IFERROR(_xlfn.FORMULATEXT(INDIRECT(Свёртка[[#This Row],[ССвёртка]],FALSE)),"ошибка")</f>
        <v>ошибка</v>
      </c>
      <c r="Y47" s="208" t="str">
        <f ca="1">IFERROR(IF(IFERROR(SEARCH("Прив",Свёртка[[#This Row],[ФСвёртка]]),0)&gt;0,"ошибка",IF(IFERROR(SEARCH("Матр",Свёртка[[#This Row],[ФСвёртка]]),0)&gt;0,"Свёртка","ошибка")),"ошибка")</f>
        <v>ошибка</v>
      </c>
      <c r="Z47" s="208" t="str">
        <f ca="1">IFERROR(IF(LEN((INDIRECT(Свёртка[[#This Row],[СНаименование]],FALSE)))=0,"ошибка",IFERROR(INDIRECT(Свёртка[[#This Row],[СНаименование]],FALSE),"ошибка")),"ошибка")</f>
        <v>ошибка</v>
      </c>
      <c r="AA4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7" s="212">
        <f ca="1">IF(Свёртка[[#This Row],[ВидСвёртка]]="Свёртка",1,-1)</f>
        <v>-1</v>
      </c>
      <c r="AG47" s="66">
        <f>IF(AND(Множество[[#This Row],[Y]]=1),ROW()-ROW(Множество[[#Headers],[№]]),"")</f>
        <v>38</v>
      </c>
      <c r="AH47" t="s">
        <v>608</v>
      </c>
      <c r="AI47" s="66">
        <v>1</v>
      </c>
      <c r="AJ47" s="66">
        <f>IF(LEN(Множество[[#This Row],[Свёртка]])&gt;0,1,-1)</f>
        <v>1</v>
      </c>
      <c r="AK47" s="66" t="s">
        <v>1781</v>
      </c>
      <c r="AL47" s="66">
        <f>IF(LEN(Множество[[#This Row],[Критерии]])&gt;0,1,-1)</f>
        <v>1</v>
      </c>
      <c r="AM47" s="66">
        <f>IF(AND(LEN(Множество[[#This Row],[Свёртка]])&gt;0,LEN(Множество[[#This Row],[Критерии]])&gt;0,LEN(Множество[[#This Row],[Оценки]])&gt;0),1,-1)</f>
        <v>1</v>
      </c>
      <c r="AN47">
        <v>5.4749999999999996</v>
      </c>
      <c r="AO47">
        <v>-13.6</v>
      </c>
      <c r="AP47" s="208"/>
      <c r="AQ47" s="208"/>
      <c r="AR47" s="226"/>
      <c r="AS47" s="225"/>
      <c r="AT47" s="226"/>
      <c r="AU47" s="225"/>
      <c r="AV47" s="225"/>
      <c r="AW47" s="225"/>
      <c r="AX47" s="225"/>
      <c r="AY47" s="225"/>
    </row>
    <row r="48" spans="2:51" x14ac:dyDescent="0.25">
      <c r="B48" s="209" t="str">
        <f ca="1">IF(AND(Критерий[[#This Row],[Критерий]]&lt;&gt;"",Критерий[[#This Row],[O.K.Критерий]]=1),ROW()-ROW(Критерий[[#Headers],[№]]),"")</f>
        <v/>
      </c>
      <c r="C48" s="84"/>
      <c r="D4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8" s="208" t="str">
        <f ca="1">IFERROR(IF(IFERROR(SEARCH("Прив",Критерий[[#This Row],[Фкритерий]]),0)&gt;0,"Критерий",IF(IFERROR(SEARCH("Матр",Критерий[[#This Row],[Фкритерий]]),0)&gt;0,"ошибка","ошибка")),"ошибка")</f>
        <v>ошибка</v>
      </c>
      <c r="F48" s="224" t="str">
        <f ca="1">IFERROR(IF(LEN((INDIRECT(Критерий[[#This Row],[СНаименование]],FALSE)))=0,"ошибка",IFERROR(INDIRECT(Критерий[[#This Row],[СНаименование]],FALSE),"ошибка")),"ошибка")</f>
        <v>ошибка</v>
      </c>
      <c r="G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8" s="208" t="str">
        <f ca="1">IFERROR(IF(N(INDIRECT(Критерий[[#This Row],[СФизКритерий]],FALSE))=0,"ошибка",IFERROR(INDIRECT(Критерий[[#This Row],[СФизКритерий]],FALSE),"ошибка")),"ошибка")</f>
        <v>ошибка</v>
      </c>
      <c r="I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8" s="208" t="str">
        <f ca="1">IFERROR(_xlfn.FORMULATEXT(INDIRECT(Критерий[[#This Row],[Скритерий]],FALSE)),"ошибка")</f>
        <v>ошибка</v>
      </c>
      <c r="M48" s="208" t="str">
        <f ca="1">IFERROR(IF(N(INDIRECT(Критерий[[#This Row],[СМинФизКритерий]],FALSE))=0,"ошибка",IFERROR(INDIRECT(Критерий[[#This Row],[СМинФизКритерий]],FALSE),"ошибка")),"ошибка")</f>
        <v>ошибка</v>
      </c>
      <c r="N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8" s="208" t="str">
        <f ca="1">IFERROR(IF(N(INDIRECT(Критерий[[#This Row],[СМаксФизКритерий]],FALSE))=0,"ошибка",IFERROR(INDIRECT(Критерий[[#This Row],[СМаксФизКритерий]],FALSE),"ошибка")),"ошибка")</f>
        <v>ошибка</v>
      </c>
      <c r="P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8" s="208" t="str">
        <f ca="1">IFERROR(IF(N(INDIRECT(Критерий[[#This Row],[ССрФизКритерий]],FALSE))=0,"ошибка",IFERROR(INDIRECT(Критерий[[#This Row],[ССрФизКритерий]],FALSE),"ошибка")),"")</f>
        <v/>
      </c>
      <c r="R4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8" s="212">
        <f ca="1">IFERROR(IF(AND(Критерий[[#This Row],[ВидКритерий]]="Критерий",IFERROR(SEARCH("Приведение",Критерий[[#This Row],[Фкритерий]]),0)&gt;0),1,-1),-1)</f>
        <v>-1</v>
      </c>
      <c r="U48" s="222" t="str">
        <f ca="1">IF(AND(Свёртка[[#This Row],[Свёртка]]&lt;&gt;"",Свёртка[[#This Row],[O.K.Свёртка]]=1),ROW()-ROW(Свёртка[[#Headers],[№]]),"")</f>
        <v/>
      </c>
      <c r="V48" s="84"/>
      <c r="W4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8" s="208" t="str">
        <f ca="1">IFERROR(_xlfn.FORMULATEXT(INDIRECT(Свёртка[[#This Row],[ССвёртка]],FALSE)),"ошибка")</f>
        <v>ошибка</v>
      </c>
      <c r="Y48" s="208" t="str">
        <f ca="1">IFERROR(IF(IFERROR(SEARCH("Прив",Свёртка[[#This Row],[ФСвёртка]]),0)&gt;0,"ошибка",IF(IFERROR(SEARCH("Матр",Свёртка[[#This Row],[ФСвёртка]]),0)&gt;0,"Свёртка","ошибка")),"ошибка")</f>
        <v>ошибка</v>
      </c>
      <c r="Z48" s="208" t="str">
        <f ca="1">IFERROR(IF(LEN((INDIRECT(Свёртка[[#This Row],[СНаименование]],FALSE)))=0,"ошибка",IFERROR(INDIRECT(Свёртка[[#This Row],[СНаименование]],FALSE),"ошибка")),"ошибка")</f>
        <v>ошибка</v>
      </c>
      <c r="AA4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8" s="212">
        <f ca="1">IF(Свёртка[[#This Row],[ВидСвёртка]]="Свёртка",1,-1)</f>
        <v>-1</v>
      </c>
      <c r="AG48" s="66">
        <f>IF(AND(Множество[[#This Row],[Y]]=1),ROW()-ROW(Множество[[#Headers],[№]]),"")</f>
        <v>39</v>
      </c>
      <c r="AH48" t="s">
        <v>608</v>
      </c>
      <c r="AI48" s="66">
        <v>1</v>
      </c>
      <c r="AJ48" s="66">
        <f>IF(LEN(Множество[[#This Row],[Свёртка]])&gt;0,1,-1)</f>
        <v>1</v>
      </c>
      <c r="AK48" s="66" t="s">
        <v>1781</v>
      </c>
      <c r="AL48" s="66">
        <f>IF(LEN(Множество[[#This Row],[Критерии]])&gt;0,1,-1)</f>
        <v>1</v>
      </c>
      <c r="AM48" s="66">
        <f>IF(AND(LEN(Множество[[#This Row],[Свёртка]])&gt;0,LEN(Множество[[#This Row],[Критерии]])&gt;0,LEN(Множество[[#This Row],[Оценки]])&gt;0),1,-1)</f>
        <v>1</v>
      </c>
      <c r="AN48">
        <v>5.3583333333333298</v>
      </c>
      <c r="AO48">
        <v>-13.633333333333301</v>
      </c>
      <c r="AP48" s="208"/>
      <c r="AQ48" s="208"/>
      <c r="AR48" s="226"/>
      <c r="AS48" s="225"/>
      <c r="AT48" s="226"/>
      <c r="AU48" s="225"/>
      <c r="AV48" s="225"/>
      <c r="AW48" s="225"/>
      <c r="AX48" s="225"/>
      <c r="AY48" s="225"/>
    </row>
    <row r="49" spans="2:51" x14ac:dyDescent="0.25">
      <c r="B49" s="209" t="str">
        <f ca="1">IF(AND(Критерий[[#This Row],[Критерий]]&lt;&gt;"",Критерий[[#This Row],[O.K.Критерий]]=1),ROW()-ROW(Критерий[[#Headers],[№]]),"")</f>
        <v/>
      </c>
      <c r="C49" s="84"/>
      <c r="D4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9" s="208" t="str">
        <f ca="1">IFERROR(IF(IFERROR(SEARCH("Прив",Критерий[[#This Row],[Фкритерий]]),0)&gt;0,"Критерий",IF(IFERROR(SEARCH("Матр",Критерий[[#This Row],[Фкритерий]]),0)&gt;0,"ошибка","ошибка")),"ошибка")</f>
        <v>ошибка</v>
      </c>
      <c r="F49" s="224" t="str">
        <f ca="1">IFERROR(IF(LEN((INDIRECT(Критерий[[#This Row],[СНаименование]],FALSE)))=0,"ошибка",IFERROR(INDIRECT(Критерий[[#This Row],[СНаименование]],FALSE),"ошибка")),"ошибка")</f>
        <v>ошибка</v>
      </c>
      <c r="G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9" s="208" t="str">
        <f ca="1">IFERROR(IF(N(INDIRECT(Критерий[[#This Row],[СФизКритерий]],FALSE))=0,"ошибка",IFERROR(INDIRECT(Критерий[[#This Row],[СФизКритерий]],FALSE),"ошибка")),"ошибка")</f>
        <v>ошибка</v>
      </c>
      <c r="I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9" s="208" t="str">
        <f ca="1">IFERROR(_xlfn.FORMULATEXT(INDIRECT(Критерий[[#This Row],[Скритерий]],FALSE)),"ошибка")</f>
        <v>ошибка</v>
      </c>
      <c r="M49" s="208" t="str">
        <f ca="1">IFERROR(IF(N(INDIRECT(Критерий[[#This Row],[СМинФизКритерий]],FALSE))=0,"ошибка",IFERROR(INDIRECT(Критерий[[#This Row],[СМинФизКритерий]],FALSE),"ошибка")),"ошибка")</f>
        <v>ошибка</v>
      </c>
      <c r="N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9" s="208" t="str">
        <f ca="1">IFERROR(IF(N(INDIRECT(Критерий[[#This Row],[СМаксФизКритерий]],FALSE))=0,"ошибка",IFERROR(INDIRECT(Критерий[[#This Row],[СМаксФизКритерий]],FALSE),"ошибка")),"ошибка")</f>
        <v>ошибка</v>
      </c>
      <c r="P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9" s="208" t="str">
        <f ca="1">IFERROR(IF(N(INDIRECT(Критерий[[#This Row],[ССрФизКритерий]],FALSE))=0,"ошибка",IFERROR(INDIRECT(Критерий[[#This Row],[ССрФизКритерий]],FALSE),"ошибка")),"")</f>
        <v/>
      </c>
      <c r="R4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9" s="212">
        <f ca="1">IFERROR(IF(AND(Критерий[[#This Row],[ВидКритерий]]="Критерий",IFERROR(SEARCH("Приведение",Критерий[[#This Row],[Фкритерий]]),0)&gt;0),1,-1),-1)</f>
        <v>-1</v>
      </c>
      <c r="U49" s="222" t="str">
        <f ca="1">IF(AND(Свёртка[[#This Row],[Свёртка]]&lt;&gt;"",Свёртка[[#This Row],[O.K.Свёртка]]=1),ROW()-ROW(Свёртка[[#Headers],[№]]),"")</f>
        <v/>
      </c>
      <c r="V49" s="84"/>
      <c r="W4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9" s="208" t="str">
        <f ca="1">IFERROR(_xlfn.FORMULATEXT(INDIRECT(Свёртка[[#This Row],[ССвёртка]],FALSE)),"ошибка")</f>
        <v>ошибка</v>
      </c>
      <c r="Y49" s="208" t="str">
        <f ca="1">IFERROR(IF(IFERROR(SEARCH("Прив",Свёртка[[#This Row],[ФСвёртка]]),0)&gt;0,"ошибка",IF(IFERROR(SEARCH("Матр",Свёртка[[#This Row],[ФСвёртка]]),0)&gt;0,"Свёртка","ошибка")),"ошибка")</f>
        <v>ошибка</v>
      </c>
      <c r="Z49" s="208" t="str">
        <f ca="1">IFERROR(IF(LEN((INDIRECT(Свёртка[[#This Row],[СНаименование]],FALSE)))=0,"ошибка",IFERROR(INDIRECT(Свёртка[[#This Row],[СНаименование]],FALSE),"ошибка")),"ошибка")</f>
        <v>ошибка</v>
      </c>
      <c r="AA4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9" s="212">
        <f ca="1">IF(Свёртка[[#This Row],[ВидСвёртка]]="Свёртка",1,-1)</f>
        <v>-1</v>
      </c>
      <c r="AG49" s="66">
        <f>IF(AND(Множество[[#This Row],[Y]]=1),ROW()-ROW(Множество[[#Headers],[№]]),"")</f>
        <v>40</v>
      </c>
      <c r="AH49" t="s">
        <v>608</v>
      </c>
      <c r="AI49" s="66">
        <v>1</v>
      </c>
      <c r="AJ49" s="66">
        <f>IF(LEN(Множество[[#This Row],[Свёртка]])&gt;0,1,-1)</f>
        <v>1</v>
      </c>
      <c r="AK49" s="66" t="s">
        <v>1781</v>
      </c>
      <c r="AL49" s="66">
        <f>IF(LEN(Множество[[#This Row],[Критерии]])&gt;0,1,-1)</f>
        <v>1</v>
      </c>
      <c r="AM49" s="66">
        <f>IF(AND(LEN(Множество[[#This Row],[Свёртка]])&gt;0,LEN(Множество[[#This Row],[Критерии]])&gt;0,LEN(Множество[[#This Row],[Оценки]])&gt;0),1,-1)</f>
        <v>1</v>
      </c>
      <c r="AN49">
        <v>5.3</v>
      </c>
      <c r="AO49">
        <v>-13.65</v>
      </c>
      <c r="AP49" s="208"/>
      <c r="AQ49" s="208"/>
      <c r="AR49" s="226"/>
      <c r="AS49" s="225"/>
      <c r="AT49" s="226"/>
      <c r="AU49" s="225"/>
      <c r="AV49" s="225"/>
      <c r="AW49" s="225"/>
      <c r="AX49" s="225"/>
      <c r="AY49" s="225"/>
    </row>
    <row r="50" spans="2:51" x14ac:dyDescent="0.25">
      <c r="B50" s="209" t="str">
        <f ca="1">IF(AND(Критерий[[#This Row],[Критерий]]&lt;&gt;"",Критерий[[#This Row],[O.K.Критерий]]=1),ROW()-ROW(Критерий[[#Headers],[№]]),"")</f>
        <v/>
      </c>
      <c r="C50" s="84"/>
      <c r="D5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0" s="208" t="str">
        <f ca="1">IFERROR(IF(IFERROR(SEARCH("Прив",Критерий[[#This Row],[Фкритерий]]),0)&gt;0,"Критерий",IF(IFERROR(SEARCH("Матр",Критерий[[#This Row],[Фкритерий]]),0)&gt;0,"ошибка","ошибка")),"ошибка")</f>
        <v>ошибка</v>
      </c>
      <c r="F50" s="224" t="str">
        <f ca="1">IFERROR(IF(LEN((INDIRECT(Критерий[[#This Row],[СНаименование]],FALSE)))=0,"ошибка",IFERROR(INDIRECT(Критерий[[#This Row],[СНаименование]],FALSE),"ошибка")),"ошибка")</f>
        <v>ошибка</v>
      </c>
      <c r="G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0" s="208" t="str">
        <f ca="1">IFERROR(IF(N(INDIRECT(Критерий[[#This Row],[СФизКритерий]],FALSE))=0,"ошибка",IFERROR(INDIRECT(Критерий[[#This Row],[СФизКритерий]],FALSE),"ошибка")),"ошибка")</f>
        <v>ошибка</v>
      </c>
      <c r="I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0" s="208" t="str">
        <f ca="1">IFERROR(_xlfn.FORMULATEXT(INDIRECT(Критерий[[#This Row],[Скритерий]],FALSE)),"ошибка")</f>
        <v>ошибка</v>
      </c>
      <c r="M50" s="208" t="str">
        <f ca="1">IFERROR(IF(N(INDIRECT(Критерий[[#This Row],[СМинФизКритерий]],FALSE))=0,"ошибка",IFERROR(INDIRECT(Критерий[[#This Row],[СМинФизКритерий]],FALSE),"ошибка")),"ошибка")</f>
        <v>ошибка</v>
      </c>
      <c r="N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0" s="208" t="str">
        <f ca="1">IFERROR(IF(N(INDIRECT(Критерий[[#This Row],[СМаксФизКритерий]],FALSE))=0,"ошибка",IFERROR(INDIRECT(Критерий[[#This Row],[СМаксФизКритерий]],FALSE),"ошибка")),"ошибка")</f>
        <v>ошибка</v>
      </c>
      <c r="P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0" s="208" t="str">
        <f ca="1">IFERROR(IF(N(INDIRECT(Критерий[[#This Row],[ССрФизКритерий]],FALSE))=0,"ошибка",IFERROR(INDIRECT(Критерий[[#This Row],[ССрФизКритерий]],FALSE),"ошибка")),"")</f>
        <v/>
      </c>
      <c r="R5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0" s="212">
        <f ca="1">IFERROR(IF(AND(Критерий[[#This Row],[ВидКритерий]]="Критерий",IFERROR(SEARCH("Приведение",Критерий[[#This Row],[Фкритерий]]),0)&gt;0),1,-1),-1)</f>
        <v>-1</v>
      </c>
      <c r="U50" s="222" t="str">
        <f ca="1">IF(AND(Свёртка[[#This Row],[Свёртка]]&lt;&gt;"",Свёртка[[#This Row],[O.K.Свёртка]]=1),ROW()-ROW(Свёртка[[#Headers],[№]]),"")</f>
        <v/>
      </c>
      <c r="V50" s="84"/>
      <c r="W5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0" s="208" t="str">
        <f ca="1">IFERROR(_xlfn.FORMULATEXT(INDIRECT(Свёртка[[#This Row],[ССвёртка]],FALSE)),"ошибка")</f>
        <v>ошибка</v>
      </c>
      <c r="Y50" s="208" t="str">
        <f ca="1">IFERROR(IF(IFERROR(SEARCH("Прив",Свёртка[[#This Row],[ФСвёртка]]),0)&gt;0,"ошибка",IF(IFERROR(SEARCH("Матр",Свёртка[[#This Row],[ФСвёртка]]),0)&gt;0,"Свёртка","ошибка")),"ошибка")</f>
        <v>ошибка</v>
      </c>
      <c r="Z50" s="208" t="str">
        <f ca="1">IFERROR(IF(LEN((INDIRECT(Свёртка[[#This Row],[СНаименование]],FALSE)))=0,"ошибка",IFERROR(INDIRECT(Свёртка[[#This Row],[СНаименование]],FALSE),"ошибка")),"ошибка")</f>
        <v>ошибка</v>
      </c>
      <c r="AA5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0" s="212">
        <f ca="1">IF(Свёртка[[#This Row],[ВидСвёртка]]="Свёртка",1,-1)</f>
        <v>-1</v>
      </c>
      <c r="AG50" s="66">
        <f>IF(AND(Множество[[#This Row],[Y]]=1),ROW()-ROW(Множество[[#Headers],[№]]),"")</f>
        <v>41</v>
      </c>
      <c r="AH50" t="s">
        <v>608</v>
      </c>
      <c r="AI50" s="66">
        <v>1</v>
      </c>
      <c r="AJ50" s="66">
        <f>IF(LEN(Множество[[#This Row],[Свёртка]])&gt;0,1,-1)</f>
        <v>1</v>
      </c>
      <c r="AK50" s="66" t="s">
        <v>1781</v>
      </c>
      <c r="AL50" s="66">
        <f>IF(LEN(Множество[[#This Row],[Критерии]])&gt;0,1,-1)</f>
        <v>1</v>
      </c>
      <c r="AM50" s="66">
        <f>IF(AND(LEN(Множество[[#This Row],[Свёртка]])&gt;0,LEN(Множество[[#This Row],[Критерии]])&gt;0,LEN(Множество[[#This Row],[Оценки]])&gt;0),1,-1)</f>
        <v>1</v>
      </c>
      <c r="AN50">
        <v>5.18333333333333</v>
      </c>
      <c r="AO50">
        <v>-13.6666666666667</v>
      </c>
      <c r="AP50" s="208"/>
      <c r="AQ50" s="208"/>
      <c r="AR50" s="226"/>
      <c r="AS50" s="225"/>
      <c r="AT50" s="226"/>
      <c r="AU50" s="225"/>
      <c r="AV50" s="225"/>
      <c r="AW50" s="225"/>
      <c r="AX50" s="225"/>
      <c r="AY50" s="225"/>
    </row>
    <row r="51" spans="2:51" x14ac:dyDescent="0.25">
      <c r="B51" s="209" t="str">
        <f ca="1">IF(AND(Критерий[[#This Row],[Критерий]]&lt;&gt;"",Критерий[[#This Row],[O.K.Критерий]]=1),ROW()-ROW(Критерий[[#Headers],[№]]),"")</f>
        <v/>
      </c>
      <c r="C51" s="84"/>
      <c r="D5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1" s="208" t="str">
        <f ca="1">IFERROR(IF(IFERROR(SEARCH("Прив",Критерий[[#This Row],[Фкритерий]]),0)&gt;0,"Критерий",IF(IFERROR(SEARCH("Матр",Критерий[[#This Row],[Фкритерий]]),0)&gt;0,"ошибка","ошибка")),"ошибка")</f>
        <v>ошибка</v>
      </c>
      <c r="F51" s="224" t="str">
        <f ca="1">IFERROR(IF(LEN((INDIRECT(Критерий[[#This Row],[СНаименование]],FALSE)))=0,"ошибка",IFERROR(INDIRECT(Критерий[[#This Row],[СНаименование]],FALSE),"ошибка")),"ошибка")</f>
        <v>ошибка</v>
      </c>
      <c r="G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1" s="208" t="str">
        <f ca="1">IFERROR(IF(N(INDIRECT(Критерий[[#This Row],[СФизКритерий]],FALSE))=0,"ошибка",IFERROR(INDIRECT(Критерий[[#This Row],[СФизКритерий]],FALSE),"ошибка")),"ошибка")</f>
        <v>ошибка</v>
      </c>
      <c r="I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1" s="208" t="str">
        <f ca="1">IFERROR(_xlfn.FORMULATEXT(INDIRECT(Критерий[[#This Row],[Скритерий]],FALSE)),"ошибка")</f>
        <v>ошибка</v>
      </c>
      <c r="M51" s="208" t="str">
        <f ca="1">IFERROR(IF(N(INDIRECT(Критерий[[#This Row],[СМинФизКритерий]],FALSE))=0,"ошибка",IFERROR(INDIRECT(Критерий[[#This Row],[СМинФизКритерий]],FALSE),"ошибка")),"ошибка")</f>
        <v>ошибка</v>
      </c>
      <c r="N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1" s="208" t="str">
        <f ca="1">IFERROR(IF(N(INDIRECT(Критерий[[#This Row],[СМаксФизКритерий]],FALSE))=0,"ошибка",IFERROR(INDIRECT(Критерий[[#This Row],[СМаксФизКритерий]],FALSE),"ошибка")),"ошибка")</f>
        <v>ошибка</v>
      </c>
      <c r="P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1" s="208" t="str">
        <f ca="1">IFERROR(IF(N(INDIRECT(Критерий[[#This Row],[ССрФизКритерий]],FALSE))=0,"ошибка",IFERROR(INDIRECT(Критерий[[#This Row],[ССрФизКритерий]],FALSE),"ошибка")),"")</f>
        <v/>
      </c>
      <c r="R5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1" s="212">
        <f ca="1">IFERROR(IF(AND(Критерий[[#This Row],[ВидКритерий]]="Критерий",IFERROR(SEARCH("Приведение",Критерий[[#This Row],[Фкритерий]]),0)&gt;0),1,-1),-1)</f>
        <v>-1</v>
      </c>
      <c r="U51" s="222" t="str">
        <f ca="1">IF(AND(Свёртка[[#This Row],[Свёртка]]&lt;&gt;"",Свёртка[[#This Row],[O.K.Свёртка]]=1),ROW()-ROW(Свёртка[[#Headers],[№]]),"")</f>
        <v/>
      </c>
      <c r="V51" s="84"/>
      <c r="W5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1" s="208" t="str">
        <f ca="1">IFERROR(_xlfn.FORMULATEXT(INDIRECT(Свёртка[[#This Row],[ССвёртка]],FALSE)),"ошибка")</f>
        <v>ошибка</v>
      </c>
      <c r="Y51" s="208" t="str">
        <f ca="1">IFERROR(IF(IFERROR(SEARCH("Прив",Свёртка[[#This Row],[ФСвёртка]]),0)&gt;0,"ошибка",IF(IFERROR(SEARCH("Матр",Свёртка[[#This Row],[ФСвёртка]]),0)&gt;0,"Свёртка","ошибка")),"ошибка")</f>
        <v>ошибка</v>
      </c>
      <c r="Z51" s="208" t="str">
        <f ca="1">IFERROR(IF(LEN((INDIRECT(Свёртка[[#This Row],[СНаименование]],FALSE)))=0,"ошибка",IFERROR(INDIRECT(Свёртка[[#This Row],[СНаименование]],FALSE),"ошибка")),"ошибка")</f>
        <v>ошибка</v>
      </c>
      <c r="AA5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1" s="212">
        <f ca="1">IF(Свёртка[[#This Row],[ВидСвёртка]]="Свёртка",1,-1)</f>
        <v>-1</v>
      </c>
      <c r="AG51" s="66">
        <f>IF(AND(Множество[[#This Row],[Y]]=1),ROW()-ROW(Множество[[#Headers],[№]]),"")</f>
        <v>42</v>
      </c>
      <c r="AH51" t="s">
        <v>608</v>
      </c>
      <c r="AI51" s="66">
        <v>1</v>
      </c>
      <c r="AJ51" s="66">
        <f>IF(LEN(Множество[[#This Row],[Свёртка]])&gt;0,1,-1)</f>
        <v>1</v>
      </c>
      <c r="AK51" s="66" t="s">
        <v>1781</v>
      </c>
      <c r="AL51" s="66">
        <f>IF(LEN(Множество[[#This Row],[Критерии]])&gt;0,1,-1)</f>
        <v>1</v>
      </c>
      <c r="AM51" s="66">
        <f>IF(AND(LEN(Множество[[#This Row],[Свёртка]])&gt;0,LEN(Множество[[#This Row],[Критерии]])&gt;0,LEN(Множество[[#This Row],[Оценки]])&gt;0),1,-1)</f>
        <v>1</v>
      </c>
      <c r="AN51">
        <v>5.125</v>
      </c>
      <c r="AO51">
        <v>-13.6833333333333</v>
      </c>
      <c r="AP51" s="208"/>
      <c r="AQ51" s="208"/>
      <c r="AR51" s="226"/>
      <c r="AS51" s="225"/>
      <c r="AT51" s="226"/>
      <c r="AU51" s="225"/>
      <c r="AV51" s="225"/>
      <c r="AW51" s="225"/>
      <c r="AX51" s="225"/>
      <c r="AY51" s="225"/>
    </row>
    <row r="52" spans="2:51" x14ac:dyDescent="0.25">
      <c r="B52" s="209" t="str">
        <f ca="1">IF(AND(Критерий[[#This Row],[Критерий]]&lt;&gt;"",Критерий[[#This Row],[O.K.Критерий]]=1),ROW()-ROW(Критерий[[#Headers],[№]]),"")</f>
        <v/>
      </c>
      <c r="C52" s="84"/>
      <c r="D5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2" s="208" t="str">
        <f ca="1">IFERROR(IF(IFERROR(SEARCH("Прив",Критерий[[#This Row],[Фкритерий]]),0)&gt;0,"Критерий",IF(IFERROR(SEARCH("Матр",Критерий[[#This Row],[Фкритерий]]),0)&gt;0,"ошибка","ошибка")),"ошибка")</f>
        <v>ошибка</v>
      </c>
      <c r="F52" s="224" t="str">
        <f ca="1">IFERROR(IF(LEN((INDIRECT(Критерий[[#This Row],[СНаименование]],FALSE)))=0,"ошибка",IFERROR(INDIRECT(Критерий[[#This Row],[СНаименование]],FALSE),"ошибка")),"ошибка")</f>
        <v>ошибка</v>
      </c>
      <c r="G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2" s="208" t="str">
        <f ca="1">IFERROR(IF(N(INDIRECT(Критерий[[#This Row],[СФизКритерий]],FALSE))=0,"ошибка",IFERROR(INDIRECT(Критерий[[#This Row],[СФизКритерий]],FALSE),"ошибка")),"ошибка")</f>
        <v>ошибка</v>
      </c>
      <c r="I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2" s="208" t="str">
        <f ca="1">IFERROR(_xlfn.FORMULATEXT(INDIRECT(Критерий[[#This Row],[Скритерий]],FALSE)),"ошибка")</f>
        <v>ошибка</v>
      </c>
      <c r="M52" s="208" t="str">
        <f ca="1">IFERROR(IF(N(INDIRECT(Критерий[[#This Row],[СМинФизКритерий]],FALSE))=0,"ошибка",IFERROR(INDIRECT(Критерий[[#This Row],[СМинФизКритерий]],FALSE),"ошибка")),"ошибка")</f>
        <v>ошибка</v>
      </c>
      <c r="N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2" s="208" t="str">
        <f ca="1">IFERROR(IF(N(INDIRECT(Критерий[[#This Row],[СМаксФизКритерий]],FALSE))=0,"ошибка",IFERROR(INDIRECT(Критерий[[#This Row],[СМаксФизКритерий]],FALSE),"ошибка")),"ошибка")</f>
        <v>ошибка</v>
      </c>
      <c r="P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2" s="208" t="str">
        <f ca="1">IFERROR(IF(N(INDIRECT(Критерий[[#This Row],[ССрФизКритерий]],FALSE))=0,"ошибка",IFERROR(INDIRECT(Критерий[[#This Row],[ССрФизКритерий]],FALSE),"ошибка")),"")</f>
        <v/>
      </c>
      <c r="R5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2" s="212">
        <f ca="1">IFERROR(IF(AND(Критерий[[#This Row],[ВидКритерий]]="Критерий",IFERROR(SEARCH("Приведение",Критерий[[#This Row],[Фкритерий]]),0)&gt;0),1,-1),-1)</f>
        <v>-1</v>
      </c>
      <c r="U52" s="222" t="str">
        <f ca="1">IF(AND(Свёртка[[#This Row],[Свёртка]]&lt;&gt;"",Свёртка[[#This Row],[O.K.Свёртка]]=1),ROW()-ROW(Свёртка[[#Headers],[№]]),"")</f>
        <v/>
      </c>
      <c r="V52" s="84"/>
      <c r="W5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2" s="208" t="str">
        <f ca="1">IFERROR(_xlfn.FORMULATEXT(INDIRECT(Свёртка[[#This Row],[ССвёртка]],FALSE)),"ошибка")</f>
        <v>ошибка</v>
      </c>
      <c r="Y52" s="208" t="str">
        <f ca="1">IFERROR(IF(IFERROR(SEARCH("Прив",Свёртка[[#This Row],[ФСвёртка]]),0)&gt;0,"ошибка",IF(IFERROR(SEARCH("Матр",Свёртка[[#This Row],[ФСвёртка]]),0)&gt;0,"Свёртка","ошибка")),"ошибка")</f>
        <v>ошибка</v>
      </c>
      <c r="Z52" s="208" t="str">
        <f ca="1">IFERROR(IF(LEN((INDIRECT(Свёртка[[#This Row],[СНаименование]],FALSE)))=0,"ошибка",IFERROR(INDIRECT(Свёртка[[#This Row],[СНаименование]],FALSE),"ошибка")),"ошибка")</f>
        <v>ошибка</v>
      </c>
      <c r="AA5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2" s="212">
        <f ca="1">IF(Свёртка[[#This Row],[ВидСвёртка]]="Свёртка",1,-1)</f>
        <v>-1</v>
      </c>
      <c r="AG52" s="66">
        <f>IF(AND(Множество[[#This Row],[Y]]=1),ROW()-ROW(Множество[[#Headers],[№]]),"")</f>
        <v>43</v>
      </c>
      <c r="AH52" t="s">
        <v>608</v>
      </c>
      <c r="AI52" s="66">
        <v>1</v>
      </c>
      <c r="AJ52" s="66">
        <f>IF(LEN(Множество[[#This Row],[Свёртка]])&gt;0,1,-1)</f>
        <v>1</v>
      </c>
      <c r="AK52" s="66" t="s">
        <v>1781</v>
      </c>
      <c r="AL52" s="66">
        <f>IF(LEN(Множество[[#This Row],[Критерии]])&gt;0,1,-1)</f>
        <v>1</v>
      </c>
      <c r="AM52" s="66">
        <f>IF(AND(LEN(Множество[[#This Row],[Свёртка]])&gt;0,LEN(Множество[[#This Row],[Критерии]])&gt;0,LEN(Множество[[#This Row],[Оценки]])&gt;0),1,-1)</f>
        <v>1</v>
      </c>
      <c r="AN52">
        <v>5.06666666666667</v>
      </c>
      <c r="AO52">
        <v>-13.7</v>
      </c>
      <c r="AP52" s="208"/>
      <c r="AQ52" s="208"/>
      <c r="AR52" s="226"/>
      <c r="AS52" s="225"/>
      <c r="AT52" s="226"/>
      <c r="AU52" s="225"/>
      <c r="AV52" s="225"/>
      <c r="AW52" s="225"/>
      <c r="AX52" s="225"/>
      <c r="AY52" s="225"/>
    </row>
    <row r="53" spans="2:51" x14ac:dyDescent="0.25">
      <c r="B53" s="209" t="str">
        <f ca="1">IF(AND(Критерий[[#This Row],[Критерий]]&lt;&gt;"",Критерий[[#This Row],[O.K.Критерий]]=1),ROW()-ROW(Критерий[[#Headers],[№]]),"")</f>
        <v/>
      </c>
      <c r="C53" s="84"/>
      <c r="D5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3" s="208" t="str">
        <f ca="1">IFERROR(IF(IFERROR(SEARCH("Прив",Критерий[[#This Row],[Фкритерий]]),0)&gt;0,"Критерий",IF(IFERROR(SEARCH("Матр",Критерий[[#This Row],[Фкритерий]]),0)&gt;0,"ошибка","ошибка")),"ошибка")</f>
        <v>ошибка</v>
      </c>
      <c r="F53" s="224" t="str">
        <f ca="1">IFERROR(IF(LEN((INDIRECT(Критерий[[#This Row],[СНаименование]],FALSE)))=0,"ошибка",IFERROR(INDIRECT(Критерий[[#This Row],[СНаименование]],FALSE),"ошибка")),"ошибка")</f>
        <v>ошибка</v>
      </c>
      <c r="G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3" s="208" t="str">
        <f ca="1">IFERROR(IF(N(INDIRECT(Критерий[[#This Row],[СФизКритерий]],FALSE))=0,"ошибка",IFERROR(INDIRECT(Критерий[[#This Row],[СФизКритерий]],FALSE),"ошибка")),"ошибка")</f>
        <v>ошибка</v>
      </c>
      <c r="I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3" s="208" t="str">
        <f ca="1">IFERROR(_xlfn.FORMULATEXT(INDIRECT(Критерий[[#This Row],[Скритерий]],FALSE)),"ошибка")</f>
        <v>ошибка</v>
      </c>
      <c r="M53" s="208" t="str">
        <f ca="1">IFERROR(IF(N(INDIRECT(Критерий[[#This Row],[СМинФизКритерий]],FALSE))=0,"ошибка",IFERROR(INDIRECT(Критерий[[#This Row],[СМинФизКритерий]],FALSE),"ошибка")),"ошибка")</f>
        <v>ошибка</v>
      </c>
      <c r="N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3" s="208" t="str">
        <f ca="1">IFERROR(IF(N(INDIRECT(Критерий[[#This Row],[СМаксФизКритерий]],FALSE))=0,"ошибка",IFERROR(INDIRECT(Критерий[[#This Row],[СМаксФизКритерий]],FALSE),"ошибка")),"ошибка")</f>
        <v>ошибка</v>
      </c>
      <c r="P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3" s="208" t="str">
        <f ca="1">IFERROR(IF(N(INDIRECT(Критерий[[#This Row],[ССрФизКритерий]],FALSE))=0,"ошибка",IFERROR(INDIRECT(Критерий[[#This Row],[ССрФизКритерий]],FALSE),"ошибка")),"")</f>
        <v/>
      </c>
      <c r="R5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3" s="212">
        <f ca="1">IFERROR(IF(AND(Критерий[[#This Row],[ВидКритерий]]="Критерий",IFERROR(SEARCH("Приведение",Критерий[[#This Row],[Фкритерий]]),0)&gt;0),1,-1),-1)</f>
        <v>-1</v>
      </c>
      <c r="U53" s="222" t="str">
        <f ca="1">IF(AND(Свёртка[[#This Row],[Свёртка]]&lt;&gt;"",Свёртка[[#This Row],[O.K.Свёртка]]=1),ROW()-ROW(Свёртка[[#Headers],[№]]),"")</f>
        <v/>
      </c>
      <c r="V53" s="84"/>
      <c r="W5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3" s="208" t="str">
        <f ca="1">IFERROR(_xlfn.FORMULATEXT(INDIRECT(Свёртка[[#This Row],[ССвёртка]],FALSE)),"ошибка")</f>
        <v>ошибка</v>
      </c>
      <c r="Y53" s="208" t="str">
        <f ca="1">IFERROR(IF(IFERROR(SEARCH("Прив",Свёртка[[#This Row],[ФСвёртка]]),0)&gt;0,"ошибка",IF(IFERROR(SEARCH("Матр",Свёртка[[#This Row],[ФСвёртка]]),0)&gt;0,"Свёртка","ошибка")),"ошибка")</f>
        <v>ошибка</v>
      </c>
      <c r="Z53" s="208" t="str">
        <f ca="1">IFERROR(IF(LEN((INDIRECT(Свёртка[[#This Row],[СНаименование]],FALSE)))=0,"ошибка",IFERROR(INDIRECT(Свёртка[[#This Row],[СНаименование]],FALSE),"ошибка")),"ошибка")</f>
        <v>ошибка</v>
      </c>
      <c r="AA5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3" s="212">
        <f ca="1">IF(Свёртка[[#This Row],[ВидСвёртка]]="Свёртка",1,-1)</f>
        <v>-1</v>
      </c>
      <c r="AG53" s="66">
        <f>IF(AND(Множество[[#This Row],[Y]]=1),ROW()-ROW(Множество[[#Headers],[№]]),"")</f>
        <v>44</v>
      </c>
      <c r="AH53" t="s">
        <v>608</v>
      </c>
      <c r="AI53" s="66">
        <v>1</v>
      </c>
      <c r="AJ53" s="66">
        <f>IF(LEN(Множество[[#This Row],[Свёртка]])&gt;0,1,-1)</f>
        <v>1</v>
      </c>
      <c r="AK53" s="66" t="s">
        <v>1781</v>
      </c>
      <c r="AL53" s="66">
        <f>IF(LEN(Множество[[#This Row],[Критерии]])&gt;0,1,-1)</f>
        <v>1</v>
      </c>
      <c r="AM53" s="66">
        <f>IF(AND(LEN(Множество[[#This Row],[Свёртка]])&gt;0,LEN(Множество[[#This Row],[Критерии]])&gt;0,LEN(Множество[[#This Row],[Оценки]])&gt;0),1,-1)</f>
        <v>1</v>
      </c>
      <c r="AN53">
        <v>5.0083333333333302</v>
      </c>
      <c r="AO53">
        <v>-13.716666666666701</v>
      </c>
      <c r="AP53" s="208"/>
      <c r="AQ53" s="208"/>
      <c r="AR53" s="226"/>
      <c r="AS53" s="225"/>
      <c r="AT53" s="226"/>
      <c r="AU53" s="225"/>
      <c r="AV53" s="225"/>
      <c r="AW53" s="225"/>
      <c r="AX53" s="225"/>
      <c r="AY53" s="225"/>
    </row>
    <row r="54" spans="2:51" x14ac:dyDescent="0.25">
      <c r="B54" s="209" t="str">
        <f ca="1">IF(AND(Критерий[[#This Row],[Критерий]]&lt;&gt;"",Критерий[[#This Row],[O.K.Критерий]]=1),ROW()-ROW(Критерий[[#Headers],[№]]),"")</f>
        <v/>
      </c>
      <c r="C54" s="84"/>
      <c r="D5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4" s="208" t="str">
        <f ca="1">IFERROR(IF(IFERROR(SEARCH("Прив",Критерий[[#This Row],[Фкритерий]]),0)&gt;0,"Критерий",IF(IFERROR(SEARCH("Матр",Критерий[[#This Row],[Фкритерий]]),0)&gt;0,"ошибка","ошибка")),"ошибка")</f>
        <v>ошибка</v>
      </c>
      <c r="F54" s="224" t="str">
        <f ca="1">IFERROR(IF(LEN((INDIRECT(Критерий[[#This Row],[СНаименование]],FALSE)))=0,"ошибка",IFERROR(INDIRECT(Критерий[[#This Row],[СНаименование]],FALSE),"ошибка")),"ошибка")</f>
        <v>ошибка</v>
      </c>
      <c r="G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4" s="208" t="str">
        <f ca="1">IFERROR(IF(N(INDIRECT(Критерий[[#This Row],[СФизКритерий]],FALSE))=0,"ошибка",IFERROR(INDIRECT(Критерий[[#This Row],[СФизКритерий]],FALSE),"ошибка")),"ошибка")</f>
        <v>ошибка</v>
      </c>
      <c r="I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4" s="208" t="str">
        <f ca="1">IFERROR(_xlfn.FORMULATEXT(INDIRECT(Критерий[[#This Row],[Скритерий]],FALSE)),"ошибка")</f>
        <v>ошибка</v>
      </c>
      <c r="M54" s="208" t="str">
        <f ca="1">IFERROR(IF(N(INDIRECT(Критерий[[#This Row],[СМинФизКритерий]],FALSE))=0,"ошибка",IFERROR(INDIRECT(Критерий[[#This Row],[СМинФизКритерий]],FALSE),"ошибка")),"ошибка")</f>
        <v>ошибка</v>
      </c>
      <c r="N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4" s="208" t="str">
        <f ca="1">IFERROR(IF(N(INDIRECT(Критерий[[#This Row],[СМаксФизКритерий]],FALSE))=0,"ошибка",IFERROR(INDIRECT(Критерий[[#This Row],[СМаксФизКритерий]],FALSE),"ошибка")),"ошибка")</f>
        <v>ошибка</v>
      </c>
      <c r="P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4" s="208" t="str">
        <f ca="1">IFERROR(IF(N(INDIRECT(Критерий[[#This Row],[ССрФизКритерий]],FALSE))=0,"ошибка",IFERROR(INDIRECT(Критерий[[#This Row],[ССрФизКритерий]],FALSE),"ошибка")),"")</f>
        <v/>
      </c>
      <c r="R5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4" s="212">
        <f ca="1">IFERROR(IF(AND(Критерий[[#This Row],[ВидКритерий]]="Критерий",IFERROR(SEARCH("Приведение",Критерий[[#This Row],[Фкритерий]]),0)&gt;0),1,-1),-1)</f>
        <v>-1</v>
      </c>
      <c r="U54" s="222" t="str">
        <f ca="1">IF(AND(Свёртка[[#This Row],[Свёртка]]&lt;&gt;"",Свёртка[[#This Row],[O.K.Свёртка]]=1),ROW()-ROW(Свёртка[[#Headers],[№]]),"")</f>
        <v/>
      </c>
      <c r="V54" s="84"/>
      <c r="W5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4" s="208" t="str">
        <f ca="1">IFERROR(_xlfn.FORMULATEXT(INDIRECT(Свёртка[[#This Row],[ССвёртка]],FALSE)),"ошибка")</f>
        <v>ошибка</v>
      </c>
      <c r="Y54" s="208" t="str">
        <f ca="1">IFERROR(IF(IFERROR(SEARCH("Прив",Свёртка[[#This Row],[ФСвёртка]]),0)&gt;0,"ошибка",IF(IFERROR(SEARCH("Матр",Свёртка[[#This Row],[ФСвёртка]]),0)&gt;0,"Свёртка","ошибка")),"ошибка")</f>
        <v>ошибка</v>
      </c>
      <c r="Z54" s="208" t="str">
        <f ca="1">IFERROR(IF(LEN((INDIRECT(Свёртка[[#This Row],[СНаименование]],FALSE)))=0,"ошибка",IFERROR(INDIRECT(Свёртка[[#This Row],[СНаименование]],FALSE),"ошибка")),"ошибка")</f>
        <v>ошибка</v>
      </c>
      <c r="AA5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4" s="212">
        <f ca="1">IF(Свёртка[[#This Row],[ВидСвёртка]]="Свёртка",1,-1)</f>
        <v>-1</v>
      </c>
      <c r="AG54" s="66">
        <f>IF(AND(Множество[[#This Row],[Y]]=1),ROW()-ROW(Множество[[#Headers],[№]]),"")</f>
        <v>45</v>
      </c>
      <c r="AH54" t="s">
        <v>608</v>
      </c>
      <c r="AI54" s="66">
        <v>1</v>
      </c>
      <c r="AJ54" s="66">
        <f>IF(LEN(Множество[[#This Row],[Свёртка]])&gt;0,1,-1)</f>
        <v>1</v>
      </c>
      <c r="AK54" s="66" t="s">
        <v>1781</v>
      </c>
      <c r="AL54" s="66">
        <f>IF(LEN(Множество[[#This Row],[Критерии]])&gt;0,1,-1)</f>
        <v>1</v>
      </c>
      <c r="AM54" s="66">
        <f>IF(AND(LEN(Множество[[#This Row],[Свёртка]])&gt;0,LEN(Множество[[#This Row],[Критерии]])&gt;0,LEN(Множество[[#This Row],[Оценки]])&gt;0),1,-1)</f>
        <v>1</v>
      </c>
      <c r="AN54">
        <v>4.95</v>
      </c>
      <c r="AO54">
        <v>-13.716666666666701</v>
      </c>
      <c r="AP54" s="208"/>
      <c r="AQ54" s="208"/>
      <c r="AR54" s="226"/>
      <c r="AS54" s="225"/>
      <c r="AT54" s="226"/>
      <c r="AU54" s="225"/>
      <c r="AV54" s="225"/>
      <c r="AW54" s="225"/>
      <c r="AX54" s="225"/>
      <c r="AY54" s="225"/>
    </row>
    <row r="55" spans="2:51" x14ac:dyDescent="0.25">
      <c r="B55" s="209" t="str">
        <f ca="1">IF(AND(Критерий[[#This Row],[Критерий]]&lt;&gt;"",Критерий[[#This Row],[O.K.Критерий]]=1),ROW()-ROW(Критерий[[#Headers],[№]]),"")</f>
        <v/>
      </c>
      <c r="C55" s="84"/>
      <c r="D5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5" s="208" t="str">
        <f ca="1">IFERROR(IF(IFERROR(SEARCH("Прив",Критерий[[#This Row],[Фкритерий]]),0)&gt;0,"Критерий",IF(IFERROR(SEARCH("Матр",Критерий[[#This Row],[Фкритерий]]),0)&gt;0,"ошибка","ошибка")),"ошибка")</f>
        <v>ошибка</v>
      </c>
      <c r="F55" s="224" t="str">
        <f ca="1">IFERROR(IF(LEN((INDIRECT(Критерий[[#This Row],[СНаименование]],FALSE)))=0,"ошибка",IFERROR(INDIRECT(Критерий[[#This Row],[СНаименование]],FALSE),"ошибка")),"ошибка")</f>
        <v>ошибка</v>
      </c>
      <c r="G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5" s="208" t="str">
        <f ca="1">IFERROR(IF(N(INDIRECT(Критерий[[#This Row],[СФизКритерий]],FALSE))=0,"ошибка",IFERROR(INDIRECT(Критерий[[#This Row],[СФизКритерий]],FALSE),"ошибка")),"ошибка")</f>
        <v>ошибка</v>
      </c>
      <c r="I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5" s="208" t="str">
        <f ca="1">IFERROR(_xlfn.FORMULATEXT(INDIRECT(Критерий[[#This Row],[Скритерий]],FALSE)),"ошибка")</f>
        <v>ошибка</v>
      </c>
      <c r="M55" s="208" t="str">
        <f ca="1">IFERROR(IF(N(INDIRECT(Критерий[[#This Row],[СМинФизКритерий]],FALSE))=0,"ошибка",IFERROR(INDIRECT(Критерий[[#This Row],[СМинФизКритерий]],FALSE),"ошибка")),"ошибка")</f>
        <v>ошибка</v>
      </c>
      <c r="N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5" s="208" t="str">
        <f ca="1">IFERROR(IF(N(INDIRECT(Критерий[[#This Row],[СМаксФизКритерий]],FALSE))=0,"ошибка",IFERROR(INDIRECT(Критерий[[#This Row],[СМаксФизКритерий]],FALSE),"ошибка")),"ошибка")</f>
        <v>ошибка</v>
      </c>
      <c r="P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5" s="208" t="str">
        <f ca="1">IFERROR(IF(N(INDIRECT(Критерий[[#This Row],[ССрФизКритерий]],FALSE))=0,"ошибка",IFERROR(INDIRECT(Критерий[[#This Row],[ССрФизКритерий]],FALSE),"ошибка")),"")</f>
        <v/>
      </c>
      <c r="R5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5" s="212">
        <f ca="1">IFERROR(IF(AND(Критерий[[#This Row],[ВидКритерий]]="Критерий",IFERROR(SEARCH("Приведение",Критерий[[#This Row],[Фкритерий]]),0)&gt;0),1,-1),-1)</f>
        <v>-1</v>
      </c>
      <c r="U55" s="222" t="str">
        <f ca="1">IF(AND(Свёртка[[#This Row],[Свёртка]]&lt;&gt;"",Свёртка[[#This Row],[O.K.Свёртка]]=1),ROW()-ROW(Свёртка[[#Headers],[№]]),"")</f>
        <v/>
      </c>
      <c r="V55" s="84"/>
      <c r="W5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5" s="208" t="str">
        <f ca="1">IFERROR(_xlfn.FORMULATEXT(INDIRECT(Свёртка[[#This Row],[ССвёртка]],FALSE)),"ошибка")</f>
        <v>ошибка</v>
      </c>
      <c r="Y55" s="208" t="str">
        <f ca="1">IFERROR(IF(IFERROR(SEARCH("Прив",Свёртка[[#This Row],[ФСвёртка]]),0)&gt;0,"ошибка",IF(IFERROR(SEARCH("Матр",Свёртка[[#This Row],[ФСвёртка]]),0)&gt;0,"Свёртка","ошибка")),"ошибка")</f>
        <v>ошибка</v>
      </c>
      <c r="Z55" s="208" t="str">
        <f ca="1">IFERROR(IF(LEN((INDIRECT(Свёртка[[#This Row],[СНаименование]],FALSE)))=0,"ошибка",IFERROR(INDIRECT(Свёртка[[#This Row],[СНаименование]],FALSE),"ошибка")),"ошибка")</f>
        <v>ошибка</v>
      </c>
      <c r="AA5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5" s="212">
        <f ca="1">IF(Свёртка[[#This Row],[ВидСвёртка]]="Свёртка",1,-1)</f>
        <v>-1</v>
      </c>
      <c r="AG55" s="66">
        <f>IF(AND(Множество[[#This Row],[Y]]=1),ROW()-ROW(Множество[[#Headers],[№]]),"")</f>
        <v>46</v>
      </c>
      <c r="AH55" t="s">
        <v>608</v>
      </c>
      <c r="AI55" s="66">
        <v>1</v>
      </c>
      <c r="AJ55" s="66">
        <f>IF(LEN(Множество[[#This Row],[Свёртка]])&gt;0,1,-1)</f>
        <v>1</v>
      </c>
      <c r="AK55" s="66" t="s">
        <v>1781</v>
      </c>
      <c r="AL55" s="66">
        <f>IF(LEN(Множество[[#This Row],[Критерии]])&gt;0,1,-1)</f>
        <v>1</v>
      </c>
      <c r="AM55" s="66">
        <f>IF(AND(LEN(Множество[[#This Row],[Свёртка]])&gt;0,LEN(Множество[[#This Row],[Критерии]])&gt;0,LEN(Множество[[#This Row],[Оценки]])&gt;0),1,-1)</f>
        <v>1</v>
      </c>
      <c r="AN55">
        <v>4.8916666666666702</v>
      </c>
      <c r="AO55">
        <v>-13.733333333333301</v>
      </c>
      <c r="AP55" s="208"/>
      <c r="AQ55" s="208"/>
      <c r="AR55" s="226"/>
      <c r="AS55" s="225"/>
      <c r="AT55" s="226"/>
      <c r="AU55" s="225"/>
      <c r="AV55" s="225"/>
      <c r="AW55" s="225"/>
      <c r="AX55" s="225"/>
      <c r="AY55" s="225"/>
    </row>
    <row r="56" spans="2:51" x14ac:dyDescent="0.25">
      <c r="B56" s="209" t="str">
        <f ca="1">IF(AND(Критерий[[#This Row],[Критерий]]&lt;&gt;"",Критерий[[#This Row],[O.K.Критерий]]=1),ROW()-ROW(Критерий[[#Headers],[№]]),"")</f>
        <v/>
      </c>
      <c r="C56" s="84"/>
      <c r="D5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6" s="208" t="str">
        <f ca="1">IFERROR(IF(IFERROR(SEARCH("Прив",Критерий[[#This Row],[Фкритерий]]),0)&gt;0,"Критерий",IF(IFERROR(SEARCH("Матр",Критерий[[#This Row],[Фкритерий]]),0)&gt;0,"ошибка","ошибка")),"ошибка")</f>
        <v>ошибка</v>
      </c>
      <c r="F56" s="224" t="str">
        <f ca="1">IFERROR(IF(LEN((INDIRECT(Критерий[[#This Row],[СНаименование]],FALSE)))=0,"ошибка",IFERROR(INDIRECT(Критерий[[#This Row],[СНаименование]],FALSE),"ошибка")),"ошибка")</f>
        <v>ошибка</v>
      </c>
      <c r="G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6" s="208" t="str">
        <f ca="1">IFERROR(IF(N(INDIRECT(Критерий[[#This Row],[СФизКритерий]],FALSE))=0,"ошибка",IFERROR(INDIRECT(Критерий[[#This Row],[СФизКритерий]],FALSE),"ошибка")),"ошибка")</f>
        <v>ошибка</v>
      </c>
      <c r="I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6" s="208" t="str">
        <f ca="1">IFERROR(_xlfn.FORMULATEXT(INDIRECT(Критерий[[#This Row],[Скритерий]],FALSE)),"ошибка")</f>
        <v>ошибка</v>
      </c>
      <c r="M56" s="208" t="str">
        <f ca="1">IFERROR(IF(N(INDIRECT(Критерий[[#This Row],[СМинФизКритерий]],FALSE))=0,"ошибка",IFERROR(INDIRECT(Критерий[[#This Row],[СМинФизКритерий]],FALSE),"ошибка")),"ошибка")</f>
        <v>ошибка</v>
      </c>
      <c r="N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6" s="208" t="str">
        <f ca="1">IFERROR(IF(N(INDIRECT(Критерий[[#This Row],[СМаксФизКритерий]],FALSE))=0,"ошибка",IFERROR(INDIRECT(Критерий[[#This Row],[СМаксФизКритерий]],FALSE),"ошибка")),"ошибка")</f>
        <v>ошибка</v>
      </c>
      <c r="P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6" s="208" t="str">
        <f ca="1">IFERROR(IF(N(INDIRECT(Критерий[[#This Row],[ССрФизКритерий]],FALSE))=0,"ошибка",IFERROR(INDIRECT(Критерий[[#This Row],[ССрФизКритерий]],FALSE),"ошибка")),"")</f>
        <v/>
      </c>
      <c r="R5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6" s="212">
        <f ca="1">IFERROR(IF(AND(Критерий[[#This Row],[ВидКритерий]]="Критерий",IFERROR(SEARCH("Приведение",Критерий[[#This Row],[Фкритерий]]),0)&gt;0),1,-1),-1)</f>
        <v>-1</v>
      </c>
      <c r="U56" s="222" t="str">
        <f ca="1">IF(AND(Свёртка[[#This Row],[Свёртка]]&lt;&gt;"",Свёртка[[#This Row],[O.K.Свёртка]]=1),ROW()-ROW(Свёртка[[#Headers],[№]]),"")</f>
        <v/>
      </c>
      <c r="V56" s="84"/>
      <c r="W5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6" s="208" t="str">
        <f ca="1">IFERROR(_xlfn.FORMULATEXT(INDIRECT(Свёртка[[#This Row],[ССвёртка]],FALSE)),"ошибка")</f>
        <v>ошибка</v>
      </c>
      <c r="Y56" s="208" t="str">
        <f ca="1">IFERROR(IF(IFERROR(SEARCH("Прив",Свёртка[[#This Row],[ФСвёртка]]),0)&gt;0,"ошибка",IF(IFERROR(SEARCH("Матр",Свёртка[[#This Row],[ФСвёртка]]),0)&gt;0,"Свёртка","ошибка")),"ошибка")</f>
        <v>ошибка</v>
      </c>
      <c r="Z56" s="208" t="str">
        <f ca="1">IFERROR(IF(LEN((INDIRECT(Свёртка[[#This Row],[СНаименование]],FALSE)))=0,"ошибка",IFERROR(INDIRECT(Свёртка[[#This Row],[СНаименование]],FALSE),"ошибка")),"ошибка")</f>
        <v>ошибка</v>
      </c>
      <c r="AA5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6" s="212">
        <f ca="1">IF(Свёртка[[#This Row],[ВидСвёртка]]="Свёртка",1,-1)</f>
        <v>-1</v>
      </c>
      <c r="AG56" s="66">
        <f>IF(AND(Множество[[#This Row],[Y]]=1),ROW()-ROW(Множество[[#Headers],[№]]),"")</f>
        <v>47</v>
      </c>
      <c r="AH56" t="s">
        <v>608</v>
      </c>
      <c r="AI56" s="66">
        <v>1</v>
      </c>
      <c r="AJ56" s="66">
        <f>IF(LEN(Множество[[#This Row],[Свёртка]])&gt;0,1,-1)</f>
        <v>1</v>
      </c>
      <c r="AK56" s="66" t="s">
        <v>1781</v>
      </c>
      <c r="AL56" s="66">
        <f>IF(LEN(Множество[[#This Row],[Критерии]])&gt;0,1,-1)</f>
        <v>1</v>
      </c>
      <c r="AM56" s="66">
        <f>IF(AND(LEN(Множество[[#This Row],[Свёртка]])&gt;0,LEN(Множество[[#This Row],[Критерии]])&gt;0,LEN(Множество[[#This Row],[Оценки]])&gt;0),1,-1)</f>
        <v>1</v>
      </c>
      <c r="AN56">
        <v>4.8333333333333304</v>
      </c>
      <c r="AO56">
        <v>-13.75</v>
      </c>
      <c r="AP56" s="208"/>
      <c r="AQ56" s="208"/>
      <c r="AR56" s="226"/>
      <c r="AS56" s="225"/>
      <c r="AT56" s="226"/>
      <c r="AU56" s="225"/>
      <c r="AV56" s="225"/>
      <c r="AW56" s="225"/>
      <c r="AX56" s="225"/>
      <c r="AY56" s="225"/>
    </row>
    <row r="57" spans="2:51" x14ac:dyDescent="0.25">
      <c r="B57" s="209" t="str">
        <f ca="1">IF(AND(Критерий[[#This Row],[Критерий]]&lt;&gt;"",Критерий[[#This Row],[O.K.Критерий]]=1),ROW()-ROW(Критерий[[#Headers],[№]]),"")</f>
        <v/>
      </c>
      <c r="C57" s="84"/>
      <c r="D5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7" s="208" t="str">
        <f ca="1">IFERROR(IF(IFERROR(SEARCH("Прив",Критерий[[#This Row],[Фкритерий]]),0)&gt;0,"Критерий",IF(IFERROR(SEARCH("Матр",Критерий[[#This Row],[Фкритерий]]),0)&gt;0,"ошибка","ошибка")),"ошибка")</f>
        <v>ошибка</v>
      </c>
      <c r="F57" s="224" t="str">
        <f ca="1">IFERROR(IF(LEN((INDIRECT(Критерий[[#This Row],[СНаименование]],FALSE)))=0,"ошибка",IFERROR(INDIRECT(Критерий[[#This Row],[СНаименование]],FALSE),"ошибка")),"ошибка")</f>
        <v>ошибка</v>
      </c>
      <c r="G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7" s="208" t="str">
        <f ca="1">IFERROR(IF(N(INDIRECT(Критерий[[#This Row],[СФизКритерий]],FALSE))=0,"ошибка",IFERROR(INDIRECT(Критерий[[#This Row],[СФизКритерий]],FALSE),"ошибка")),"ошибка")</f>
        <v>ошибка</v>
      </c>
      <c r="I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7" s="208" t="str">
        <f ca="1">IFERROR(_xlfn.FORMULATEXT(INDIRECT(Критерий[[#This Row],[Скритерий]],FALSE)),"ошибка")</f>
        <v>ошибка</v>
      </c>
      <c r="M57" s="208" t="str">
        <f ca="1">IFERROR(IF(N(INDIRECT(Критерий[[#This Row],[СМинФизКритерий]],FALSE))=0,"ошибка",IFERROR(INDIRECT(Критерий[[#This Row],[СМинФизКритерий]],FALSE),"ошибка")),"ошибка")</f>
        <v>ошибка</v>
      </c>
      <c r="N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7" s="208" t="str">
        <f ca="1">IFERROR(IF(N(INDIRECT(Критерий[[#This Row],[СМаксФизКритерий]],FALSE))=0,"ошибка",IFERROR(INDIRECT(Критерий[[#This Row],[СМаксФизКритерий]],FALSE),"ошибка")),"ошибка")</f>
        <v>ошибка</v>
      </c>
      <c r="P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7" s="208" t="str">
        <f ca="1">IFERROR(IF(N(INDIRECT(Критерий[[#This Row],[ССрФизКритерий]],FALSE))=0,"ошибка",IFERROR(INDIRECT(Критерий[[#This Row],[ССрФизКритерий]],FALSE),"ошибка")),"")</f>
        <v/>
      </c>
      <c r="R5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7" s="212">
        <f ca="1">IFERROR(IF(AND(Критерий[[#This Row],[ВидКритерий]]="Критерий",IFERROR(SEARCH("Приведение",Критерий[[#This Row],[Фкритерий]]),0)&gt;0),1,-1),-1)</f>
        <v>-1</v>
      </c>
      <c r="U57" s="222" t="str">
        <f ca="1">IF(AND(Свёртка[[#This Row],[Свёртка]]&lt;&gt;"",Свёртка[[#This Row],[O.K.Свёртка]]=1),ROW()-ROW(Свёртка[[#Headers],[№]]),"")</f>
        <v/>
      </c>
      <c r="V57" s="84"/>
      <c r="W5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7" s="208" t="str">
        <f ca="1">IFERROR(_xlfn.FORMULATEXT(INDIRECT(Свёртка[[#This Row],[ССвёртка]],FALSE)),"ошибка")</f>
        <v>ошибка</v>
      </c>
      <c r="Y57" s="208" t="str">
        <f ca="1">IFERROR(IF(IFERROR(SEARCH("Прив",Свёртка[[#This Row],[ФСвёртка]]),0)&gt;0,"ошибка",IF(IFERROR(SEARCH("Матр",Свёртка[[#This Row],[ФСвёртка]]),0)&gt;0,"Свёртка","ошибка")),"ошибка")</f>
        <v>ошибка</v>
      </c>
      <c r="Z57" s="208" t="str">
        <f ca="1">IFERROR(IF(LEN((INDIRECT(Свёртка[[#This Row],[СНаименование]],FALSE)))=0,"ошибка",IFERROR(INDIRECT(Свёртка[[#This Row],[СНаименование]],FALSE),"ошибка")),"ошибка")</f>
        <v>ошибка</v>
      </c>
      <c r="AA5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7" s="212">
        <f ca="1">IF(Свёртка[[#This Row],[ВидСвёртка]]="Свёртка",1,-1)</f>
        <v>-1</v>
      </c>
      <c r="AG57" s="66">
        <f>IF(AND(Множество[[#This Row],[Y]]=1),ROW()-ROW(Множество[[#Headers],[№]]),"")</f>
        <v>48</v>
      </c>
      <c r="AH57" t="s">
        <v>608</v>
      </c>
      <c r="AI57" s="66">
        <v>1</v>
      </c>
      <c r="AJ57" s="66">
        <f>IF(LEN(Множество[[#This Row],[Свёртка]])&gt;0,1,-1)</f>
        <v>1</v>
      </c>
      <c r="AK57" s="66" t="s">
        <v>1781</v>
      </c>
      <c r="AL57" s="66">
        <f>IF(LEN(Множество[[#This Row],[Критерии]])&gt;0,1,-1)</f>
        <v>1</v>
      </c>
      <c r="AM57" s="66">
        <f>IF(AND(LEN(Множество[[#This Row],[Свёртка]])&gt;0,LEN(Множество[[#This Row],[Критерии]])&gt;0,LEN(Множество[[#This Row],[Оценки]])&gt;0),1,-1)</f>
        <v>1</v>
      </c>
      <c r="AN57">
        <v>4.7750000000000004</v>
      </c>
      <c r="AO57">
        <v>-13.766666666666699</v>
      </c>
      <c r="AP57" s="208"/>
      <c r="AQ57" s="208"/>
      <c r="AR57" s="226"/>
      <c r="AS57" s="225"/>
      <c r="AT57" s="226"/>
      <c r="AU57" s="225"/>
      <c r="AV57" s="225"/>
      <c r="AW57" s="225"/>
      <c r="AX57" s="225"/>
      <c r="AY57" s="225"/>
    </row>
    <row r="58" spans="2:51" x14ac:dyDescent="0.25">
      <c r="B58" s="209" t="str">
        <f ca="1">IF(AND(Критерий[[#This Row],[Критерий]]&lt;&gt;"",Критерий[[#This Row],[O.K.Критерий]]=1),ROW()-ROW(Критерий[[#Headers],[№]]),"")</f>
        <v/>
      </c>
      <c r="C58" s="84"/>
      <c r="D5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8" s="208" t="str">
        <f ca="1">IFERROR(IF(IFERROR(SEARCH("Прив",Критерий[[#This Row],[Фкритерий]]),0)&gt;0,"Критерий",IF(IFERROR(SEARCH("Матр",Критерий[[#This Row],[Фкритерий]]),0)&gt;0,"ошибка","ошибка")),"ошибка")</f>
        <v>ошибка</v>
      </c>
      <c r="F58" s="224" t="str">
        <f ca="1">IFERROR(IF(LEN((INDIRECT(Критерий[[#This Row],[СНаименование]],FALSE)))=0,"ошибка",IFERROR(INDIRECT(Критерий[[#This Row],[СНаименование]],FALSE),"ошибка")),"ошибка")</f>
        <v>ошибка</v>
      </c>
      <c r="G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8" s="208" t="str">
        <f ca="1">IFERROR(IF(N(INDIRECT(Критерий[[#This Row],[СФизКритерий]],FALSE))=0,"ошибка",IFERROR(INDIRECT(Критерий[[#This Row],[СФизКритерий]],FALSE),"ошибка")),"ошибка")</f>
        <v>ошибка</v>
      </c>
      <c r="I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8" s="208" t="str">
        <f ca="1">IFERROR(_xlfn.FORMULATEXT(INDIRECT(Критерий[[#This Row],[Скритерий]],FALSE)),"ошибка")</f>
        <v>ошибка</v>
      </c>
      <c r="M58" s="208" t="str">
        <f ca="1">IFERROR(IF(N(INDIRECT(Критерий[[#This Row],[СМинФизКритерий]],FALSE))=0,"ошибка",IFERROR(INDIRECT(Критерий[[#This Row],[СМинФизКритерий]],FALSE),"ошибка")),"ошибка")</f>
        <v>ошибка</v>
      </c>
      <c r="N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8" s="208" t="str">
        <f ca="1">IFERROR(IF(N(INDIRECT(Критерий[[#This Row],[СМаксФизКритерий]],FALSE))=0,"ошибка",IFERROR(INDIRECT(Критерий[[#This Row],[СМаксФизКритерий]],FALSE),"ошибка")),"ошибка")</f>
        <v>ошибка</v>
      </c>
      <c r="P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8" s="208" t="str">
        <f ca="1">IFERROR(IF(N(INDIRECT(Критерий[[#This Row],[ССрФизКритерий]],FALSE))=0,"ошибка",IFERROR(INDIRECT(Критерий[[#This Row],[ССрФизКритерий]],FALSE),"ошибка")),"")</f>
        <v/>
      </c>
      <c r="R5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8" s="212">
        <f ca="1">IFERROR(IF(AND(Критерий[[#This Row],[ВидКритерий]]="Критерий",IFERROR(SEARCH("Приведение",Критерий[[#This Row],[Фкритерий]]),0)&gt;0),1,-1),-1)</f>
        <v>-1</v>
      </c>
      <c r="U58" s="222" t="str">
        <f ca="1">IF(AND(Свёртка[[#This Row],[Свёртка]]&lt;&gt;"",Свёртка[[#This Row],[O.K.Свёртка]]=1),ROW()-ROW(Свёртка[[#Headers],[№]]),"")</f>
        <v/>
      </c>
      <c r="V58" s="84"/>
      <c r="W5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8" s="208" t="str">
        <f ca="1">IFERROR(_xlfn.FORMULATEXT(INDIRECT(Свёртка[[#This Row],[ССвёртка]],FALSE)),"ошибка")</f>
        <v>ошибка</v>
      </c>
      <c r="Y58" s="208" t="str">
        <f ca="1">IFERROR(IF(IFERROR(SEARCH("Прив",Свёртка[[#This Row],[ФСвёртка]]),0)&gt;0,"ошибка",IF(IFERROR(SEARCH("Матр",Свёртка[[#This Row],[ФСвёртка]]),0)&gt;0,"Свёртка","ошибка")),"ошибка")</f>
        <v>ошибка</v>
      </c>
      <c r="Z58" s="208" t="str">
        <f ca="1">IFERROR(IF(LEN((INDIRECT(Свёртка[[#This Row],[СНаименование]],FALSE)))=0,"ошибка",IFERROR(INDIRECT(Свёртка[[#This Row],[СНаименование]],FALSE),"ошибка")),"ошибка")</f>
        <v>ошибка</v>
      </c>
      <c r="AA5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8" s="212">
        <f ca="1">IF(Свёртка[[#This Row],[ВидСвёртка]]="Свёртка",1,-1)</f>
        <v>-1</v>
      </c>
      <c r="AG58" s="66">
        <f>IF(AND(Множество[[#This Row],[Y]]=1),ROW()-ROW(Множество[[#Headers],[№]]),"")</f>
        <v>49</v>
      </c>
      <c r="AH58" t="s">
        <v>608</v>
      </c>
      <c r="AI58" s="66">
        <v>1</v>
      </c>
      <c r="AJ58" s="66">
        <f>IF(LEN(Множество[[#This Row],[Свёртка]])&gt;0,1,-1)</f>
        <v>1</v>
      </c>
      <c r="AK58" s="66" t="s">
        <v>1781</v>
      </c>
      <c r="AL58" s="66">
        <f>IF(LEN(Множество[[#This Row],[Критерии]])&gt;0,1,-1)</f>
        <v>1</v>
      </c>
      <c r="AM58" s="66">
        <f>IF(AND(LEN(Множество[[#This Row],[Свёртка]])&gt;0,LEN(Множество[[#This Row],[Критерии]])&gt;0,LEN(Множество[[#This Row],[Оценки]])&gt;0),1,-1)</f>
        <v>1</v>
      </c>
      <c r="AN58">
        <v>4.6583333333333297</v>
      </c>
      <c r="AO58">
        <v>-13.783333333333299</v>
      </c>
      <c r="AP58" s="208"/>
      <c r="AQ58" s="208"/>
      <c r="AR58" s="226"/>
      <c r="AS58" s="225"/>
      <c r="AT58" s="226"/>
      <c r="AU58" s="225"/>
      <c r="AV58" s="225"/>
      <c r="AW58" s="225"/>
      <c r="AX58" s="225"/>
      <c r="AY58" s="225"/>
    </row>
    <row r="59" spans="2:51" x14ac:dyDescent="0.25">
      <c r="B59" s="209" t="str">
        <f ca="1">IF(AND(Критерий[[#This Row],[Критерий]]&lt;&gt;"",Критерий[[#This Row],[O.K.Критерий]]=1),ROW()-ROW(Критерий[[#Headers],[№]]),"")</f>
        <v/>
      </c>
      <c r="C59" s="84"/>
      <c r="D5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9" s="208" t="str">
        <f ca="1">IFERROR(IF(IFERROR(SEARCH("Прив",Критерий[[#This Row],[Фкритерий]]),0)&gt;0,"Критерий",IF(IFERROR(SEARCH("Матр",Критерий[[#This Row],[Фкритерий]]),0)&gt;0,"ошибка","ошибка")),"ошибка")</f>
        <v>ошибка</v>
      </c>
      <c r="F59" s="224" t="str">
        <f ca="1">IFERROR(IF(LEN((INDIRECT(Критерий[[#This Row],[СНаименование]],FALSE)))=0,"ошибка",IFERROR(INDIRECT(Критерий[[#This Row],[СНаименование]],FALSE),"ошибка")),"ошибка")</f>
        <v>ошибка</v>
      </c>
      <c r="G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9" s="208" t="str">
        <f ca="1">IFERROR(IF(N(INDIRECT(Критерий[[#This Row],[СФизКритерий]],FALSE))=0,"ошибка",IFERROR(INDIRECT(Критерий[[#This Row],[СФизКритерий]],FALSE),"ошибка")),"ошибка")</f>
        <v>ошибка</v>
      </c>
      <c r="I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9" s="208" t="str">
        <f ca="1">IFERROR(_xlfn.FORMULATEXT(INDIRECT(Критерий[[#This Row],[Скритерий]],FALSE)),"ошибка")</f>
        <v>ошибка</v>
      </c>
      <c r="M59" s="208" t="str">
        <f ca="1">IFERROR(IF(N(INDIRECT(Критерий[[#This Row],[СМинФизКритерий]],FALSE))=0,"ошибка",IFERROR(INDIRECT(Критерий[[#This Row],[СМинФизКритерий]],FALSE),"ошибка")),"ошибка")</f>
        <v>ошибка</v>
      </c>
      <c r="N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9" s="208" t="str">
        <f ca="1">IFERROR(IF(N(INDIRECT(Критерий[[#This Row],[СМаксФизКритерий]],FALSE))=0,"ошибка",IFERROR(INDIRECT(Критерий[[#This Row],[СМаксФизКритерий]],FALSE),"ошибка")),"ошибка")</f>
        <v>ошибка</v>
      </c>
      <c r="P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9" s="208" t="str">
        <f ca="1">IFERROR(IF(N(INDIRECT(Критерий[[#This Row],[ССрФизКритерий]],FALSE))=0,"ошибка",IFERROR(INDIRECT(Критерий[[#This Row],[ССрФизКритерий]],FALSE),"ошибка")),"")</f>
        <v/>
      </c>
      <c r="R5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9" s="212">
        <f ca="1">IFERROR(IF(AND(Критерий[[#This Row],[ВидКритерий]]="Критерий",IFERROR(SEARCH("Приведение",Критерий[[#This Row],[Фкритерий]]),0)&gt;0),1,-1),-1)</f>
        <v>-1</v>
      </c>
      <c r="U59" s="222" t="str">
        <f ca="1">IF(AND(Свёртка[[#This Row],[Свёртка]]&lt;&gt;"",Свёртка[[#This Row],[O.K.Свёртка]]=1),ROW()-ROW(Свёртка[[#Headers],[№]]),"")</f>
        <v/>
      </c>
      <c r="V59" s="84"/>
      <c r="W5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9" s="208" t="str">
        <f ca="1">IFERROR(_xlfn.FORMULATEXT(INDIRECT(Свёртка[[#This Row],[ССвёртка]],FALSE)),"ошибка")</f>
        <v>ошибка</v>
      </c>
      <c r="Y59" s="208" t="str">
        <f ca="1">IFERROR(IF(IFERROR(SEARCH("Прив",Свёртка[[#This Row],[ФСвёртка]]),0)&gt;0,"ошибка",IF(IFERROR(SEARCH("Матр",Свёртка[[#This Row],[ФСвёртка]]),0)&gt;0,"Свёртка","ошибка")),"ошибка")</f>
        <v>ошибка</v>
      </c>
      <c r="Z59" s="208" t="str">
        <f ca="1">IFERROR(IF(LEN((INDIRECT(Свёртка[[#This Row],[СНаименование]],FALSE)))=0,"ошибка",IFERROR(INDIRECT(Свёртка[[#This Row],[СНаименование]],FALSE),"ошибка")),"ошибка")</f>
        <v>ошибка</v>
      </c>
      <c r="AA5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9" s="212">
        <f ca="1">IF(Свёртка[[#This Row],[ВидСвёртка]]="Свёртка",1,-1)</f>
        <v>-1</v>
      </c>
      <c r="AG59" s="66">
        <f>IF(AND(Множество[[#This Row],[Y]]=1),ROW()-ROW(Множество[[#Headers],[№]]),"")</f>
        <v>50</v>
      </c>
      <c r="AH59" t="s">
        <v>608</v>
      </c>
      <c r="AI59" s="66">
        <v>1</v>
      </c>
      <c r="AJ59" s="66">
        <f>IF(LEN(Множество[[#This Row],[Свёртка]])&gt;0,1,-1)</f>
        <v>1</v>
      </c>
      <c r="AK59" s="66" t="s">
        <v>1781</v>
      </c>
      <c r="AL59" s="66">
        <f>IF(LEN(Множество[[#This Row],[Критерии]])&gt;0,1,-1)</f>
        <v>1</v>
      </c>
      <c r="AM59" s="66">
        <f>IF(AND(LEN(Множество[[#This Row],[Свёртка]])&gt;0,LEN(Множество[[#This Row],[Критерии]])&gt;0,LEN(Множество[[#This Row],[Оценки]])&gt;0),1,-1)</f>
        <v>1</v>
      </c>
      <c r="AN59">
        <v>4.7166666666666703</v>
      </c>
      <c r="AO59">
        <v>-13.783333333333299</v>
      </c>
      <c r="AP59" s="208"/>
      <c r="AQ59" s="208"/>
      <c r="AR59" s="226"/>
      <c r="AS59" s="225"/>
      <c r="AT59" s="226"/>
      <c r="AU59" s="225"/>
      <c r="AV59" s="225"/>
      <c r="AW59" s="225"/>
      <c r="AX59" s="225"/>
      <c r="AY59" s="225"/>
    </row>
    <row r="60" spans="2:51" x14ac:dyDescent="0.25">
      <c r="B60" s="209" t="str">
        <f ca="1">IF(AND(Критерий[[#This Row],[Критерий]]&lt;&gt;"",Критерий[[#This Row],[O.K.Критерий]]=1),ROW()-ROW(Критерий[[#Headers],[№]]),"")</f>
        <v/>
      </c>
      <c r="C60" s="84"/>
      <c r="D6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0" s="208" t="str">
        <f ca="1">IFERROR(IF(IFERROR(SEARCH("Прив",Критерий[[#This Row],[Фкритерий]]),0)&gt;0,"Критерий",IF(IFERROR(SEARCH("Матр",Критерий[[#This Row],[Фкритерий]]),0)&gt;0,"ошибка","ошибка")),"ошибка")</f>
        <v>ошибка</v>
      </c>
      <c r="F60" s="224" t="str">
        <f ca="1">IFERROR(IF(LEN((INDIRECT(Критерий[[#This Row],[СНаименование]],FALSE)))=0,"ошибка",IFERROR(INDIRECT(Критерий[[#This Row],[СНаименование]],FALSE),"ошибка")),"ошибка")</f>
        <v>ошибка</v>
      </c>
      <c r="G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0" s="208" t="str">
        <f ca="1">IFERROR(IF(N(INDIRECT(Критерий[[#This Row],[СФизКритерий]],FALSE))=0,"ошибка",IFERROR(INDIRECT(Критерий[[#This Row],[СФизКритерий]],FALSE),"ошибка")),"ошибка")</f>
        <v>ошибка</v>
      </c>
      <c r="I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0" s="208" t="str">
        <f ca="1">IFERROR(_xlfn.FORMULATEXT(INDIRECT(Критерий[[#This Row],[Скритерий]],FALSE)),"ошибка")</f>
        <v>ошибка</v>
      </c>
      <c r="M60" s="208" t="str">
        <f ca="1">IFERROR(IF(N(INDIRECT(Критерий[[#This Row],[СМинФизКритерий]],FALSE))=0,"ошибка",IFERROR(INDIRECT(Критерий[[#This Row],[СМинФизКритерий]],FALSE),"ошибка")),"ошибка")</f>
        <v>ошибка</v>
      </c>
      <c r="N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0" s="208" t="str">
        <f ca="1">IFERROR(IF(N(INDIRECT(Критерий[[#This Row],[СМаксФизКритерий]],FALSE))=0,"ошибка",IFERROR(INDIRECT(Критерий[[#This Row],[СМаксФизКритерий]],FALSE),"ошибка")),"ошибка")</f>
        <v>ошибка</v>
      </c>
      <c r="P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0" s="208" t="str">
        <f ca="1">IFERROR(IF(N(INDIRECT(Критерий[[#This Row],[ССрФизКритерий]],FALSE))=0,"ошибка",IFERROR(INDIRECT(Критерий[[#This Row],[ССрФизКритерий]],FALSE),"ошибка")),"")</f>
        <v/>
      </c>
      <c r="R6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0" s="212">
        <f ca="1">IFERROR(IF(AND(Критерий[[#This Row],[ВидКритерий]]="Критерий",IFERROR(SEARCH("Приведение",Критерий[[#This Row],[Фкритерий]]),0)&gt;0),1,-1),-1)</f>
        <v>-1</v>
      </c>
      <c r="U60" s="222" t="str">
        <f ca="1">IF(AND(Свёртка[[#This Row],[Свёртка]]&lt;&gt;"",Свёртка[[#This Row],[O.K.Свёртка]]=1),ROW()-ROW(Свёртка[[#Headers],[№]]),"")</f>
        <v/>
      </c>
      <c r="V60" s="84"/>
      <c r="W6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0" s="208" t="str">
        <f ca="1">IFERROR(_xlfn.FORMULATEXT(INDIRECT(Свёртка[[#This Row],[ССвёртка]],FALSE)),"ошибка")</f>
        <v>ошибка</v>
      </c>
      <c r="Y60" s="208" t="str">
        <f ca="1">IFERROR(IF(IFERROR(SEARCH("Прив",Свёртка[[#This Row],[ФСвёртка]]),0)&gt;0,"ошибка",IF(IFERROR(SEARCH("Матр",Свёртка[[#This Row],[ФСвёртка]]),0)&gt;0,"Свёртка","ошибка")),"ошибка")</f>
        <v>ошибка</v>
      </c>
      <c r="Z60" s="208" t="str">
        <f ca="1">IFERROR(IF(LEN((INDIRECT(Свёртка[[#This Row],[СНаименование]],FALSE)))=0,"ошибка",IFERROR(INDIRECT(Свёртка[[#This Row],[СНаименование]],FALSE),"ошибка")),"ошибка")</f>
        <v>ошибка</v>
      </c>
      <c r="AA6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0" s="212">
        <f ca="1">IF(Свёртка[[#This Row],[ВидСвёртка]]="Свёртка",1,-1)</f>
        <v>-1</v>
      </c>
      <c r="AG60" s="66">
        <f>IF(AND(Множество[[#This Row],[Y]]=1),ROW()-ROW(Множество[[#Headers],[№]]),"")</f>
        <v>51</v>
      </c>
      <c r="AH60" t="s">
        <v>608</v>
      </c>
      <c r="AI60" s="66">
        <v>1</v>
      </c>
      <c r="AJ60" s="66">
        <f>IF(LEN(Множество[[#This Row],[Свёртка]])&gt;0,1,-1)</f>
        <v>1</v>
      </c>
      <c r="AK60" s="66" t="s">
        <v>1781</v>
      </c>
      <c r="AL60" s="66">
        <f>IF(LEN(Множество[[#This Row],[Критерии]])&gt;0,1,-1)</f>
        <v>1</v>
      </c>
      <c r="AM60" s="66">
        <f>IF(AND(LEN(Множество[[#This Row],[Свёртка]])&gt;0,LEN(Множество[[#This Row],[Критерии]])&gt;0,LEN(Множество[[#This Row],[Оценки]])&gt;0),1,-1)</f>
        <v>1</v>
      </c>
      <c r="AN60">
        <v>4.5416666666666696</v>
      </c>
      <c r="AO60">
        <v>-13.8166666666667</v>
      </c>
      <c r="AP60" s="208"/>
      <c r="AQ60" s="208"/>
      <c r="AR60" s="226"/>
      <c r="AS60" s="225"/>
      <c r="AT60" s="226"/>
      <c r="AU60" s="225"/>
      <c r="AV60" s="225"/>
      <c r="AW60" s="225"/>
      <c r="AX60" s="225"/>
      <c r="AY60" s="225"/>
    </row>
    <row r="61" spans="2:51" x14ac:dyDescent="0.25">
      <c r="B61" s="209" t="str">
        <f ca="1">IF(AND(Критерий[[#This Row],[Критерий]]&lt;&gt;"",Критерий[[#This Row],[O.K.Критерий]]=1),ROW()-ROW(Критерий[[#Headers],[№]]),"")</f>
        <v/>
      </c>
      <c r="C61" s="84"/>
      <c r="D6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1" s="208" t="str">
        <f ca="1">IFERROR(IF(IFERROR(SEARCH("Прив",Критерий[[#This Row],[Фкритерий]]),0)&gt;0,"Критерий",IF(IFERROR(SEARCH("Матр",Критерий[[#This Row],[Фкритерий]]),0)&gt;0,"ошибка","ошибка")),"ошибка")</f>
        <v>ошибка</v>
      </c>
      <c r="F61" s="224" t="str">
        <f ca="1">IFERROR(IF(LEN((INDIRECT(Критерий[[#This Row],[СНаименование]],FALSE)))=0,"ошибка",IFERROR(INDIRECT(Критерий[[#This Row],[СНаименование]],FALSE),"ошибка")),"ошибка")</f>
        <v>ошибка</v>
      </c>
      <c r="G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1" s="208" t="str">
        <f ca="1">IFERROR(IF(N(INDIRECT(Критерий[[#This Row],[СФизКритерий]],FALSE))=0,"ошибка",IFERROR(INDIRECT(Критерий[[#This Row],[СФизКритерий]],FALSE),"ошибка")),"ошибка")</f>
        <v>ошибка</v>
      </c>
      <c r="I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1" s="208" t="str">
        <f ca="1">IFERROR(_xlfn.FORMULATEXT(INDIRECT(Критерий[[#This Row],[Скритерий]],FALSE)),"ошибка")</f>
        <v>ошибка</v>
      </c>
      <c r="M61" s="208" t="str">
        <f ca="1">IFERROR(IF(N(INDIRECT(Критерий[[#This Row],[СМинФизКритерий]],FALSE))=0,"ошибка",IFERROR(INDIRECT(Критерий[[#This Row],[СМинФизКритерий]],FALSE),"ошибка")),"ошибка")</f>
        <v>ошибка</v>
      </c>
      <c r="N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1" s="208" t="str">
        <f ca="1">IFERROR(IF(N(INDIRECT(Критерий[[#This Row],[СМаксФизКритерий]],FALSE))=0,"ошибка",IFERROR(INDIRECT(Критерий[[#This Row],[СМаксФизКритерий]],FALSE),"ошибка")),"ошибка")</f>
        <v>ошибка</v>
      </c>
      <c r="P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1" s="208" t="str">
        <f ca="1">IFERROR(IF(N(INDIRECT(Критерий[[#This Row],[ССрФизКритерий]],FALSE))=0,"ошибка",IFERROR(INDIRECT(Критерий[[#This Row],[ССрФизКритерий]],FALSE),"ошибка")),"")</f>
        <v/>
      </c>
      <c r="R6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1" s="212">
        <f ca="1">IFERROR(IF(AND(Критерий[[#This Row],[ВидКритерий]]="Критерий",IFERROR(SEARCH("Приведение",Критерий[[#This Row],[Фкритерий]]),0)&gt;0),1,-1),-1)</f>
        <v>-1</v>
      </c>
      <c r="U61" s="222" t="str">
        <f ca="1">IF(AND(Свёртка[[#This Row],[Свёртка]]&lt;&gt;"",Свёртка[[#This Row],[O.K.Свёртка]]=1),ROW()-ROW(Свёртка[[#Headers],[№]]),"")</f>
        <v/>
      </c>
      <c r="V61" s="84"/>
      <c r="W6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1" s="208" t="str">
        <f ca="1">IFERROR(_xlfn.FORMULATEXT(INDIRECT(Свёртка[[#This Row],[ССвёртка]],FALSE)),"ошибка")</f>
        <v>ошибка</v>
      </c>
      <c r="Y61" s="208" t="str">
        <f ca="1">IFERROR(IF(IFERROR(SEARCH("Прив",Свёртка[[#This Row],[ФСвёртка]]),0)&gt;0,"ошибка",IF(IFERROR(SEARCH("Матр",Свёртка[[#This Row],[ФСвёртка]]),0)&gt;0,"Свёртка","ошибка")),"ошибка")</f>
        <v>ошибка</v>
      </c>
      <c r="Z61" s="208" t="str">
        <f ca="1">IFERROR(IF(LEN((INDIRECT(Свёртка[[#This Row],[СНаименование]],FALSE)))=0,"ошибка",IFERROR(INDIRECT(Свёртка[[#This Row],[СНаименование]],FALSE),"ошибка")),"ошибка")</f>
        <v>ошибка</v>
      </c>
      <c r="AA6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1" s="212">
        <f ca="1">IF(Свёртка[[#This Row],[ВидСвёртка]]="Свёртка",1,-1)</f>
        <v>-1</v>
      </c>
      <c r="AG61" s="66">
        <f>IF(AND(Множество[[#This Row],[Y]]=1),ROW()-ROW(Множество[[#Headers],[№]]),"")</f>
        <v>52</v>
      </c>
      <c r="AH61" t="s">
        <v>608</v>
      </c>
      <c r="AI61" s="66">
        <v>1</v>
      </c>
      <c r="AJ61" s="66">
        <f>IF(LEN(Множество[[#This Row],[Свёртка]])&gt;0,1,-1)</f>
        <v>1</v>
      </c>
      <c r="AK61" s="66" t="s">
        <v>1781</v>
      </c>
      <c r="AL61" s="66">
        <f>IF(LEN(Множество[[#This Row],[Критерии]])&gt;0,1,-1)</f>
        <v>1</v>
      </c>
      <c r="AM61" s="66">
        <f>IF(AND(LEN(Множество[[#This Row],[Свёртка]])&gt;0,LEN(Множество[[#This Row],[Критерии]])&gt;0,LEN(Множество[[#This Row],[Оценки]])&gt;0),1,-1)</f>
        <v>1</v>
      </c>
      <c r="AN61">
        <v>4.5999999999999996</v>
      </c>
      <c r="AO61">
        <v>-13.8</v>
      </c>
      <c r="AP61" s="208"/>
      <c r="AQ61" s="208"/>
      <c r="AR61" s="226"/>
      <c r="AS61" s="225"/>
      <c r="AT61" s="226"/>
      <c r="AU61" s="225"/>
      <c r="AV61" s="225"/>
      <c r="AW61" s="225"/>
      <c r="AX61" s="225"/>
      <c r="AY61" s="225"/>
    </row>
    <row r="62" spans="2:51" x14ac:dyDescent="0.25">
      <c r="B62" s="209" t="str">
        <f ca="1">IF(AND(Критерий[[#This Row],[Критерий]]&lt;&gt;"",Критерий[[#This Row],[O.K.Критерий]]=1),ROW()-ROW(Критерий[[#Headers],[№]]),"")</f>
        <v/>
      </c>
      <c r="C62" s="84"/>
      <c r="D6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2" s="208" t="str">
        <f ca="1">IFERROR(IF(IFERROR(SEARCH("Прив",Критерий[[#This Row],[Фкритерий]]),0)&gt;0,"Критерий",IF(IFERROR(SEARCH("Матр",Критерий[[#This Row],[Фкритерий]]),0)&gt;0,"ошибка","ошибка")),"ошибка")</f>
        <v>ошибка</v>
      </c>
      <c r="F62" s="224" t="str">
        <f ca="1">IFERROR(IF(LEN((INDIRECT(Критерий[[#This Row],[СНаименование]],FALSE)))=0,"ошибка",IFERROR(INDIRECT(Критерий[[#This Row],[СНаименование]],FALSE),"ошибка")),"ошибка")</f>
        <v>ошибка</v>
      </c>
      <c r="G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2" s="208" t="str">
        <f ca="1">IFERROR(IF(N(INDIRECT(Критерий[[#This Row],[СФизКритерий]],FALSE))=0,"ошибка",IFERROR(INDIRECT(Критерий[[#This Row],[СФизКритерий]],FALSE),"ошибка")),"ошибка")</f>
        <v>ошибка</v>
      </c>
      <c r="I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2" s="208" t="str">
        <f ca="1">IFERROR(_xlfn.FORMULATEXT(INDIRECT(Критерий[[#This Row],[Скритерий]],FALSE)),"ошибка")</f>
        <v>ошибка</v>
      </c>
      <c r="M62" s="208" t="str">
        <f ca="1">IFERROR(IF(N(INDIRECT(Критерий[[#This Row],[СМинФизКритерий]],FALSE))=0,"ошибка",IFERROR(INDIRECT(Критерий[[#This Row],[СМинФизКритерий]],FALSE),"ошибка")),"ошибка")</f>
        <v>ошибка</v>
      </c>
      <c r="N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2" s="208" t="str">
        <f ca="1">IFERROR(IF(N(INDIRECT(Критерий[[#This Row],[СМаксФизКритерий]],FALSE))=0,"ошибка",IFERROR(INDIRECT(Критерий[[#This Row],[СМаксФизКритерий]],FALSE),"ошибка")),"ошибка")</f>
        <v>ошибка</v>
      </c>
      <c r="P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2" s="208" t="str">
        <f ca="1">IFERROR(IF(N(INDIRECT(Критерий[[#This Row],[ССрФизКритерий]],FALSE))=0,"ошибка",IFERROR(INDIRECT(Критерий[[#This Row],[ССрФизКритерий]],FALSE),"ошибка")),"")</f>
        <v/>
      </c>
      <c r="R6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2" s="212">
        <f ca="1">IFERROR(IF(AND(Критерий[[#This Row],[ВидКритерий]]="Критерий",IFERROR(SEARCH("Приведение",Критерий[[#This Row],[Фкритерий]]),0)&gt;0),1,-1),-1)</f>
        <v>-1</v>
      </c>
      <c r="U62" s="222" t="str">
        <f ca="1">IF(AND(Свёртка[[#This Row],[Свёртка]]&lt;&gt;"",Свёртка[[#This Row],[O.K.Свёртка]]=1),ROW()-ROW(Свёртка[[#Headers],[№]]),"")</f>
        <v/>
      </c>
      <c r="V62" s="84"/>
      <c r="W6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2" s="208" t="str">
        <f ca="1">IFERROR(_xlfn.FORMULATEXT(INDIRECT(Свёртка[[#This Row],[ССвёртка]],FALSE)),"ошибка")</f>
        <v>ошибка</v>
      </c>
      <c r="Y62" s="208" t="str">
        <f ca="1">IFERROR(IF(IFERROR(SEARCH("Прив",Свёртка[[#This Row],[ФСвёртка]]),0)&gt;0,"ошибка",IF(IFERROR(SEARCH("Матр",Свёртка[[#This Row],[ФСвёртка]]),0)&gt;0,"Свёртка","ошибка")),"ошибка")</f>
        <v>ошибка</v>
      </c>
      <c r="Z62" s="208" t="str">
        <f ca="1">IFERROR(IF(LEN((INDIRECT(Свёртка[[#This Row],[СНаименование]],FALSE)))=0,"ошибка",IFERROR(INDIRECT(Свёртка[[#This Row],[СНаименование]],FALSE),"ошибка")),"ошибка")</f>
        <v>ошибка</v>
      </c>
      <c r="AA6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2" s="212">
        <f ca="1">IF(Свёртка[[#This Row],[ВидСвёртка]]="Свёртка",1,-1)</f>
        <v>-1</v>
      </c>
      <c r="AG62" s="66">
        <f>IF(AND(Множество[[#This Row],[Y]]=1),ROW()-ROW(Множество[[#Headers],[№]]),"")</f>
        <v>53</v>
      </c>
      <c r="AH62" t="s">
        <v>608</v>
      </c>
      <c r="AI62" s="66">
        <v>1</v>
      </c>
      <c r="AJ62" s="66">
        <f>IF(LEN(Множество[[#This Row],[Свёртка]])&gt;0,1,-1)</f>
        <v>1</v>
      </c>
      <c r="AK62" s="66" t="s">
        <v>1781</v>
      </c>
      <c r="AL62" s="66">
        <f>IF(LEN(Множество[[#This Row],[Критерии]])&gt;0,1,-1)</f>
        <v>1</v>
      </c>
      <c r="AM62" s="66">
        <f>IF(AND(LEN(Множество[[#This Row],[Свёртка]])&gt;0,LEN(Множество[[#This Row],[Критерии]])&gt;0,LEN(Множество[[#This Row],[Оценки]])&gt;0),1,-1)</f>
        <v>1</v>
      </c>
      <c r="AN62">
        <v>4.4833333333333298</v>
      </c>
      <c r="AO62">
        <v>-13.8333333333333</v>
      </c>
      <c r="AP62" s="208"/>
      <c r="AQ62" s="208"/>
      <c r="AR62" s="226"/>
      <c r="AS62" s="225"/>
      <c r="AT62" s="226"/>
      <c r="AU62" s="225"/>
      <c r="AV62" s="225"/>
      <c r="AW62" s="225"/>
      <c r="AX62" s="225"/>
      <c r="AY62" s="225"/>
    </row>
    <row r="63" spans="2:51" x14ac:dyDescent="0.25">
      <c r="B63" s="209" t="str">
        <f ca="1">IF(AND(Критерий[[#This Row],[Критерий]]&lt;&gt;"",Критерий[[#This Row],[O.K.Критерий]]=1),ROW()-ROW(Критерий[[#Headers],[№]]),"")</f>
        <v/>
      </c>
      <c r="C63" s="84"/>
      <c r="D6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3" s="208" t="str">
        <f ca="1">IFERROR(IF(IFERROR(SEARCH("Прив",Критерий[[#This Row],[Фкритерий]]),0)&gt;0,"Критерий",IF(IFERROR(SEARCH("Матр",Критерий[[#This Row],[Фкритерий]]),0)&gt;0,"ошибка","ошибка")),"ошибка")</f>
        <v>ошибка</v>
      </c>
      <c r="F63" s="224" t="str">
        <f ca="1">IFERROR(IF(LEN((INDIRECT(Критерий[[#This Row],[СНаименование]],FALSE)))=0,"ошибка",IFERROR(INDIRECT(Критерий[[#This Row],[СНаименование]],FALSE),"ошибка")),"ошибка")</f>
        <v>ошибка</v>
      </c>
      <c r="G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3" s="208" t="str">
        <f ca="1">IFERROR(IF(N(INDIRECT(Критерий[[#This Row],[СФизКритерий]],FALSE))=0,"ошибка",IFERROR(INDIRECT(Критерий[[#This Row],[СФизКритерий]],FALSE),"ошибка")),"ошибка")</f>
        <v>ошибка</v>
      </c>
      <c r="I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3" s="208" t="str">
        <f ca="1">IFERROR(_xlfn.FORMULATEXT(INDIRECT(Критерий[[#This Row],[Скритерий]],FALSE)),"ошибка")</f>
        <v>ошибка</v>
      </c>
      <c r="M63" s="208" t="str">
        <f ca="1">IFERROR(IF(N(INDIRECT(Критерий[[#This Row],[СМинФизКритерий]],FALSE))=0,"ошибка",IFERROR(INDIRECT(Критерий[[#This Row],[СМинФизКритерий]],FALSE),"ошибка")),"ошибка")</f>
        <v>ошибка</v>
      </c>
      <c r="N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3" s="208" t="str">
        <f ca="1">IFERROR(IF(N(INDIRECT(Критерий[[#This Row],[СМаксФизКритерий]],FALSE))=0,"ошибка",IFERROR(INDIRECT(Критерий[[#This Row],[СМаксФизКритерий]],FALSE),"ошибка")),"ошибка")</f>
        <v>ошибка</v>
      </c>
      <c r="P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3" s="208" t="str">
        <f ca="1">IFERROR(IF(N(INDIRECT(Критерий[[#This Row],[ССрФизКритерий]],FALSE))=0,"ошибка",IFERROR(INDIRECT(Критерий[[#This Row],[ССрФизКритерий]],FALSE),"ошибка")),"")</f>
        <v/>
      </c>
      <c r="R6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3" s="212">
        <f ca="1">IFERROR(IF(AND(Критерий[[#This Row],[ВидКритерий]]="Критерий",IFERROR(SEARCH("Приведение",Критерий[[#This Row],[Фкритерий]]),0)&gt;0),1,-1),-1)</f>
        <v>-1</v>
      </c>
      <c r="U63" s="223" t="str">
        <f ca="1">IF(AND(Свёртка[[#This Row],[Свёртка]]&lt;&gt;"",Свёртка[[#This Row],[O.K.Свёртка]]=1),ROW()-ROW(Свёртка[[#Headers],[№]]),"")</f>
        <v/>
      </c>
      <c r="V63" s="84"/>
      <c r="W6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3" s="208" t="str">
        <f ca="1">IFERROR(_xlfn.FORMULATEXT(INDIRECT(Свёртка[[#This Row],[ССвёртка]],FALSE)),"ошибка")</f>
        <v>ошибка</v>
      </c>
      <c r="Y63" s="208" t="str">
        <f ca="1">IFERROR(IF(IFERROR(SEARCH("Прив",Свёртка[[#This Row],[ФСвёртка]]),0)&gt;0,"ошибка",IF(IFERROR(SEARCH("Матр",Свёртка[[#This Row],[ФСвёртка]]),0)&gt;0,"Свёртка","ошибка")),"ошибка")</f>
        <v>ошибка</v>
      </c>
      <c r="Z63" s="208" t="str">
        <f ca="1">IFERROR(IF(LEN((INDIRECT(Свёртка[[#This Row],[СНаименование]],FALSE)))=0,"ошибка",IFERROR(INDIRECT(Свёртка[[#This Row],[СНаименование]],FALSE),"ошибка")),"ошибка")</f>
        <v>ошибка</v>
      </c>
      <c r="AA6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3" s="212">
        <f ca="1">IF(Свёртка[[#This Row],[ВидСвёртка]]="Свёртка",1,-1)</f>
        <v>-1</v>
      </c>
      <c r="AG63" s="66">
        <f>IF(AND(Множество[[#This Row],[Y]]=1),ROW()-ROW(Множество[[#Headers],[№]]),"")</f>
        <v>54</v>
      </c>
      <c r="AH63" t="s">
        <v>608</v>
      </c>
      <c r="AI63" s="66">
        <v>1</v>
      </c>
      <c r="AJ63" s="66">
        <f>IF(LEN(Множество[[#This Row],[Свёртка]])&gt;0,1,-1)</f>
        <v>1</v>
      </c>
      <c r="AK63" s="66" t="s">
        <v>1781</v>
      </c>
      <c r="AL63" s="66">
        <f>IF(LEN(Множество[[#This Row],[Критерии]])&gt;0,1,-1)</f>
        <v>1</v>
      </c>
      <c r="AM63" s="66">
        <f>IF(AND(LEN(Множество[[#This Row],[Свёртка]])&gt;0,LEN(Множество[[#This Row],[Критерии]])&gt;0,LEN(Множество[[#This Row],[Оценки]])&gt;0),1,-1)</f>
        <v>1</v>
      </c>
      <c r="AN63">
        <v>4.4249999999999998</v>
      </c>
      <c r="AO63">
        <v>-13.8333333333333</v>
      </c>
      <c r="AP63" s="208"/>
      <c r="AQ63" s="208"/>
      <c r="AR63" s="226"/>
      <c r="AS63" s="225"/>
      <c r="AT63" s="226"/>
      <c r="AU63" s="225"/>
      <c r="AV63" s="225"/>
      <c r="AW63" s="225"/>
      <c r="AX63" s="225"/>
      <c r="AY63" s="225"/>
    </row>
    <row r="64" spans="2:51" x14ac:dyDescent="0.25">
      <c r="B64" s="209" t="str">
        <f ca="1">IF(AND(Критерий[[#This Row],[Критерий]]&lt;&gt;"",Критерий[[#This Row],[O.K.Критерий]]=1),ROW()-ROW(Критерий[[#Headers],[№]]),"")</f>
        <v/>
      </c>
      <c r="C64" s="84"/>
      <c r="D6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4" s="208" t="str">
        <f ca="1">IFERROR(IF(IFERROR(SEARCH("Прив",Критерий[[#This Row],[Фкритерий]]),0)&gt;0,"Критерий",IF(IFERROR(SEARCH("Матр",Критерий[[#This Row],[Фкритерий]]),0)&gt;0,"ошибка","ошибка")),"ошибка")</f>
        <v>ошибка</v>
      </c>
      <c r="F64" s="224" t="str">
        <f ca="1">IFERROR(IF(LEN((INDIRECT(Критерий[[#This Row],[СНаименование]],FALSE)))=0,"ошибка",IFERROR(INDIRECT(Критерий[[#This Row],[СНаименование]],FALSE),"ошибка")),"ошибка")</f>
        <v>ошибка</v>
      </c>
      <c r="G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4" s="208" t="str">
        <f ca="1">IFERROR(IF(N(INDIRECT(Критерий[[#This Row],[СФизКритерий]],FALSE))=0,"ошибка",IFERROR(INDIRECT(Критерий[[#This Row],[СФизКритерий]],FALSE),"ошибка")),"ошибка")</f>
        <v>ошибка</v>
      </c>
      <c r="I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4" s="208" t="str">
        <f ca="1">IFERROR(_xlfn.FORMULATEXT(INDIRECT(Критерий[[#This Row],[Скритерий]],FALSE)),"ошибка")</f>
        <v>ошибка</v>
      </c>
      <c r="M64" s="208" t="str">
        <f ca="1">IFERROR(IF(N(INDIRECT(Критерий[[#This Row],[СМинФизКритерий]],FALSE))=0,"ошибка",IFERROR(INDIRECT(Критерий[[#This Row],[СМинФизКритерий]],FALSE),"ошибка")),"ошибка")</f>
        <v>ошибка</v>
      </c>
      <c r="N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4" s="208" t="str">
        <f ca="1">IFERROR(IF(N(INDIRECT(Критерий[[#This Row],[СМаксФизКритерий]],FALSE))=0,"ошибка",IFERROR(INDIRECT(Критерий[[#This Row],[СМаксФизКритерий]],FALSE),"ошибка")),"ошибка")</f>
        <v>ошибка</v>
      </c>
      <c r="P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4" s="208" t="str">
        <f ca="1">IFERROR(IF(N(INDIRECT(Критерий[[#This Row],[ССрФизКритерий]],FALSE))=0,"ошибка",IFERROR(INDIRECT(Критерий[[#This Row],[ССрФизКритерий]],FALSE),"ошибка")),"")</f>
        <v/>
      </c>
      <c r="R6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4" s="212">
        <f ca="1">IFERROR(IF(AND(Критерий[[#This Row],[ВидКритерий]]="Критерий",IFERROR(SEARCH("Приведение",Критерий[[#This Row],[Фкритерий]]),0)&gt;0),1,-1),-1)</f>
        <v>-1</v>
      </c>
      <c r="U64" s="223" t="str">
        <f ca="1">IF(AND(Свёртка[[#This Row],[Свёртка]]&lt;&gt;"",Свёртка[[#This Row],[O.K.Свёртка]]=1),ROW()-ROW(Свёртка[[#Headers],[№]]),"")</f>
        <v/>
      </c>
      <c r="V64" s="84"/>
      <c r="W6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4" s="208" t="str">
        <f ca="1">IFERROR(_xlfn.FORMULATEXT(INDIRECT(Свёртка[[#This Row],[ССвёртка]],FALSE)),"ошибка")</f>
        <v>ошибка</v>
      </c>
      <c r="Y64" s="208" t="str">
        <f ca="1">IFERROR(IF(IFERROR(SEARCH("Прив",Свёртка[[#This Row],[ФСвёртка]]),0)&gt;0,"ошибка",IF(IFERROR(SEARCH("Матр",Свёртка[[#This Row],[ФСвёртка]]),0)&gt;0,"Свёртка","ошибка")),"ошибка")</f>
        <v>ошибка</v>
      </c>
      <c r="Z64" s="208" t="str">
        <f ca="1">IFERROR(IF(LEN((INDIRECT(Свёртка[[#This Row],[СНаименование]],FALSE)))=0,"ошибка",IFERROR(INDIRECT(Свёртка[[#This Row],[СНаименование]],FALSE),"ошибка")),"ошибка")</f>
        <v>ошибка</v>
      </c>
      <c r="AA6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4" s="212">
        <f ca="1">IF(Свёртка[[#This Row],[ВидСвёртка]]="Свёртка",1,-1)</f>
        <v>-1</v>
      </c>
      <c r="AG64" s="66">
        <f>IF(AND(Множество[[#This Row],[Y]]=1),ROW()-ROW(Множество[[#Headers],[№]]),"")</f>
        <v>55</v>
      </c>
      <c r="AH64" t="s">
        <v>608</v>
      </c>
      <c r="AI64" s="66">
        <v>1</v>
      </c>
      <c r="AJ64" s="66">
        <f>IF(LEN(Множество[[#This Row],[Свёртка]])&gt;0,1,-1)</f>
        <v>1</v>
      </c>
      <c r="AK64" s="66" t="s">
        <v>1781</v>
      </c>
      <c r="AL64" s="66">
        <f>IF(LEN(Множество[[#This Row],[Критерии]])&gt;0,1,-1)</f>
        <v>1</v>
      </c>
      <c r="AM64" s="66">
        <f>IF(AND(LEN(Множество[[#This Row],[Свёртка]])&gt;0,LEN(Множество[[#This Row],[Критерии]])&gt;0,LEN(Множество[[#This Row],[Оценки]])&gt;0),1,-1)</f>
        <v>1</v>
      </c>
      <c r="AN64">
        <v>4.3666666666666698</v>
      </c>
      <c r="AO64">
        <v>-13.85</v>
      </c>
      <c r="AP64" s="208"/>
      <c r="AQ64" s="208"/>
      <c r="AR64" s="226"/>
      <c r="AS64" s="225"/>
      <c r="AT64" s="226"/>
      <c r="AU64" s="225"/>
      <c r="AV64" s="225"/>
      <c r="AW64" s="225"/>
      <c r="AX64" s="225"/>
      <c r="AY64" s="225"/>
    </row>
    <row r="65" spans="2:51" x14ac:dyDescent="0.25">
      <c r="B65" s="209" t="str">
        <f ca="1">IF(AND(Критерий[[#This Row],[Критерий]]&lt;&gt;"",Критерий[[#This Row],[O.K.Критерий]]=1),ROW()-ROW(Критерий[[#Headers],[№]]),"")</f>
        <v/>
      </c>
      <c r="C65" s="84"/>
      <c r="D6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5" s="208" t="str">
        <f ca="1">IFERROR(IF(IFERROR(SEARCH("Прив",Критерий[[#This Row],[Фкритерий]]),0)&gt;0,"Критерий",IF(IFERROR(SEARCH("Матр",Критерий[[#This Row],[Фкритерий]]),0)&gt;0,"ошибка","ошибка")),"ошибка")</f>
        <v>ошибка</v>
      </c>
      <c r="F65" s="224" t="str">
        <f ca="1">IFERROR(IF(LEN((INDIRECT(Критерий[[#This Row],[СНаименование]],FALSE)))=0,"ошибка",IFERROR(INDIRECT(Критерий[[#This Row],[СНаименование]],FALSE),"ошибка")),"ошибка")</f>
        <v>ошибка</v>
      </c>
      <c r="G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5" s="208" t="str">
        <f ca="1">IFERROR(IF(N(INDIRECT(Критерий[[#This Row],[СФизКритерий]],FALSE))=0,"ошибка",IFERROR(INDIRECT(Критерий[[#This Row],[СФизКритерий]],FALSE),"ошибка")),"ошибка")</f>
        <v>ошибка</v>
      </c>
      <c r="I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5" s="208" t="str">
        <f ca="1">IFERROR(_xlfn.FORMULATEXT(INDIRECT(Критерий[[#This Row],[Скритерий]],FALSE)),"ошибка")</f>
        <v>ошибка</v>
      </c>
      <c r="M65" s="208" t="str">
        <f ca="1">IFERROR(IF(N(INDIRECT(Критерий[[#This Row],[СМинФизКритерий]],FALSE))=0,"ошибка",IFERROR(INDIRECT(Критерий[[#This Row],[СМинФизКритерий]],FALSE),"ошибка")),"ошибка")</f>
        <v>ошибка</v>
      </c>
      <c r="N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5" s="208" t="str">
        <f ca="1">IFERROR(IF(N(INDIRECT(Критерий[[#This Row],[СМаксФизКритерий]],FALSE))=0,"ошибка",IFERROR(INDIRECT(Критерий[[#This Row],[СМаксФизКритерий]],FALSE),"ошибка")),"ошибка")</f>
        <v>ошибка</v>
      </c>
      <c r="P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5" s="208" t="str">
        <f ca="1">IFERROR(IF(N(INDIRECT(Критерий[[#This Row],[ССрФизКритерий]],FALSE))=0,"ошибка",IFERROR(INDIRECT(Критерий[[#This Row],[ССрФизКритерий]],FALSE),"ошибка")),"")</f>
        <v/>
      </c>
      <c r="R6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5" s="212">
        <f ca="1">IFERROR(IF(AND(Критерий[[#This Row],[ВидКритерий]]="Критерий",IFERROR(SEARCH("Приведение",Критерий[[#This Row],[Фкритерий]]),0)&gt;0),1,-1),-1)</f>
        <v>-1</v>
      </c>
      <c r="U65" s="223" t="str">
        <f ca="1">IF(AND(Свёртка[[#This Row],[Свёртка]]&lt;&gt;"",Свёртка[[#This Row],[O.K.Свёртка]]=1),ROW()-ROW(Свёртка[[#Headers],[№]]),"")</f>
        <v/>
      </c>
      <c r="V65" s="84"/>
      <c r="W6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5" s="208" t="str">
        <f ca="1">IFERROR(_xlfn.FORMULATEXT(INDIRECT(Свёртка[[#This Row],[ССвёртка]],FALSE)),"ошибка")</f>
        <v>ошибка</v>
      </c>
      <c r="Y65" s="208" t="str">
        <f ca="1">IFERROR(IF(IFERROR(SEARCH("Прив",Свёртка[[#This Row],[ФСвёртка]]),0)&gt;0,"ошибка",IF(IFERROR(SEARCH("Матр",Свёртка[[#This Row],[ФСвёртка]]),0)&gt;0,"Свёртка","ошибка")),"ошибка")</f>
        <v>ошибка</v>
      </c>
      <c r="Z65" s="208" t="str">
        <f ca="1">IFERROR(IF(LEN((INDIRECT(Свёртка[[#This Row],[СНаименование]],FALSE)))=0,"ошибка",IFERROR(INDIRECT(Свёртка[[#This Row],[СНаименование]],FALSE),"ошибка")),"ошибка")</f>
        <v>ошибка</v>
      </c>
      <c r="AA6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5" s="212">
        <f ca="1">IF(Свёртка[[#This Row],[ВидСвёртка]]="Свёртка",1,-1)</f>
        <v>-1</v>
      </c>
      <c r="AG65" s="66">
        <f>IF(AND(Множество[[#This Row],[Y]]=1),ROW()-ROW(Множество[[#Headers],[№]]),"")</f>
        <v>56</v>
      </c>
      <c r="AH65" t="s">
        <v>608</v>
      </c>
      <c r="AI65" s="66">
        <v>1</v>
      </c>
      <c r="AJ65" s="66">
        <f>IF(LEN(Множество[[#This Row],[Свёртка]])&gt;0,1,-1)</f>
        <v>1</v>
      </c>
      <c r="AK65" s="66" t="s">
        <v>1781</v>
      </c>
      <c r="AL65" s="66">
        <f>IF(LEN(Множество[[#This Row],[Критерии]])&gt;0,1,-1)</f>
        <v>1</v>
      </c>
      <c r="AM65" s="66">
        <f>IF(AND(LEN(Множество[[#This Row],[Свёртка]])&gt;0,LEN(Множество[[#This Row],[Критерии]])&gt;0,LEN(Множество[[#This Row],[Оценки]])&gt;0),1,-1)</f>
        <v>1</v>
      </c>
      <c r="AN65">
        <v>4.30833333333333</v>
      </c>
      <c r="AO65">
        <v>-13.866666666666699</v>
      </c>
      <c r="AP65" s="208"/>
      <c r="AQ65" s="208"/>
      <c r="AR65" s="226"/>
      <c r="AS65" s="225"/>
      <c r="AT65" s="226"/>
      <c r="AU65" s="225"/>
      <c r="AV65" s="225"/>
      <c r="AW65" s="225"/>
      <c r="AX65" s="225"/>
      <c r="AY65" s="225"/>
    </row>
    <row r="66" spans="2:51" x14ac:dyDescent="0.25">
      <c r="B66" s="209" t="str">
        <f ca="1">IF(AND(Критерий[[#This Row],[Критерий]]&lt;&gt;"",Критерий[[#This Row],[O.K.Критерий]]=1),ROW()-ROW(Критерий[[#Headers],[№]]),"")</f>
        <v/>
      </c>
      <c r="C66" s="84"/>
      <c r="D6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6" s="208" t="str">
        <f ca="1">IFERROR(IF(IFERROR(SEARCH("Прив",Критерий[[#This Row],[Фкритерий]]),0)&gt;0,"Критерий",IF(IFERROR(SEARCH("Матр",Критерий[[#This Row],[Фкритерий]]),0)&gt;0,"ошибка","ошибка")),"ошибка")</f>
        <v>ошибка</v>
      </c>
      <c r="F66" s="224" t="str">
        <f ca="1">IFERROR(IF(LEN((INDIRECT(Критерий[[#This Row],[СНаименование]],FALSE)))=0,"ошибка",IFERROR(INDIRECT(Критерий[[#This Row],[СНаименование]],FALSE),"ошибка")),"ошибка")</f>
        <v>ошибка</v>
      </c>
      <c r="G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6" s="208" t="str">
        <f ca="1">IFERROR(IF(N(INDIRECT(Критерий[[#This Row],[СФизКритерий]],FALSE))=0,"ошибка",IFERROR(INDIRECT(Критерий[[#This Row],[СФизКритерий]],FALSE),"ошибка")),"ошибка")</f>
        <v>ошибка</v>
      </c>
      <c r="I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6" s="208" t="str">
        <f ca="1">IFERROR(_xlfn.FORMULATEXT(INDIRECT(Критерий[[#This Row],[Скритерий]],FALSE)),"ошибка")</f>
        <v>ошибка</v>
      </c>
      <c r="M66" s="208" t="str">
        <f ca="1">IFERROR(IF(N(INDIRECT(Критерий[[#This Row],[СМинФизКритерий]],FALSE))=0,"ошибка",IFERROR(INDIRECT(Критерий[[#This Row],[СМинФизКритерий]],FALSE),"ошибка")),"ошибка")</f>
        <v>ошибка</v>
      </c>
      <c r="N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6" s="208" t="str">
        <f ca="1">IFERROR(IF(N(INDIRECT(Критерий[[#This Row],[СМаксФизКритерий]],FALSE))=0,"ошибка",IFERROR(INDIRECT(Критерий[[#This Row],[СМаксФизКритерий]],FALSE),"ошибка")),"ошибка")</f>
        <v>ошибка</v>
      </c>
      <c r="P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6" s="208" t="str">
        <f ca="1">IFERROR(IF(N(INDIRECT(Критерий[[#This Row],[ССрФизКритерий]],FALSE))=0,"ошибка",IFERROR(INDIRECT(Критерий[[#This Row],[ССрФизКритерий]],FALSE),"ошибка")),"")</f>
        <v/>
      </c>
      <c r="R6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6" s="212">
        <f ca="1">IFERROR(IF(AND(Критерий[[#This Row],[ВидКритерий]]="Критерий",IFERROR(SEARCH("Приведение",Критерий[[#This Row],[Фкритерий]]),0)&gt;0),1,-1),-1)</f>
        <v>-1</v>
      </c>
      <c r="U66" s="222" t="str">
        <f ca="1">IF(AND(Свёртка[[#This Row],[Свёртка]]&lt;&gt;"",Свёртка[[#This Row],[O.K.Свёртка]]=1),ROW()-ROW(Свёртка[[#Headers],[№]]),"")</f>
        <v/>
      </c>
      <c r="V66" s="84"/>
      <c r="W6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6" s="208" t="str">
        <f ca="1">IFERROR(_xlfn.FORMULATEXT(INDIRECT(Свёртка[[#This Row],[ССвёртка]],FALSE)),"ошибка")</f>
        <v>ошибка</v>
      </c>
      <c r="Y66" s="208" t="str">
        <f ca="1">IFERROR(IF(IFERROR(SEARCH("Прив",Свёртка[[#This Row],[ФСвёртка]]),0)&gt;0,"ошибка",IF(IFERROR(SEARCH("Матр",Свёртка[[#This Row],[ФСвёртка]]),0)&gt;0,"Свёртка","ошибка")),"ошибка")</f>
        <v>ошибка</v>
      </c>
      <c r="Z66" s="208" t="str">
        <f ca="1">IFERROR(IF(LEN((INDIRECT(Свёртка[[#This Row],[СНаименование]],FALSE)))=0,"ошибка",IFERROR(INDIRECT(Свёртка[[#This Row],[СНаименование]],FALSE),"ошибка")),"ошибка")</f>
        <v>ошибка</v>
      </c>
      <c r="AA6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6" s="212">
        <f ca="1">IF(Свёртка[[#This Row],[ВидСвёртка]]="Свёртка",1,-1)</f>
        <v>-1</v>
      </c>
      <c r="AG66" s="66">
        <f>IF(AND(Множество[[#This Row],[Y]]=1),ROW()-ROW(Множество[[#Headers],[№]]),"")</f>
        <v>57</v>
      </c>
      <c r="AH66" t="s">
        <v>608</v>
      </c>
      <c r="AI66" s="66">
        <v>1</v>
      </c>
      <c r="AJ66" s="66">
        <f>IF(LEN(Множество[[#This Row],[Свёртка]])&gt;0,1,-1)</f>
        <v>1</v>
      </c>
      <c r="AK66" s="66" t="s">
        <v>1781</v>
      </c>
      <c r="AL66" s="66">
        <f>IF(LEN(Множество[[#This Row],[Критерии]])&gt;0,1,-1)</f>
        <v>1</v>
      </c>
      <c r="AM66" s="66">
        <f>IF(AND(LEN(Множество[[#This Row],[Свёртка]])&gt;0,LEN(Множество[[#This Row],[Критерии]])&gt;0,LEN(Множество[[#This Row],[Оценки]])&gt;0),1,-1)</f>
        <v>1</v>
      </c>
      <c r="AN66">
        <v>4.25</v>
      </c>
      <c r="AO66">
        <v>-13.9</v>
      </c>
      <c r="AP66" s="208"/>
      <c r="AQ66" s="208"/>
      <c r="AR66" s="226"/>
      <c r="AS66" s="225"/>
      <c r="AT66" s="226"/>
      <c r="AU66" s="225"/>
      <c r="AV66" s="225"/>
      <c r="AW66" s="225"/>
      <c r="AX66" s="225"/>
      <c r="AY66" s="225"/>
    </row>
    <row r="67" spans="2:51" x14ac:dyDescent="0.25">
      <c r="B67" s="209" t="str">
        <f ca="1">IF(AND(Критерий[[#This Row],[Критерий]]&lt;&gt;"",Критерий[[#This Row],[O.K.Критерий]]=1),ROW()-ROW(Критерий[[#Headers],[№]]),"")</f>
        <v/>
      </c>
      <c r="C67" s="84"/>
      <c r="D6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7" s="208" t="str">
        <f ca="1">IFERROR(IF(IFERROR(SEARCH("Прив",Критерий[[#This Row],[Фкритерий]]),0)&gt;0,"Критерий",IF(IFERROR(SEARCH("Матр",Критерий[[#This Row],[Фкритерий]]),0)&gt;0,"ошибка","ошибка")),"ошибка")</f>
        <v>ошибка</v>
      </c>
      <c r="F67" s="224" t="str">
        <f ca="1">IFERROR(IF(LEN((INDIRECT(Критерий[[#This Row],[СНаименование]],FALSE)))=0,"ошибка",IFERROR(INDIRECT(Критерий[[#This Row],[СНаименование]],FALSE),"ошибка")),"ошибка")</f>
        <v>ошибка</v>
      </c>
      <c r="G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7" s="208" t="str">
        <f ca="1">IFERROR(IF(N(INDIRECT(Критерий[[#This Row],[СФизКритерий]],FALSE))=0,"ошибка",IFERROR(INDIRECT(Критерий[[#This Row],[СФизКритерий]],FALSE),"ошибка")),"ошибка")</f>
        <v>ошибка</v>
      </c>
      <c r="I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7" s="208" t="str">
        <f ca="1">IFERROR(_xlfn.FORMULATEXT(INDIRECT(Критерий[[#This Row],[Скритерий]],FALSE)),"ошибка")</f>
        <v>ошибка</v>
      </c>
      <c r="M67" s="208" t="str">
        <f ca="1">IFERROR(IF(N(INDIRECT(Критерий[[#This Row],[СМинФизКритерий]],FALSE))=0,"ошибка",IFERROR(INDIRECT(Критерий[[#This Row],[СМинФизКритерий]],FALSE),"ошибка")),"ошибка")</f>
        <v>ошибка</v>
      </c>
      <c r="N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7" s="208" t="str">
        <f ca="1">IFERROR(IF(N(INDIRECT(Критерий[[#This Row],[СМаксФизКритерий]],FALSE))=0,"ошибка",IFERROR(INDIRECT(Критерий[[#This Row],[СМаксФизКритерий]],FALSE),"ошибка")),"ошибка")</f>
        <v>ошибка</v>
      </c>
      <c r="P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7" s="208" t="str">
        <f ca="1">IFERROR(IF(N(INDIRECT(Критерий[[#This Row],[ССрФизКритерий]],FALSE))=0,"ошибка",IFERROR(INDIRECT(Критерий[[#This Row],[ССрФизКритерий]],FALSE),"ошибка")),"")</f>
        <v/>
      </c>
      <c r="R6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7" s="212">
        <f ca="1">IFERROR(IF(AND(Критерий[[#This Row],[ВидКритерий]]="Критерий",IFERROR(SEARCH("Приведение",Критерий[[#This Row],[Фкритерий]]),0)&gt;0),1,-1),-1)</f>
        <v>-1</v>
      </c>
      <c r="AG67" s="66">
        <f>IF(AND(Множество[[#This Row],[Y]]=1),ROW()-ROW(Множество[[#Headers],[№]]),"")</f>
        <v>58</v>
      </c>
      <c r="AH67" t="s">
        <v>608</v>
      </c>
      <c r="AI67" s="66">
        <v>1</v>
      </c>
      <c r="AJ67" s="66">
        <f>IF(LEN(Множество[[#This Row],[Свёртка]])&gt;0,1,-1)</f>
        <v>1</v>
      </c>
      <c r="AK67" s="66" t="s">
        <v>1781</v>
      </c>
      <c r="AL67" s="66">
        <f>IF(LEN(Множество[[#This Row],[Критерии]])&gt;0,1,-1)</f>
        <v>1</v>
      </c>
      <c r="AM67" s="66">
        <f>IF(AND(LEN(Множество[[#This Row],[Свёртка]])&gt;0,LEN(Множество[[#This Row],[Критерии]])&gt;0,LEN(Множество[[#This Row],[Оценки]])&gt;0),1,-1)</f>
        <v>1</v>
      </c>
      <c r="AN67">
        <v>4.19166666666667</v>
      </c>
      <c r="AO67">
        <v>-13.9166666666667</v>
      </c>
      <c r="AP67" s="208"/>
      <c r="AQ67" s="208"/>
      <c r="AR67" s="226"/>
      <c r="AS67" s="225"/>
      <c r="AT67" s="226"/>
      <c r="AU67" s="225"/>
      <c r="AV67" s="225"/>
      <c r="AW67" s="225"/>
      <c r="AX67" s="225"/>
      <c r="AY67" s="225"/>
    </row>
    <row r="68" spans="2:51" x14ac:dyDescent="0.25">
      <c r="B68" s="209" t="str">
        <f ca="1">IF(AND(Критерий[[#This Row],[Критерий]]&lt;&gt;"",Критерий[[#This Row],[O.K.Критерий]]=1),ROW()-ROW(Критерий[[#Headers],[№]]),"")</f>
        <v/>
      </c>
      <c r="C68" s="84"/>
      <c r="D6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8" s="208" t="str">
        <f ca="1">IFERROR(IF(IFERROR(SEARCH("Прив",Критерий[[#This Row],[Фкритерий]]),0)&gt;0,"Критерий",IF(IFERROR(SEARCH("Матр",Критерий[[#This Row],[Фкритерий]]),0)&gt;0,"ошибка","ошибка")),"ошибка")</f>
        <v>ошибка</v>
      </c>
      <c r="F68" s="224" t="str">
        <f ca="1">IFERROR(IF(LEN((INDIRECT(Критерий[[#This Row],[СНаименование]],FALSE)))=0,"ошибка",IFERROR(INDIRECT(Критерий[[#This Row],[СНаименование]],FALSE),"ошибка")),"ошибка")</f>
        <v>ошибка</v>
      </c>
      <c r="G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8" s="208" t="str">
        <f ca="1">IFERROR(IF(N(INDIRECT(Критерий[[#This Row],[СФизКритерий]],FALSE))=0,"ошибка",IFERROR(INDIRECT(Критерий[[#This Row],[СФизКритерий]],FALSE),"ошибка")),"ошибка")</f>
        <v>ошибка</v>
      </c>
      <c r="I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8" s="208" t="str">
        <f ca="1">IFERROR(_xlfn.FORMULATEXT(INDIRECT(Критерий[[#This Row],[Скритерий]],FALSE)),"ошибка")</f>
        <v>ошибка</v>
      </c>
      <c r="M68" s="208" t="str">
        <f ca="1">IFERROR(IF(N(INDIRECT(Критерий[[#This Row],[СМинФизКритерий]],FALSE))=0,"ошибка",IFERROR(INDIRECT(Критерий[[#This Row],[СМинФизКритерий]],FALSE),"ошибка")),"ошибка")</f>
        <v>ошибка</v>
      </c>
      <c r="N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8" s="208" t="str">
        <f ca="1">IFERROR(IF(N(INDIRECT(Критерий[[#This Row],[СМаксФизКритерий]],FALSE))=0,"ошибка",IFERROR(INDIRECT(Критерий[[#This Row],[СМаксФизКритерий]],FALSE),"ошибка")),"ошибка")</f>
        <v>ошибка</v>
      </c>
      <c r="P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8" s="208" t="str">
        <f ca="1">IFERROR(IF(N(INDIRECT(Критерий[[#This Row],[ССрФизКритерий]],FALSE))=0,"ошибка",IFERROR(INDIRECT(Критерий[[#This Row],[ССрФизКритерий]],FALSE),"ошибка")),"")</f>
        <v/>
      </c>
      <c r="R6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8" s="212">
        <f ca="1">IFERROR(IF(AND(Критерий[[#This Row],[ВидКритерий]]="Критерий",IFERROR(SEARCH("Приведение",Критерий[[#This Row],[Фкритерий]]),0)&gt;0),1,-1),-1)</f>
        <v>-1</v>
      </c>
      <c r="AG68" s="66">
        <f>IF(AND(Множество[[#This Row],[Y]]=1),ROW()-ROW(Множество[[#Headers],[№]]),"")</f>
        <v>59</v>
      </c>
      <c r="AH68" t="s">
        <v>608</v>
      </c>
      <c r="AI68" s="66">
        <v>1</v>
      </c>
      <c r="AJ68" s="66">
        <f>IF(LEN(Множество[[#This Row],[Свёртка]])&gt;0,1,-1)</f>
        <v>1</v>
      </c>
      <c r="AK68" s="66" t="s">
        <v>1781</v>
      </c>
      <c r="AL68" s="66">
        <f>IF(LEN(Множество[[#This Row],[Критерии]])&gt;0,1,-1)</f>
        <v>1</v>
      </c>
      <c r="AM68" s="66">
        <f>IF(AND(LEN(Множество[[#This Row],[Свёртка]])&gt;0,LEN(Множество[[#This Row],[Критерии]])&gt;0,LEN(Множество[[#This Row],[Оценки]])&gt;0),1,-1)</f>
        <v>1</v>
      </c>
      <c r="AN68">
        <v>4.1333333333333302</v>
      </c>
      <c r="AO68">
        <v>-13.9333333333333</v>
      </c>
      <c r="AP68" s="208"/>
      <c r="AQ68" s="208"/>
      <c r="AR68" s="226"/>
      <c r="AS68" s="225"/>
      <c r="AT68" s="226"/>
      <c r="AU68" s="225"/>
      <c r="AV68" s="225"/>
      <c r="AW68" s="225"/>
      <c r="AX68" s="225"/>
      <c r="AY68" s="225"/>
    </row>
    <row r="69" spans="2:51" x14ac:dyDescent="0.25">
      <c r="B69" s="209" t="str">
        <f ca="1">IF(AND(Критерий[[#This Row],[Критерий]]&lt;&gt;"",Критерий[[#This Row],[O.K.Критерий]]=1),ROW()-ROW(Критерий[[#Headers],[№]]),"")</f>
        <v/>
      </c>
      <c r="C69" s="84"/>
      <c r="D6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9" s="208" t="str">
        <f ca="1">IFERROR(IF(IFERROR(SEARCH("Прив",Критерий[[#This Row],[Фкритерий]]),0)&gt;0,"Критерий",IF(IFERROR(SEARCH("Матр",Критерий[[#This Row],[Фкритерий]]),0)&gt;0,"ошибка","ошибка")),"ошибка")</f>
        <v>ошибка</v>
      </c>
      <c r="F69" s="224" t="str">
        <f ca="1">IFERROR(IF(LEN((INDIRECT(Критерий[[#This Row],[СНаименование]],FALSE)))=0,"ошибка",IFERROR(INDIRECT(Критерий[[#This Row],[СНаименование]],FALSE),"ошибка")),"ошибка")</f>
        <v>ошибка</v>
      </c>
      <c r="G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9" s="208" t="str">
        <f ca="1">IFERROR(IF(N(INDIRECT(Критерий[[#This Row],[СФизКритерий]],FALSE))=0,"ошибка",IFERROR(INDIRECT(Критерий[[#This Row],[СФизКритерий]],FALSE),"ошибка")),"ошибка")</f>
        <v>ошибка</v>
      </c>
      <c r="I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9" s="208" t="str">
        <f ca="1">IFERROR(_xlfn.FORMULATEXT(INDIRECT(Критерий[[#This Row],[Скритерий]],FALSE)),"ошибка")</f>
        <v>ошибка</v>
      </c>
      <c r="M69" s="208" t="str">
        <f ca="1">IFERROR(IF(N(INDIRECT(Критерий[[#This Row],[СМинФизКритерий]],FALSE))=0,"ошибка",IFERROR(INDIRECT(Критерий[[#This Row],[СМинФизКритерий]],FALSE),"ошибка")),"ошибка")</f>
        <v>ошибка</v>
      </c>
      <c r="N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9" s="208" t="str">
        <f ca="1">IFERROR(IF(N(INDIRECT(Критерий[[#This Row],[СМаксФизКритерий]],FALSE))=0,"ошибка",IFERROR(INDIRECT(Критерий[[#This Row],[СМаксФизКритерий]],FALSE),"ошибка")),"ошибка")</f>
        <v>ошибка</v>
      </c>
      <c r="P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9" s="208" t="str">
        <f ca="1">IFERROR(IF(N(INDIRECT(Критерий[[#This Row],[ССрФизКритерий]],FALSE))=0,"ошибка",IFERROR(INDIRECT(Критерий[[#This Row],[ССрФизКритерий]],FALSE),"ошибка")),"")</f>
        <v/>
      </c>
      <c r="R6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9" s="212">
        <f ca="1">IFERROR(IF(AND(Критерий[[#This Row],[ВидКритерий]]="Критерий",IFERROR(SEARCH("Приведение",Критерий[[#This Row],[Фкритерий]]),0)&gt;0),1,-1),-1)</f>
        <v>-1</v>
      </c>
      <c r="AG69" s="66">
        <f>IF(AND(Множество[[#This Row],[Y]]=1),ROW()-ROW(Множество[[#Headers],[№]]),"")</f>
        <v>60</v>
      </c>
      <c r="AH69" t="s">
        <v>608</v>
      </c>
      <c r="AI69" s="66">
        <v>1</v>
      </c>
      <c r="AJ69" s="66">
        <f>IF(LEN(Множество[[#This Row],[Свёртка]])&gt;0,1,-1)</f>
        <v>1</v>
      </c>
      <c r="AK69" s="66" t="s">
        <v>1781</v>
      </c>
      <c r="AL69" s="66">
        <f>IF(LEN(Множество[[#This Row],[Критерии]])&gt;0,1,-1)</f>
        <v>1</v>
      </c>
      <c r="AM69" s="66">
        <f>IF(AND(LEN(Множество[[#This Row],[Свёртка]])&gt;0,LEN(Множество[[#This Row],[Критерии]])&gt;0,LEN(Множество[[#This Row],[Оценки]])&gt;0),1,-1)</f>
        <v>1</v>
      </c>
      <c r="AN69">
        <v>4.0750000000000002</v>
      </c>
      <c r="AO69">
        <v>-13.966666666666701</v>
      </c>
      <c r="AP69" s="208"/>
      <c r="AQ69" s="208"/>
      <c r="AR69" s="226"/>
      <c r="AS69" s="225"/>
      <c r="AT69" s="226"/>
      <c r="AU69" s="225"/>
      <c r="AV69" s="225"/>
      <c r="AW69" s="225"/>
      <c r="AX69" s="225"/>
      <c r="AY69" s="225"/>
    </row>
    <row r="70" spans="2:51" x14ac:dyDescent="0.25">
      <c r="B70" s="209" t="str">
        <f ca="1">IF(AND(Критерий[[#This Row],[Критерий]]&lt;&gt;"",Критерий[[#This Row],[O.K.Критерий]]=1),ROW()-ROW(Критерий[[#Headers],[№]]),"")</f>
        <v/>
      </c>
      <c r="C70" s="84"/>
      <c r="D7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0" s="208" t="str">
        <f ca="1">IFERROR(IF(IFERROR(SEARCH("Прив",Критерий[[#This Row],[Фкритерий]]),0)&gt;0,"Критерий",IF(IFERROR(SEARCH("Матр",Критерий[[#This Row],[Фкритерий]]),0)&gt;0,"ошибка","ошибка")),"ошибка")</f>
        <v>ошибка</v>
      </c>
      <c r="F70" s="224" t="str">
        <f ca="1">IFERROR(IF(LEN((INDIRECT(Критерий[[#This Row],[СНаименование]],FALSE)))=0,"ошибка",IFERROR(INDIRECT(Критерий[[#This Row],[СНаименование]],FALSE),"ошибка")),"ошибка")</f>
        <v>ошибка</v>
      </c>
      <c r="G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0" s="208" t="str">
        <f ca="1">IFERROR(IF(N(INDIRECT(Критерий[[#This Row],[СФизКритерий]],FALSE))=0,"ошибка",IFERROR(INDIRECT(Критерий[[#This Row],[СФизКритерий]],FALSE),"ошибка")),"ошибка")</f>
        <v>ошибка</v>
      </c>
      <c r="I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0" s="208" t="str">
        <f ca="1">IFERROR(_xlfn.FORMULATEXT(INDIRECT(Критерий[[#This Row],[Скритерий]],FALSE)),"ошибка")</f>
        <v>ошибка</v>
      </c>
      <c r="M70" s="208" t="str">
        <f ca="1">IFERROR(IF(N(INDIRECT(Критерий[[#This Row],[СМинФизКритерий]],FALSE))=0,"ошибка",IFERROR(INDIRECT(Критерий[[#This Row],[СМинФизКритерий]],FALSE),"ошибка")),"ошибка")</f>
        <v>ошибка</v>
      </c>
      <c r="N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0" s="208" t="str">
        <f ca="1">IFERROR(IF(N(INDIRECT(Критерий[[#This Row],[СМаксФизКритерий]],FALSE))=0,"ошибка",IFERROR(INDIRECT(Критерий[[#This Row],[СМаксФизКритерий]],FALSE),"ошибка")),"ошибка")</f>
        <v>ошибка</v>
      </c>
      <c r="P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0" s="208" t="str">
        <f ca="1">IFERROR(IF(N(INDIRECT(Критерий[[#This Row],[ССрФизКритерий]],FALSE))=0,"ошибка",IFERROR(INDIRECT(Критерий[[#This Row],[ССрФизКритерий]],FALSE),"ошибка")),"")</f>
        <v/>
      </c>
      <c r="R7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0" s="212">
        <f ca="1">IFERROR(IF(AND(Критерий[[#This Row],[ВидКритерий]]="Критерий",IFERROR(SEARCH("Приведение",Критерий[[#This Row],[Фкритерий]]),0)&gt;0),1,-1),-1)</f>
        <v>-1</v>
      </c>
      <c r="AG70" s="66">
        <f>IF(AND(Множество[[#This Row],[Y]]=1),ROW()-ROW(Множество[[#Headers],[№]]),"")</f>
        <v>61</v>
      </c>
      <c r="AH70" t="s">
        <v>608</v>
      </c>
      <c r="AI70" s="66">
        <v>1</v>
      </c>
      <c r="AJ70" s="66">
        <f>IF(LEN(Множество[[#This Row],[Свёртка]])&gt;0,1,-1)</f>
        <v>1</v>
      </c>
      <c r="AK70" s="66" t="s">
        <v>1781</v>
      </c>
      <c r="AL70" s="66">
        <f>IF(LEN(Множество[[#This Row],[Критерии]])&gt;0,1,-1)</f>
        <v>1</v>
      </c>
      <c r="AM70" s="66">
        <f>IF(AND(LEN(Множество[[#This Row],[Свёртка]])&gt;0,LEN(Множество[[#This Row],[Критерии]])&gt;0,LEN(Множество[[#This Row],[Оценки]])&gt;0),1,-1)</f>
        <v>1</v>
      </c>
      <c r="AN70">
        <v>6.6416666666666702</v>
      </c>
      <c r="AO70">
        <v>-16.649999999999999</v>
      </c>
      <c r="AP70" s="208"/>
      <c r="AQ70" s="208"/>
      <c r="AR70" s="226"/>
      <c r="AS70" s="225"/>
      <c r="AT70" s="226"/>
      <c r="AU70" s="225"/>
      <c r="AV70" s="225"/>
      <c r="AW70" s="225"/>
      <c r="AX70" s="225"/>
      <c r="AY70" s="225"/>
    </row>
    <row r="71" spans="2:51" x14ac:dyDescent="0.25">
      <c r="B71" s="209" t="str">
        <f ca="1">IF(AND(Критерий[[#This Row],[Критерий]]&lt;&gt;"",Критерий[[#This Row],[O.K.Критерий]]=1),ROW()-ROW(Критерий[[#Headers],[№]]),"")</f>
        <v/>
      </c>
      <c r="C71" s="84"/>
      <c r="D7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1" s="208" t="str">
        <f ca="1">IFERROR(IF(IFERROR(SEARCH("Прив",Критерий[[#This Row],[Фкритерий]]),0)&gt;0,"Критерий",IF(IFERROR(SEARCH("Матр",Критерий[[#This Row],[Фкритерий]]),0)&gt;0,"ошибка","ошибка")),"ошибка")</f>
        <v>ошибка</v>
      </c>
      <c r="F71" s="224" t="str">
        <f ca="1">IFERROR(IF(LEN((INDIRECT(Критерий[[#This Row],[СНаименование]],FALSE)))=0,"ошибка",IFERROR(INDIRECT(Критерий[[#This Row],[СНаименование]],FALSE),"ошибка")),"ошибка")</f>
        <v>ошибка</v>
      </c>
      <c r="G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1" s="208" t="str">
        <f ca="1">IFERROR(IF(N(INDIRECT(Критерий[[#This Row],[СФизКритерий]],FALSE))=0,"ошибка",IFERROR(INDIRECT(Критерий[[#This Row],[СФизКритерий]],FALSE),"ошибка")),"ошибка")</f>
        <v>ошибка</v>
      </c>
      <c r="I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1" s="208" t="str">
        <f ca="1">IFERROR(_xlfn.FORMULATEXT(INDIRECT(Критерий[[#This Row],[Скритерий]],FALSE)),"ошибка")</f>
        <v>ошибка</v>
      </c>
      <c r="M71" s="208" t="str">
        <f ca="1">IFERROR(IF(N(INDIRECT(Критерий[[#This Row],[СМинФизКритерий]],FALSE))=0,"ошибка",IFERROR(INDIRECT(Критерий[[#This Row],[СМинФизКритерий]],FALSE),"ошибка")),"ошибка")</f>
        <v>ошибка</v>
      </c>
      <c r="N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1" s="208" t="str">
        <f ca="1">IFERROR(IF(N(INDIRECT(Критерий[[#This Row],[СМаксФизКритерий]],FALSE))=0,"ошибка",IFERROR(INDIRECT(Критерий[[#This Row],[СМаксФизКритерий]],FALSE),"ошибка")),"ошибка")</f>
        <v>ошибка</v>
      </c>
      <c r="P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1" s="208" t="str">
        <f ca="1">IFERROR(IF(N(INDIRECT(Критерий[[#This Row],[ССрФизКритерий]],FALSE))=0,"ошибка",IFERROR(INDIRECT(Критерий[[#This Row],[ССрФизКритерий]],FALSE),"ошибка")),"")</f>
        <v/>
      </c>
      <c r="R7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1" s="212">
        <f ca="1">IFERROR(IF(AND(Критерий[[#This Row],[ВидКритерий]]="Критерий",IFERROR(SEARCH("Приведение",Критерий[[#This Row],[Фкритерий]]),0)&gt;0),1,-1),-1)</f>
        <v>-1</v>
      </c>
      <c r="AG71" s="66">
        <f>IF(AND(Множество[[#This Row],[Y]]=1),ROW()-ROW(Множество[[#Headers],[№]]),"")</f>
        <v>62</v>
      </c>
      <c r="AH71" t="s">
        <v>608</v>
      </c>
      <c r="AI71" s="66">
        <v>1</v>
      </c>
      <c r="AJ71" s="66">
        <f>IF(LEN(Множество[[#This Row],[Свёртка]])&gt;0,1,-1)</f>
        <v>1</v>
      </c>
      <c r="AK71" s="66" t="s">
        <v>1781</v>
      </c>
      <c r="AL71" s="66">
        <f>IF(LEN(Множество[[#This Row],[Критерии]])&gt;0,1,-1)</f>
        <v>1</v>
      </c>
      <c r="AM71" s="66">
        <f>IF(AND(LEN(Множество[[#This Row],[Свёртка]])&gt;0,LEN(Множество[[#This Row],[Критерии]])&gt;0,LEN(Множество[[#This Row],[Оценки]])&gt;0),1,-1)</f>
        <v>1</v>
      </c>
      <c r="AN71">
        <v>6.7</v>
      </c>
      <c r="AO71">
        <v>-16.6666666666667</v>
      </c>
      <c r="AP71" s="208"/>
      <c r="AQ71" s="208"/>
      <c r="AR71" s="226"/>
      <c r="AS71" s="225"/>
      <c r="AT71" s="226"/>
      <c r="AU71" s="225"/>
      <c r="AV71" s="225"/>
      <c r="AW71" s="225"/>
      <c r="AX71" s="225"/>
      <c r="AY71" s="225"/>
    </row>
    <row r="72" spans="2:51" x14ac:dyDescent="0.25">
      <c r="B72" s="209" t="str">
        <f ca="1">IF(AND(Критерий[[#This Row],[Критерий]]&lt;&gt;"",Критерий[[#This Row],[O.K.Критерий]]=1),ROW()-ROW(Критерий[[#Headers],[№]]),"")</f>
        <v/>
      </c>
      <c r="C72" s="84"/>
      <c r="D7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2" s="208" t="str">
        <f ca="1">IFERROR(IF(IFERROR(SEARCH("Прив",Критерий[[#This Row],[Фкритерий]]),0)&gt;0,"Критерий",IF(IFERROR(SEARCH("Матр",Критерий[[#This Row],[Фкритерий]]),0)&gt;0,"ошибка","ошибка")),"ошибка")</f>
        <v>ошибка</v>
      </c>
      <c r="F72" s="224" t="str">
        <f ca="1">IFERROR(IF(LEN((INDIRECT(Критерий[[#This Row],[СНаименование]],FALSE)))=0,"ошибка",IFERROR(INDIRECT(Критерий[[#This Row],[СНаименование]],FALSE),"ошибка")),"ошибка")</f>
        <v>ошибка</v>
      </c>
      <c r="G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2" s="208" t="str">
        <f ca="1">IFERROR(IF(N(INDIRECT(Критерий[[#This Row],[СФизКритерий]],FALSE))=0,"ошибка",IFERROR(INDIRECT(Критерий[[#This Row],[СФизКритерий]],FALSE),"ошибка")),"ошибка")</f>
        <v>ошибка</v>
      </c>
      <c r="I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2" s="208" t="str">
        <f ca="1">IFERROR(_xlfn.FORMULATEXT(INDIRECT(Критерий[[#This Row],[Скритерий]],FALSE)),"ошибка")</f>
        <v>ошибка</v>
      </c>
      <c r="M72" s="208" t="str">
        <f ca="1">IFERROR(IF(N(INDIRECT(Критерий[[#This Row],[СМинФизКритерий]],FALSE))=0,"ошибка",IFERROR(INDIRECT(Критерий[[#This Row],[СМинФизКритерий]],FALSE),"ошибка")),"ошибка")</f>
        <v>ошибка</v>
      </c>
      <c r="N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2" s="208" t="str">
        <f ca="1">IFERROR(IF(N(INDIRECT(Критерий[[#This Row],[СМаксФизКритерий]],FALSE))=0,"ошибка",IFERROR(INDIRECT(Критерий[[#This Row],[СМаксФизКритерий]],FALSE),"ошибка")),"ошибка")</f>
        <v>ошибка</v>
      </c>
      <c r="P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2" s="208" t="str">
        <f ca="1">IFERROR(IF(N(INDIRECT(Критерий[[#This Row],[ССрФизКритерий]],FALSE))=0,"ошибка",IFERROR(INDIRECT(Критерий[[#This Row],[ССрФизКритерий]],FALSE),"ошибка")),"")</f>
        <v/>
      </c>
      <c r="R7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2" s="212">
        <f ca="1">IFERROR(IF(AND(Критерий[[#This Row],[ВидКритерий]]="Критерий",IFERROR(SEARCH("Приведение",Критерий[[#This Row],[Фкритерий]]),0)&gt;0),1,-1),-1)</f>
        <v>-1</v>
      </c>
      <c r="AG72" s="66">
        <f>IF(AND(Множество[[#This Row],[Y]]=1),ROW()-ROW(Множество[[#Headers],[№]]),"")</f>
        <v>63</v>
      </c>
      <c r="AH72" t="s">
        <v>608</v>
      </c>
      <c r="AI72" s="66">
        <v>1</v>
      </c>
      <c r="AJ72" s="66">
        <f>IF(LEN(Множество[[#This Row],[Свёртка]])&gt;0,1,-1)</f>
        <v>1</v>
      </c>
      <c r="AK72" s="66" t="s">
        <v>1781</v>
      </c>
      <c r="AL72" s="66">
        <f>IF(LEN(Множество[[#This Row],[Критерии]])&gt;0,1,-1)</f>
        <v>1</v>
      </c>
      <c r="AM72" s="66">
        <f>IF(AND(LEN(Множество[[#This Row],[Свёртка]])&gt;0,LEN(Множество[[#This Row],[Критерии]])&gt;0,LEN(Множество[[#This Row],[Оценки]])&gt;0),1,-1)</f>
        <v>1</v>
      </c>
      <c r="AN72">
        <v>3.9583333333333299</v>
      </c>
      <c r="AO72">
        <v>-14</v>
      </c>
      <c r="AP72" s="208"/>
      <c r="AQ72" s="208"/>
      <c r="AR72" s="226"/>
      <c r="AS72" s="225"/>
      <c r="AT72" s="226"/>
      <c r="AU72" s="225"/>
      <c r="AV72" s="225"/>
      <c r="AW72" s="225"/>
      <c r="AX72" s="225"/>
      <c r="AY72" s="225"/>
    </row>
    <row r="73" spans="2:51" x14ac:dyDescent="0.25">
      <c r="B73" s="209" t="str">
        <f ca="1">IF(AND(Критерий[[#This Row],[Критерий]]&lt;&gt;"",Критерий[[#This Row],[O.K.Критерий]]=1),ROW()-ROW(Критерий[[#Headers],[№]]),"")</f>
        <v/>
      </c>
      <c r="C73" s="84"/>
      <c r="D7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3" s="208" t="str">
        <f ca="1">IFERROR(IF(IFERROR(SEARCH("Прив",Критерий[[#This Row],[Фкритерий]]),0)&gt;0,"Критерий",IF(IFERROR(SEARCH("Матр",Критерий[[#This Row],[Фкритерий]]),0)&gt;0,"ошибка","ошибка")),"ошибка")</f>
        <v>ошибка</v>
      </c>
      <c r="F73" s="224" t="str">
        <f ca="1">IFERROR(IF(LEN((INDIRECT(Критерий[[#This Row],[СНаименование]],FALSE)))=0,"ошибка",IFERROR(INDIRECT(Критерий[[#This Row],[СНаименование]],FALSE),"ошибка")),"ошибка")</f>
        <v>ошибка</v>
      </c>
      <c r="G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3" s="208" t="str">
        <f ca="1">IFERROR(IF(N(INDIRECT(Критерий[[#This Row],[СФизКритерий]],FALSE))=0,"ошибка",IFERROR(INDIRECT(Критерий[[#This Row],[СФизКритерий]],FALSE),"ошибка")),"ошибка")</f>
        <v>ошибка</v>
      </c>
      <c r="I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3" s="208" t="str">
        <f ca="1">IFERROR(_xlfn.FORMULATEXT(INDIRECT(Критерий[[#This Row],[Скритерий]],FALSE)),"ошибка")</f>
        <v>ошибка</v>
      </c>
      <c r="M73" s="208" t="str">
        <f ca="1">IFERROR(IF(N(INDIRECT(Критерий[[#This Row],[СМинФизКритерий]],FALSE))=0,"ошибка",IFERROR(INDIRECT(Критерий[[#This Row],[СМинФизКритерий]],FALSE),"ошибка")),"ошибка")</f>
        <v>ошибка</v>
      </c>
      <c r="N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3" s="208" t="str">
        <f ca="1">IFERROR(IF(N(INDIRECT(Критерий[[#This Row],[СМаксФизКритерий]],FALSE))=0,"ошибка",IFERROR(INDIRECT(Критерий[[#This Row],[СМаксФизКритерий]],FALSE),"ошибка")),"ошибка")</f>
        <v>ошибка</v>
      </c>
      <c r="P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3" s="208" t="str">
        <f ca="1">IFERROR(IF(N(INDIRECT(Критерий[[#This Row],[ССрФизКритерий]],FALSE))=0,"ошибка",IFERROR(INDIRECT(Критерий[[#This Row],[ССрФизКритерий]],FALSE),"ошибка")),"")</f>
        <v/>
      </c>
      <c r="R7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3" s="212">
        <f ca="1">IFERROR(IF(AND(Критерий[[#This Row],[ВидКритерий]]="Критерий",IFERROR(SEARCH("Приведение",Критерий[[#This Row],[Фкритерий]]),0)&gt;0),1,-1),-1)</f>
        <v>-1</v>
      </c>
      <c r="AG73" s="66">
        <f>IF(AND(Множество[[#This Row],[Y]]=1),ROW()-ROW(Множество[[#Headers],[№]]),"")</f>
        <v>64</v>
      </c>
      <c r="AH73" t="s">
        <v>608</v>
      </c>
      <c r="AI73" s="66">
        <v>1</v>
      </c>
      <c r="AJ73" s="66">
        <f>IF(LEN(Множество[[#This Row],[Свёртка]])&gt;0,1,-1)</f>
        <v>1</v>
      </c>
      <c r="AK73" s="66" t="s">
        <v>1781</v>
      </c>
      <c r="AL73" s="66">
        <f>IF(LEN(Множество[[#This Row],[Критерии]])&gt;0,1,-1)</f>
        <v>1</v>
      </c>
      <c r="AM73" s="66">
        <f>IF(AND(LEN(Множество[[#This Row],[Свёртка]])&gt;0,LEN(Множество[[#This Row],[Критерии]])&gt;0,LEN(Множество[[#This Row],[Оценки]])&gt;0),1,-1)</f>
        <v>1</v>
      </c>
      <c r="AN73">
        <v>4.0166666666666702</v>
      </c>
      <c r="AO73">
        <v>-13.983333333333301</v>
      </c>
      <c r="AP73" s="208"/>
      <c r="AQ73" s="208"/>
      <c r="AR73" s="226"/>
      <c r="AS73" s="225"/>
      <c r="AT73" s="226"/>
      <c r="AU73" s="225"/>
      <c r="AV73" s="225"/>
      <c r="AW73" s="225"/>
      <c r="AX73" s="225"/>
      <c r="AY73" s="225"/>
    </row>
    <row r="74" spans="2:51" x14ac:dyDescent="0.25">
      <c r="B74" s="209" t="str">
        <f ca="1">IF(AND(Критерий[[#This Row],[Критерий]]&lt;&gt;"",Критерий[[#This Row],[O.K.Критерий]]=1),ROW()-ROW(Критерий[[#Headers],[№]]),"")</f>
        <v/>
      </c>
      <c r="C74" s="84"/>
      <c r="D7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4" s="208" t="str">
        <f ca="1">IFERROR(IF(IFERROR(SEARCH("Прив",Критерий[[#This Row],[Фкритерий]]),0)&gt;0,"Критерий",IF(IFERROR(SEARCH("Матр",Критерий[[#This Row],[Фкритерий]]),0)&gt;0,"ошибка","ошибка")),"ошибка")</f>
        <v>ошибка</v>
      </c>
      <c r="F74" s="224" t="str">
        <f ca="1">IFERROR(IF(LEN((INDIRECT(Критерий[[#This Row],[СНаименование]],FALSE)))=0,"ошибка",IFERROR(INDIRECT(Критерий[[#This Row],[СНаименование]],FALSE),"ошибка")),"ошибка")</f>
        <v>ошибка</v>
      </c>
      <c r="G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4" s="208" t="str">
        <f ca="1">IFERROR(IF(N(INDIRECT(Критерий[[#This Row],[СФизКритерий]],FALSE))=0,"ошибка",IFERROR(INDIRECT(Критерий[[#This Row],[СФизКритерий]],FALSE),"ошибка")),"ошибка")</f>
        <v>ошибка</v>
      </c>
      <c r="I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4" s="208" t="str">
        <f ca="1">IFERROR(_xlfn.FORMULATEXT(INDIRECT(Критерий[[#This Row],[Скритерий]],FALSE)),"ошибка")</f>
        <v>ошибка</v>
      </c>
      <c r="M74" s="208" t="str">
        <f ca="1">IFERROR(IF(N(INDIRECT(Критерий[[#This Row],[СМинФизКритерий]],FALSE))=0,"ошибка",IFERROR(INDIRECT(Критерий[[#This Row],[СМинФизКритерий]],FALSE),"ошибка")),"ошибка")</f>
        <v>ошибка</v>
      </c>
      <c r="N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4" s="208" t="str">
        <f ca="1">IFERROR(IF(N(INDIRECT(Критерий[[#This Row],[СМаксФизКритерий]],FALSE))=0,"ошибка",IFERROR(INDIRECT(Критерий[[#This Row],[СМаксФизКритерий]],FALSE),"ошибка")),"ошибка")</f>
        <v>ошибка</v>
      </c>
      <c r="P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4" s="208" t="str">
        <f ca="1">IFERROR(IF(N(INDIRECT(Критерий[[#This Row],[ССрФизКритерий]],FALSE))=0,"ошибка",IFERROR(INDIRECT(Критерий[[#This Row],[ССрФизКритерий]],FALSE),"ошибка")),"")</f>
        <v/>
      </c>
      <c r="R7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4" s="212">
        <f ca="1">IFERROR(IF(AND(Критерий[[#This Row],[ВидКритерий]]="Критерий",IFERROR(SEARCH("Приведение",Критерий[[#This Row],[Фкритерий]]),0)&gt;0),1,-1),-1)</f>
        <v>-1</v>
      </c>
      <c r="AG74" s="66">
        <f>IF(AND(Множество[[#This Row],[Y]]=1),ROW()-ROW(Множество[[#Headers],[№]]),"")</f>
        <v>65</v>
      </c>
      <c r="AH74" t="s">
        <v>608</v>
      </c>
      <c r="AI74" s="66">
        <v>1</v>
      </c>
      <c r="AJ74" s="66">
        <f>IF(LEN(Множество[[#This Row],[Свёртка]])&gt;0,1,-1)</f>
        <v>1</v>
      </c>
      <c r="AK74" s="66" t="s">
        <v>1781</v>
      </c>
      <c r="AL74" s="66">
        <f>IF(LEN(Множество[[#This Row],[Критерии]])&gt;0,1,-1)</f>
        <v>1</v>
      </c>
      <c r="AM74" s="66">
        <f>IF(AND(LEN(Множество[[#This Row],[Свёртка]])&gt;0,LEN(Множество[[#This Row],[Критерии]])&gt;0,LEN(Множество[[#This Row],[Оценки]])&gt;0),1,-1)</f>
        <v>1</v>
      </c>
      <c r="AN74">
        <v>6.4666666666666703</v>
      </c>
      <c r="AO74">
        <v>-16.616666666666699</v>
      </c>
      <c r="AP74" s="208"/>
      <c r="AQ74" s="208"/>
      <c r="AR74" s="226"/>
      <c r="AS74" s="225"/>
      <c r="AT74" s="226"/>
      <c r="AU74" s="225"/>
      <c r="AV74" s="225"/>
      <c r="AW74" s="225"/>
      <c r="AX74" s="225"/>
      <c r="AY74" s="225"/>
    </row>
    <row r="75" spans="2:51" x14ac:dyDescent="0.25">
      <c r="B75" s="209" t="str">
        <f ca="1">IF(AND(Критерий[[#This Row],[Критерий]]&lt;&gt;"",Критерий[[#This Row],[O.K.Критерий]]=1),ROW()-ROW(Критерий[[#Headers],[№]]),"")</f>
        <v/>
      </c>
      <c r="C75" s="84"/>
      <c r="D7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5" s="208" t="str">
        <f ca="1">IFERROR(IF(IFERROR(SEARCH("Прив",Критерий[[#This Row],[Фкритерий]]),0)&gt;0,"Критерий",IF(IFERROR(SEARCH("Матр",Критерий[[#This Row],[Фкритерий]]),0)&gt;0,"ошибка","ошибка")),"ошибка")</f>
        <v>ошибка</v>
      </c>
      <c r="F75" s="224" t="str">
        <f ca="1">IFERROR(IF(LEN((INDIRECT(Критерий[[#This Row],[СНаименование]],FALSE)))=0,"ошибка",IFERROR(INDIRECT(Критерий[[#This Row],[СНаименование]],FALSE),"ошибка")),"ошибка")</f>
        <v>ошибка</v>
      </c>
      <c r="G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5" s="208" t="str">
        <f ca="1">IFERROR(IF(N(INDIRECT(Критерий[[#This Row],[СФизКритерий]],FALSE))=0,"ошибка",IFERROR(INDIRECT(Критерий[[#This Row],[СФизКритерий]],FALSE),"ошибка")),"ошибка")</f>
        <v>ошибка</v>
      </c>
      <c r="I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5" s="208" t="str">
        <f ca="1">IFERROR(_xlfn.FORMULATEXT(INDIRECT(Критерий[[#This Row],[Скритерий]],FALSE)),"ошибка")</f>
        <v>ошибка</v>
      </c>
      <c r="M75" s="208" t="str">
        <f ca="1">IFERROR(IF(N(INDIRECT(Критерий[[#This Row],[СМинФизКритерий]],FALSE))=0,"ошибка",IFERROR(INDIRECT(Критерий[[#This Row],[СМинФизКритерий]],FALSE),"ошибка")),"ошибка")</f>
        <v>ошибка</v>
      </c>
      <c r="N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5" s="208" t="str">
        <f ca="1">IFERROR(IF(N(INDIRECT(Критерий[[#This Row],[СМаксФизКритерий]],FALSE))=0,"ошибка",IFERROR(INDIRECT(Критерий[[#This Row],[СМаксФизКритерий]],FALSE),"ошибка")),"ошибка")</f>
        <v>ошибка</v>
      </c>
      <c r="P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5" s="208" t="str">
        <f ca="1">IFERROR(IF(N(INDIRECT(Критерий[[#This Row],[ССрФизКритерий]],FALSE))=0,"ошибка",IFERROR(INDIRECT(Критерий[[#This Row],[ССрФизКритерий]],FALSE),"ошибка")),"")</f>
        <v/>
      </c>
      <c r="R7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5" s="212">
        <f ca="1">IFERROR(IF(AND(Критерий[[#This Row],[ВидКритерий]]="Критерий",IFERROR(SEARCH("Приведение",Критерий[[#This Row],[Фкритерий]]),0)&gt;0),1,-1),-1)</f>
        <v>-1</v>
      </c>
      <c r="AG75" s="66">
        <f>IF(AND(Множество[[#This Row],[Y]]=1),ROW()-ROW(Множество[[#Headers],[№]]),"")</f>
        <v>66</v>
      </c>
      <c r="AH75" t="s">
        <v>608</v>
      </c>
      <c r="AI75" s="66">
        <v>1</v>
      </c>
      <c r="AJ75" s="66">
        <f>IF(LEN(Множество[[#This Row],[Свёртка]])&gt;0,1,-1)</f>
        <v>1</v>
      </c>
      <c r="AK75" s="66" t="s">
        <v>1781</v>
      </c>
      <c r="AL75" s="66">
        <f>IF(LEN(Множество[[#This Row],[Критерии]])&gt;0,1,-1)</f>
        <v>1</v>
      </c>
      <c r="AM75" s="66">
        <f>IF(AND(LEN(Множество[[#This Row],[Свёртка]])&gt;0,LEN(Множество[[#This Row],[Критерии]])&gt;0,LEN(Множество[[#This Row],[Оценки]])&gt;0),1,-1)</f>
        <v>1</v>
      </c>
      <c r="AN75">
        <v>6.5250000000000004</v>
      </c>
      <c r="AO75">
        <v>-16.633333333333301</v>
      </c>
      <c r="AP75" s="208"/>
      <c r="AQ75" s="208"/>
      <c r="AR75" s="226"/>
      <c r="AS75" s="225"/>
      <c r="AT75" s="226"/>
      <c r="AU75" s="225"/>
      <c r="AV75" s="225"/>
      <c r="AW75" s="225"/>
      <c r="AX75" s="225"/>
      <c r="AY75" s="225"/>
    </row>
    <row r="76" spans="2:51" x14ac:dyDescent="0.25">
      <c r="B76" s="209" t="str">
        <f ca="1">IF(AND(Критерий[[#This Row],[Критерий]]&lt;&gt;"",Критерий[[#This Row],[O.K.Критерий]]=1),ROW()-ROW(Критерий[[#Headers],[№]]),"")</f>
        <v/>
      </c>
      <c r="C76" s="84"/>
      <c r="D7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6" s="208" t="str">
        <f ca="1">IFERROR(IF(IFERROR(SEARCH("Прив",Критерий[[#This Row],[Фкритерий]]),0)&gt;0,"Критерий",IF(IFERROR(SEARCH("Матр",Критерий[[#This Row],[Фкритерий]]),0)&gt;0,"ошибка","ошибка")),"ошибка")</f>
        <v>ошибка</v>
      </c>
      <c r="F76" s="224" t="str">
        <f ca="1">IFERROR(IF(LEN((INDIRECT(Критерий[[#This Row],[СНаименование]],FALSE)))=0,"ошибка",IFERROR(INDIRECT(Критерий[[#This Row],[СНаименование]],FALSE),"ошибка")),"ошибка")</f>
        <v>ошибка</v>
      </c>
      <c r="G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6" s="208" t="str">
        <f ca="1">IFERROR(IF(N(INDIRECT(Критерий[[#This Row],[СФизКритерий]],FALSE))=0,"ошибка",IFERROR(INDIRECT(Критерий[[#This Row],[СФизКритерий]],FALSE),"ошибка")),"ошибка")</f>
        <v>ошибка</v>
      </c>
      <c r="I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6" s="208" t="str">
        <f ca="1">IFERROR(_xlfn.FORMULATEXT(INDIRECT(Критерий[[#This Row],[Скритерий]],FALSE)),"ошибка")</f>
        <v>ошибка</v>
      </c>
      <c r="M76" s="208" t="str">
        <f ca="1">IFERROR(IF(N(INDIRECT(Критерий[[#This Row],[СМинФизКритерий]],FALSE))=0,"ошибка",IFERROR(INDIRECT(Критерий[[#This Row],[СМинФизКритерий]],FALSE),"ошибка")),"ошибка")</f>
        <v>ошибка</v>
      </c>
      <c r="N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6" s="208" t="str">
        <f ca="1">IFERROR(IF(N(INDIRECT(Критерий[[#This Row],[СМаксФизКритерий]],FALSE))=0,"ошибка",IFERROR(INDIRECT(Критерий[[#This Row],[СМаксФизКритерий]],FALSE),"ошибка")),"ошибка")</f>
        <v>ошибка</v>
      </c>
      <c r="P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6" s="208" t="str">
        <f ca="1">IFERROR(IF(N(INDIRECT(Критерий[[#This Row],[ССрФизКритерий]],FALSE))=0,"ошибка",IFERROR(INDIRECT(Критерий[[#This Row],[ССрФизКритерий]],FALSE),"ошибка")),"")</f>
        <v/>
      </c>
      <c r="R7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6" s="212">
        <f ca="1">IFERROR(IF(AND(Критерий[[#This Row],[ВидКритерий]]="Критерий",IFERROR(SEARCH("Приведение",Критерий[[#This Row],[Фкритерий]]),0)&gt;0),1,-1),-1)</f>
        <v>-1</v>
      </c>
      <c r="AG76" s="66">
        <f>IF(AND(Множество[[#This Row],[Y]]=1),ROW()-ROW(Множество[[#Headers],[№]]),"")</f>
        <v>67</v>
      </c>
      <c r="AH76" t="s">
        <v>608</v>
      </c>
      <c r="AI76" s="66">
        <v>1</v>
      </c>
      <c r="AJ76" s="66">
        <f>IF(LEN(Множество[[#This Row],[Свёртка]])&gt;0,1,-1)</f>
        <v>1</v>
      </c>
      <c r="AK76" s="66" t="s">
        <v>1781</v>
      </c>
      <c r="AL76" s="66">
        <f>IF(LEN(Множество[[#This Row],[Критерии]])&gt;0,1,-1)</f>
        <v>1</v>
      </c>
      <c r="AM76" s="66">
        <f>IF(AND(LEN(Множество[[#This Row],[Свёртка]])&gt;0,LEN(Множество[[#This Row],[Критерии]])&gt;0,LEN(Множество[[#This Row],[Оценки]])&gt;0),1,-1)</f>
        <v>1</v>
      </c>
      <c r="AN76">
        <v>3.9</v>
      </c>
      <c r="AO76">
        <v>-14.016666666666699</v>
      </c>
      <c r="AP76" s="208"/>
      <c r="AQ76" s="208"/>
      <c r="AR76" s="226"/>
      <c r="AS76" s="225"/>
      <c r="AT76" s="226"/>
      <c r="AU76" s="225"/>
      <c r="AV76" s="225"/>
      <c r="AW76" s="225"/>
      <c r="AX76" s="225"/>
      <c r="AY76" s="225"/>
    </row>
    <row r="77" spans="2:51" x14ac:dyDescent="0.25">
      <c r="B77" s="209" t="str">
        <f ca="1">IF(AND(Критерий[[#This Row],[Критерий]]&lt;&gt;"",Критерий[[#This Row],[O.K.Критерий]]=1),ROW()-ROW(Критерий[[#Headers],[№]]),"")</f>
        <v/>
      </c>
      <c r="C77" s="84"/>
      <c r="D7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7" s="208" t="str">
        <f ca="1">IFERROR(IF(IFERROR(SEARCH("Прив",Критерий[[#This Row],[Фкритерий]]),0)&gt;0,"Критерий",IF(IFERROR(SEARCH("Матр",Критерий[[#This Row],[Фкритерий]]),0)&gt;0,"ошибка","ошибка")),"ошибка")</f>
        <v>ошибка</v>
      </c>
      <c r="F77" s="224" t="str">
        <f ca="1">IFERROR(IF(LEN((INDIRECT(Критерий[[#This Row],[СНаименование]],FALSE)))=0,"ошибка",IFERROR(INDIRECT(Критерий[[#This Row],[СНаименование]],FALSE),"ошибка")),"ошибка")</f>
        <v>ошибка</v>
      </c>
      <c r="G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7" s="208" t="str">
        <f ca="1">IFERROR(IF(N(INDIRECT(Критерий[[#This Row],[СФизКритерий]],FALSE))=0,"ошибка",IFERROR(INDIRECT(Критерий[[#This Row],[СФизКритерий]],FALSE),"ошибка")),"ошибка")</f>
        <v>ошибка</v>
      </c>
      <c r="I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7" s="208" t="str">
        <f ca="1">IFERROR(_xlfn.FORMULATEXT(INDIRECT(Критерий[[#This Row],[Скритерий]],FALSE)),"ошибка")</f>
        <v>ошибка</v>
      </c>
      <c r="M77" s="208" t="str">
        <f ca="1">IFERROR(IF(N(INDIRECT(Критерий[[#This Row],[СМинФизКритерий]],FALSE))=0,"ошибка",IFERROR(INDIRECT(Критерий[[#This Row],[СМинФизКритерий]],FALSE),"ошибка")),"ошибка")</f>
        <v>ошибка</v>
      </c>
      <c r="N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7" s="208" t="str">
        <f ca="1">IFERROR(IF(N(INDIRECT(Критерий[[#This Row],[СМаксФизКритерий]],FALSE))=0,"ошибка",IFERROR(INDIRECT(Критерий[[#This Row],[СМаксФизКритерий]],FALSE),"ошибка")),"ошибка")</f>
        <v>ошибка</v>
      </c>
      <c r="P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7" s="208" t="str">
        <f ca="1">IFERROR(IF(N(INDIRECT(Критерий[[#This Row],[ССрФизКритерий]],FALSE))=0,"ошибка",IFERROR(INDIRECT(Критерий[[#This Row],[ССрФизКритерий]],FALSE),"ошибка")),"")</f>
        <v/>
      </c>
      <c r="R7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7" s="212">
        <f ca="1">IFERROR(IF(AND(Критерий[[#This Row],[ВидКритерий]]="Критерий",IFERROR(SEARCH("Приведение",Критерий[[#This Row],[Фкритерий]]),0)&gt;0),1,-1),-1)</f>
        <v>-1</v>
      </c>
      <c r="AG77" s="66">
        <f>IF(AND(Множество[[#This Row],[Y]]=1),ROW()-ROW(Множество[[#Headers],[№]]),"")</f>
        <v>68</v>
      </c>
      <c r="AH77" t="s">
        <v>608</v>
      </c>
      <c r="AI77" s="66">
        <v>1</v>
      </c>
      <c r="AJ77" s="66">
        <f>IF(LEN(Множество[[#This Row],[Свёртка]])&gt;0,1,-1)</f>
        <v>1</v>
      </c>
      <c r="AK77" s="66" t="s">
        <v>1781</v>
      </c>
      <c r="AL77" s="66">
        <f>IF(LEN(Множество[[#This Row],[Критерии]])&gt;0,1,-1)</f>
        <v>1</v>
      </c>
      <c r="AM77" s="66">
        <f>IF(AND(LEN(Множество[[#This Row],[Свёртка]])&gt;0,LEN(Множество[[#This Row],[Критерии]])&gt;0,LEN(Множество[[#This Row],[Оценки]])&gt;0),1,-1)</f>
        <v>1</v>
      </c>
      <c r="AN77">
        <v>6.35</v>
      </c>
      <c r="AO77">
        <v>-16.5833333333333</v>
      </c>
      <c r="AP77" s="208"/>
      <c r="AQ77" s="208"/>
      <c r="AR77" s="226"/>
      <c r="AS77" s="225"/>
      <c r="AT77" s="226"/>
      <c r="AU77" s="225"/>
      <c r="AV77" s="225"/>
      <c r="AW77" s="225"/>
      <c r="AX77" s="225"/>
      <c r="AY77" s="225"/>
    </row>
    <row r="78" spans="2:51" x14ac:dyDescent="0.25">
      <c r="B78" s="209" t="str">
        <f ca="1">IF(AND(Критерий[[#This Row],[Критерий]]&lt;&gt;"",Критерий[[#This Row],[O.K.Критерий]]=1),ROW()-ROW(Критерий[[#Headers],[№]]),"")</f>
        <v/>
      </c>
      <c r="C78" s="84"/>
      <c r="D7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8" s="208" t="str">
        <f ca="1">IFERROR(IF(IFERROR(SEARCH("Прив",Критерий[[#This Row],[Фкритерий]]),0)&gt;0,"Критерий",IF(IFERROR(SEARCH("Матр",Критерий[[#This Row],[Фкритерий]]),0)&gt;0,"ошибка","ошибка")),"ошибка")</f>
        <v>ошибка</v>
      </c>
      <c r="F78" s="224" t="str">
        <f ca="1">IFERROR(IF(LEN((INDIRECT(Критерий[[#This Row],[СНаименование]],FALSE)))=0,"ошибка",IFERROR(INDIRECT(Критерий[[#This Row],[СНаименование]],FALSE),"ошибка")),"ошибка")</f>
        <v>ошибка</v>
      </c>
      <c r="G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8" s="208" t="str">
        <f ca="1">IFERROR(IF(N(INDIRECT(Критерий[[#This Row],[СФизКритерий]],FALSE))=0,"ошибка",IFERROR(INDIRECT(Критерий[[#This Row],[СФизКритерий]],FALSE),"ошибка")),"ошибка")</f>
        <v>ошибка</v>
      </c>
      <c r="I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8" s="208" t="str">
        <f ca="1">IFERROR(_xlfn.FORMULATEXT(INDIRECT(Критерий[[#This Row],[Скритерий]],FALSE)),"ошибка")</f>
        <v>ошибка</v>
      </c>
      <c r="M78" s="208" t="str">
        <f ca="1">IFERROR(IF(N(INDIRECT(Критерий[[#This Row],[СМинФизКритерий]],FALSE))=0,"ошибка",IFERROR(INDIRECT(Критерий[[#This Row],[СМинФизКритерий]],FALSE),"ошибка")),"ошибка")</f>
        <v>ошибка</v>
      </c>
      <c r="N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8" s="208" t="str">
        <f ca="1">IFERROR(IF(N(INDIRECT(Критерий[[#This Row],[СМаксФизКритерий]],FALSE))=0,"ошибка",IFERROR(INDIRECT(Критерий[[#This Row],[СМаксФизКритерий]],FALSE),"ошибка")),"ошибка")</f>
        <v>ошибка</v>
      </c>
      <c r="P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8" s="208" t="str">
        <f ca="1">IFERROR(IF(N(INDIRECT(Критерий[[#This Row],[ССрФизКритерий]],FALSE))=0,"ошибка",IFERROR(INDIRECT(Критерий[[#This Row],[ССрФизКритерий]],FALSE),"ошибка")),"")</f>
        <v/>
      </c>
      <c r="R7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8" s="212">
        <f ca="1">IFERROR(IF(AND(Критерий[[#This Row],[ВидКритерий]]="Критерий",IFERROR(SEARCH("Приведение",Критерий[[#This Row],[Фкритерий]]),0)&gt;0),1,-1),-1)</f>
        <v>-1</v>
      </c>
      <c r="AG78" s="66">
        <f>IF(AND(Множество[[#This Row],[Y]]=1),ROW()-ROW(Множество[[#Headers],[№]]),"")</f>
        <v>69</v>
      </c>
      <c r="AH78" t="s">
        <v>608</v>
      </c>
      <c r="AI78" s="66">
        <v>1</v>
      </c>
      <c r="AJ78" s="66">
        <f>IF(LEN(Множество[[#This Row],[Свёртка]])&gt;0,1,-1)</f>
        <v>1</v>
      </c>
      <c r="AK78" s="66" t="s">
        <v>1781</v>
      </c>
      <c r="AL78" s="66">
        <f>IF(LEN(Множество[[#This Row],[Критерии]])&gt;0,1,-1)</f>
        <v>1</v>
      </c>
      <c r="AM78" s="66">
        <f>IF(AND(LEN(Множество[[#This Row],[Свёртка]])&gt;0,LEN(Множество[[#This Row],[Критерии]])&gt;0,LEN(Множество[[#This Row],[Оценки]])&gt;0),1,-1)</f>
        <v>1</v>
      </c>
      <c r="AN78">
        <v>6.4083333333333297</v>
      </c>
      <c r="AO78">
        <v>-16.600000000000001</v>
      </c>
      <c r="AP78" s="208"/>
      <c r="AQ78" s="208"/>
      <c r="AR78" s="226"/>
      <c r="AS78" s="225"/>
      <c r="AT78" s="226"/>
      <c r="AU78" s="225"/>
      <c r="AV78" s="225"/>
      <c r="AW78" s="225"/>
      <c r="AX78" s="225"/>
      <c r="AY78" s="225"/>
    </row>
    <row r="79" spans="2:51" x14ac:dyDescent="0.25">
      <c r="B79" s="209" t="str">
        <f ca="1">IF(AND(Критерий[[#This Row],[Критерий]]&lt;&gt;"",Критерий[[#This Row],[O.K.Критерий]]=1),ROW()-ROW(Критерий[[#Headers],[№]]),"")</f>
        <v/>
      </c>
      <c r="C79" s="84"/>
      <c r="D7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9" s="208" t="str">
        <f ca="1">IFERROR(IF(IFERROR(SEARCH("Прив",Критерий[[#This Row],[Фкритерий]]),0)&gt;0,"Критерий",IF(IFERROR(SEARCH("Матр",Критерий[[#This Row],[Фкритерий]]),0)&gt;0,"ошибка","ошибка")),"ошибка")</f>
        <v>ошибка</v>
      </c>
      <c r="F79" s="224" t="str">
        <f ca="1">IFERROR(IF(LEN((INDIRECT(Критерий[[#This Row],[СНаименование]],FALSE)))=0,"ошибка",IFERROR(INDIRECT(Критерий[[#This Row],[СНаименование]],FALSE),"ошибка")),"ошибка")</f>
        <v>ошибка</v>
      </c>
      <c r="G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9" s="208" t="str">
        <f ca="1">IFERROR(IF(N(INDIRECT(Критерий[[#This Row],[СФизКритерий]],FALSE))=0,"ошибка",IFERROR(INDIRECT(Критерий[[#This Row],[СФизКритерий]],FALSE),"ошибка")),"ошибка")</f>
        <v>ошибка</v>
      </c>
      <c r="I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9" s="208" t="str">
        <f ca="1">IFERROR(_xlfn.FORMULATEXT(INDIRECT(Критерий[[#This Row],[Скритерий]],FALSE)),"ошибка")</f>
        <v>ошибка</v>
      </c>
      <c r="M79" s="208" t="str">
        <f ca="1">IFERROR(IF(N(INDIRECT(Критерий[[#This Row],[СМинФизКритерий]],FALSE))=0,"ошибка",IFERROR(INDIRECT(Критерий[[#This Row],[СМинФизКритерий]],FALSE),"ошибка")),"ошибка")</f>
        <v>ошибка</v>
      </c>
      <c r="N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9" s="208" t="str">
        <f ca="1">IFERROR(IF(N(INDIRECT(Критерий[[#This Row],[СМаксФизКритерий]],FALSE))=0,"ошибка",IFERROR(INDIRECT(Критерий[[#This Row],[СМаксФизКритерий]],FALSE),"ошибка")),"ошибка")</f>
        <v>ошибка</v>
      </c>
      <c r="P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9" s="208" t="str">
        <f ca="1">IFERROR(IF(N(INDIRECT(Критерий[[#This Row],[ССрФизКритерий]],FALSE))=0,"ошибка",IFERROR(INDIRECT(Критерий[[#This Row],[ССрФизКритерий]],FALSE),"ошибка")),"")</f>
        <v/>
      </c>
      <c r="R7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9" s="212">
        <f ca="1">IFERROR(IF(AND(Критерий[[#This Row],[ВидКритерий]]="Критерий",IFERROR(SEARCH("Приведение",Критерий[[#This Row],[Фкритерий]]),0)&gt;0),1,-1),-1)</f>
        <v>-1</v>
      </c>
      <c r="AG79" s="66">
        <f>IF(AND(Множество[[#This Row],[Y]]=1),ROW()-ROW(Множество[[#Headers],[№]]),"")</f>
        <v>70</v>
      </c>
      <c r="AH79" t="s">
        <v>608</v>
      </c>
      <c r="AI79" s="66">
        <v>1</v>
      </c>
      <c r="AJ79" s="66">
        <f>IF(LEN(Множество[[#This Row],[Свёртка]])&gt;0,1,-1)</f>
        <v>1</v>
      </c>
      <c r="AK79" s="66" t="s">
        <v>1781</v>
      </c>
      <c r="AL79" s="66">
        <f>IF(LEN(Множество[[#This Row],[Критерии]])&gt;0,1,-1)</f>
        <v>1</v>
      </c>
      <c r="AM79" s="66">
        <f>IF(AND(LEN(Множество[[#This Row],[Свёртка]])&gt;0,LEN(Множество[[#This Row],[Критерии]])&gt;0,LEN(Множество[[#This Row],[Оценки]])&gt;0),1,-1)</f>
        <v>1</v>
      </c>
      <c r="AN79">
        <v>3.8416666666666699</v>
      </c>
      <c r="AO79">
        <v>-14.05</v>
      </c>
      <c r="AP79" s="208"/>
      <c r="AQ79" s="208"/>
      <c r="AR79" s="226"/>
      <c r="AS79" s="225"/>
      <c r="AT79" s="226"/>
      <c r="AU79" s="225"/>
      <c r="AV79" s="225"/>
      <c r="AW79" s="225"/>
      <c r="AX79" s="225"/>
      <c r="AY79" s="225"/>
    </row>
    <row r="80" spans="2:51" x14ac:dyDescent="0.25">
      <c r="B80" s="209" t="str">
        <f ca="1">IF(AND(Критерий[[#This Row],[Критерий]]&lt;&gt;"",Критерий[[#This Row],[O.K.Критерий]]=1),ROW()-ROW(Критерий[[#Headers],[№]]),"")</f>
        <v/>
      </c>
      <c r="C80" s="84"/>
      <c r="D8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0" s="208" t="str">
        <f ca="1">IFERROR(IF(IFERROR(SEARCH("Прив",Критерий[[#This Row],[Фкритерий]]),0)&gt;0,"Критерий",IF(IFERROR(SEARCH("Матр",Критерий[[#This Row],[Фкритерий]]),0)&gt;0,"ошибка","ошибка")),"ошибка")</f>
        <v>ошибка</v>
      </c>
      <c r="F80" s="224" t="str">
        <f ca="1">IFERROR(IF(LEN((INDIRECT(Критерий[[#This Row],[СНаименование]],FALSE)))=0,"ошибка",IFERROR(INDIRECT(Критерий[[#This Row],[СНаименование]],FALSE),"ошибка")),"ошибка")</f>
        <v>ошибка</v>
      </c>
      <c r="G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0" s="208" t="str">
        <f ca="1">IFERROR(IF(N(INDIRECT(Критерий[[#This Row],[СФизКритерий]],FALSE))=0,"ошибка",IFERROR(INDIRECT(Критерий[[#This Row],[СФизКритерий]],FALSE),"ошибка")),"ошибка")</f>
        <v>ошибка</v>
      </c>
      <c r="I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0" s="208" t="str">
        <f ca="1">IFERROR(_xlfn.FORMULATEXT(INDIRECT(Критерий[[#This Row],[Скритерий]],FALSE)),"ошибка")</f>
        <v>ошибка</v>
      </c>
      <c r="M80" s="208" t="str">
        <f ca="1">IFERROR(IF(N(INDIRECT(Критерий[[#This Row],[СМинФизКритерий]],FALSE))=0,"ошибка",IFERROR(INDIRECT(Критерий[[#This Row],[СМинФизКритерий]],FALSE),"ошибка")),"ошибка")</f>
        <v>ошибка</v>
      </c>
      <c r="N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0" s="208" t="str">
        <f ca="1">IFERROR(IF(N(INDIRECT(Критерий[[#This Row],[СМаксФизКритерий]],FALSE))=0,"ошибка",IFERROR(INDIRECT(Критерий[[#This Row],[СМаксФизКритерий]],FALSE),"ошибка")),"ошибка")</f>
        <v>ошибка</v>
      </c>
      <c r="P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0" s="208" t="str">
        <f ca="1">IFERROR(IF(N(INDIRECT(Критерий[[#This Row],[ССрФизКритерий]],FALSE))=0,"ошибка",IFERROR(INDIRECT(Критерий[[#This Row],[ССрФизКритерий]],FALSE),"ошибка")),"")</f>
        <v/>
      </c>
      <c r="R8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0" s="212">
        <f ca="1">IFERROR(IF(AND(Критерий[[#This Row],[ВидКритерий]]="Критерий",IFERROR(SEARCH("Приведение",Критерий[[#This Row],[Фкритерий]]),0)&gt;0),1,-1),-1)</f>
        <v>-1</v>
      </c>
      <c r="AG80" s="66">
        <f>IF(AND(Множество[[#This Row],[Y]]=1),ROW()-ROW(Множество[[#Headers],[№]]),"")</f>
        <v>71</v>
      </c>
      <c r="AH80" t="s">
        <v>608</v>
      </c>
      <c r="AI80" s="66">
        <v>1</v>
      </c>
      <c r="AJ80" s="66">
        <f>IF(LEN(Множество[[#This Row],[Свёртка]])&gt;0,1,-1)</f>
        <v>1</v>
      </c>
      <c r="AK80" s="66" t="s">
        <v>1781</v>
      </c>
      <c r="AL80" s="66">
        <f>IF(LEN(Множество[[#This Row],[Критерии]])&gt;0,1,-1)</f>
        <v>1</v>
      </c>
      <c r="AM80" s="66">
        <f>IF(AND(LEN(Множество[[#This Row],[Свёртка]])&gt;0,LEN(Множество[[#This Row],[Критерии]])&gt;0,LEN(Множество[[#This Row],[Оценки]])&gt;0),1,-1)</f>
        <v>1</v>
      </c>
      <c r="AN80">
        <v>7.1666666666666696</v>
      </c>
      <c r="AO80">
        <v>-17.466666666666701</v>
      </c>
      <c r="AP80" s="208"/>
      <c r="AQ80" s="208"/>
      <c r="AR80" s="226"/>
      <c r="AS80" s="225"/>
      <c r="AT80" s="226"/>
      <c r="AU80" s="225"/>
      <c r="AV80" s="225"/>
      <c r="AW80" s="225"/>
      <c r="AX80" s="225"/>
      <c r="AY80" s="225"/>
    </row>
    <row r="81" spans="2:51" x14ac:dyDescent="0.25">
      <c r="B81" s="209" t="str">
        <f ca="1">IF(AND(Критерий[[#This Row],[Критерий]]&lt;&gt;"",Критерий[[#This Row],[O.K.Критерий]]=1),ROW()-ROW(Критерий[[#Headers],[№]]),"")</f>
        <v/>
      </c>
      <c r="C81" s="84"/>
      <c r="D8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1" s="208" t="str">
        <f ca="1">IFERROR(IF(IFERROR(SEARCH("Прив",Критерий[[#This Row],[Фкритерий]]),0)&gt;0,"Критерий",IF(IFERROR(SEARCH("Матр",Критерий[[#This Row],[Фкритерий]]),0)&gt;0,"ошибка","ошибка")),"ошибка")</f>
        <v>ошибка</v>
      </c>
      <c r="F81" s="224" t="str">
        <f ca="1">IFERROR(IF(LEN((INDIRECT(Критерий[[#This Row],[СНаименование]],FALSE)))=0,"ошибка",IFERROR(INDIRECT(Критерий[[#This Row],[СНаименование]],FALSE),"ошибка")),"ошибка")</f>
        <v>ошибка</v>
      </c>
      <c r="G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1" s="208" t="str">
        <f ca="1">IFERROR(IF(N(INDIRECT(Критерий[[#This Row],[СФизКритерий]],FALSE))=0,"ошибка",IFERROR(INDIRECT(Критерий[[#This Row],[СФизКритерий]],FALSE),"ошибка")),"ошибка")</f>
        <v>ошибка</v>
      </c>
      <c r="I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1" s="208" t="str">
        <f ca="1">IFERROR(_xlfn.FORMULATEXT(INDIRECT(Критерий[[#This Row],[Скритерий]],FALSE)),"ошибка")</f>
        <v>ошибка</v>
      </c>
      <c r="M81" s="208" t="str">
        <f ca="1">IFERROR(IF(N(INDIRECT(Критерий[[#This Row],[СМинФизКритерий]],FALSE))=0,"ошибка",IFERROR(INDIRECT(Критерий[[#This Row],[СМинФизКритерий]],FALSE),"ошибка")),"ошибка")</f>
        <v>ошибка</v>
      </c>
      <c r="N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1" s="208" t="str">
        <f ca="1">IFERROR(IF(N(INDIRECT(Критерий[[#This Row],[СМаксФизКритерий]],FALSE))=0,"ошибка",IFERROR(INDIRECT(Критерий[[#This Row],[СМаксФизКритерий]],FALSE),"ошибка")),"ошибка")</f>
        <v>ошибка</v>
      </c>
      <c r="P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1" s="208" t="str">
        <f ca="1">IFERROR(IF(N(INDIRECT(Критерий[[#This Row],[ССрФизКритерий]],FALSE))=0,"ошибка",IFERROR(INDIRECT(Критерий[[#This Row],[ССрФизКритерий]],FALSE),"ошибка")),"")</f>
        <v/>
      </c>
      <c r="R8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1" s="212">
        <f ca="1">IFERROR(IF(AND(Критерий[[#This Row],[ВидКритерий]]="Критерий",IFERROR(SEARCH("Приведение",Критерий[[#This Row],[Фкритерий]]),0)&gt;0),1,-1),-1)</f>
        <v>-1</v>
      </c>
      <c r="AG81" s="66">
        <f>IF(AND(Множество[[#This Row],[Y]]=1),ROW()-ROW(Множество[[#Headers],[№]]),"")</f>
        <v>72</v>
      </c>
      <c r="AH81" t="s">
        <v>608</v>
      </c>
      <c r="AI81" s="66">
        <v>1</v>
      </c>
      <c r="AJ81" s="66">
        <f>IF(LEN(Множество[[#This Row],[Свёртка]])&gt;0,1,-1)</f>
        <v>1</v>
      </c>
      <c r="AK81" s="66" t="s">
        <v>1781</v>
      </c>
      <c r="AL81" s="66">
        <f>IF(LEN(Множество[[#This Row],[Критерии]])&gt;0,1,-1)</f>
        <v>1</v>
      </c>
      <c r="AM81" s="66">
        <f>IF(AND(LEN(Множество[[#This Row],[Свёртка]])&gt;0,LEN(Множество[[#This Row],[Критерии]])&gt;0,LEN(Множество[[#This Row],[Оценки]])&gt;0),1,-1)</f>
        <v>1</v>
      </c>
      <c r="AN81">
        <v>7.05</v>
      </c>
      <c r="AO81">
        <v>-17.366666666666699</v>
      </c>
      <c r="AP81" s="208"/>
      <c r="AQ81" s="208"/>
      <c r="AR81" s="226"/>
      <c r="AS81" s="225"/>
      <c r="AT81" s="226"/>
      <c r="AU81" s="225"/>
      <c r="AV81" s="225"/>
      <c r="AW81" s="225"/>
      <c r="AX81" s="225"/>
      <c r="AY81" s="225"/>
    </row>
    <row r="82" spans="2:51" x14ac:dyDescent="0.25">
      <c r="B82" s="209" t="str">
        <f ca="1">IF(AND(Критерий[[#This Row],[Критерий]]&lt;&gt;"",Критерий[[#This Row],[O.K.Критерий]]=1),ROW()-ROW(Критерий[[#Headers],[№]]),"")</f>
        <v/>
      </c>
      <c r="C82" s="84"/>
      <c r="D8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2" s="208" t="str">
        <f ca="1">IFERROR(IF(IFERROR(SEARCH("Прив",Критерий[[#This Row],[Фкритерий]]),0)&gt;0,"Критерий",IF(IFERROR(SEARCH("Матр",Критерий[[#This Row],[Фкритерий]]),0)&gt;0,"ошибка","ошибка")),"ошибка")</f>
        <v>ошибка</v>
      </c>
      <c r="F82" s="224" t="str">
        <f ca="1">IFERROR(IF(LEN((INDIRECT(Критерий[[#This Row],[СНаименование]],FALSE)))=0,"ошибка",IFERROR(INDIRECT(Критерий[[#This Row],[СНаименование]],FALSE),"ошибка")),"ошибка")</f>
        <v>ошибка</v>
      </c>
      <c r="G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2" s="208" t="str">
        <f ca="1">IFERROR(IF(N(INDIRECT(Критерий[[#This Row],[СФизКритерий]],FALSE))=0,"ошибка",IFERROR(INDIRECT(Критерий[[#This Row],[СФизКритерий]],FALSE),"ошибка")),"ошибка")</f>
        <v>ошибка</v>
      </c>
      <c r="I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2" s="208" t="str">
        <f ca="1">IFERROR(_xlfn.FORMULATEXT(INDIRECT(Критерий[[#This Row],[Скритерий]],FALSE)),"ошибка")</f>
        <v>ошибка</v>
      </c>
      <c r="M82" s="208" t="str">
        <f ca="1">IFERROR(IF(N(INDIRECT(Критерий[[#This Row],[СМинФизКритерий]],FALSE))=0,"ошибка",IFERROR(INDIRECT(Критерий[[#This Row],[СМинФизКритерий]],FALSE),"ошибка")),"ошибка")</f>
        <v>ошибка</v>
      </c>
      <c r="N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2" s="208" t="str">
        <f ca="1">IFERROR(IF(N(INDIRECT(Критерий[[#This Row],[СМаксФизКритерий]],FALSE))=0,"ошибка",IFERROR(INDIRECT(Критерий[[#This Row],[СМаксФизКритерий]],FALSE),"ошибка")),"ошибка")</f>
        <v>ошибка</v>
      </c>
      <c r="P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2" s="208" t="str">
        <f ca="1">IFERROR(IF(N(INDIRECT(Критерий[[#This Row],[ССрФизКритерий]],FALSE))=0,"ошибка",IFERROR(INDIRECT(Критерий[[#This Row],[ССрФизКритерий]],FALSE),"ошибка")),"")</f>
        <v/>
      </c>
      <c r="R8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2" s="212">
        <f ca="1">IFERROR(IF(AND(Критерий[[#This Row],[ВидКритерий]]="Критерий",IFERROR(SEARCH("Приведение",Критерий[[#This Row],[Фкритерий]]),0)&gt;0),1,-1),-1)</f>
        <v>-1</v>
      </c>
      <c r="AG82" s="66">
        <f>IF(AND(Множество[[#This Row],[Y]]=1),ROW()-ROW(Множество[[#Headers],[№]]),"")</f>
        <v>73</v>
      </c>
      <c r="AH82" t="s">
        <v>608</v>
      </c>
      <c r="AI82" s="66">
        <v>1</v>
      </c>
      <c r="AJ82" s="66">
        <f>IF(LEN(Множество[[#This Row],[Свёртка]])&gt;0,1,-1)</f>
        <v>1</v>
      </c>
      <c r="AK82" s="66" t="s">
        <v>1781</v>
      </c>
      <c r="AL82" s="66">
        <f>IF(LEN(Множество[[#This Row],[Критерии]])&gt;0,1,-1)</f>
        <v>1</v>
      </c>
      <c r="AM82" s="66">
        <f>IF(AND(LEN(Множество[[#This Row],[Свёртка]])&gt;0,LEN(Множество[[#This Row],[Критерии]])&gt;0,LEN(Множество[[#This Row],[Оценки]])&gt;0),1,-1)</f>
        <v>1</v>
      </c>
      <c r="AN82">
        <v>7.2249999999999996</v>
      </c>
      <c r="AO82">
        <v>-17.5</v>
      </c>
      <c r="AP82" s="208"/>
      <c r="AQ82" s="208"/>
      <c r="AR82" s="226"/>
      <c r="AS82" s="225"/>
      <c r="AT82" s="226"/>
      <c r="AU82" s="225"/>
      <c r="AV82" s="225"/>
      <c r="AW82" s="225"/>
      <c r="AX82" s="225"/>
      <c r="AY82" s="225"/>
    </row>
    <row r="83" spans="2:51" x14ac:dyDescent="0.25">
      <c r="B83" s="209" t="str">
        <f ca="1">IF(AND(Критерий[[#This Row],[Критерий]]&lt;&gt;"",Критерий[[#This Row],[O.K.Критерий]]=1),ROW()-ROW(Критерий[[#Headers],[№]]),"")</f>
        <v/>
      </c>
      <c r="C83" s="84"/>
      <c r="D8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3" s="208" t="str">
        <f ca="1">IFERROR(IF(IFERROR(SEARCH("Прив",Критерий[[#This Row],[Фкритерий]]),0)&gt;0,"Критерий",IF(IFERROR(SEARCH("Матр",Критерий[[#This Row],[Фкритерий]]),0)&gt;0,"ошибка","ошибка")),"ошибка")</f>
        <v>ошибка</v>
      </c>
      <c r="F83" s="224" t="str">
        <f ca="1">IFERROR(IF(LEN((INDIRECT(Критерий[[#This Row],[СНаименование]],FALSE)))=0,"ошибка",IFERROR(INDIRECT(Критерий[[#This Row],[СНаименование]],FALSE),"ошибка")),"ошибка")</f>
        <v>ошибка</v>
      </c>
      <c r="G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3" s="208" t="str">
        <f ca="1">IFERROR(IF(N(INDIRECT(Критерий[[#This Row],[СФизКритерий]],FALSE))=0,"ошибка",IFERROR(INDIRECT(Критерий[[#This Row],[СФизКритерий]],FALSE),"ошибка")),"ошибка")</f>
        <v>ошибка</v>
      </c>
      <c r="I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3" s="208" t="str">
        <f ca="1">IFERROR(_xlfn.FORMULATEXT(INDIRECT(Критерий[[#This Row],[Скритерий]],FALSE)),"ошибка")</f>
        <v>ошибка</v>
      </c>
      <c r="M83" s="208" t="str">
        <f ca="1">IFERROR(IF(N(INDIRECT(Критерий[[#This Row],[СМинФизКритерий]],FALSE))=0,"ошибка",IFERROR(INDIRECT(Критерий[[#This Row],[СМинФизКритерий]],FALSE),"ошибка")),"ошибка")</f>
        <v>ошибка</v>
      </c>
      <c r="N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3" s="208" t="str">
        <f ca="1">IFERROR(IF(N(INDIRECT(Критерий[[#This Row],[СМаксФизКритерий]],FALSE))=0,"ошибка",IFERROR(INDIRECT(Критерий[[#This Row],[СМаксФизКритерий]],FALSE),"ошибка")),"ошибка")</f>
        <v>ошибка</v>
      </c>
      <c r="P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3" s="208" t="str">
        <f ca="1">IFERROR(IF(N(INDIRECT(Критерий[[#This Row],[ССрФизКритерий]],FALSE))=0,"ошибка",IFERROR(INDIRECT(Критерий[[#This Row],[ССрФизКритерий]],FALSE),"ошибка")),"")</f>
        <v/>
      </c>
      <c r="R8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3" s="212">
        <f ca="1">IFERROR(IF(AND(Критерий[[#This Row],[ВидКритерий]]="Критерий",IFERROR(SEARCH("Приведение",Критерий[[#This Row],[Фкритерий]]),0)&gt;0),1,-1),-1)</f>
        <v>-1</v>
      </c>
      <c r="AG83" s="66">
        <f>IF(AND(Множество[[#This Row],[Y]]=1),ROW()-ROW(Множество[[#Headers],[№]]),"")</f>
        <v>74</v>
      </c>
      <c r="AH83" t="s">
        <v>608</v>
      </c>
      <c r="AI83" s="66">
        <v>1</v>
      </c>
      <c r="AJ83" s="66">
        <f>IF(LEN(Множество[[#This Row],[Свёртка]])&gt;0,1,-1)</f>
        <v>1</v>
      </c>
      <c r="AK83" s="66" t="s">
        <v>1781</v>
      </c>
      <c r="AL83" s="66">
        <f>IF(LEN(Множество[[#This Row],[Критерии]])&gt;0,1,-1)</f>
        <v>1</v>
      </c>
      <c r="AM83" s="66">
        <f>IF(AND(LEN(Множество[[#This Row],[Свёртка]])&gt;0,LEN(Множество[[#This Row],[Критерии]])&gt;0,LEN(Множество[[#This Row],[Оценки]])&gt;0),1,-1)</f>
        <v>1</v>
      </c>
      <c r="AN83">
        <v>6.2333333333333298</v>
      </c>
      <c r="AO83">
        <v>-16.566666666666698</v>
      </c>
      <c r="AP83" s="208"/>
      <c r="AQ83" s="208"/>
      <c r="AR83" s="226"/>
      <c r="AS83" s="225"/>
      <c r="AT83" s="226"/>
      <c r="AU83" s="225"/>
      <c r="AV83" s="225"/>
      <c r="AW83" s="225"/>
      <c r="AX83" s="225"/>
      <c r="AY83" s="225"/>
    </row>
    <row r="84" spans="2:51" x14ac:dyDescent="0.25">
      <c r="B84" s="209" t="str">
        <f ca="1">IF(AND(Критерий[[#This Row],[Критерий]]&lt;&gt;"",Критерий[[#This Row],[O.K.Критерий]]=1),ROW()-ROW(Критерий[[#Headers],[№]]),"")</f>
        <v/>
      </c>
      <c r="C84" s="84"/>
      <c r="D8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4" s="208" t="str">
        <f ca="1">IFERROR(IF(IFERROR(SEARCH("Прив",Критерий[[#This Row],[Фкритерий]]),0)&gt;0,"Критерий",IF(IFERROR(SEARCH("Матр",Критерий[[#This Row],[Фкритерий]]),0)&gt;0,"ошибка","ошибка")),"ошибка")</f>
        <v>ошибка</v>
      </c>
      <c r="F84" s="224" t="str">
        <f ca="1">IFERROR(IF(LEN((INDIRECT(Критерий[[#This Row],[СНаименование]],FALSE)))=0,"ошибка",IFERROR(INDIRECT(Критерий[[#This Row],[СНаименование]],FALSE),"ошибка")),"ошибка")</f>
        <v>ошибка</v>
      </c>
      <c r="G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4" s="208" t="str">
        <f ca="1">IFERROR(IF(N(INDIRECT(Критерий[[#This Row],[СФизКритерий]],FALSE))=0,"ошибка",IFERROR(INDIRECT(Критерий[[#This Row],[СФизКритерий]],FALSE),"ошибка")),"ошибка")</f>
        <v>ошибка</v>
      </c>
      <c r="I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4" s="208" t="str">
        <f ca="1">IFERROR(_xlfn.FORMULATEXT(INDIRECT(Критерий[[#This Row],[Скритерий]],FALSE)),"ошибка")</f>
        <v>ошибка</v>
      </c>
      <c r="M84" s="208" t="str">
        <f ca="1">IFERROR(IF(N(INDIRECT(Критерий[[#This Row],[СМинФизКритерий]],FALSE))=0,"ошибка",IFERROR(INDIRECT(Критерий[[#This Row],[СМинФизКритерий]],FALSE),"ошибка")),"ошибка")</f>
        <v>ошибка</v>
      </c>
      <c r="N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4" s="208" t="str">
        <f ca="1">IFERROR(IF(N(INDIRECT(Критерий[[#This Row],[СМаксФизКритерий]],FALSE))=0,"ошибка",IFERROR(INDIRECT(Критерий[[#This Row],[СМаксФизКритерий]],FALSE),"ошибка")),"ошибка")</f>
        <v>ошибка</v>
      </c>
      <c r="P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4" s="208" t="str">
        <f ca="1">IFERROR(IF(N(INDIRECT(Критерий[[#This Row],[ССрФизКритерий]],FALSE))=0,"ошибка",IFERROR(INDIRECT(Критерий[[#This Row],[ССрФизКритерий]],FALSE),"ошибка")),"")</f>
        <v/>
      </c>
      <c r="R8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4" s="212">
        <f ca="1">IFERROR(IF(AND(Критерий[[#This Row],[ВидКритерий]]="Критерий",IFERROR(SEARCH("Приведение",Критерий[[#This Row],[Фкритерий]]),0)&gt;0),1,-1),-1)</f>
        <v>-1</v>
      </c>
      <c r="AG84" s="66">
        <f>IF(AND(Множество[[#This Row],[Y]]=1),ROW()-ROW(Множество[[#Headers],[№]]),"")</f>
        <v>75</v>
      </c>
      <c r="AH84" t="s">
        <v>608</v>
      </c>
      <c r="AI84" s="66">
        <v>1</v>
      </c>
      <c r="AJ84" s="66">
        <f>IF(LEN(Множество[[#This Row],[Свёртка]])&gt;0,1,-1)</f>
        <v>1</v>
      </c>
      <c r="AK84" s="66" t="s">
        <v>1781</v>
      </c>
      <c r="AL84" s="66">
        <f>IF(LEN(Множество[[#This Row],[Критерии]])&gt;0,1,-1)</f>
        <v>1</v>
      </c>
      <c r="AM84" s="66">
        <f>IF(AND(LEN(Множество[[#This Row],[Свёртка]])&gt;0,LEN(Множество[[#This Row],[Критерии]])&gt;0,LEN(Множество[[#This Row],[Оценки]])&gt;0),1,-1)</f>
        <v>1</v>
      </c>
      <c r="AN84">
        <v>6.875</v>
      </c>
      <c r="AO84">
        <v>-17.25</v>
      </c>
      <c r="AP84" s="208"/>
      <c r="AQ84" s="208"/>
      <c r="AR84" s="226"/>
      <c r="AS84" s="225"/>
      <c r="AT84" s="226"/>
      <c r="AU84" s="225"/>
      <c r="AV84" s="225"/>
      <c r="AW84" s="225"/>
      <c r="AX84" s="225"/>
      <c r="AY84" s="225"/>
    </row>
    <row r="85" spans="2:51" x14ac:dyDescent="0.25">
      <c r="B85" s="209" t="str">
        <f ca="1">IF(AND(Критерий[[#This Row],[Критерий]]&lt;&gt;"",Критерий[[#This Row],[O.K.Критерий]]=1),ROW()-ROW(Критерий[[#Headers],[№]]),"")</f>
        <v/>
      </c>
      <c r="C85" s="84"/>
      <c r="D8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5" s="208" t="str">
        <f ca="1">IFERROR(IF(IFERROR(SEARCH("Прив",Критерий[[#This Row],[Фкритерий]]),0)&gt;0,"Критерий",IF(IFERROR(SEARCH("Матр",Критерий[[#This Row],[Фкритерий]]),0)&gt;0,"ошибка","ошибка")),"ошибка")</f>
        <v>ошибка</v>
      </c>
      <c r="F85" s="224" t="str">
        <f ca="1">IFERROR(IF(LEN((INDIRECT(Критерий[[#This Row],[СНаименование]],FALSE)))=0,"ошибка",IFERROR(INDIRECT(Критерий[[#This Row],[СНаименование]],FALSE),"ошибка")),"ошибка")</f>
        <v>ошибка</v>
      </c>
      <c r="G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5" s="208" t="str">
        <f ca="1">IFERROR(IF(N(INDIRECT(Критерий[[#This Row],[СФизКритерий]],FALSE))=0,"ошибка",IFERROR(INDIRECT(Критерий[[#This Row],[СФизКритерий]],FALSE),"ошибка")),"ошибка")</f>
        <v>ошибка</v>
      </c>
      <c r="I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5" s="208" t="str">
        <f ca="1">IFERROR(_xlfn.FORMULATEXT(INDIRECT(Критерий[[#This Row],[Скритерий]],FALSE)),"ошибка")</f>
        <v>ошибка</v>
      </c>
      <c r="M85" s="208" t="str">
        <f ca="1">IFERROR(IF(N(INDIRECT(Критерий[[#This Row],[СМинФизКритерий]],FALSE))=0,"ошибка",IFERROR(INDIRECT(Критерий[[#This Row],[СМинФизКритерий]],FALSE),"ошибка")),"ошибка")</f>
        <v>ошибка</v>
      </c>
      <c r="N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5" s="208" t="str">
        <f ca="1">IFERROR(IF(N(INDIRECT(Критерий[[#This Row],[СМаксФизКритерий]],FALSE))=0,"ошибка",IFERROR(INDIRECT(Критерий[[#This Row],[СМаксФизКритерий]],FALSE),"ошибка")),"ошибка")</f>
        <v>ошибка</v>
      </c>
      <c r="P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5" s="208" t="str">
        <f ca="1">IFERROR(IF(N(INDIRECT(Критерий[[#This Row],[ССрФизКритерий]],FALSE))=0,"ошибка",IFERROR(INDIRECT(Критерий[[#This Row],[ССрФизКритерий]],FALSE),"ошибка")),"")</f>
        <v/>
      </c>
      <c r="R8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5" s="212">
        <f ca="1">IFERROR(IF(AND(Критерий[[#This Row],[ВидКритерий]]="Критерий",IFERROR(SEARCH("Приведение",Критерий[[#This Row],[Фкритерий]]),0)&gt;0),1,-1),-1)</f>
        <v>-1</v>
      </c>
      <c r="AG85" s="66">
        <f>IF(AND(Множество[[#This Row],[Y]]=1),ROW()-ROW(Множество[[#Headers],[№]]),"")</f>
        <v>76</v>
      </c>
      <c r="AH85" t="s">
        <v>608</v>
      </c>
      <c r="AI85" s="66">
        <v>1</v>
      </c>
      <c r="AJ85" s="66">
        <f>IF(LEN(Множество[[#This Row],[Свёртка]])&gt;0,1,-1)</f>
        <v>1</v>
      </c>
      <c r="AK85" s="66" t="s">
        <v>1781</v>
      </c>
      <c r="AL85" s="66">
        <f>IF(LEN(Множество[[#This Row],[Критерии]])&gt;0,1,-1)</f>
        <v>1</v>
      </c>
      <c r="AM85" s="66">
        <f>IF(AND(LEN(Множество[[#This Row],[Свёртка]])&gt;0,LEN(Множество[[#This Row],[Критерии]])&gt;0,LEN(Множество[[#This Row],[Оценки]])&gt;0),1,-1)</f>
        <v>1</v>
      </c>
      <c r="AN85">
        <v>3.7833333333333301</v>
      </c>
      <c r="AO85">
        <v>-14.0666666666667</v>
      </c>
      <c r="AP85" s="208"/>
      <c r="AQ85" s="208"/>
      <c r="AR85" s="226"/>
      <c r="AS85" s="225"/>
      <c r="AT85" s="226"/>
      <c r="AU85" s="225"/>
      <c r="AV85" s="225"/>
      <c r="AW85" s="225"/>
      <c r="AX85" s="225"/>
      <c r="AY85" s="225"/>
    </row>
    <row r="86" spans="2:51" x14ac:dyDescent="0.25">
      <c r="B86" s="209" t="str">
        <f ca="1">IF(AND(Критерий[[#This Row],[Критерий]]&lt;&gt;"",Критерий[[#This Row],[O.K.Критерий]]=1),ROW()-ROW(Критерий[[#Headers],[№]]),"")</f>
        <v/>
      </c>
      <c r="C86" s="84"/>
      <c r="D8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6" s="208" t="str">
        <f ca="1">IFERROR(IF(IFERROR(SEARCH("Прив",Критерий[[#This Row],[Фкритерий]]),0)&gt;0,"Критерий",IF(IFERROR(SEARCH("Матр",Критерий[[#This Row],[Фкритерий]]),0)&gt;0,"ошибка","ошибка")),"ошибка")</f>
        <v>ошибка</v>
      </c>
      <c r="F86" s="224" t="str">
        <f ca="1">IFERROR(IF(LEN((INDIRECT(Критерий[[#This Row],[СНаименование]],FALSE)))=0,"ошибка",IFERROR(INDIRECT(Критерий[[#This Row],[СНаименование]],FALSE),"ошибка")),"ошибка")</f>
        <v>ошибка</v>
      </c>
      <c r="G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6" s="208" t="str">
        <f ca="1">IFERROR(IF(N(INDIRECT(Критерий[[#This Row],[СФизКритерий]],FALSE))=0,"ошибка",IFERROR(INDIRECT(Критерий[[#This Row],[СФизКритерий]],FALSE),"ошибка")),"ошибка")</f>
        <v>ошибка</v>
      </c>
      <c r="I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6" s="208" t="str">
        <f ca="1">IFERROR(_xlfn.FORMULATEXT(INDIRECT(Критерий[[#This Row],[Скритерий]],FALSE)),"ошибка")</f>
        <v>ошибка</v>
      </c>
      <c r="M86" s="208" t="str">
        <f ca="1">IFERROR(IF(N(INDIRECT(Критерий[[#This Row],[СМинФизКритерий]],FALSE))=0,"ошибка",IFERROR(INDIRECT(Критерий[[#This Row],[СМинФизКритерий]],FALSE),"ошибка")),"ошибка")</f>
        <v>ошибка</v>
      </c>
      <c r="N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6" s="208" t="str">
        <f ca="1">IFERROR(IF(N(INDIRECT(Критерий[[#This Row],[СМаксФизКритерий]],FALSE))=0,"ошибка",IFERROR(INDIRECT(Критерий[[#This Row],[СМаксФизКритерий]],FALSE),"ошибка")),"ошибка")</f>
        <v>ошибка</v>
      </c>
      <c r="P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6" s="208" t="str">
        <f ca="1">IFERROR(IF(N(INDIRECT(Критерий[[#This Row],[ССрФизКритерий]],FALSE))=0,"ошибка",IFERROR(INDIRECT(Критерий[[#This Row],[ССрФизКритерий]],FALSE),"ошибка")),"")</f>
        <v/>
      </c>
      <c r="R8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6" s="212">
        <f ca="1">IFERROR(IF(AND(Критерий[[#This Row],[ВидКритерий]]="Критерий",IFERROR(SEARCH("Приведение",Критерий[[#This Row],[Фкритерий]]),0)&gt;0),1,-1),-1)</f>
        <v>-1</v>
      </c>
      <c r="AG86" s="66">
        <f>IF(AND(Множество[[#This Row],[Y]]=1),ROW()-ROW(Множество[[#Headers],[№]]),"")</f>
        <v>77</v>
      </c>
      <c r="AH86" t="s">
        <v>608</v>
      </c>
      <c r="AI86" s="66">
        <v>1</v>
      </c>
      <c r="AJ86" s="66">
        <f>IF(LEN(Множество[[#This Row],[Свёртка]])&gt;0,1,-1)</f>
        <v>1</v>
      </c>
      <c r="AK86" s="66" t="s">
        <v>1781</v>
      </c>
      <c r="AL86" s="66">
        <f>IF(LEN(Множество[[#This Row],[Критерии]])&gt;0,1,-1)</f>
        <v>1</v>
      </c>
      <c r="AM86" s="66">
        <f>IF(AND(LEN(Множество[[#This Row],[Свёртка]])&gt;0,LEN(Множество[[#This Row],[Критерии]])&gt;0,LEN(Множество[[#This Row],[Оценки]])&gt;0),1,-1)</f>
        <v>1</v>
      </c>
      <c r="AN86">
        <v>6.7583333333333302</v>
      </c>
      <c r="AO86">
        <v>-17.149999999999999</v>
      </c>
      <c r="AP86" s="208"/>
      <c r="AQ86" s="208"/>
      <c r="AR86" s="226"/>
      <c r="AS86" s="225"/>
      <c r="AT86" s="226"/>
      <c r="AU86" s="225"/>
      <c r="AV86" s="225"/>
      <c r="AW86" s="225"/>
      <c r="AX86" s="225"/>
      <c r="AY86" s="225"/>
    </row>
    <row r="87" spans="2:51" x14ac:dyDescent="0.25">
      <c r="B87" s="209" t="str">
        <f ca="1">IF(AND(Критерий[[#This Row],[Критерий]]&lt;&gt;"",Критерий[[#This Row],[O.K.Критерий]]=1),ROW()-ROW(Критерий[[#Headers],[№]]),"")</f>
        <v/>
      </c>
      <c r="C87" s="84"/>
      <c r="D8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7" s="208" t="str">
        <f ca="1">IFERROR(IF(IFERROR(SEARCH("Прив",Критерий[[#This Row],[Фкритерий]]),0)&gt;0,"Критерий",IF(IFERROR(SEARCH("Матр",Критерий[[#This Row],[Фкритерий]]),0)&gt;0,"ошибка","ошибка")),"ошибка")</f>
        <v>ошибка</v>
      </c>
      <c r="F87" s="224" t="str">
        <f ca="1">IFERROR(IF(LEN((INDIRECT(Критерий[[#This Row],[СНаименование]],FALSE)))=0,"ошибка",IFERROR(INDIRECT(Критерий[[#This Row],[СНаименование]],FALSE),"ошибка")),"ошибка")</f>
        <v>ошибка</v>
      </c>
      <c r="G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7" s="208" t="str">
        <f ca="1">IFERROR(IF(N(INDIRECT(Критерий[[#This Row],[СФизКритерий]],FALSE))=0,"ошибка",IFERROR(INDIRECT(Критерий[[#This Row],[СФизКритерий]],FALSE),"ошибка")),"ошибка")</f>
        <v>ошибка</v>
      </c>
      <c r="I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7" s="208" t="str">
        <f ca="1">IFERROR(_xlfn.FORMULATEXT(INDIRECT(Критерий[[#This Row],[Скритерий]],FALSE)),"ошибка")</f>
        <v>ошибка</v>
      </c>
      <c r="M87" s="208" t="str">
        <f ca="1">IFERROR(IF(N(INDIRECT(Критерий[[#This Row],[СМинФизКритерий]],FALSE))=0,"ошибка",IFERROR(INDIRECT(Критерий[[#This Row],[СМинФизКритерий]],FALSE),"ошибка")),"ошибка")</f>
        <v>ошибка</v>
      </c>
      <c r="N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7" s="208" t="str">
        <f ca="1">IFERROR(IF(N(INDIRECT(Критерий[[#This Row],[СМаксФизКритерий]],FALSE))=0,"ошибка",IFERROR(INDIRECT(Критерий[[#This Row],[СМаксФизКритерий]],FALSE),"ошибка")),"ошибка")</f>
        <v>ошибка</v>
      </c>
      <c r="P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7" s="208" t="str">
        <f ca="1">IFERROR(IF(N(INDIRECT(Критерий[[#This Row],[ССрФизКритерий]],FALSE))=0,"ошибка",IFERROR(INDIRECT(Критерий[[#This Row],[ССрФизКритерий]],FALSE),"ошибка")),"")</f>
        <v/>
      </c>
      <c r="R8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7" s="212">
        <f ca="1">IFERROR(IF(AND(Критерий[[#This Row],[ВидКритерий]]="Критерий",IFERROR(SEARCH("Приведение",Критерий[[#This Row],[Фкритерий]]),0)&gt;0),1,-1),-1)</f>
        <v>-1</v>
      </c>
      <c r="AG87" s="66">
        <f>IF(AND(Множество[[#This Row],[Y]]=1),ROW()-ROW(Множество[[#Headers],[№]]),"")</f>
        <v>78</v>
      </c>
      <c r="AH87" t="s">
        <v>608</v>
      </c>
      <c r="AI87" s="66">
        <v>1</v>
      </c>
      <c r="AJ87" s="66">
        <f>IF(LEN(Множество[[#This Row],[Свёртка]])&gt;0,1,-1)</f>
        <v>1</v>
      </c>
      <c r="AK87" s="66" t="s">
        <v>1781</v>
      </c>
      <c r="AL87" s="66">
        <f>IF(LEN(Множество[[#This Row],[Критерии]])&gt;0,1,-1)</f>
        <v>1</v>
      </c>
      <c r="AM87" s="66">
        <f>IF(AND(LEN(Множество[[#This Row],[Свёртка]])&gt;0,LEN(Множество[[#This Row],[Критерии]])&gt;0,LEN(Множество[[#This Row],[Оценки]])&gt;0),1,-1)</f>
        <v>1</v>
      </c>
      <c r="AN87">
        <v>6.93333333333333</v>
      </c>
      <c r="AO87">
        <v>-17.283333333333299</v>
      </c>
      <c r="AP87" s="208"/>
      <c r="AQ87" s="208"/>
      <c r="AR87" s="226"/>
      <c r="AS87" s="225"/>
      <c r="AT87" s="226"/>
      <c r="AU87" s="225"/>
      <c r="AV87" s="225"/>
      <c r="AW87" s="225"/>
      <c r="AX87" s="225"/>
      <c r="AY87" s="225"/>
    </row>
    <row r="88" spans="2:51" x14ac:dyDescent="0.25">
      <c r="B88" s="209" t="str">
        <f ca="1">IF(AND(Критерий[[#This Row],[Критерий]]&lt;&gt;"",Критерий[[#This Row],[O.K.Критерий]]=1),ROW()-ROW(Критерий[[#Headers],[№]]),"")</f>
        <v/>
      </c>
      <c r="C88" s="84"/>
      <c r="D8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8" s="208" t="str">
        <f ca="1">IFERROR(IF(IFERROR(SEARCH("Прив",Критерий[[#This Row],[Фкритерий]]),0)&gt;0,"Критерий",IF(IFERROR(SEARCH("Матр",Критерий[[#This Row],[Фкритерий]]),0)&gt;0,"ошибка","ошибка")),"ошибка")</f>
        <v>ошибка</v>
      </c>
      <c r="F88" s="224" t="str">
        <f ca="1">IFERROR(IF(LEN((INDIRECT(Критерий[[#This Row],[СНаименование]],FALSE)))=0,"ошибка",IFERROR(INDIRECT(Критерий[[#This Row],[СНаименование]],FALSE),"ошибка")),"ошибка")</f>
        <v>ошибка</v>
      </c>
      <c r="G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8" s="208" t="str">
        <f ca="1">IFERROR(IF(N(INDIRECT(Критерий[[#This Row],[СФизКритерий]],FALSE))=0,"ошибка",IFERROR(INDIRECT(Критерий[[#This Row],[СФизКритерий]],FALSE),"ошибка")),"ошибка")</f>
        <v>ошибка</v>
      </c>
      <c r="I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8" s="208" t="str">
        <f ca="1">IFERROR(_xlfn.FORMULATEXT(INDIRECT(Критерий[[#This Row],[Скритерий]],FALSE)),"ошибка")</f>
        <v>ошибка</v>
      </c>
      <c r="M88" s="208" t="str">
        <f ca="1">IFERROR(IF(N(INDIRECT(Критерий[[#This Row],[СМинФизКритерий]],FALSE))=0,"ошибка",IFERROR(INDIRECT(Критерий[[#This Row],[СМинФизКритерий]],FALSE),"ошибка")),"ошибка")</f>
        <v>ошибка</v>
      </c>
      <c r="N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8" s="208" t="str">
        <f ca="1">IFERROR(IF(N(INDIRECT(Критерий[[#This Row],[СМаксФизКритерий]],FALSE))=0,"ошибка",IFERROR(INDIRECT(Критерий[[#This Row],[СМаксФизКритерий]],FALSE),"ошибка")),"ошибка")</f>
        <v>ошибка</v>
      </c>
      <c r="P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8" s="208" t="str">
        <f ca="1">IFERROR(IF(N(INDIRECT(Критерий[[#This Row],[ССрФизКритерий]],FALSE))=0,"ошибка",IFERROR(INDIRECT(Критерий[[#This Row],[ССрФизКритерий]],FALSE),"ошибка")),"")</f>
        <v/>
      </c>
      <c r="R8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8" s="212">
        <f ca="1">IFERROR(IF(AND(Критерий[[#This Row],[ВидКритерий]]="Критерий",IFERROR(SEARCH("Приведение",Критерий[[#This Row],[Фкритерий]]),0)&gt;0),1,-1),-1)</f>
        <v>-1</v>
      </c>
      <c r="AG88" s="66">
        <f>IF(AND(Множество[[#This Row],[Y]]=1),ROW()-ROW(Множество[[#Headers],[№]]),"")</f>
        <v>79</v>
      </c>
      <c r="AH88" t="s">
        <v>608</v>
      </c>
      <c r="AI88" s="66">
        <v>1</v>
      </c>
      <c r="AJ88" s="66">
        <f>IF(LEN(Множество[[#This Row],[Свёртка]])&gt;0,1,-1)</f>
        <v>1</v>
      </c>
      <c r="AK88" s="66" t="s">
        <v>1781</v>
      </c>
      <c r="AL88" s="66">
        <f>IF(LEN(Множество[[#This Row],[Критерии]])&gt;0,1,-1)</f>
        <v>1</v>
      </c>
      <c r="AM88" s="66">
        <f>IF(AND(LEN(Множество[[#This Row],[Свёртка]])&gt;0,LEN(Множество[[#This Row],[Критерии]])&gt;0,LEN(Множество[[#This Row],[Оценки]])&gt;0),1,-1)</f>
        <v>1</v>
      </c>
      <c r="AN88">
        <v>3.6666666666666701</v>
      </c>
      <c r="AO88">
        <v>-14.1</v>
      </c>
      <c r="AP88" s="208"/>
      <c r="AQ88" s="208"/>
      <c r="AR88" s="226"/>
      <c r="AS88" s="225"/>
      <c r="AT88" s="226"/>
      <c r="AU88" s="225"/>
      <c r="AV88" s="225"/>
      <c r="AW88" s="225"/>
      <c r="AX88" s="225"/>
      <c r="AY88" s="225"/>
    </row>
    <row r="89" spans="2:51" x14ac:dyDescent="0.25">
      <c r="B89" s="209" t="str">
        <f ca="1">IF(AND(Критерий[[#This Row],[Критерий]]&lt;&gt;"",Критерий[[#This Row],[O.K.Критерий]]=1),ROW()-ROW(Критерий[[#Headers],[№]]),"")</f>
        <v/>
      </c>
      <c r="C89" s="84"/>
      <c r="D8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9" s="208" t="str">
        <f ca="1">IFERROR(IF(IFERROR(SEARCH("Прив",Критерий[[#This Row],[Фкритерий]]),0)&gt;0,"Критерий",IF(IFERROR(SEARCH("Матр",Критерий[[#This Row],[Фкритерий]]),0)&gt;0,"ошибка","ошибка")),"ошибка")</f>
        <v>ошибка</v>
      </c>
      <c r="F89" s="224" t="str">
        <f ca="1">IFERROR(IF(LEN((INDIRECT(Критерий[[#This Row],[СНаименование]],FALSE)))=0,"ошибка",IFERROR(INDIRECT(Критерий[[#This Row],[СНаименование]],FALSE),"ошибка")),"ошибка")</f>
        <v>ошибка</v>
      </c>
      <c r="G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9" s="208" t="str">
        <f ca="1">IFERROR(IF(N(INDIRECT(Критерий[[#This Row],[СФизКритерий]],FALSE))=0,"ошибка",IFERROR(INDIRECT(Критерий[[#This Row],[СФизКритерий]],FALSE),"ошибка")),"ошибка")</f>
        <v>ошибка</v>
      </c>
      <c r="I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9" s="208" t="str">
        <f ca="1">IFERROR(_xlfn.FORMULATEXT(INDIRECT(Критерий[[#This Row],[Скритерий]],FALSE)),"ошибка")</f>
        <v>ошибка</v>
      </c>
      <c r="M89" s="208" t="str">
        <f ca="1">IFERROR(IF(N(INDIRECT(Критерий[[#This Row],[СМинФизКритерий]],FALSE))=0,"ошибка",IFERROR(INDIRECT(Критерий[[#This Row],[СМинФизКритерий]],FALSE),"ошибка")),"ошибка")</f>
        <v>ошибка</v>
      </c>
      <c r="N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9" s="208" t="str">
        <f ca="1">IFERROR(IF(N(INDIRECT(Критерий[[#This Row],[СМаксФизКритерий]],FALSE))=0,"ошибка",IFERROR(INDIRECT(Критерий[[#This Row],[СМаксФизКритерий]],FALSE),"ошибка")),"ошибка")</f>
        <v>ошибка</v>
      </c>
      <c r="P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9" s="208" t="str">
        <f ca="1">IFERROR(IF(N(INDIRECT(Критерий[[#This Row],[ССрФизКритерий]],FALSE))=0,"ошибка",IFERROR(INDIRECT(Критерий[[#This Row],[ССрФизКритерий]],FALSE),"ошибка")),"")</f>
        <v/>
      </c>
      <c r="R8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9" s="212">
        <f ca="1">IFERROR(IF(AND(Критерий[[#This Row],[ВидКритерий]]="Критерий",IFERROR(SEARCH("Приведение",Критерий[[#This Row],[Фкритерий]]),0)&gt;0),1,-1),-1)</f>
        <v>-1</v>
      </c>
      <c r="AG89" s="66">
        <f>IF(AND(Множество[[#This Row],[Y]]=1),ROW()-ROW(Множество[[#Headers],[№]]),"")</f>
        <v>80</v>
      </c>
      <c r="AH89" t="s">
        <v>608</v>
      </c>
      <c r="AI89" s="66">
        <v>1</v>
      </c>
      <c r="AJ89" s="66">
        <f>IF(LEN(Множество[[#This Row],[Свёртка]])&gt;0,1,-1)</f>
        <v>1</v>
      </c>
      <c r="AK89" s="66" t="s">
        <v>1781</v>
      </c>
      <c r="AL89" s="66">
        <f>IF(LEN(Множество[[#This Row],[Критерии]])&gt;0,1,-1)</f>
        <v>1</v>
      </c>
      <c r="AM89" s="66">
        <f>IF(AND(LEN(Множество[[#This Row],[Свёртка]])&gt;0,LEN(Множество[[#This Row],[Критерии]])&gt;0,LEN(Множество[[#This Row],[Оценки]])&gt;0),1,-1)</f>
        <v>1</v>
      </c>
      <c r="AN89">
        <v>3.7250000000000001</v>
      </c>
      <c r="AO89">
        <v>-14.0833333333333</v>
      </c>
      <c r="AP89" s="208"/>
      <c r="AQ89" s="208"/>
      <c r="AR89" s="226"/>
      <c r="AS89" s="225"/>
      <c r="AT89" s="226"/>
      <c r="AU89" s="225"/>
      <c r="AV89" s="225"/>
      <c r="AW89" s="225"/>
      <c r="AX89" s="225"/>
      <c r="AY89" s="225"/>
    </row>
    <row r="90" spans="2:51" x14ac:dyDescent="0.25">
      <c r="B90" s="209" t="str">
        <f ca="1">IF(AND(Критерий[[#This Row],[Критерий]]&lt;&gt;"",Критерий[[#This Row],[O.K.Критерий]]=1),ROW()-ROW(Критерий[[#Headers],[№]]),"")</f>
        <v/>
      </c>
      <c r="C90" s="84"/>
      <c r="D9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0" s="208" t="str">
        <f ca="1">IFERROR(IF(IFERROR(SEARCH("Прив",Критерий[[#This Row],[Фкритерий]]),0)&gt;0,"Критерий",IF(IFERROR(SEARCH("Матр",Критерий[[#This Row],[Фкритерий]]),0)&gt;0,"ошибка","ошибка")),"ошибка")</f>
        <v>ошибка</v>
      </c>
      <c r="F90" s="224" t="str">
        <f ca="1">IFERROR(IF(LEN((INDIRECT(Критерий[[#This Row],[СНаименование]],FALSE)))=0,"ошибка",IFERROR(INDIRECT(Критерий[[#This Row],[СНаименование]],FALSE),"ошибка")),"ошибка")</f>
        <v>ошибка</v>
      </c>
      <c r="G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0" s="208" t="str">
        <f ca="1">IFERROR(IF(N(INDIRECT(Критерий[[#This Row],[СФизКритерий]],FALSE))=0,"ошибка",IFERROR(INDIRECT(Критерий[[#This Row],[СФизКритерий]],FALSE),"ошибка")),"ошибка")</f>
        <v>ошибка</v>
      </c>
      <c r="I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0" s="208" t="str">
        <f ca="1">IFERROR(_xlfn.FORMULATEXT(INDIRECT(Критерий[[#This Row],[Скритерий]],FALSE)),"ошибка")</f>
        <v>ошибка</v>
      </c>
      <c r="M90" s="208" t="str">
        <f ca="1">IFERROR(IF(N(INDIRECT(Критерий[[#This Row],[СМинФизКритерий]],FALSE))=0,"ошибка",IFERROR(INDIRECT(Критерий[[#This Row],[СМинФизКритерий]],FALSE),"ошибка")),"ошибка")</f>
        <v>ошибка</v>
      </c>
      <c r="N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0" s="208" t="str">
        <f ca="1">IFERROR(IF(N(INDIRECT(Критерий[[#This Row],[СМаксФизКритерий]],FALSE))=0,"ошибка",IFERROR(INDIRECT(Критерий[[#This Row],[СМаксФизКритерий]],FALSE),"ошибка")),"ошибка")</f>
        <v>ошибка</v>
      </c>
      <c r="P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0" s="208" t="str">
        <f ca="1">IFERROR(IF(N(INDIRECT(Критерий[[#This Row],[ССрФизКритерий]],FALSE))=0,"ошибка",IFERROR(INDIRECT(Критерий[[#This Row],[ССрФизКритерий]],FALSE),"ошибка")),"")</f>
        <v/>
      </c>
      <c r="R9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0" s="212">
        <f ca="1">IFERROR(IF(AND(Критерий[[#This Row],[ВидКритерий]]="Критерий",IFERROR(SEARCH("Приведение",Критерий[[#This Row],[Фкритерий]]),0)&gt;0),1,-1),-1)</f>
        <v>-1</v>
      </c>
      <c r="AG90" s="66">
        <f>IF(AND(Множество[[#This Row],[Y]]=1),ROW()-ROW(Множество[[#Headers],[№]]),"")</f>
        <v>81</v>
      </c>
      <c r="AH90" t="s">
        <v>608</v>
      </c>
      <c r="AI90" s="66">
        <v>1</v>
      </c>
      <c r="AJ90" s="66">
        <f>IF(LEN(Множество[[#This Row],[Свёртка]])&gt;0,1,-1)</f>
        <v>1</v>
      </c>
      <c r="AK90" s="66" t="s">
        <v>1781</v>
      </c>
      <c r="AL90" s="66">
        <f>IF(LEN(Множество[[#This Row],[Критерии]])&gt;0,1,-1)</f>
        <v>1</v>
      </c>
      <c r="AM90" s="66">
        <f>IF(AND(LEN(Множество[[#This Row],[Свёртка]])&gt;0,LEN(Множество[[#This Row],[Критерии]])&gt;0,LEN(Множество[[#This Row],[Оценки]])&gt;0),1,-1)</f>
        <v>1</v>
      </c>
      <c r="AN90">
        <v>7.1083333333333298</v>
      </c>
      <c r="AO90">
        <v>-17.4166666666667</v>
      </c>
      <c r="AP90" s="208"/>
      <c r="AQ90" s="208"/>
      <c r="AR90" s="226"/>
      <c r="AS90" s="225"/>
      <c r="AT90" s="226"/>
      <c r="AU90" s="225"/>
      <c r="AV90" s="225"/>
      <c r="AW90" s="225"/>
      <c r="AX90" s="225"/>
      <c r="AY90" s="225"/>
    </row>
    <row r="91" spans="2:51" x14ac:dyDescent="0.25">
      <c r="B91" s="209" t="str">
        <f ca="1">IF(AND(Критерий[[#This Row],[Критерий]]&lt;&gt;"",Критерий[[#This Row],[O.K.Критерий]]=1),ROW()-ROW(Критерий[[#Headers],[№]]),"")</f>
        <v/>
      </c>
      <c r="C91" s="84"/>
      <c r="D9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1" s="208" t="str">
        <f ca="1">IFERROR(IF(IFERROR(SEARCH("Прив",Критерий[[#This Row],[Фкритерий]]),0)&gt;0,"Критерий",IF(IFERROR(SEARCH("Матр",Критерий[[#This Row],[Фкритерий]]),0)&gt;0,"ошибка","ошибка")),"ошибка")</f>
        <v>ошибка</v>
      </c>
      <c r="F91" s="224" t="str">
        <f ca="1">IFERROR(IF(LEN((INDIRECT(Критерий[[#This Row],[СНаименование]],FALSE)))=0,"ошибка",IFERROR(INDIRECT(Критерий[[#This Row],[СНаименование]],FALSE),"ошибка")),"ошибка")</f>
        <v>ошибка</v>
      </c>
      <c r="G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1" s="208" t="str">
        <f ca="1">IFERROR(IF(N(INDIRECT(Критерий[[#This Row],[СФизКритерий]],FALSE))=0,"ошибка",IFERROR(INDIRECT(Критерий[[#This Row],[СФизКритерий]],FALSE),"ошибка")),"ошибка")</f>
        <v>ошибка</v>
      </c>
      <c r="I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1" s="208" t="str">
        <f ca="1">IFERROR(_xlfn.FORMULATEXT(INDIRECT(Критерий[[#This Row],[Скритерий]],FALSE)),"ошибка")</f>
        <v>ошибка</v>
      </c>
      <c r="M91" s="208" t="str">
        <f ca="1">IFERROR(IF(N(INDIRECT(Критерий[[#This Row],[СМинФизКритерий]],FALSE))=0,"ошибка",IFERROR(INDIRECT(Критерий[[#This Row],[СМинФизКритерий]],FALSE),"ошибка")),"ошибка")</f>
        <v>ошибка</v>
      </c>
      <c r="N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1" s="208" t="str">
        <f ca="1">IFERROR(IF(N(INDIRECT(Критерий[[#This Row],[СМаксФизКритерий]],FALSE))=0,"ошибка",IFERROR(INDIRECT(Критерий[[#This Row],[СМаксФизКритерий]],FALSE),"ошибка")),"ошибка")</f>
        <v>ошибка</v>
      </c>
      <c r="P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1" s="208" t="str">
        <f ca="1">IFERROR(IF(N(INDIRECT(Критерий[[#This Row],[ССрФизКритерий]],FALSE))=0,"ошибка",IFERROR(INDIRECT(Критерий[[#This Row],[ССрФизКритерий]],FALSE),"ошибка")),"")</f>
        <v/>
      </c>
      <c r="R9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1" s="212">
        <f ca="1">IFERROR(IF(AND(Критерий[[#This Row],[ВидКритерий]]="Критерий",IFERROR(SEARCH("Приведение",Критерий[[#This Row],[Фкритерий]]),0)&gt;0),1,-1),-1)</f>
        <v>-1</v>
      </c>
      <c r="AG91" s="66">
        <f>IF(AND(Множество[[#This Row],[Y]]=1),ROW()-ROW(Множество[[#Headers],[№]]),"")</f>
        <v>82</v>
      </c>
      <c r="AH91" t="s">
        <v>608</v>
      </c>
      <c r="AI91" s="66">
        <v>1</v>
      </c>
      <c r="AJ91" s="66">
        <f>IF(LEN(Множество[[#This Row],[Свёртка]])&gt;0,1,-1)</f>
        <v>1</v>
      </c>
      <c r="AK91" s="66" t="s">
        <v>1781</v>
      </c>
      <c r="AL91" s="66">
        <f>IF(LEN(Множество[[#This Row],[Критерии]])&gt;0,1,-1)</f>
        <v>1</v>
      </c>
      <c r="AM91" s="66">
        <f>IF(AND(LEN(Множество[[#This Row],[Свёртка]])&gt;0,LEN(Множество[[#This Row],[Критерии]])&gt;0,LEN(Множество[[#This Row],[Оценки]])&gt;0),1,-1)</f>
        <v>1</v>
      </c>
      <c r="AN91">
        <v>6.81666666666667</v>
      </c>
      <c r="AO91">
        <v>-17.2</v>
      </c>
      <c r="AP91" s="208"/>
      <c r="AQ91" s="208"/>
      <c r="AR91" s="226"/>
      <c r="AS91" s="225"/>
      <c r="AT91" s="226"/>
      <c r="AU91" s="225"/>
      <c r="AV91" s="225"/>
      <c r="AW91" s="225"/>
      <c r="AX91" s="225"/>
      <c r="AY91" s="225"/>
    </row>
    <row r="92" spans="2:51" x14ac:dyDescent="0.25">
      <c r="B92" s="209" t="str">
        <f ca="1">IF(AND(Критерий[[#This Row],[Критерий]]&lt;&gt;"",Критерий[[#This Row],[O.K.Критерий]]=1),ROW()-ROW(Критерий[[#Headers],[№]]),"")</f>
        <v/>
      </c>
      <c r="C92" s="84"/>
      <c r="D9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2" s="208" t="str">
        <f ca="1">IFERROR(IF(IFERROR(SEARCH("Прив",Критерий[[#This Row],[Фкритерий]]),0)&gt;0,"Критерий",IF(IFERROR(SEARCH("Матр",Критерий[[#This Row],[Фкритерий]]),0)&gt;0,"ошибка","ошибка")),"ошибка")</f>
        <v>ошибка</v>
      </c>
      <c r="F92" s="224" t="str">
        <f ca="1">IFERROR(IF(LEN((INDIRECT(Критерий[[#This Row],[СНаименование]],FALSE)))=0,"ошибка",IFERROR(INDIRECT(Критерий[[#This Row],[СНаименование]],FALSE),"ошибка")),"ошибка")</f>
        <v>ошибка</v>
      </c>
      <c r="G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2" s="208" t="str">
        <f ca="1">IFERROR(IF(N(INDIRECT(Критерий[[#This Row],[СФизКритерий]],FALSE))=0,"ошибка",IFERROR(INDIRECT(Критерий[[#This Row],[СФизКритерий]],FALSE),"ошибка")),"ошибка")</f>
        <v>ошибка</v>
      </c>
      <c r="I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2" s="208" t="str">
        <f ca="1">IFERROR(_xlfn.FORMULATEXT(INDIRECT(Критерий[[#This Row],[Скритерий]],FALSE)),"ошибка")</f>
        <v>ошибка</v>
      </c>
      <c r="M92" s="208" t="str">
        <f ca="1">IFERROR(IF(N(INDIRECT(Критерий[[#This Row],[СМинФизКритерий]],FALSE))=0,"ошибка",IFERROR(INDIRECT(Критерий[[#This Row],[СМинФизКритерий]],FALSE),"ошибка")),"ошибка")</f>
        <v>ошибка</v>
      </c>
      <c r="N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2" s="208" t="str">
        <f ca="1">IFERROR(IF(N(INDIRECT(Критерий[[#This Row],[СМаксФизКритерий]],FALSE))=0,"ошибка",IFERROR(INDIRECT(Критерий[[#This Row],[СМаксФизКритерий]],FALSE),"ошибка")),"ошибка")</f>
        <v>ошибка</v>
      </c>
      <c r="P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2" s="208" t="str">
        <f ca="1">IFERROR(IF(N(INDIRECT(Критерий[[#This Row],[ССрФизКритерий]],FALSE))=0,"ошибка",IFERROR(INDIRECT(Критерий[[#This Row],[ССрФизКритерий]],FALSE),"ошибка")),"")</f>
        <v/>
      </c>
      <c r="R9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2" s="212">
        <f ca="1">IFERROR(IF(AND(Критерий[[#This Row],[ВидКритерий]]="Критерий",IFERROR(SEARCH("Приведение",Критерий[[#This Row],[Фкритерий]]),0)&gt;0),1,-1),-1)</f>
        <v>-1</v>
      </c>
      <c r="AG92" s="66">
        <f>IF(AND(Множество[[#This Row],[Y]]=1),ROW()-ROW(Множество[[#Headers],[№]]),"")</f>
        <v>83</v>
      </c>
      <c r="AH92" t="s">
        <v>608</v>
      </c>
      <c r="AI92" s="66">
        <v>1</v>
      </c>
      <c r="AJ92" s="66">
        <f>IF(LEN(Множество[[#This Row],[Свёртка]])&gt;0,1,-1)</f>
        <v>1</v>
      </c>
      <c r="AK92" s="66" t="s">
        <v>1781</v>
      </c>
      <c r="AL92" s="66">
        <f>IF(LEN(Множество[[#This Row],[Критерии]])&gt;0,1,-1)</f>
        <v>1</v>
      </c>
      <c r="AM92" s="66">
        <f>IF(AND(LEN(Множество[[#This Row],[Свёртка]])&gt;0,LEN(Множество[[#This Row],[Критерии]])&gt;0,LEN(Множество[[#This Row],[Оценки]])&gt;0),1,-1)</f>
        <v>1</v>
      </c>
      <c r="AN92">
        <v>6.9916666666666698</v>
      </c>
      <c r="AO92">
        <v>-17.3333333333333</v>
      </c>
      <c r="AP92" s="208"/>
      <c r="AQ92" s="208"/>
      <c r="AR92" s="226"/>
      <c r="AS92" s="225"/>
      <c r="AT92" s="226"/>
      <c r="AU92" s="225"/>
      <c r="AV92" s="225"/>
      <c r="AW92" s="225"/>
      <c r="AX92" s="225"/>
      <c r="AY92" s="225"/>
    </row>
    <row r="93" spans="2:51" x14ac:dyDescent="0.25">
      <c r="B93" s="209" t="str">
        <f ca="1">IF(AND(Критерий[[#This Row],[Критерий]]&lt;&gt;"",Критерий[[#This Row],[O.K.Критерий]]=1),ROW()-ROW(Критерий[[#Headers],[№]]),"")</f>
        <v/>
      </c>
      <c r="C93" s="84"/>
      <c r="D9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3" s="208" t="str">
        <f ca="1">IFERROR(IF(IFERROR(SEARCH("Прив",Критерий[[#This Row],[Фкритерий]]),0)&gt;0,"Критерий",IF(IFERROR(SEARCH("Матр",Критерий[[#This Row],[Фкритерий]]),0)&gt;0,"ошибка","ошибка")),"ошибка")</f>
        <v>ошибка</v>
      </c>
      <c r="F93" s="224" t="str">
        <f ca="1">IFERROR(IF(LEN((INDIRECT(Критерий[[#This Row],[СНаименование]],FALSE)))=0,"ошибка",IFERROR(INDIRECT(Критерий[[#This Row],[СНаименование]],FALSE),"ошибка")),"ошибка")</f>
        <v>ошибка</v>
      </c>
      <c r="G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3" s="208" t="str">
        <f ca="1">IFERROR(IF(N(INDIRECT(Критерий[[#This Row],[СФизКритерий]],FALSE))=0,"ошибка",IFERROR(INDIRECT(Критерий[[#This Row],[СФизКритерий]],FALSE),"ошибка")),"ошибка")</f>
        <v>ошибка</v>
      </c>
      <c r="I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3" s="208" t="str">
        <f ca="1">IFERROR(_xlfn.FORMULATEXT(INDIRECT(Критерий[[#This Row],[Скритерий]],FALSE)),"ошибка")</f>
        <v>ошибка</v>
      </c>
      <c r="M93" s="208" t="str">
        <f ca="1">IFERROR(IF(N(INDIRECT(Критерий[[#This Row],[СМинФизКритерий]],FALSE))=0,"ошибка",IFERROR(INDIRECT(Критерий[[#This Row],[СМинФизКритерий]],FALSE),"ошибка")),"ошибка")</f>
        <v>ошибка</v>
      </c>
      <c r="N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3" s="208" t="str">
        <f ca="1">IFERROR(IF(N(INDIRECT(Критерий[[#This Row],[СМаксФизКритерий]],FALSE))=0,"ошибка",IFERROR(INDIRECT(Критерий[[#This Row],[СМаксФизКритерий]],FALSE),"ошибка")),"ошибка")</f>
        <v>ошибка</v>
      </c>
      <c r="P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3" s="208" t="str">
        <f ca="1">IFERROR(IF(N(INDIRECT(Критерий[[#This Row],[ССрФизКритерий]],FALSE))=0,"ошибка",IFERROR(INDIRECT(Критерий[[#This Row],[ССрФизКритерий]],FALSE),"ошибка")),"")</f>
        <v/>
      </c>
      <c r="R9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3" s="212">
        <f ca="1">IFERROR(IF(AND(Критерий[[#This Row],[ВидКритерий]]="Критерий",IFERROR(SEARCH("Приведение",Критерий[[#This Row],[Фкритерий]]),0)&gt;0),1,-1),-1)</f>
        <v>-1</v>
      </c>
      <c r="AG93" s="66">
        <f>IF(AND(Множество[[#This Row],[Y]]=1),ROW()-ROW(Множество[[#Headers],[№]]),"")</f>
        <v>84</v>
      </c>
      <c r="AH93" t="s">
        <v>608</v>
      </c>
      <c r="AI93" s="66">
        <v>1</v>
      </c>
      <c r="AJ93" s="66">
        <f>IF(LEN(Множество[[#This Row],[Свёртка]])&gt;0,1,-1)</f>
        <v>1</v>
      </c>
      <c r="AK93" s="66" t="s">
        <v>1781</v>
      </c>
      <c r="AL93" s="66">
        <f>IF(LEN(Множество[[#This Row],[Критерии]])&gt;0,1,-1)</f>
        <v>1</v>
      </c>
      <c r="AM93" s="66">
        <f>IF(AND(LEN(Множество[[#This Row],[Свёртка]])&gt;0,LEN(Множество[[#This Row],[Критерии]])&gt;0,LEN(Множество[[#This Row],[Оценки]])&gt;0),1,-1)</f>
        <v>1</v>
      </c>
      <c r="AN93">
        <v>6.1166666666666698</v>
      </c>
      <c r="AO93">
        <v>-16.533333333333299</v>
      </c>
      <c r="AP93" s="208"/>
      <c r="AQ93" s="208"/>
      <c r="AR93" s="226"/>
      <c r="AS93" s="225"/>
      <c r="AT93" s="226"/>
      <c r="AU93" s="225"/>
      <c r="AV93" s="225"/>
      <c r="AW93" s="225"/>
      <c r="AX93" s="225"/>
      <c r="AY93" s="225"/>
    </row>
    <row r="94" spans="2:51" x14ac:dyDescent="0.25">
      <c r="B94" s="209" t="str">
        <f ca="1">IF(AND(Критерий[[#This Row],[Критерий]]&lt;&gt;"",Критерий[[#This Row],[O.K.Критерий]]=1),ROW()-ROW(Критерий[[#Headers],[№]]),"")</f>
        <v/>
      </c>
      <c r="C94" s="84"/>
      <c r="D9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4" s="208" t="str">
        <f ca="1">IFERROR(IF(IFERROR(SEARCH("Прив",Критерий[[#This Row],[Фкритерий]]),0)&gt;0,"Критерий",IF(IFERROR(SEARCH("Матр",Критерий[[#This Row],[Фкритерий]]),0)&gt;0,"ошибка","ошибка")),"ошибка")</f>
        <v>ошибка</v>
      </c>
      <c r="F94" s="224" t="str">
        <f ca="1">IFERROR(IF(LEN((INDIRECT(Критерий[[#This Row],[СНаименование]],FALSE)))=0,"ошибка",IFERROR(INDIRECT(Критерий[[#This Row],[СНаименование]],FALSE),"ошибка")),"ошибка")</f>
        <v>ошибка</v>
      </c>
      <c r="G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4" s="208" t="str">
        <f ca="1">IFERROR(IF(N(INDIRECT(Критерий[[#This Row],[СФизКритерий]],FALSE))=0,"ошибка",IFERROR(INDIRECT(Критерий[[#This Row],[СФизКритерий]],FALSE),"ошибка")),"ошибка")</f>
        <v>ошибка</v>
      </c>
      <c r="I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4" s="208" t="str">
        <f ca="1">IFERROR(_xlfn.FORMULATEXT(INDIRECT(Критерий[[#This Row],[Скритерий]],FALSE)),"ошибка")</f>
        <v>ошибка</v>
      </c>
      <c r="M94" s="208" t="str">
        <f ca="1">IFERROR(IF(N(INDIRECT(Критерий[[#This Row],[СМинФизКритерий]],FALSE))=0,"ошибка",IFERROR(INDIRECT(Критерий[[#This Row],[СМинФизКритерий]],FALSE),"ошибка")),"ошибка")</f>
        <v>ошибка</v>
      </c>
      <c r="N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4" s="208" t="str">
        <f ca="1">IFERROR(IF(N(INDIRECT(Критерий[[#This Row],[СМаксФизКритерий]],FALSE))=0,"ошибка",IFERROR(INDIRECT(Критерий[[#This Row],[СМаксФизКритерий]],FALSE),"ошибка")),"ошибка")</f>
        <v>ошибка</v>
      </c>
      <c r="P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4" s="208" t="str">
        <f ca="1">IFERROR(IF(N(INDIRECT(Критерий[[#This Row],[ССрФизКритерий]],FALSE))=0,"ошибка",IFERROR(INDIRECT(Критерий[[#This Row],[ССрФизКритерий]],FALSE),"ошибка")),"")</f>
        <v/>
      </c>
      <c r="R9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4" s="212">
        <f ca="1">IFERROR(IF(AND(Критерий[[#This Row],[ВидКритерий]]="Критерий",IFERROR(SEARCH("Приведение",Критерий[[#This Row],[Фкритерий]]),0)&gt;0),1,-1),-1)</f>
        <v>-1</v>
      </c>
      <c r="AG94" s="66">
        <f>IF(AND(Множество[[#This Row],[Y]]=1),ROW()-ROW(Множество[[#Headers],[№]]),"")</f>
        <v>85</v>
      </c>
      <c r="AH94" t="s">
        <v>608</v>
      </c>
      <c r="AI94" s="66">
        <v>1</v>
      </c>
      <c r="AJ94" s="66">
        <f>IF(LEN(Множество[[#This Row],[Свёртка]])&gt;0,1,-1)</f>
        <v>1</v>
      </c>
      <c r="AK94" s="66" t="s">
        <v>1781</v>
      </c>
      <c r="AL94" s="66">
        <f>IF(LEN(Множество[[#This Row],[Критерии]])&gt;0,1,-1)</f>
        <v>1</v>
      </c>
      <c r="AM94" s="66">
        <f>IF(AND(LEN(Множество[[#This Row],[Свёртка]])&gt;0,LEN(Множество[[#This Row],[Критерии]])&gt;0,LEN(Множество[[#This Row],[Оценки]])&gt;0),1,-1)</f>
        <v>1</v>
      </c>
      <c r="AN94">
        <v>6.1749999999999998</v>
      </c>
      <c r="AO94">
        <v>-16.55</v>
      </c>
      <c r="AP94" s="208"/>
      <c r="AQ94" s="208"/>
      <c r="AR94" s="226"/>
      <c r="AS94" s="225"/>
      <c r="AT94" s="226"/>
      <c r="AU94" s="225"/>
      <c r="AV94" s="225"/>
      <c r="AW94" s="225"/>
      <c r="AX94" s="225"/>
      <c r="AY94" s="225"/>
    </row>
    <row r="95" spans="2:51" x14ac:dyDescent="0.25">
      <c r="B95" s="209" t="str">
        <f ca="1">IF(AND(Критерий[[#This Row],[Критерий]]&lt;&gt;"",Критерий[[#This Row],[O.K.Критерий]]=1),ROW()-ROW(Критерий[[#Headers],[№]]),"")</f>
        <v/>
      </c>
      <c r="C95" s="84"/>
      <c r="D9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5" s="208" t="str">
        <f ca="1">IFERROR(IF(IFERROR(SEARCH("Прив",Критерий[[#This Row],[Фкритерий]]),0)&gt;0,"Критерий",IF(IFERROR(SEARCH("Матр",Критерий[[#This Row],[Фкритерий]]),0)&gt;0,"ошибка","ошибка")),"ошибка")</f>
        <v>ошибка</v>
      </c>
      <c r="F95" s="224" t="str">
        <f ca="1">IFERROR(IF(LEN((INDIRECT(Критерий[[#This Row],[СНаименование]],FALSE)))=0,"ошибка",IFERROR(INDIRECT(Критерий[[#This Row],[СНаименование]],FALSE),"ошибка")),"ошибка")</f>
        <v>ошибка</v>
      </c>
      <c r="G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5" s="208" t="str">
        <f ca="1">IFERROR(IF(N(INDIRECT(Критерий[[#This Row],[СФизКритерий]],FALSE))=0,"ошибка",IFERROR(INDIRECT(Критерий[[#This Row],[СФизКритерий]],FALSE),"ошибка")),"ошибка")</f>
        <v>ошибка</v>
      </c>
      <c r="I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5" s="208" t="str">
        <f ca="1">IFERROR(_xlfn.FORMULATEXT(INDIRECT(Критерий[[#This Row],[Скритерий]],FALSE)),"ошибка")</f>
        <v>ошибка</v>
      </c>
      <c r="M95" s="208" t="str">
        <f ca="1">IFERROR(IF(N(INDIRECT(Критерий[[#This Row],[СМинФизКритерий]],FALSE))=0,"ошибка",IFERROR(INDIRECT(Критерий[[#This Row],[СМинФизКритерий]],FALSE),"ошибка")),"ошибка")</f>
        <v>ошибка</v>
      </c>
      <c r="N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5" s="208" t="str">
        <f ca="1">IFERROR(IF(N(INDIRECT(Критерий[[#This Row],[СМаксФизКритерий]],FALSE))=0,"ошибка",IFERROR(INDIRECT(Критерий[[#This Row],[СМаксФизКритерий]],FALSE),"ошибка")),"ошибка")</f>
        <v>ошибка</v>
      </c>
      <c r="P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5" s="208" t="str">
        <f ca="1">IFERROR(IF(N(INDIRECT(Критерий[[#This Row],[ССрФизКритерий]],FALSE))=0,"ошибка",IFERROR(INDIRECT(Критерий[[#This Row],[ССрФизКритерий]],FALSE),"ошибка")),"")</f>
        <v/>
      </c>
      <c r="R9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5" s="212">
        <f ca="1">IFERROR(IF(AND(Критерий[[#This Row],[ВидКритерий]]="Критерий",IFERROR(SEARCH("Приведение",Критерий[[#This Row],[Фкритерий]]),0)&gt;0),1,-1),-1)</f>
        <v>-1</v>
      </c>
      <c r="AG95" s="66">
        <f>IF(AND(Множество[[#This Row],[Y]]=1),ROW()-ROW(Множество[[#Headers],[№]]),"")</f>
        <v>86</v>
      </c>
      <c r="AH95" t="s">
        <v>608</v>
      </c>
      <c r="AI95" s="66">
        <v>1</v>
      </c>
      <c r="AJ95" s="66">
        <f>IF(LEN(Множество[[#This Row],[Свёртка]])&gt;0,1,-1)</f>
        <v>1</v>
      </c>
      <c r="AK95" s="66" t="s">
        <v>1781</v>
      </c>
      <c r="AL95" s="66">
        <f>IF(LEN(Множество[[#This Row],[Критерии]])&gt;0,1,-1)</f>
        <v>1</v>
      </c>
      <c r="AM95" s="66">
        <f>IF(AND(LEN(Множество[[#This Row],[Свёртка]])&gt;0,LEN(Множество[[#This Row],[Критерии]])&gt;0,LEN(Множество[[#This Row],[Оценки]])&gt;0),1,-1)</f>
        <v>1</v>
      </c>
      <c r="AN95">
        <v>5.94166666666667</v>
      </c>
      <c r="AO95">
        <v>-16.5</v>
      </c>
      <c r="AP95" s="208"/>
      <c r="AQ95" s="208"/>
      <c r="AR95" s="226"/>
      <c r="AS95" s="225"/>
      <c r="AT95" s="226"/>
      <c r="AU95" s="225"/>
      <c r="AV95" s="225"/>
      <c r="AW95" s="225"/>
      <c r="AX95" s="225"/>
      <c r="AY95" s="225"/>
    </row>
    <row r="96" spans="2:51" x14ac:dyDescent="0.25">
      <c r="B96" s="209" t="str">
        <f ca="1">IF(AND(Критерий[[#This Row],[Критерий]]&lt;&gt;"",Критерий[[#This Row],[O.K.Критерий]]=1),ROW()-ROW(Критерий[[#Headers],[№]]),"")</f>
        <v/>
      </c>
      <c r="C96" s="84"/>
      <c r="D9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6" s="208" t="str">
        <f ca="1">IFERROR(IF(IFERROR(SEARCH("Прив",Критерий[[#This Row],[Фкритерий]]),0)&gt;0,"Критерий",IF(IFERROR(SEARCH("Матр",Критерий[[#This Row],[Фкритерий]]),0)&gt;0,"ошибка","ошибка")),"ошибка")</f>
        <v>ошибка</v>
      </c>
      <c r="F96" s="224" t="str">
        <f ca="1">IFERROR(IF(LEN((INDIRECT(Критерий[[#This Row],[СНаименование]],FALSE)))=0,"ошибка",IFERROR(INDIRECT(Критерий[[#This Row],[СНаименование]],FALSE),"ошибка")),"ошибка")</f>
        <v>ошибка</v>
      </c>
      <c r="G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6" s="208" t="str">
        <f ca="1">IFERROR(IF(N(INDIRECT(Критерий[[#This Row],[СФизКритерий]],FALSE))=0,"ошибка",IFERROR(INDIRECT(Критерий[[#This Row],[СФизКритерий]],FALSE),"ошибка")),"ошибка")</f>
        <v>ошибка</v>
      </c>
      <c r="I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6" s="208" t="str">
        <f ca="1">IFERROR(_xlfn.FORMULATEXT(INDIRECT(Критерий[[#This Row],[Скритерий]],FALSE)),"ошибка")</f>
        <v>ошибка</v>
      </c>
      <c r="M96" s="208" t="str">
        <f ca="1">IFERROR(IF(N(INDIRECT(Критерий[[#This Row],[СМинФизКритерий]],FALSE))=0,"ошибка",IFERROR(INDIRECT(Критерий[[#This Row],[СМинФизКритерий]],FALSE),"ошибка")),"ошибка")</f>
        <v>ошибка</v>
      </c>
      <c r="N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6" s="208" t="str">
        <f ca="1">IFERROR(IF(N(INDIRECT(Критерий[[#This Row],[СМаксФизКритерий]],FALSE))=0,"ошибка",IFERROR(INDIRECT(Критерий[[#This Row],[СМаксФизКритерий]],FALSE),"ошибка")),"ошибка")</f>
        <v>ошибка</v>
      </c>
      <c r="P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6" s="208" t="str">
        <f ca="1">IFERROR(IF(N(INDIRECT(Критерий[[#This Row],[ССрФизКритерий]],FALSE))=0,"ошибка",IFERROR(INDIRECT(Критерий[[#This Row],[ССрФизКритерий]],FALSE),"ошибка")),"")</f>
        <v/>
      </c>
      <c r="R9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6" s="212">
        <f ca="1">IFERROR(IF(AND(Критерий[[#This Row],[ВидКритерий]]="Критерий",IFERROR(SEARCH("Приведение",Критерий[[#This Row],[Фкритерий]]),0)&gt;0),1,-1),-1)</f>
        <v>-1</v>
      </c>
      <c r="AG96" s="66">
        <f>IF(AND(Множество[[#This Row],[Y]]=1),ROW()-ROW(Множество[[#Headers],[№]]),"")</f>
        <v>87</v>
      </c>
      <c r="AH96" t="s">
        <v>608</v>
      </c>
      <c r="AI96" s="66">
        <v>1</v>
      </c>
      <c r="AJ96" s="66">
        <f>IF(LEN(Множество[[#This Row],[Свёртка]])&gt;0,1,-1)</f>
        <v>1</v>
      </c>
      <c r="AK96" s="66" t="s">
        <v>1781</v>
      </c>
      <c r="AL96" s="66">
        <f>IF(LEN(Множество[[#This Row],[Критерии]])&gt;0,1,-1)</f>
        <v>1</v>
      </c>
      <c r="AM96" s="66">
        <f>IF(AND(LEN(Множество[[#This Row],[Свёртка]])&gt;0,LEN(Множество[[#This Row],[Критерии]])&gt;0,LEN(Множество[[#This Row],[Оценки]])&gt;0),1,-1)</f>
        <v>1</v>
      </c>
      <c r="AN96">
        <v>6</v>
      </c>
      <c r="AO96">
        <v>-16.516666666666701</v>
      </c>
      <c r="AP96" s="208"/>
      <c r="AQ96" s="208"/>
      <c r="AR96" s="226"/>
      <c r="AS96" s="225"/>
      <c r="AT96" s="226"/>
      <c r="AU96" s="225"/>
      <c r="AV96" s="225"/>
      <c r="AW96" s="225"/>
      <c r="AX96" s="225"/>
      <c r="AY96" s="225"/>
    </row>
    <row r="97" spans="2:51" x14ac:dyDescent="0.25">
      <c r="B97" s="209" t="str">
        <f ca="1">IF(AND(Критерий[[#This Row],[Критерий]]&lt;&gt;"",Критерий[[#This Row],[O.K.Критерий]]=1),ROW()-ROW(Критерий[[#Headers],[№]]),"")</f>
        <v/>
      </c>
      <c r="C97" s="84"/>
      <c r="D9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7" s="208" t="str">
        <f ca="1">IFERROR(IF(IFERROR(SEARCH("Прив",Критерий[[#This Row],[Фкритерий]]),0)&gt;0,"Критерий",IF(IFERROR(SEARCH("Матр",Критерий[[#This Row],[Фкритерий]]),0)&gt;0,"ошибка","ошибка")),"ошибка")</f>
        <v>ошибка</v>
      </c>
      <c r="F97" s="224" t="str">
        <f ca="1">IFERROR(IF(LEN((INDIRECT(Критерий[[#This Row],[СНаименование]],FALSE)))=0,"ошибка",IFERROR(INDIRECT(Критерий[[#This Row],[СНаименование]],FALSE),"ошибка")),"ошибка")</f>
        <v>ошибка</v>
      </c>
      <c r="G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7" s="208" t="str">
        <f ca="1">IFERROR(IF(N(INDIRECT(Критерий[[#This Row],[СФизКритерий]],FALSE))=0,"ошибка",IFERROR(INDIRECT(Критерий[[#This Row],[СФизКритерий]],FALSE),"ошибка")),"ошибка")</f>
        <v>ошибка</v>
      </c>
      <c r="I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7" s="208" t="str">
        <f ca="1">IFERROR(_xlfn.FORMULATEXT(INDIRECT(Критерий[[#This Row],[Скритерий]],FALSE)),"ошибка")</f>
        <v>ошибка</v>
      </c>
      <c r="M97" s="208" t="str">
        <f ca="1">IFERROR(IF(N(INDIRECT(Критерий[[#This Row],[СМинФизКритерий]],FALSE))=0,"ошибка",IFERROR(INDIRECT(Критерий[[#This Row],[СМинФизКритерий]],FALSE),"ошибка")),"ошибка")</f>
        <v>ошибка</v>
      </c>
      <c r="N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7" s="208" t="str">
        <f ca="1">IFERROR(IF(N(INDIRECT(Критерий[[#This Row],[СМаксФизКритерий]],FALSE))=0,"ошибка",IFERROR(INDIRECT(Критерий[[#This Row],[СМаксФизКритерий]],FALSE),"ошибка")),"ошибка")</f>
        <v>ошибка</v>
      </c>
      <c r="P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7" s="208" t="str">
        <f ca="1">IFERROR(IF(N(INDIRECT(Критерий[[#This Row],[ССрФизКритерий]],FALSE))=0,"ошибка",IFERROR(INDIRECT(Критерий[[#This Row],[ССрФизКритерий]],FALSE),"ошибка")),"")</f>
        <v/>
      </c>
      <c r="R9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7" s="212">
        <f ca="1">IFERROR(IF(AND(Критерий[[#This Row],[ВидКритерий]]="Критерий",IFERROR(SEARCH("Приведение",Критерий[[#This Row],[Фкритерий]]),0)&gt;0),1,-1),-1)</f>
        <v>-1</v>
      </c>
      <c r="AG97" s="66">
        <f>IF(AND(Множество[[#This Row],[Y]]=1),ROW()-ROW(Множество[[#Headers],[№]]),"")</f>
        <v>88</v>
      </c>
      <c r="AH97" t="s">
        <v>608</v>
      </c>
      <c r="AI97" s="66">
        <v>1</v>
      </c>
      <c r="AJ97" s="66">
        <f>IF(LEN(Множество[[#This Row],[Свёртка]])&gt;0,1,-1)</f>
        <v>1</v>
      </c>
      <c r="AK97" s="66" t="s">
        <v>1781</v>
      </c>
      <c r="AL97" s="66">
        <f>IF(LEN(Множество[[#This Row],[Критерии]])&gt;0,1,-1)</f>
        <v>1</v>
      </c>
      <c r="AM97" s="66">
        <f>IF(AND(LEN(Множество[[#This Row],[Свёртка]])&gt;0,LEN(Множество[[#This Row],[Критерии]])&gt;0,LEN(Множество[[#This Row],[Оценки]])&gt;0),1,-1)</f>
        <v>1</v>
      </c>
      <c r="AN97">
        <v>6.05833333333333</v>
      </c>
      <c r="AO97">
        <v>-16.516666666666701</v>
      </c>
      <c r="AP97" s="208"/>
      <c r="AQ97" s="208"/>
      <c r="AR97" s="226"/>
      <c r="AS97" s="225"/>
      <c r="AT97" s="226"/>
      <c r="AU97" s="225"/>
      <c r="AV97" s="225"/>
      <c r="AW97" s="225"/>
      <c r="AX97" s="225"/>
      <c r="AY97" s="225"/>
    </row>
    <row r="98" spans="2:51" x14ac:dyDescent="0.25">
      <c r="B98" s="209" t="str">
        <f ca="1">IF(AND(Критерий[[#This Row],[Критерий]]&lt;&gt;"",Критерий[[#This Row],[O.K.Критерий]]=1),ROW()-ROW(Критерий[[#Headers],[№]]),"")</f>
        <v/>
      </c>
      <c r="C98" s="84"/>
      <c r="D9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8" s="208" t="str">
        <f ca="1">IFERROR(IF(IFERROR(SEARCH("Прив",Критерий[[#This Row],[Фкритерий]]),0)&gt;0,"Критерий",IF(IFERROR(SEARCH("Матр",Критерий[[#This Row],[Фкритерий]]),0)&gt;0,"ошибка","ошибка")),"ошибка")</f>
        <v>ошибка</v>
      </c>
      <c r="F98" s="224" t="str">
        <f ca="1">IFERROR(IF(LEN((INDIRECT(Критерий[[#This Row],[СНаименование]],FALSE)))=0,"ошибка",IFERROR(INDIRECT(Критерий[[#This Row],[СНаименование]],FALSE),"ошибка")),"ошибка")</f>
        <v>ошибка</v>
      </c>
      <c r="G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8" s="208" t="str">
        <f ca="1">IFERROR(IF(N(INDIRECT(Критерий[[#This Row],[СФизКритерий]],FALSE))=0,"ошибка",IFERROR(INDIRECT(Критерий[[#This Row],[СФизКритерий]],FALSE),"ошибка")),"ошибка")</f>
        <v>ошибка</v>
      </c>
      <c r="I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8" s="208" t="str">
        <f ca="1">IFERROR(_xlfn.FORMULATEXT(INDIRECT(Критерий[[#This Row],[Скритерий]],FALSE)),"ошибка")</f>
        <v>ошибка</v>
      </c>
      <c r="M98" s="208" t="str">
        <f ca="1">IFERROR(IF(N(INDIRECT(Критерий[[#This Row],[СМинФизКритерий]],FALSE))=0,"ошибка",IFERROR(INDIRECT(Критерий[[#This Row],[СМинФизКритерий]],FALSE),"ошибка")),"ошибка")</f>
        <v>ошибка</v>
      </c>
      <c r="N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8" s="208" t="str">
        <f ca="1">IFERROR(IF(N(INDIRECT(Критерий[[#This Row],[СМаксФизКритерий]],FALSE))=0,"ошибка",IFERROR(INDIRECT(Критерий[[#This Row],[СМаксФизКритерий]],FALSE),"ошибка")),"ошибка")</f>
        <v>ошибка</v>
      </c>
      <c r="P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8" s="208" t="str">
        <f ca="1">IFERROR(IF(N(INDIRECT(Критерий[[#This Row],[ССрФизКритерий]],FALSE))=0,"ошибка",IFERROR(INDIRECT(Критерий[[#This Row],[ССрФизКритерий]],FALSE),"ошибка")),"")</f>
        <v/>
      </c>
      <c r="R9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8" s="212">
        <f ca="1">IFERROR(IF(AND(Критерий[[#This Row],[ВидКритерий]]="Критерий",IFERROR(SEARCH("Приведение",Критерий[[#This Row],[Фкритерий]]),0)&gt;0),1,-1),-1)</f>
        <v>-1</v>
      </c>
      <c r="AG98" s="66">
        <f>IF(AND(Множество[[#This Row],[Y]]=1),ROW()-ROW(Множество[[#Headers],[№]]),"")</f>
        <v>89</v>
      </c>
      <c r="AH98" t="s">
        <v>608</v>
      </c>
      <c r="AI98" s="66">
        <v>1</v>
      </c>
      <c r="AJ98" s="66">
        <f>IF(LEN(Множество[[#This Row],[Свёртка]])&gt;0,1,-1)</f>
        <v>1</v>
      </c>
      <c r="AK98" s="66" t="s">
        <v>1781</v>
      </c>
      <c r="AL98" s="66">
        <f>IF(LEN(Множество[[#This Row],[Критерии]])&gt;0,1,-1)</f>
        <v>1</v>
      </c>
      <c r="AM98" s="66">
        <f>IF(AND(LEN(Множество[[#This Row],[Свёртка]])&gt;0,LEN(Множество[[#This Row],[Критерии]])&gt;0,LEN(Множество[[#This Row],[Оценки]])&gt;0),1,-1)</f>
        <v>1</v>
      </c>
      <c r="AN98">
        <v>3.6083333333333298</v>
      </c>
      <c r="AO98">
        <v>-14.133333333333301</v>
      </c>
      <c r="AP98" s="208"/>
      <c r="AQ98" s="208"/>
      <c r="AR98" s="226"/>
      <c r="AS98" s="225"/>
      <c r="AT98" s="226"/>
      <c r="AU98" s="225"/>
      <c r="AV98" s="225"/>
      <c r="AW98" s="225"/>
      <c r="AX98" s="225"/>
      <c r="AY98" s="225"/>
    </row>
    <row r="99" spans="2:51" x14ac:dyDescent="0.25">
      <c r="B99" s="209" t="str">
        <f ca="1">IF(AND(Критерий[[#This Row],[Критерий]]&lt;&gt;"",Критерий[[#This Row],[O.K.Критерий]]=1),ROW()-ROW(Критерий[[#Headers],[№]]),"")</f>
        <v/>
      </c>
      <c r="C99" s="84"/>
      <c r="D9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9" s="208" t="str">
        <f ca="1">IFERROR(IF(IFERROR(SEARCH("Прив",Критерий[[#This Row],[Фкритерий]]),0)&gt;0,"Критерий",IF(IFERROR(SEARCH("Матр",Критерий[[#This Row],[Фкритерий]]),0)&gt;0,"ошибка","ошибка")),"ошибка")</f>
        <v>ошибка</v>
      </c>
      <c r="F99" s="224" t="str">
        <f ca="1">IFERROR(IF(LEN((INDIRECT(Критерий[[#This Row],[СНаименование]],FALSE)))=0,"ошибка",IFERROR(INDIRECT(Критерий[[#This Row],[СНаименование]],FALSE),"ошибка")),"ошибка")</f>
        <v>ошибка</v>
      </c>
      <c r="G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9" s="208" t="str">
        <f ca="1">IFERROR(IF(N(INDIRECT(Критерий[[#This Row],[СФизКритерий]],FALSE))=0,"ошибка",IFERROR(INDIRECT(Критерий[[#This Row],[СФизКритерий]],FALSE),"ошибка")),"ошибка")</f>
        <v>ошибка</v>
      </c>
      <c r="I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9" s="208" t="str">
        <f ca="1">IFERROR(_xlfn.FORMULATEXT(INDIRECT(Критерий[[#This Row],[Скритерий]],FALSE)),"ошибка")</f>
        <v>ошибка</v>
      </c>
      <c r="M99" s="208" t="str">
        <f ca="1">IFERROR(IF(N(INDIRECT(Критерий[[#This Row],[СМинФизКритерий]],FALSE))=0,"ошибка",IFERROR(INDIRECT(Критерий[[#This Row],[СМинФизКритерий]],FALSE),"ошибка")),"ошибка")</f>
        <v>ошибка</v>
      </c>
      <c r="N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9" s="208" t="str">
        <f ca="1">IFERROR(IF(N(INDIRECT(Критерий[[#This Row],[СМаксФизКритерий]],FALSE))=0,"ошибка",IFERROR(INDIRECT(Критерий[[#This Row],[СМаксФизКритерий]],FALSE),"ошибка")),"ошибка")</f>
        <v>ошибка</v>
      </c>
      <c r="P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9" s="208" t="str">
        <f ca="1">IFERROR(IF(N(INDIRECT(Критерий[[#This Row],[ССрФизКритерий]],FALSE))=0,"ошибка",IFERROR(INDIRECT(Критерий[[#This Row],[ССрФизКритерий]],FALSE),"ошибка")),"")</f>
        <v/>
      </c>
      <c r="R9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9" s="212">
        <f ca="1">IFERROR(IF(AND(Критерий[[#This Row],[ВидКритерий]]="Критерий",IFERROR(SEARCH("Приведение",Критерий[[#This Row],[Фкритерий]]),0)&gt;0),1,-1),-1)</f>
        <v>-1</v>
      </c>
      <c r="AG99" s="66">
        <f>IF(AND(Множество[[#This Row],[Y]]=1),ROW()-ROW(Множество[[#Headers],[№]]),"")</f>
        <v>90</v>
      </c>
      <c r="AH99" t="s">
        <v>608</v>
      </c>
      <c r="AI99" s="66">
        <v>1</v>
      </c>
      <c r="AJ99" s="66">
        <f>IF(LEN(Множество[[#This Row],[Свёртка]])&gt;0,1,-1)</f>
        <v>1</v>
      </c>
      <c r="AK99" s="66" t="s">
        <v>1781</v>
      </c>
      <c r="AL99" s="66">
        <f>IF(LEN(Множество[[#This Row],[Критерии]])&gt;0,1,-1)</f>
        <v>1</v>
      </c>
      <c r="AM99" s="66">
        <f>IF(AND(LEN(Множество[[#This Row],[Свёртка]])&gt;0,LEN(Множество[[#This Row],[Критерии]])&gt;0,LEN(Множество[[#This Row],[Оценки]])&gt;0),1,-1)</f>
        <v>1</v>
      </c>
      <c r="AN99">
        <v>3.55</v>
      </c>
      <c r="AO99">
        <v>-14.15</v>
      </c>
      <c r="AP99" s="208"/>
      <c r="AQ99" s="208"/>
      <c r="AR99" s="226"/>
      <c r="AS99" s="225"/>
      <c r="AT99" s="226"/>
      <c r="AU99" s="225"/>
      <c r="AV99" s="225"/>
      <c r="AW99" s="225"/>
      <c r="AX99" s="225"/>
      <c r="AY99" s="225"/>
    </row>
    <row r="100" spans="2:51" x14ac:dyDescent="0.25">
      <c r="B100" s="209" t="str">
        <f ca="1">IF(AND(Критерий[[#This Row],[Критерий]]&lt;&gt;"",Критерий[[#This Row],[O.K.Критерий]]=1),ROW()-ROW(Критерий[[#Headers],[№]]),"")</f>
        <v/>
      </c>
      <c r="C100" s="84"/>
      <c r="D10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0" s="208" t="str">
        <f ca="1">IFERROR(IF(IFERROR(SEARCH("Прив",Критерий[[#This Row],[Фкритерий]]),0)&gt;0,"Критерий",IF(IFERROR(SEARCH("Матр",Критерий[[#This Row],[Фкритерий]]),0)&gt;0,"ошибка","ошибка")),"ошибка")</f>
        <v>ошибка</v>
      </c>
      <c r="F100" s="224" t="str">
        <f ca="1">IFERROR(IF(LEN((INDIRECT(Критерий[[#This Row],[СНаименование]],FALSE)))=0,"ошибка",IFERROR(INDIRECT(Критерий[[#This Row],[СНаименование]],FALSE),"ошибка")),"ошибка")</f>
        <v>ошибка</v>
      </c>
      <c r="G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0" s="208" t="str">
        <f ca="1">IFERROR(IF(N(INDIRECT(Критерий[[#This Row],[СФизКритерий]],FALSE))=0,"ошибка",IFERROR(INDIRECT(Критерий[[#This Row],[СФизКритерий]],FALSE),"ошибка")),"ошибка")</f>
        <v>ошибка</v>
      </c>
      <c r="I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0" s="208" t="str">
        <f ca="1">IFERROR(_xlfn.FORMULATEXT(INDIRECT(Критерий[[#This Row],[Скритерий]],FALSE)),"ошибка")</f>
        <v>ошибка</v>
      </c>
      <c r="M100" s="208" t="str">
        <f ca="1">IFERROR(IF(N(INDIRECT(Критерий[[#This Row],[СМинФизКритерий]],FALSE))=0,"ошибка",IFERROR(INDIRECT(Критерий[[#This Row],[СМинФизКритерий]],FALSE),"ошибка")),"ошибка")</f>
        <v>ошибка</v>
      </c>
      <c r="N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0" s="208" t="str">
        <f ca="1">IFERROR(IF(N(INDIRECT(Критерий[[#This Row],[СМаксФизКритерий]],FALSE))=0,"ошибка",IFERROR(INDIRECT(Критерий[[#This Row],[СМаксФизКритерий]],FALSE),"ошибка")),"ошибка")</f>
        <v>ошибка</v>
      </c>
      <c r="P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0" s="208" t="str">
        <f ca="1">IFERROR(IF(N(INDIRECT(Критерий[[#This Row],[ССрФизКритерий]],FALSE))=0,"ошибка",IFERROR(INDIRECT(Критерий[[#This Row],[ССрФизКритерий]],FALSE),"ошибка")),"")</f>
        <v/>
      </c>
      <c r="R10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0" s="212">
        <f ca="1">IFERROR(IF(AND(Критерий[[#This Row],[ВидКритерий]]="Критерий",IFERROR(SEARCH("Приведение",Критерий[[#This Row],[Фкритерий]]),0)&gt;0),1,-1),-1)</f>
        <v>-1</v>
      </c>
      <c r="AG100" s="66">
        <f>IF(AND(Множество[[#This Row],[Y]]=1),ROW()-ROW(Множество[[#Headers],[№]]),"")</f>
        <v>91</v>
      </c>
      <c r="AH100" t="s">
        <v>608</v>
      </c>
      <c r="AI100" s="66">
        <v>1</v>
      </c>
      <c r="AJ100" s="66">
        <f>IF(LEN(Множество[[#This Row],[Свёртка]])&gt;0,1,-1)</f>
        <v>1</v>
      </c>
      <c r="AK100" s="66" t="s">
        <v>1781</v>
      </c>
      <c r="AL100" s="66">
        <f>IF(LEN(Множество[[#This Row],[Критерии]])&gt;0,1,-1)</f>
        <v>1</v>
      </c>
      <c r="AM100" s="66">
        <f>IF(AND(LEN(Множество[[#This Row],[Свёртка]])&gt;0,LEN(Множество[[#This Row],[Критерии]])&gt;0,LEN(Множество[[#This Row],[Оценки]])&gt;0),1,-1)</f>
        <v>1</v>
      </c>
      <c r="AN100">
        <v>5.8250000000000002</v>
      </c>
      <c r="AO100">
        <v>-16.466666666666701</v>
      </c>
      <c r="AP100" s="208"/>
      <c r="AQ100" s="208"/>
      <c r="AR100" s="226"/>
      <c r="AS100" s="225"/>
      <c r="AT100" s="226"/>
      <c r="AU100" s="225"/>
      <c r="AV100" s="225"/>
      <c r="AW100" s="225"/>
      <c r="AX100" s="225"/>
      <c r="AY100" s="225"/>
    </row>
    <row r="101" spans="2:51" x14ac:dyDescent="0.25">
      <c r="B101" s="209" t="str">
        <f ca="1">IF(AND(Критерий[[#This Row],[Критерий]]&lt;&gt;"",Критерий[[#This Row],[O.K.Критерий]]=1),ROW()-ROW(Критерий[[#Headers],[№]]),"")</f>
        <v/>
      </c>
      <c r="C101" s="84"/>
      <c r="D10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1" s="208" t="str">
        <f ca="1">IFERROR(IF(IFERROR(SEARCH("Прив",Критерий[[#This Row],[Фкритерий]]),0)&gt;0,"Критерий",IF(IFERROR(SEARCH("Матр",Критерий[[#This Row],[Фкритерий]]),0)&gt;0,"ошибка","ошибка")),"ошибка")</f>
        <v>ошибка</v>
      </c>
      <c r="F101" s="224" t="str">
        <f ca="1">IFERROR(IF(LEN((INDIRECT(Критерий[[#This Row],[СНаименование]],FALSE)))=0,"ошибка",IFERROR(INDIRECT(Критерий[[#This Row],[СНаименование]],FALSE),"ошибка")),"ошибка")</f>
        <v>ошибка</v>
      </c>
      <c r="G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1" s="208" t="str">
        <f ca="1">IFERROR(IF(N(INDIRECT(Критерий[[#This Row],[СФизКритерий]],FALSE))=0,"ошибка",IFERROR(INDIRECT(Критерий[[#This Row],[СФизКритерий]],FALSE),"ошибка")),"ошибка")</f>
        <v>ошибка</v>
      </c>
      <c r="I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1" s="208" t="str">
        <f ca="1">IFERROR(_xlfn.FORMULATEXT(INDIRECT(Критерий[[#This Row],[Скритерий]],FALSE)),"ошибка")</f>
        <v>ошибка</v>
      </c>
      <c r="M101" s="208" t="str">
        <f ca="1">IFERROR(IF(N(INDIRECT(Критерий[[#This Row],[СМинФизКритерий]],FALSE))=0,"ошибка",IFERROR(INDIRECT(Критерий[[#This Row],[СМинФизКритерий]],FALSE),"ошибка")),"ошибка")</f>
        <v>ошибка</v>
      </c>
      <c r="N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1" s="208" t="str">
        <f ca="1">IFERROR(IF(N(INDIRECT(Критерий[[#This Row],[СМаксФизКритерий]],FALSE))=0,"ошибка",IFERROR(INDIRECT(Критерий[[#This Row],[СМаксФизКритерий]],FALSE),"ошибка")),"ошибка")</f>
        <v>ошибка</v>
      </c>
      <c r="P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1" s="208" t="str">
        <f ca="1">IFERROR(IF(N(INDIRECT(Критерий[[#This Row],[ССрФизКритерий]],FALSE))=0,"ошибка",IFERROR(INDIRECT(Критерий[[#This Row],[ССрФизКритерий]],FALSE),"ошибка")),"")</f>
        <v/>
      </c>
      <c r="R10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1" s="212">
        <f ca="1">IFERROR(IF(AND(Критерий[[#This Row],[ВидКритерий]]="Критерий",IFERROR(SEARCH("Приведение",Критерий[[#This Row],[Фкритерий]]),0)&gt;0),1,-1),-1)</f>
        <v>-1</v>
      </c>
      <c r="AG101" s="66">
        <f>IF(AND(Множество[[#This Row],[Y]]=1),ROW()-ROW(Множество[[#Headers],[№]]),"")</f>
        <v>92</v>
      </c>
      <c r="AH101" t="s">
        <v>608</v>
      </c>
      <c r="AI101" s="66">
        <v>1</v>
      </c>
      <c r="AJ101" s="66">
        <f>IF(LEN(Множество[[#This Row],[Свёртка]])&gt;0,1,-1)</f>
        <v>1</v>
      </c>
      <c r="AK101" s="66" t="s">
        <v>1781</v>
      </c>
      <c r="AL101" s="66">
        <f>IF(LEN(Множество[[#This Row],[Критерии]])&gt;0,1,-1)</f>
        <v>1</v>
      </c>
      <c r="AM101" s="66">
        <f>IF(AND(LEN(Множество[[#This Row],[Свёртка]])&gt;0,LEN(Множество[[#This Row],[Критерии]])&gt;0,LEN(Множество[[#This Row],[Оценки]])&gt;0),1,-1)</f>
        <v>1</v>
      </c>
      <c r="AN101">
        <v>5.8833333333333302</v>
      </c>
      <c r="AO101">
        <v>-16.483333333333299</v>
      </c>
      <c r="AP101" s="208"/>
      <c r="AQ101" s="208"/>
      <c r="AR101" s="226"/>
      <c r="AS101" s="225"/>
      <c r="AT101" s="226"/>
      <c r="AU101" s="225"/>
      <c r="AV101" s="225"/>
      <c r="AW101" s="225"/>
      <c r="AX101" s="225"/>
      <c r="AY101" s="225"/>
    </row>
    <row r="102" spans="2:51" x14ac:dyDescent="0.25">
      <c r="B102" s="209" t="str">
        <f ca="1">IF(AND(Критерий[[#This Row],[Критерий]]&lt;&gt;"",Критерий[[#This Row],[O.K.Критерий]]=1),ROW()-ROW(Критерий[[#Headers],[№]]),"")</f>
        <v/>
      </c>
      <c r="C102" s="84"/>
      <c r="D10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2" s="208" t="str">
        <f ca="1">IFERROR(IF(IFERROR(SEARCH("Прив",Критерий[[#This Row],[Фкритерий]]),0)&gt;0,"Критерий",IF(IFERROR(SEARCH("Матр",Критерий[[#This Row],[Фкритерий]]),0)&gt;0,"ошибка","ошибка")),"ошибка")</f>
        <v>ошибка</v>
      </c>
      <c r="F102" s="224" t="str">
        <f ca="1">IFERROR(IF(LEN((INDIRECT(Критерий[[#This Row],[СНаименование]],FALSE)))=0,"ошибка",IFERROR(INDIRECT(Критерий[[#This Row],[СНаименование]],FALSE),"ошибка")),"ошибка")</f>
        <v>ошибка</v>
      </c>
      <c r="G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2" s="208" t="str">
        <f ca="1">IFERROR(IF(N(INDIRECT(Критерий[[#This Row],[СФизКритерий]],FALSE))=0,"ошибка",IFERROR(INDIRECT(Критерий[[#This Row],[СФизКритерий]],FALSE),"ошибка")),"ошибка")</f>
        <v>ошибка</v>
      </c>
      <c r="I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2" s="208" t="str">
        <f ca="1">IFERROR(_xlfn.FORMULATEXT(INDIRECT(Критерий[[#This Row],[Скритерий]],FALSE)),"ошибка")</f>
        <v>ошибка</v>
      </c>
      <c r="M102" s="208" t="str">
        <f ca="1">IFERROR(IF(N(INDIRECT(Критерий[[#This Row],[СМинФизКритерий]],FALSE))=0,"ошибка",IFERROR(INDIRECT(Критерий[[#This Row],[СМинФизКритерий]],FALSE),"ошибка")),"ошибка")</f>
        <v>ошибка</v>
      </c>
      <c r="N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2" s="208" t="str">
        <f ca="1">IFERROR(IF(N(INDIRECT(Критерий[[#This Row],[СМаксФизКритерий]],FALSE))=0,"ошибка",IFERROR(INDIRECT(Критерий[[#This Row],[СМаксФизКритерий]],FALSE),"ошибка")),"ошибка")</f>
        <v>ошибка</v>
      </c>
      <c r="P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2" s="208" t="str">
        <f ca="1">IFERROR(IF(N(INDIRECT(Критерий[[#This Row],[ССрФизКритерий]],FALSE))=0,"ошибка",IFERROR(INDIRECT(Критерий[[#This Row],[ССрФизКритерий]],FALSE),"ошибка")),"")</f>
        <v/>
      </c>
      <c r="R10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2" s="212">
        <f ca="1">IFERROR(IF(AND(Критерий[[#This Row],[ВидКритерий]]="Критерий",IFERROR(SEARCH("Приведение",Критерий[[#This Row],[Фкритерий]]),0)&gt;0),1,-1),-1)</f>
        <v>-1</v>
      </c>
      <c r="AG102" s="66">
        <f>IF(AND(Множество[[#This Row],[Y]]=1),ROW()-ROW(Множество[[#Headers],[№]]),"")</f>
        <v>93</v>
      </c>
      <c r="AH102" t="s">
        <v>608</v>
      </c>
      <c r="AI102" s="66">
        <v>1</v>
      </c>
      <c r="AJ102" s="66">
        <f>IF(LEN(Множество[[#This Row],[Свёртка]])&gt;0,1,-1)</f>
        <v>1</v>
      </c>
      <c r="AK102" s="66" t="s">
        <v>1781</v>
      </c>
      <c r="AL102" s="66">
        <f>IF(LEN(Множество[[#This Row],[Критерии]])&gt;0,1,-1)</f>
        <v>1</v>
      </c>
      <c r="AM102" s="66">
        <f>IF(AND(LEN(Множество[[#This Row],[Свёртка]])&gt;0,LEN(Множество[[#This Row],[Критерии]])&gt;0,LEN(Множество[[#This Row],[Оценки]])&gt;0),1,-1)</f>
        <v>1</v>
      </c>
      <c r="AN102">
        <v>5.7083333333333304</v>
      </c>
      <c r="AO102">
        <v>-16.45</v>
      </c>
      <c r="AP102" s="208"/>
      <c r="AQ102" s="208"/>
      <c r="AR102" s="226"/>
      <c r="AS102" s="225"/>
      <c r="AT102" s="226"/>
      <c r="AU102" s="225"/>
      <c r="AV102" s="225"/>
      <c r="AW102" s="225"/>
      <c r="AX102" s="225"/>
      <c r="AY102" s="225"/>
    </row>
    <row r="103" spans="2:51" x14ac:dyDescent="0.25">
      <c r="B103" s="209" t="str">
        <f ca="1">IF(AND(Критерий[[#This Row],[Критерий]]&lt;&gt;"",Критерий[[#This Row],[O.K.Критерий]]=1),ROW()-ROW(Критерий[[#Headers],[№]]),"")</f>
        <v/>
      </c>
      <c r="C103" s="84"/>
      <c r="D10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3" s="208" t="str">
        <f ca="1">IFERROR(IF(IFERROR(SEARCH("Прив",Критерий[[#This Row],[Фкритерий]]),0)&gt;0,"Критерий",IF(IFERROR(SEARCH("Матр",Критерий[[#This Row],[Фкритерий]]),0)&gt;0,"ошибка","ошибка")),"ошибка")</f>
        <v>ошибка</v>
      </c>
      <c r="F103" s="224" t="str">
        <f ca="1">IFERROR(IF(LEN((INDIRECT(Критерий[[#This Row],[СНаименование]],FALSE)))=0,"ошибка",IFERROR(INDIRECT(Критерий[[#This Row],[СНаименование]],FALSE),"ошибка")),"ошибка")</f>
        <v>ошибка</v>
      </c>
      <c r="G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3" s="208" t="str">
        <f ca="1">IFERROR(IF(N(INDIRECT(Критерий[[#This Row],[СФизКритерий]],FALSE))=0,"ошибка",IFERROR(INDIRECT(Критерий[[#This Row],[СФизКритерий]],FALSE),"ошибка")),"ошибка")</f>
        <v>ошибка</v>
      </c>
      <c r="I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3" s="208" t="str">
        <f ca="1">IFERROR(_xlfn.FORMULATEXT(INDIRECT(Критерий[[#This Row],[Скритерий]],FALSE)),"ошибка")</f>
        <v>ошибка</v>
      </c>
      <c r="M103" s="208" t="str">
        <f ca="1">IFERROR(IF(N(INDIRECT(Критерий[[#This Row],[СМинФизКритерий]],FALSE))=0,"ошибка",IFERROR(INDIRECT(Критерий[[#This Row],[СМинФизКритерий]],FALSE),"ошибка")),"ошибка")</f>
        <v>ошибка</v>
      </c>
      <c r="N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3" s="208" t="str">
        <f ca="1">IFERROR(IF(N(INDIRECT(Критерий[[#This Row],[СМаксФизКритерий]],FALSE))=0,"ошибка",IFERROR(INDIRECT(Критерий[[#This Row],[СМаксФизКритерий]],FALSE),"ошибка")),"ошибка")</f>
        <v>ошибка</v>
      </c>
      <c r="P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3" s="208" t="str">
        <f ca="1">IFERROR(IF(N(INDIRECT(Критерий[[#This Row],[ССрФизКритерий]],FALSE))=0,"ошибка",IFERROR(INDIRECT(Критерий[[#This Row],[ССрФизКритерий]],FALSE),"ошибка")),"")</f>
        <v/>
      </c>
      <c r="R10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3" s="212">
        <f ca="1">IFERROR(IF(AND(Критерий[[#This Row],[ВидКритерий]]="Критерий",IFERROR(SEARCH("Приведение",Критерий[[#This Row],[Фкритерий]]),0)&gt;0),1,-1),-1)</f>
        <v>-1</v>
      </c>
      <c r="AG103" s="66">
        <f>IF(AND(Множество[[#This Row],[Y]]=1),ROW()-ROW(Множество[[#Headers],[№]]),"")</f>
        <v>94</v>
      </c>
      <c r="AH103" t="s">
        <v>608</v>
      </c>
      <c r="AI103" s="66">
        <v>1</v>
      </c>
      <c r="AJ103" s="66">
        <f>IF(LEN(Множество[[#This Row],[Свёртка]])&gt;0,1,-1)</f>
        <v>1</v>
      </c>
      <c r="AK103" s="66" t="s">
        <v>1781</v>
      </c>
      <c r="AL103" s="66">
        <f>IF(LEN(Множество[[#This Row],[Критерии]])&gt;0,1,-1)</f>
        <v>1</v>
      </c>
      <c r="AM103" s="66">
        <f>IF(AND(LEN(Множество[[#This Row],[Свёртка]])&gt;0,LEN(Множество[[#This Row],[Критерии]])&gt;0,LEN(Множество[[#This Row],[Оценки]])&gt;0),1,-1)</f>
        <v>1</v>
      </c>
      <c r="AN103">
        <v>3.4916666666666698</v>
      </c>
      <c r="AO103">
        <v>-14.1666666666667</v>
      </c>
      <c r="AP103" s="208"/>
      <c r="AQ103" s="208"/>
      <c r="AR103" s="226"/>
      <c r="AS103" s="225"/>
      <c r="AT103" s="226"/>
      <c r="AU103" s="225"/>
      <c r="AV103" s="225"/>
      <c r="AW103" s="225"/>
      <c r="AX103" s="225"/>
      <c r="AY103" s="225"/>
    </row>
    <row r="104" spans="2:51" x14ac:dyDescent="0.25">
      <c r="B104" s="209" t="str">
        <f ca="1">IF(AND(Критерий[[#This Row],[Критерий]]&lt;&gt;"",Критерий[[#This Row],[O.K.Критерий]]=1),ROW()-ROW(Критерий[[#Headers],[№]]),"")</f>
        <v/>
      </c>
      <c r="C104" s="84"/>
      <c r="D10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4" s="208" t="str">
        <f ca="1">IFERROR(IF(IFERROR(SEARCH("Прив",Критерий[[#This Row],[Фкритерий]]),0)&gt;0,"Критерий",IF(IFERROR(SEARCH("Матр",Критерий[[#This Row],[Фкритерий]]),0)&gt;0,"ошибка","ошибка")),"ошибка")</f>
        <v>ошибка</v>
      </c>
      <c r="F104" s="224" t="str">
        <f ca="1">IFERROR(IF(LEN((INDIRECT(Критерий[[#This Row],[СНаименование]],FALSE)))=0,"ошибка",IFERROR(INDIRECT(Критерий[[#This Row],[СНаименование]],FALSE),"ошибка")),"ошибка")</f>
        <v>ошибка</v>
      </c>
      <c r="G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4" s="208" t="str">
        <f ca="1">IFERROR(IF(N(INDIRECT(Критерий[[#This Row],[СФизКритерий]],FALSE))=0,"ошибка",IFERROR(INDIRECT(Критерий[[#This Row],[СФизКритерий]],FALSE),"ошибка")),"ошибка")</f>
        <v>ошибка</v>
      </c>
      <c r="I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4" s="208" t="str">
        <f ca="1">IFERROR(_xlfn.FORMULATEXT(INDIRECT(Критерий[[#This Row],[Скритерий]],FALSE)),"ошибка")</f>
        <v>ошибка</v>
      </c>
      <c r="M104" s="208" t="str">
        <f ca="1">IFERROR(IF(N(INDIRECT(Критерий[[#This Row],[СМинФизКритерий]],FALSE))=0,"ошибка",IFERROR(INDIRECT(Критерий[[#This Row],[СМинФизКритерий]],FALSE),"ошибка")),"ошибка")</f>
        <v>ошибка</v>
      </c>
      <c r="N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4" s="208" t="str">
        <f ca="1">IFERROR(IF(N(INDIRECT(Критерий[[#This Row],[СМаксФизКритерий]],FALSE))=0,"ошибка",IFERROR(INDIRECT(Критерий[[#This Row],[СМаксФизКритерий]],FALSE),"ошибка")),"ошибка")</f>
        <v>ошибка</v>
      </c>
      <c r="P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4" s="208" t="str">
        <f ca="1">IFERROR(IF(N(INDIRECT(Критерий[[#This Row],[ССрФизКритерий]],FALSE))=0,"ошибка",IFERROR(INDIRECT(Критерий[[#This Row],[ССрФизКритерий]],FALSE),"ошибка")),"")</f>
        <v/>
      </c>
      <c r="R10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4" s="212">
        <f ca="1">IFERROR(IF(AND(Критерий[[#This Row],[ВидКритерий]]="Критерий",IFERROR(SEARCH("Приведение",Критерий[[#This Row],[Фкритерий]]),0)&gt;0),1,-1),-1)</f>
        <v>-1</v>
      </c>
      <c r="AG104" s="66">
        <f>IF(AND(Множество[[#This Row],[Y]]=1),ROW()-ROW(Множество[[#Headers],[№]]),"")</f>
        <v>95</v>
      </c>
      <c r="AH104" t="s">
        <v>608</v>
      </c>
      <c r="AI104" s="66">
        <v>1</v>
      </c>
      <c r="AJ104" s="66">
        <f>IF(LEN(Множество[[#This Row],[Свёртка]])&gt;0,1,-1)</f>
        <v>1</v>
      </c>
      <c r="AK104" s="66" t="s">
        <v>1781</v>
      </c>
      <c r="AL104" s="66">
        <f>IF(LEN(Множество[[#This Row],[Критерии]])&gt;0,1,-1)</f>
        <v>1</v>
      </c>
      <c r="AM104" s="66">
        <f>IF(AND(LEN(Множество[[#This Row],[Свёртка]])&gt;0,LEN(Множество[[#This Row],[Критерии]])&gt;0,LEN(Множество[[#This Row],[Оценки]])&gt;0),1,-1)</f>
        <v>1</v>
      </c>
      <c r="AN104">
        <v>3.43333333333333</v>
      </c>
      <c r="AO104">
        <v>-14.2</v>
      </c>
      <c r="AP104" s="208"/>
      <c r="AQ104" s="208"/>
      <c r="AR104" s="226"/>
      <c r="AS104" s="225"/>
      <c r="AT104" s="226"/>
      <c r="AU104" s="225"/>
      <c r="AV104" s="225"/>
      <c r="AW104" s="225"/>
      <c r="AX104" s="225"/>
      <c r="AY104" s="225"/>
    </row>
    <row r="105" spans="2:51" x14ac:dyDescent="0.25">
      <c r="B105" s="209" t="str">
        <f ca="1">IF(AND(Критерий[[#This Row],[Критерий]]&lt;&gt;"",Критерий[[#This Row],[O.K.Критерий]]=1),ROW()-ROW(Критерий[[#Headers],[№]]),"")</f>
        <v/>
      </c>
      <c r="C105" s="84"/>
      <c r="D10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5" s="208" t="str">
        <f ca="1">IFERROR(IF(IFERROR(SEARCH("Прив",Критерий[[#This Row],[Фкритерий]]),0)&gt;0,"Критерий",IF(IFERROR(SEARCH("Матр",Критерий[[#This Row],[Фкритерий]]),0)&gt;0,"ошибка","ошибка")),"ошибка")</f>
        <v>ошибка</v>
      </c>
      <c r="F105" s="224" t="str">
        <f ca="1">IFERROR(IF(LEN((INDIRECT(Критерий[[#This Row],[СНаименование]],FALSE)))=0,"ошибка",IFERROR(INDIRECT(Критерий[[#This Row],[СНаименование]],FALSE),"ошибка")),"ошибка")</f>
        <v>ошибка</v>
      </c>
      <c r="G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5" s="208" t="str">
        <f ca="1">IFERROR(IF(N(INDIRECT(Критерий[[#This Row],[СФизКритерий]],FALSE))=0,"ошибка",IFERROR(INDIRECT(Критерий[[#This Row],[СФизКритерий]],FALSE),"ошибка")),"ошибка")</f>
        <v>ошибка</v>
      </c>
      <c r="I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5" s="208" t="str">
        <f ca="1">IFERROR(_xlfn.FORMULATEXT(INDIRECT(Критерий[[#This Row],[Скритерий]],FALSE)),"ошибка")</f>
        <v>ошибка</v>
      </c>
      <c r="M105" s="208" t="str">
        <f ca="1">IFERROR(IF(N(INDIRECT(Критерий[[#This Row],[СМинФизКритерий]],FALSE))=0,"ошибка",IFERROR(INDIRECT(Критерий[[#This Row],[СМинФизКритерий]],FALSE),"ошибка")),"ошибка")</f>
        <v>ошибка</v>
      </c>
      <c r="N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5" s="208" t="str">
        <f ca="1">IFERROR(IF(N(INDIRECT(Критерий[[#This Row],[СМаксФизКритерий]],FALSE))=0,"ошибка",IFERROR(INDIRECT(Критерий[[#This Row],[СМаксФизКритерий]],FALSE),"ошибка")),"ошибка")</f>
        <v>ошибка</v>
      </c>
      <c r="P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5" s="208" t="str">
        <f ca="1">IFERROR(IF(N(INDIRECT(Критерий[[#This Row],[ССрФизКритерий]],FALSE))=0,"ошибка",IFERROR(INDIRECT(Критерий[[#This Row],[ССрФизКритерий]],FALSE),"ошибка")),"")</f>
        <v/>
      </c>
      <c r="R10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5" s="212">
        <f ca="1">IFERROR(IF(AND(Критерий[[#This Row],[ВидКритерий]]="Критерий",IFERROR(SEARCH("Приведение",Критерий[[#This Row],[Фкритерий]]),0)&gt;0),1,-1),-1)</f>
        <v>-1</v>
      </c>
      <c r="AG105" s="66">
        <f>IF(AND(Множество[[#This Row],[Y]]=1),ROW()-ROW(Множество[[#Headers],[№]]),"")</f>
        <v>96</v>
      </c>
      <c r="AH105" t="s">
        <v>608</v>
      </c>
      <c r="AI105" s="66">
        <v>1</v>
      </c>
      <c r="AJ105" s="66">
        <f>IF(LEN(Множество[[#This Row],[Свёртка]])&gt;0,1,-1)</f>
        <v>1</v>
      </c>
      <c r="AK105" s="66" t="s">
        <v>1781</v>
      </c>
      <c r="AL105" s="66">
        <f>IF(LEN(Множество[[#This Row],[Критерии]])&gt;0,1,-1)</f>
        <v>1</v>
      </c>
      <c r="AM105" s="66">
        <f>IF(AND(LEN(Множество[[#This Row],[Свёртка]])&gt;0,LEN(Множество[[#This Row],[Критерии]])&gt;0,LEN(Множество[[#This Row],[Оценки]])&gt;0),1,-1)</f>
        <v>1</v>
      </c>
      <c r="AN105">
        <v>5.5333333333333297</v>
      </c>
      <c r="AO105">
        <v>-16.399999999999999</v>
      </c>
      <c r="AP105" s="208"/>
      <c r="AQ105" s="208"/>
      <c r="AR105" s="226"/>
      <c r="AS105" s="225"/>
      <c r="AT105" s="226"/>
      <c r="AU105" s="225"/>
      <c r="AV105" s="225"/>
      <c r="AW105" s="225"/>
      <c r="AX105" s="225"/>
      <c r="AY105" s="225"/>
    </row>
    <row r="106" spans="2:51" x14ac:dyDescent="0.25">
      <c r="B106" s="209" t="str">
        <f ca="1">IF(AND(Критерий[[#This Row],[Критерий]]&lt;&gt;"",Критерий[[#This Row],[O.K.Критерий]]=1),ROW()-ROW(Критерий[[#Headers],[№]]),"")</f>
        <v/>
      </c>
      <c r="C106" s="84"/>
      <c r="D10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6" s="208" t="str">
        <f ca="1">IFERROR(IF(IFERROR(SEARCH("Прив",Критерий[[#This Row],[Фкритерий]]),0)&gt;0,"Критерий",IF(IFERROR(SEARCH("Матр",Критерий[[#This Row],[Фкритерий]]),0)&gt;0,"ошибка","ошибка")),"ошибка")</f>
        <v>ошибка</v>
      </c>
      <c r="F106" s="224" t="str">
        <f ca="1">IFERROR(IF(LEN((INDIRECT(Критерий[[#This Row],[СНаименование]],FALSE)))=0,"ошибка",IFERROR(INDIRECT(Критерий[[#This Row],[СНаименование]],FALSE),"ошибка")),"ошибка")</f>
        <v>ошибка</v>
      </c>
      <c r="G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6" s="208" t="str">
        <f ca="1">IFERROR(IF(N(INDIRECT(Критерий[[#This Row],[СФизКритерий]],FALSE))=0,"ошибка",IFERROR(INDIRECT(Критерий[[#This Row],[СФизКритерий]],FALSE),"ошибка")),"ошибка")</f>
        <v>ошибка</v>
      </c>
      <c r="I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6" s="208" t="str">
        <f ca="1">IFERROR(_xlfn.FORMULATEXT(INDIRECT(Критерий[[#This Row],[Скритерий]],FALSE)),"ошибка")</f>
        <v>ошибка</v>
      </c>
      <c r="M106" s="208" t="str">
        <f ca="1">IFERROR(IF(N(INDIRECT(Критерий[[#This Row],[СМинФизКритерий]],FALSE))=0,"ошибка",IFERROR(INDIRECT(Критерий[[#This Row],[СМинФизКритерий]],FALSE),"ошибка")),"ошибка")</f>
        <v>ошибка</v>
      </c>
      <c r="N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6" s="208" t="str">
        <f ca="1">IFERROR(IF(N(INDIRECT(Критерий[[#This Row],[СМаксФизКритерий]],FALSE))=0,"ошибка",IFERROR(INDIRECT(Критерий[[#This Row],[СМаксФизКритерий]],FALSE),"ошибка")),"ошибка")</f>
        <v>ошибка</v>
      </c>
      <c r="P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6" s="208" t="str">
        <f ca="1">IFERROR(IF(N(INDIRECT(Критерий[[#This Row],[ССрФизКритерий]],FALSE))=0,"ошибка",IFERROR(INDIRECT(Критерий[[#This Row],[ССрФизКритерий]],FALSE),"ошибка")),"")</f>
        <v/>
      </c>
      <c r="R10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6" s="212">
        <f ca="1">IFERROR(IF(AND(Критерий[[#This Row],[ВидКритерий]]="Критерий",IFERROR(SEARCH("Приведение",Критерий[[#This Row],[Фкритерий]]),0)&gt;0),1,-1),-1)</f>
        <v>-1</v>
      </c>
      <c r="AG106" s="66">
        <f>IF(AND(Множество[[#This Row],[Y]]=1),ROW()-ROW(Множество[[#Headers],[№]]),"")</f>
        <v>97</v>
      </c>
      <c r="AH106" t="s">
        <v>608</v>
      </c>
      <c r="AI106" s="66">
        <v>1</v>
      </c>
      <c r="AJ106" s="66">
        <f>IF(LEN(Множество[[#This Row],[Свёртка]])&gt;0,1,-1)</f>
        <v>1</v>
      </c>
      <c r="AK106" s="66" t="s">
        <v>1781</v>
      </c>
      <c r="AL106" s="66">
        <f>IF(LEN(Множество[[#This Row],[Критерии]])&gt;0,1,-1)</f>
        <v>1</v>
      </c>
      <c r="AM106" s="66">
        <f>IF(AND(LEN(Множество[[#This Row],[Свёртка]])&gt;0,LEN(Множество[[#This Row],[Критерии]])&gt;0,LEN(Множество[[#This Row],[Оценки]])&gt;0),1,-1)</f>
        <v>1</v>
      </c>
      <c r="AN106">
        <v>5.5916666666666703</v>
      </c>
      <c r="AO106">
        <v>-16.4166666666667</v>
      </c>
      <c r="AP106" s="208"/>
      <c r="AQ106" s="208"/>
      <c r="AR106" s="226"/>
      <c r="AS106" s="225"/>
      <c r="AT106" s="226"/>
      <c r="AU106" s="225"/>
      <c r="AV106" s="225"/>
      <c r="AW106" s="225"/>
      <c r="AX106" s="225"/>
      <c r="AY106" s="225"/>
    </row>
    <row r="107" spans="2:51" x14ac:dyDescent="0.25">
      <c r="B107" s="209" t="str">
        <f ca="1">IF(AND(Критерий[[#This Row],[Критерий]]&lt;&gt;"",Критерий[[#This Row],[O.K.Критерий]]=1),ROW()-ROW(Критерий[[#Headers],[№]]),"")</f>
        <v/>
      </c>
      <c r="C107" s="84"/>
      <c r="D10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7" s="208" t="str">
        <f ca="1">IFERROR(IF(IFERROR(SEARCH("Прив",Критерий[[#This Row],[Фкритерий]]),0)&gt;0,"Критерий",IF(IFERROR(SEARCH("Матр",Критерий[[#This Row],[Фкритерий]]),0)&gt;0,"ошибка","ошибка")),"ошибка")</f>
        <v>ошибка</v>
      </c>
      <c r="F107" s="224" t="str">
        <f ca="1">IFERROR(IF(LEN((INDIRECT(Критерий[[#This Row],[СНаименование]],FALSE)))=0,"ошибка",IFERROR(INDIRECT(Критерий[[#This Row],[СНаименование]],FALSE),"ошибка")),"ошибка")</f>
        <v>ошибка</v>
      </c>
      <c r="G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7" s="208" t="str">
        <f ca="1">IFERROR(IF(N(INDIRECT(Критерий[[#This Row],[СФизКритерий]],FALSE))=0,"ошибка",IFERROR(INDIRECT(Критерий[[#This Row],[СФизКритерий]],FALSE),"ошибка")),"ошибка")</f>
        <v>ошибка</v>
      </c>
      <c r="I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7" s="208" t="str">
        <f ca="1">IFERROR(_xlfn.FORMULATEXT(INDIRECT(Критерий[[#This Row],[Скритерий]],FALSE)),"ошибка")</f>
        <v>ошибка</v>
      </c>
      <c r="M107" s="208" t="str">
        <f ca="1">IFERROR(IF(N(INDIRECT(Критерий[[#This Row],[СМинФизКритерий]],FALSE))=0,"ошибка",IFERROR(INDIRECT(Критерий[[#This Row],[СМинФизКритерий]],FALSE),"ошибка")),"ошибка")</f>
        <v>ошибка</v>
      </c>
      <c r="N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7" s="208" t="str">
        <f ca="1">IFERROR(IF(N(INDIRECT(Критерий[[#This Row],[СМаксФизКритерий]],FALSE))=0,"ошибка",IFERROR(INDIRECT(Критерий[[#This Row],[СМаксФизКритерий]],FALSE),"ошибка")),"ошибка")</f>
        <v>ошибка</v>
      </c>
      <c r="P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7" s="208" t="str">
        <f ca="1">IFERROR(IF(N(INDIRECT(Критерий[[#This Row],[ССрФизКритерий]],FALSE))=0,"ошибка",IFERROR(INDIRECT(Критерий[[#This Row],[ССрФизКритерий]],FALSE),"ошибка")),"")</f>
        <v/>
      </c>
      <c r="R10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7" s="212">
        <f ca="1">IFERROR(IF(AND(Критерий[[#This Row],[ВидКритерий]]="Критерий",IFERROR(SEARCH("Приведение",Критерий[[#This Row],[Фкритерий]]),0)&gt;0),1,-1),-1)</f>
        <v>-1</v>
      </c>
      <c r="AG107" s="66">
        <f>IF(AND(Множество[[#This Row],[Y]]=1),ROW()-ROW(Множество[[#Headers],[№]]),"")</f>
        <v>98</v>
      </c>
      <c r="AH107" t="s">
        <v>608</v>
      </c>
      <c r="AI107" s="66">
        <v>1</v>
      </c>
      <c r="AJ107" s="66">
        <f>IF(LEN(Множество[[#This Row],[Свёртка]])&gt;0,1,-1)</f>
        <v>1</v>
      </c>
      <c r="AK107" s="66" t="s">
        <v>1781</v>
      </c>
      <c r="AL107" s="66">
        <f>IF(LEN(Множество[[#This Row],[Критерии]])&gt;0,1,-1)</f>
        <v>1</v>
      </c>
      <c r="AM107" s="66">
        <f>IF(AND(LEN(Множество[[#This Row],[Свёртка]])&gt;0,LEN(Множество[[#This Row],[Критерии]])&gt;0,LEN(Множество[[#This Row],[Оценки]])&gt;0),1,-1)</f>
        <v>1</v>
      </c>
      <c r="AN107">
        <v>5.65</v>
      </c>
      <c r="AO107">
        <v>-16.433333333333302</v>
      </c>
      <c r="AP107" s="208"/>
      <c r="AQ107" s="208"/>
      <c r="AR107" s="226"/>
      <c r="AS107" s="225"/>
      <c r="AT107" s="226"/>
      <c r="AU107" s="225"/>
      <c r="AV107" s="225"/>
      <c r="AW107" s="225"/>
      <c r="AX107" s="225"/>
      <c r="AY107" s="225"/>
    </row>
    <row r="108" spans="2:51" x14ac:dyDescent="0.25">
      <c r="B108" s="209" t="str">
        <f ca="1">IF(AND(Критерий[[#This Row],[Критерий]]&lt;&gt;"",Критерий[[#This Row],[O.K.Критерий]]=1),ROW()-ROW(Критерий[[#Headers],[№]]),"")</f>
        <v/>
      </c>
      <c r="C108" s="84"/>
      <c r="D10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8" s="208" t="str">
        <f ca="1">IFERROR(IF(IFERROR(SEARCH("Прив",Критерий[[#This Row],[Фкритерий]]),0)&gt;0,"Критерий",IF(IFERROR(SEARCH("Матр",Критерий[[#This Row],[Фкритерий]]),0)&gt;0,"ошибка","ошибка")),"ошибка")</f>
        <v>ошибка</v>
      </c>
      <c r="F108" s="224" t="str">
        <f ca="1">IFERROR(IF(LEN((INDIRECT(Критерий[[#This Row],[СНаименование]],FALSE)))=0,"ошибка",IFERROR(INDIRECT(Критерий[[#This Row],[СНаименование]],FALSE),"ошибка")),"ошибка")</f>
        <v>ошибка</v>
      </c>
      <c r="G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8" s="208" t="str">
        <f ca="1">IFERROR(IF(N(INDIRECT(Критерий[[#This Row],[СФизКритерий]],FALSE))=0,"ошибка",IFERROR(INDIRECT(Критерий[[#This Row],[СФизКритерий]],FALSE),"ошибка")),"ошибка")</f>
        <v>ошибка</v>
      </c>
      <c r="I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8" s="208" t="str">
        <f ca="1">IFERROR(_xlfn.FORMULATEXT(INDIRECT(Критерий[[#This Row],[Скритерий]],FALSE)),"ошибка")</f>
        <v>ошибка</v>
      </c>
      <c r="M108" s="208" t="str">
        <f ca="1">IFERROR(IF(N(INDIRECT(Критерий[[#This Row],[СМинФизКритерий]],FALSE))=0,"ошибка",IFERROR(INDIRECT(Критерий[[#This Row],[СМинФизКритерий]],FALSE),"ошибка")),"ошибка")</f>
        <v>ошибка</v>
      </c>
      <c r="N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8" s="208" t="str">
        <f ca="1">IFERROR(IF(N(INDIRECT(Критерий[[#This Row],[СМаксФизКритерий]],FALSE))=0,"ошибка",IFERROR(INDIRECT(Критерий[[#This Row],[СМаксФизКритерий]],FALSE),"ошибка")),"ошибка")</f>
        <v>ошибка</v>
      </c>
      <c r="P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8" s="208" t="str">
        <f ca="1">IFERROR(IF(N(INDIRECT(Критерий[[#This Row],[ССрФизКритерий]],FALSE))=0,"ошибка",IFERROR(INDIRECT(Критерий[[#This Row],[ССрФизКритерий]],FALSE),"ошибка")),"")</f>
        <v/>
      </c>
      <c r="R10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8" s="212">
        <f ca="1">IFERROR(IF(AND(Критерий[[#This Row],[ВидКритерий]]="Критерий",IFERROR(SEARCH("Приведение",Критерий[[#This Row],[Фкритерий]]),0)&gt;0),1,-1),-1)</f>
        <v>-1</v>
      </c>
      <c r="AG108" s="66">
        <f>IF(AND(Множество[[#This Row],[Y]]=1),ROW()-ROW(Множество[[#Headers],[№]]),"")</f>
        <v>99</v>
      </c>
      <c r="AH108" t="s">
        <v>608</v>
      </c>
      <c r="AI108" s="66">
        <v>1</v>
      </c>
      <c r="AJ108" s="66">
        <f>IF(LEN(Множество[[#This Row],[Свёртка]])&gt;0,1,-1)</f>
        <v>1</v>
      </c>
      <c r="AK108" s="66" t="s">
        <v>1781</v>
      </c>
      <c r="AL108" s="66">
        <f>IF(LEN(Множество[[#This Row],[Критерии]])&gt;0,1,-1)</f>
        <v>1</v>
      </c>
      <c r="AM108" s="66">
        <f>IF(AND(LEN(Множество[[#This Row],[Свёртка]])&gt;0,LEN(Множество[[#This Row],[Критерии]])&gt;0,LEN(Множество[[#This Row],[Оценки]])&gt;0),1,-1)</f>
        <v>1</v>
      </c>
      <c r="AN108">
        <v>3.375</v>
      </c>
      <c r="AO108">
        <v>-14.216666666666701</v>
      </c>
      <c r="AP108" s="208"/>
      <c r="AQ108" s="208"/>
      <c r="AR108" s="226"/>
      <c r="AS108" s="225"/>
      <c r="AT108" s="226"/>
      <c r="AU108" s="225"/>
      <c r="AV108" s="225"/>
      <c r="AW108" s="225"/>
      <c r="AX108" s="225"/>
      <c r="AY108" s="225"/>
    </row>
    <row r="109" spans="2:51" x14ac:dyDescent="0.25">
      <c r="B109" s="209" t="str">
        <f ca="1">IF(AND(Критерий[[#This Row],[Критерий]]&lt;&gt;"",Критерий[[#This Row],[O.K.Критерий]]=1),ROW()-ROW(Критерий[[#Headers],[№]]),"")</f>
        <v/>
      </c>
      <c r="C109" s="84"/>
      <c r="D10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9" s="208" t="str">
        <f ca="1">IFERROR(IF(IFERROR(SEARCH("Прив",Критерий[[#This Row],[Фкритерий]]),0)&gt;0,"Критерий",IF(IFERROR(SEARCH("Матр",Критерий[[#This Row],[Фкритерий]]),0)&gt;0,"ошибка","ошибка")),"ошибка")</f>
        <v>ошибка</v>
      </c>
      <c r="F109" s="224" t="str">
        <f ca="1">IFERROR(IF(LEN((INDIRECT(Критерий[[#This Row],[СНаименование]],FALSE)))=0,"ошибка",IFERROR(INDIRECT(Критерий[[#This Row],[СНаименование]],FALSE),"ошибка")),"ошибка")</f>
        <v>ошибка</v>
      </c>
      <c r="G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9" s="208" t="str">
        <f ca="1">IFERROR(IF(N(INDIRECT(Критерий[[#This Row],[СФизКритерий]],FALSE))=0,"ошибка",IFERROR(INDIRECT(Критерий[[#This Row],[СФизКритерий]],FALSE),"ошибка")),"ошибка")</f>
        <v>ошибка</v>
      </c>
      <c r="I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9" s="208" t="str">
        <f ca="1">IFERROR(_xlfn.FORMULATEXT(INDIRECT(Критерий[[#This Row],[Скритерий]],FALSE)),"ошибка")</f>
        <v>ошибка</v>
      </c>
      <c r="M109" s="208" t="str">
        <f ca="1">IFERROR(IF(N(INDIRECT(Критерий[[#This Row],[СМинФизКритерий]],FALSE))=0,"ошибка",IFERROR(INDIRECT(Критерий[[#This Row],[СМинФизКритерий]],FALSE),"ошибка")),"ошибка")</f>
        <v>ошибка</v>
      </c>
      <c r="N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9" s="208" t="str">
        <f ca="1">IFERROR(IF(N(INDIRECT(Критерий[[#This Row],[СМаксФизКритерий]],FALSE))=0,"ошибка",IFERROR(INDIRECT(Критерий[[#This Row],[СМаксФизКритерий]],FALSE),"ошибка")),"ошибка")</f>
        <v>ошибка</v>
      </c>
      <c r="P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9" s="208" t="str">
        <f ca="1">IFERROR(IF(N(INDIRECT(Критерий[[#This Row],[ССрФизКритерий]],FALSE))=0,"ошибка",IFERROR(INDIRECT(Критерий[[#This Row],[ССрФизКритерий]],FALSE),"ошибка")),"")</f>
        <v/>
      </c>
      <c r="R10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9" s="212">
        <f ca="1">IFERROR(IF(AND(Критерий[[#This Row],[ВидКритерий]]="Критерий",IFERROR(SEARCH("Приведение",Критерий[[#This Row],[Фкритерий]]),0)&gt;0),1,-1),-1)</f>
        <v>-1</v>
      </c>
      <c r="AG109" s="66">
        <f>IF(AND(Множество[[#This Row],[Y]]=1),ROW()-ROW(Множество[[#Headers],[№]]),"")</f>
        <v>100</v>
      </c>
      <c r="AH109" t="s">
        <v>608</v>
      </c>
      <c r="AI109" s="66">
        <v>1</v>
      </c>
      <c r="AJ109" s="66">
        <f>IF(LEN(Множество[[#This Row],[Свёртка]])&gt;0,1,-1)</f>
        <v>1</v>
      </c>
      <c r="AK109" s="66" t="s">
        <v>1781</v>
      </c>
      <c r="AL109" s="66">
        <f>IF(LEN(Множество[[#This Row],[Критерии]])&gt;0,1,-1)</f>
        <v>1</v>
      </c>
      <c r="AM109" s="66">
        <f>IF(AND(LEN(Множество[[#This Row],[Свёртка]])&gt;0,LEN(Множество[[#This Row],[Критерии]])&gt;0,LEN(Множество[[#This Row],[Оценки]])&gt;0),1,-1)</f>
        <v>1</v>
      </c>
      <c r="AN109">
        <v>5.4166666666666696</v>
      </c>
      <c r="AO109">
        <v>-16.383333333333301</v>
      </c>
      <c r="AP109" s="208"/>
      <c r="AQ109" s="208"/>
      <c r="AR109" s="226"/>
      <c r="AS109" s="225"/>
      <c r="AT109" s="226"/>
      <c r="AU109" s="225"/>
      <c r="AV109" s="225"/>
      <c r="AW109" s="225"/>
      <c r="AX109" s="225"/>
      <c r="AY109" s="225"/>
    </row>
    <row r="110" spans="2:51" x14ac:dyDescent="0.25">
      <c r="B110" s="209" t="str">
        <f ca="1">IF(AND(Критерий[[#This Row],[Критерий]]&lt;&gt;"",Критерий[[#This Row],[O.K.Критерий]]=1),ROW()-ROW(Критерий[[#Headers],[№]]),"")</f>
        <v/>
      </c>
      <c r="C110" s="84"/>
      <c r="D11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0" s="208" t="str">
        <f ca="1">IFERROR(IF(IFERROR(SEARCH("Прив",Критерий[[#This Row],[Фкритерий]]),0)&gt;0,"Критерий",IF(IFERROR(SEARCH("Матр",Критерий[[#This Row],[Фкритерий]]),0)&gt;0,"ошибка","ошибка")),"ошибка")</f>
        <v>ошибка</v>
      </c>
      <c r="F110" s="224" t="str">
        <f ca="1">IFERROR(IF(LEN((INDIRECT(Критерий[[#This Row],[СНаименование]],FALSE)))=0,"ошибка",IFERROR(INDIRECT(Критерий[[#This Row],[СНаименование]],FALSE),"ошибка")),"ошибка")</f>
        <v>ошибка</v>
      </c>
      <c r="G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0" s="208" t="str">
        <f ca="1">IFERROR(IF(N(INDIRECT(Критерий[[#This Row],[СФизКритерий]],FALSE))=0,"ошибка",IFERROR(INDIRECT(Критерий[[#This Row],[СФизКритерий]],FALSE),"ошибка")),"ошибка")</f>
        <v>ошибка</v>
      </c>
      <c r="I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0" s="208" t="str">
        <f ca="1">IFERROR(_xlfn.FORMULATEXT(INDIRECT(Критерий[[#This Row],[Скритерий]],FALSE)),"ошибка")</f>
        <v>ошибка</v>
      </c>
      <c r="M110" s="208" t="str">
        <f ca="1">IFERROR(IF(N(INDIRECT(Критерий[[#This Row],[СМинФизКритерий]],FALSE))=0,"ошибка",IFERROR(INDIRECT(Критерий[[#This Row],[СМинФизКритерий]],FALSE),"ошибка")),"ошибка")</f>
        <v>ошибка</v>
      </c>
      <c r="N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0" s="208" t="str">
        <f ca="1">IFERROR(IF(N(INDIRECT(Критерий[[#This Row],[СМаксФизКритерий]],FALSE))=0,"ошибка",IFERROR(INDIRECT(Критерий[[#This Row],[СМаксФизКритерий]],FALSE),"ошибка")),"ошибка")</f>
        <v>ошибка</v>
      </c>
      <c r="P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0" s="208" t="str">
        <f ca="1">IFERROR(IF(N(INDIRECT(Критерий[[#This Row],[ССрФизКритерий]],FALSE))=0,"ошибка",IFERROR(INDIRECT(Критерий[[#This Row],[ССрФизКритерий]],FALSE),"ошибка")),"")</f>
        <v/>
      </c>
      <c r="R11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0" s="212">
        <f ca="1">IFERROR(IF(AND(Критерий[[#This Row],[ВидКритерий]]="Критерий",IFERROR(SEARCH("Приведение",Критерий[[#This Row],[Фкритерий]]),0)&gt;0),1,-1),-1)</f>
        <v>-1</v>
      </c>
      <c r="AG110" s="66">
        <f>IF(AND(Множество[[#This Row],[Y]]=1),ROW()-ROW(Множество[[#Headers],[№]]),"")</f>
        <v>101</v>
      </c>
      <c r="AH110" t="s">
        <v>608</v>
      </c>
      <c r="AI110" s="66">
        <v>1</v>
      </c>
      <c r="AJ110" s="66">
        <f>IF(LEN(Множество[[#This Row],[Свёртка]])&gt;0,1,-1)</f>
        <v>1</v>
      </c>
      <c r="AK110" s="66" t="s">
        <v>1781</v>
      </c>
      <c r="AL110" s="66">
        <f>IF(LEN(Множество[[#This Row],[Критерии]])&gt;0,1,-1)</f>
        <v>1</v>
      </c>
      <c r="AM110" s="66">
        <f>IF(AND(LEN(Множество[[#This Row],[Свёртка]])&gt;0,LEN(Множество[[#This Row],[Критерии]])&gt;0,LEN(Множество[[#This Row],[Оценки]])&gt;0),1,-1)</f>
        <v>1</v>
      </c>
      <c r="AN110">
        <v>3.31666666666667</v>
      </c>
      <c r="AO110">
        <v>-14.233333333333301</v>
      </c>
      <c r="AP110" s="208"/>
      <c r="AQ110" s="208"/>
      <c r="AR110" s="226"/>
      <c r="AS110" s="225"/>
      <c r="AT110" s="226"/>
      <c r="AU110" s="225"/>
      <c r="AV110" s="225"/>
      <c r="AW110" s="225"/>
      <c r="AX110" s="225"/>
      <c r="AY110" s="225"/>
    </row>
    <row r="111" spans="2:51" x14ac:dyDescent="0.25">
      <c r="B111" s="209" t="str">
        <f ca="1">IF(AND(Критерий[[#This Row],[Критерий]]&lt;&gt;"",Критерий[[#This Row],[O.K.Критерий]]=1),ROW()-ROW(Критерий[[#Headers],[№]]),"")</f>
        <v/>
      </c>
      <c r="C111" s="84"/>
      <c r="D11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1" s="208" t="str">
        <f ca="1">IFERROR(IF(IFERROR(SEARCH("Прив",Критерий[[#This Row],[Фкритерий]]),0)&gt;0,"Критерий",IF(IFERROR(SEARCH("Матр",Критерий[[#This Row],[Фкритерий]]),0)&gt;0,"ошибка","ошибка")),"ошибка")</f>
        <v>ошибка</v>
      </c>
      <c r="F111" s="224" t="str">
        <f ca="1">IFERROR(IF(LEN((INDIRECT(Критерий[[#This Row],[СНаименование]],FALSE)))=0,"ошибка",IFERROR(INDIRECT(Критерий[[#This Row],[СНаименование]],FALSE),"ошибка")),"ошибка")</f>
        <v>ошибка</v>
      </c>
      <c r="G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1" s="208" t="str">
        <f ca="1">IFERROR(IF(N(INDIRECT(Критерий[[#This Row],[СФизКритерий]],FALSE))=0,"ошибка",IFERROR(INDIRECT(Критерий[[#This Row],[СФизКритерий]],FALSE),"ошибка")),"ошибка")</f>
        <v>ошибка</v>
      </c>
      <c r="I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1" s="208" t="str">
        <f ca="1">IFERROR(_xlfn.FORMULATEXT(INDIRECT(Критерий[[#This Row],[Скритерий]],FALSE)),"ошибка")</f>
        <v>ошибка</v>
      </c>
      <c r="M111" s="208" t="str">
        <f ca="1">IFERROR(IF(N(INDIRECT(Критерий[[#This Row],[СМинФизКритерий]],FALSE))=0,"ошибка",IFERROR(INDIRECT(Критерий[[#This Row],[СМинФизКритерий]],FALSE),"ошибка")),"ошибка")</f>
        <v>ошибка</v>
      </c>
      <c r="N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1" s="208" t="str">
        <f ca="1">IFERROR(IF(N(INDIRECT(Критерий[[#This Row],[СМаксФизКритерий]],FALSE))=0,"ошибка",IFERROR(INDIRECT(Критерий[[#This Row],[СМаксФизКритерий]],FALSE),"ошибка")),"ошибка")</f>
        <v>ошибка</v>
      </c>
      <c r="P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1" s="208" t="str">
        <f ca="1">IFERROR(IF(N(INDIRECT(Критерий[[#This Row],[ССрФизКритерий]],FALSE))=0,"ошибка",IFERROR(INDIRECT(Критерий[[#This Row],[ССрФизКритерий]],FALSE),"ошибка")),"")</f>
        <v/>
      </c>
      <c r="R11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1" s="212">
        <f ca="1">IFERROR(IF(AND(Критерий[[#This Row],[ВидКритерий]]="Критерий",IFERROR(SEARCH("Приведение",Критерий[[#This Row],[Фкритерий]]),0)&gt;0),1,-1),-1)</f>
        <v>-1</v>
      </c>
      <c r="AG111" s="66">
        <f>IF(AND(Множество[[#This Row],[Y]]=1),ROW()-ROW(Множество[[#Headers],[№]]),"")</f>
        <v>102</v>
      </c>
      <c r="AH111" t="s">
        <v>608</v>
      </c>
      <c r="AI111" s="66">
        <v>1</v>
      </c>
      <c r="AJ111" s="66">
        <f>IF(LEN(Множество[[#This Row],[Свёртка]])&gt;0,1,-1)</f>
        <v>1</v>
      </c>
      <c r="AK111" s="66" t="s">
        <v>1781</v>
      </c>
      <c r="AL111" s="66">
        <f>IF(LEN(Множество[[#This Row],[Критерии]])&gt;0,1,-1)</f>
        <v>1</v>
      </c>
      <c r="AM111" s="66">
        <f>IF(AND(LEN(Множество[[#This Row],[Свёртка]])&gt;0,LEN(Множество[[#This Row],[Критерии]])&gt;0,LEN(Множество[[#This Row],[Оценки]])&gt;0),1,-1)</f>
        <v>1</v>
      </c>
      <c r="AN111">
        <v>5.4749999999999996</v>
      </c>
      <c r="AO111">
        <v>-16.399999999999999</v>
      </c>
      <c r="AP111" s="208"/>
      <c r="AQ111" s="208"/>
      <c r="AR111" s="226"/>
      <c r="AS111" s="225"/>
      <c r="AT111" s="226"/>
      <c r="AU111" s="225"/>
      <c r="AV111" s="225"/>
      <c r="AW111" s="225"/>
      <c r="AX111" s="225"/>
      <c r="AY111" s="225"/>
    </row>
    <row r="112" spans="2:51" x14ac:dyDescent="0.25">
      <c r="B112" s="209" t="str">
        <f ca="1">IF(AND(Критерий[[#This Row],[Критерий]]&lt;&gt;"",Критерий[[#This Row],[O.K.Критерий]]=1),ROW()-ROW(Критерий[[#Headers],[№]]),"")</f>
        <v/>
      </c>
      <c r="C112" s="84"/>
      <c r="D11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2" s="208" t="str">
        <f ca="1">IFERROR(IF(IFERROR(SEARCH("Прив",Критерий[[#This Row],[Фкритерий]]),0)&gt;0,"Критерий",IF(IFERROR(SEARCH("Матр",Критерий[[#This Row],[Фкритерий]]),0)&gt;0,"ошибка","ошибка")),"ошибка")</f>
        <v>ошибка</v>
      </c>
      <c r="F112" s="224" t="str">
        <f ca="1">IFERROR(IF(LEN((INDIRECT(Критерий[[#This Row],[СНаименование]],FALSE)))=0,"ошибка",IFERROR(INDIRECT(Критерий[[#This Row],[СНаименование]],FALSE),"ошибка")),"ошибка")</f>
        <v>ошибка</v>
      </c>
      <c r="G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2" s="208" t="str">
        <f ca="1">IFERROR(IF(N(INDIRECT(Критерий[[#This Row],[СФизКритерий]],FALSE))=0,"ошибка",IFERROR(INDIRECT(Критерий[[#This Row],[СФизКритерий]],FALSE),"ошибка")),"ошибка")</f>
        <v>ошибка</v>
      </c>
      <c r="I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2" s="208" t="str">
        <f ca="1">IFERROR(_xlfn.FORMULATEXT(INDIRECT(Критерий[[#This Row],[Скритерий]],FALSE)),"ошибка")</f>
        <v>ошибка</v>
      </c>
      <c r="M112" s="208" t="str">
        <f ca="1">IFERROR(IF(N(INDIRECT(Критерий[[#This Row],[СМинФизКритерий]],FALSE))=0,"ошибка",IFERROR(INDIRECT(Критерий[[#This Row],[СМинФизКритерий]],FALSE),"ошибка")),"ошибка")</f>
        <v>ошибка</v>
      </c>
      <c r="N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2" s="208" t="str">
        <f ca="1">IFERROR(IF(N(INDIRECT(Критерий[[#This Row],[СМаксФизКритерий]],FALSE))=0,"ошибка",IFERROR(INDIRECT(Критерий[[#This Row],[СМаксФизКритерий]],FALSE),"ошибка")),"ошибка")</f>
        <v>ошибка</v>
      </c>
      <c r="P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2" s="208" t="str">
        <f ca="1">IFERROR(IF(N(INDIRECT(Критерий[[#This Row],[ССрФизКритерий]],FALSE))=0,"ошибка",IFERROR(INDIRECT(Критерий[[#This Row],[ССрФизКритерий]],FALSE),"ошибка")),"")</f>
        <v/>
      </c>
      <c r="R11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2" s="212">
        <f ca="1">IFERROR(IF(AND(Критерий[[#This Row],[ВидКритерий]]="Критерий",IFERROR(SEARCH("Приведение",Критерий[[#This Row],[Фкритерий]]),0)&gt;0),1,-1),-1)</f>
        <v>-1</v>
      </c>
      <c r="AG112" s="66">
        <f>IF(AND(Множество[[#This Row],[Y]]=1),ROW()-ROW(Множество[[#Headers],[№]]),"")</f>
        <v>103</v>
      </c>
      <c r="AH112" t="s">
        <v>608</v>
      </c>
      <c r="AI112" s="66">
        <v>1</v>
      </c>
      <c r="AJ112" s="66">
        <f>IF(LEN(Множество[[#This Row],[Свёртка]])&gt;0,1,-1)</f>
        <v>1</v>
      </c>
      <c r="AK112" s="66" t="s">
        <v>1781</v>
      </c>
      <c r="AL112" s="66">
        <f>IF(LEN(Множество[[#This Row],[Критерии]])&gt;0,1,-1)</f>
        <v>1</v>
      </c>
      <c r="AM112" s="66">
        <f>IF(AND(LEN(Множество[[#This Row],[Свёртка]])&gt;0,LEN(Множество[[#This Row],[Критерии]])&gt;0,LEN(Множество[[#This Row],[Оценки]])&gt;0),1,-1)</f>
        <v>1</v>
      </c>
      <c r="AN112">
        <v>5.3</v>
      </c>
      <c r="AO112">
        <v>-16.350000000000001</v>
      </c>
      <c r="AP112" s="208"/>
      <c r="AQ112" s="208"/>
      <c r="AR112" s="226"/>
      <c r="AS112" s="225"/>
      <c r="AT112" s="226"/>
      <c r="AU112" s="225"/>
      <c r="AV112" s="225"/>
      <c r="AW112" s="225"/>
      <c r="AX112" s="225"/>
      <c r="AY112" s="225"/>
    </row>
    <row r="113" spans="2:51" x14ac:dyDescent="0.25">
      <c r="B113" s="209" t="str">
        <f ca="1">IF(AND(Критерий[[#This Row],[Критерий]]&lt;&gt;"",Критерий[[#This Row],[O.K.Критерий]]=1),ROW()-ROW(Критерий[[#Headers],[№]]),"")</f>
        <v/>
      </c>
      <c r="C113" s="84"/>
      <c r="D11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3" s="208" t="str">
        <f ca="1">IFERROR(IF(IFERROR(SEARCH("Прив",Критерий[[#This Row],[Фкритерий]]),0)&gt;0,"Критерий",IF(IFERROR(SEARCH("Матр",Критерий[[#This Row],[Фкритерий]]),0)&gt;0,"ошибка","ошибка")),"ошибка")</f>
        <v>ошибка</v>
      </c>
      <c r="F113" s="224" t="str">
        <f ca="1">IFERROR(IF(LEN((INDIRECT(Критерий[[#This Row],[СНаименование]],FALSE)))=0,"ошибка",IFERROR(INDIRECT(Критерий[[#This Row],[СНаименование]],FALSE),"ошибка")),"ошибка")</f>
        <v>ошибка</v>
      </c>
      <c r="G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3" s="208" t="str">
        <f ca="1">IFERROR(IF(N(INDIRECT(Критерий[[#This Row],[СФизКритерий]],FALSE))=0,"ошибка",IFERROR(INDIRECT(Критерий[[#This Row],[СФизКритерий]],FALSE),"ошибка")),"ошибка")</f>
        <v>ошибка</v>
      </c>
      <c r="I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3" s="208" t="str">
        <f ca="1">IFERROR(_xlfn.FORMULATEXT(INDIRECT(Критерий[[#This Row],[Скритерий]],FALSE)),"ошибка")</f>
        <v>ошибка</v>
      </c>
      <c r="M113" s="208" t="str">
        <f ca="1">IFERROR(IF(N(INDIRECT(Критерий[[#This Row],[СМинФизКритерий]],FALSE))=0,"ошибка",IFERROR(INDIRECT(Критерий[[#This Row],[СМинФизКритерий]],FALSE),"ошибка")),"ошибка")</f>
        <v>ошибка</v>
      </c>
      <c r="N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3" s="208" t="str">
        <f ca="1">IFERROR(IF(N(INDIRECT(Критерий[[#This Row],[СМаксФизКритерий]],FALSE))=0,"ошибка",IFERROR(INDIRECT(Критерий[[#This Row],[СМаксФизКритерий]],FALSE),"ошибка")),"ошибка")</f>
        <v>ошибка</v>
      </c>
      <c r="P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3" s="208" t="str">
        <f ca="1">IFERROR(IF(N(INDIRECT(Критерий[[#This Row],[ССрФизКритерий]],FALSE))=0,"ошибка",IFERROR(INDIRECT(Критерий[[#This Row],[ССрФизКритерий]],FALSE),"ошибка")),"")</f>
        <v/>
      </c>
      <c r="R11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3" s="212">
        <f ca="1">IFERROR(IF(AND(Критерий[[#This Row],[ВидКритерий]]="Критерий",IFERROR(SEARCH("Приведение",Критерий[[#This Row],[Фкритерий]]),0)&gt;0),1,-1),-1)</f>
        <v>-1</v>
      </c>
      <c r="AG113" s="66">
        <f>IF(AND(Множество[[#This Row],[Y]]=1),ROW()-ROW(Множество[[#Headers],[№]]),"")</f>
        <v>104</v>
      </c>
      <c r="AH113" t="s">
        <v>608</v>
      </c>
      <c r="AI113" s="66">
        <v>1</v>
      </c>
      <c r="AJ113" s="66">
        <f>IF(LEN(Множество[[#This Row],[Свёртка]])&gt;0,1,-1)</f>
        <v>1</v>
      </c>
      <c r="AK113" s="66" t="s">
        <v>1781</v>
      </c>
      <c r="AL113" s="66">
        <f>IF(LEN(Множество[[#This Row],[Критерии]])&gt;0,1,-1)</f>
        <v>1</v>
      </c>
      <c r="AM113" s="66">
        <f>IF(AND(LEN(Множество[[#This Row],[Свёртка]])&gt;0,LEN(Множество[[#This Row],[Критерии]])&gt;0,LEN(Множество[[#This Row],[Оценки]])&gt;0),1,-1)</f>
        <v>1</v>
      </c>
      <c r="AN113">
        <v>5.3583333333333298</v>
      </c>
      <c r="AO113">
        <v>-16.366666666666699</v>
      </c>
      <c r="AP113" s="208"/>
      <c r="AQ113" s="208"/>
      <c r="AR113" s="226"/>
      <c r="AS113" s="225"/>
      <c r="AT113" s="226"/>
      <c r="AU113" s="225"/>
      <c r="AV113" s="225"/>
      <c r="AW113" s="225"/>
      <c r="AX113" s="225"/>
      <c r="AY113" s="225"/>
    </row>
    <row r="114" spans="2:51" x14ac:dyDescent="0.25">
      <c r="B114" s="209" t="str">
        <f ca="1">IF(AND(Критерий[[#This Row],[Критерий]]&lt;&gt;"",Критерий[[#This Row],[O.K.Критерий]]=1),ROW()-ROW(Критерий[[#Headers],[№]]),"")</f>
        <v/>
      </c>
      <c r="C114" s="84"/>
      <c r="D11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4" s="208" t="str">
        <f ca="1">IFERROR(IF(IFERROR(SEARCH("Прив",Критерий[[#This Row],[Фкритерий]]),0)&gt;0,"Критерий",IF(IFERROR(SEARCH("Матр",Критерий[[#This Row],[Фкритерий]]),0)&gt;0,"ошибка","ошибка")),"ошибка")</f>
        <v>ошибка</v>
      </c>
      <c r="F114" s="224" t="str">
        <f ca="1">IFERROR(IF(LEN((INDIRECT(Критерий[[#This Row],[СНаименование]],FALSE)))=0,"ошибка",IFERROR(INDIRECT(Критерий[[#This Row],[СНаименование]],FALSE),"ошибка")),"ошибка")</f>
        <v>ошибка</v>
      </c>
      <c r="G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4" s="208" t="str">
        <f ca="1">IFERROR(IF(N(INDIRECT(Критерий[[#This Row],[СФизКритерий]],FALSE))=0,"ошибка",IFERROR(INDIRECT(Критерий[[#This Row],[СФизКритерий]],FALSE),"ошибка")),"ошибка")</f>
        <v>ошибка</v>
      </c>
      <c r="I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4" s="208" t="str">
        <f ca="1">IFERROR(_xlfn.FORMULATEXT(INDIRECT(Критерий[[#This Row],[Скритерий]],FALSE)),"ошибка")</f>
        <v>ошибка</v>
      </c>
      <c r="M114" s="208" t="str">
        <f ca="1">IFERROR(IF(N(INDIRECT(Критерий[[#This Row],[СМинФизКритерий]],FALSE))=0,"ошибка",IFERROR(INDIRECT(Критерий[[#This Row],[СМинФизКритерий]],FALSE),"ошибка")),"ошибка")</f>
        <v>ошибка</v>
      </c>
      <c r="N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4" s="208" t="str">
        <f ca="1">IFERROR(IF(N(INDIRECT(Критерий[[#This Row],[СМаксФизКритерий]],FALSE))=0,"ошибка",IFERROR(INDIRECT(Критерий[[#This Row],[СМаксФизКритерий]],FALSE),"ошибка")),"ошибка")</f>
        <v>ошибка</v>
      </c>
      <c r="P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4" s="208" t="str">
        <f ca="1">IFERROR(IF(N(INDIRECT(Критерий[[#This Row],[ССрФизКритерий]],FALSE))=0,"ошибка",IFERROR(INDIRECT(Критерий[[#This Row],[ССрФизКритерий]],FALSE),"ошибка")),"")</f>
        <v/>
      </c>
      <c r="R11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4" s="212">
        <f ca="1">IFERROR(IF(AND(Критерий[[#This Row],[ВидКритерий]]="Критерий",IFERROR(SEARCH("Приведение",Критерий[[#This Row],[Фкритерий]]),0)&gt;0),1,-1),-1)</f>
        <v>-1</v>
      </c>
      <c r="AG114" s="66">
        <f>IF(AND(Множество[[#This Row],[Y]]=1),ROW()-ROW(Множество[[#Headers],[№]]),"")</f>
        <v>105</v>
      </c>
      <c r="AH114" t="s">
        <v>608</v>
      </c>
      <c r="AI114" s="66">
        <v>1</v>
      </c>
      <c r="AJ114" s="66">
        <f>IF(LEN(Множество[[#This Row],[Свёртка]])&gt;0,1,-1)</f>
        <v>1</v>
      </c>
      <c r="AK114" s="66" t="s">
        <v>1781</v>
      </c>
      <c r="AL114" s="66">
        <f>IF(LEN(Множество[[#This Row],[Критерии]])&gt;0,1,-1)</f>
        <v>1</v>
      </c>
      <c r="AM114" s="66">
        <f>IF(AND(LEN(Множество[[#This Row],[Свёртка]])&gt;0,LEN(Множество[[#This Row],[Критерии]])&gt;0,LEN(Множество[[#This Row],[Оценки]])&gt;0),1,-1)</f>
        <v>1</v>
      </c>
      <c r="AN114">
        <v>3.2583333333333302</v>
      </c>
      <c r="AO114">
        <v>-14.25</v>
      </c>
      <c r="AP114" s="208"/>
      <c r="AQ114" s="208"/>
      <c r="AR114" s="226"/>
      <c r="AS114" s="225"/>
      <c r="AT114" s="226"/>
      <c r="AU114" s="225"/>
      <c r="AV114" s="225"/>
      <c r="AW114" s="225"/>
      <c r="AX114" s="225"/>
      <c r="AY114" s="225"/>
    </row>
    <row r="115" spans="2:51" x14ac:dyDescent="0.25">
      <c r="B115" s="209" t="str">
        <f ca="1">IF(AND(Критерий[[#This Row],[Критерий]]&lt;&gt;"",Критерий[[#This Row],[O.K.Критерий]]=1),ROW()-ROW(Критерий[[#Headers],[№]]),"")</f>
        <v/>
      </c>
      <c r="C115" s="84"/>
      <c r="D11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5" s="208" t="str">
        <f ca="1">IFERROR(IF(IFERROR(SEARCH("Прив",Критерий[[#This Row],[Фкритерий]]),0)&gt;0,"Критерий",IF(IFERROR(SEARCH("Матр",Критерий[[#This Row],[Фкритерий]]),0)&gt;0,"ошибка","ошибка")),"ошибка")</f>
        <v>ошибка</v>
      </c>
      <c r="F115" s="224" t="str">
        <f ca="1">IFERROR(IF(LEN((INDIRECT(Критерий[[#This Row],[СНаименование]],FALSE)))=0,"ошибка",IFERROR(INDIRECT(Критерий[[#This Row],[СНаименование]],FALSE),"ошибка")),"ошибка")</f>
        <v>ошибка</v>
      </c>
      <c r="G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5" s="208" t="str">
        <f ca="1">IFERROR(IF(N(INDIRECT(Критерий[[#This Row],[СФизКритерий]],FALSE))=0,"ошибка",IFERROR(INDIRECT(Критерий[[#This Row],[СФизКритерий]],FALSE),"ошибка")),"ошибка")</f>
        <v>ошибка</v>
      </c>
      <c r="I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5" s="208" t="str">
        <f ca="1">IFERROR(_xlfn.FORMULATEXT(INDIRECT(Критерий[[#This Row],[Скритерий]],FALSE)),"ошибка")</f>
        <v>ошибка</v>
      </c>
      <c r="M115" s="208" t="str">
        <f ca="1">IFERROR(IF(N(INDIRECT(Критерий[[#This Row],[СМинФизКритерий]],FALSE))=0,"ошибка",IFERROR(INDIRECT(Критерий[[#This Row],[СМинФизКритерий]],FALSE),"ошибка")),"ошибка")</f>
        <v>ошибка</v>
      </c>
      <c r="N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5" s="208" t="str">
        <f ca="1">IFERROR(IF(N(INDIRECT(Критерий[[#This Row],[СМаксФизКритерий]],FALSE))=0,"ошибка",IFERROR(INDIRECT(Критерий[[#This Row],[СМаксФизКритерий]],FALSE),"ошибка")),"ошибка")</f>
        <v>ошибка</v>
      </c>
      <c r="P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5" s="208" t="str">
        <f ca="1">IFERROR(IF(N(INDIRECT(Критерий[[#This Row],[ССрФизКритерий]],FALSE))=0,"ошибка",IFERROR(INDIRECT(Критерий[[#This Row],[ССрФизКритерий]],FALSE),"ошибка")),"")</f>
        <v/>
      </c>
      <c r="R11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5" s="212">
        <f ca="1">IFERROR(IF(AND(Критерий[[#This Row],[ВидКритерий]]="Критерий",IFERROR(SEARCH("Приведение",Критерий[[#This Row],[Фкритерий]]),0)&gt;0),1,-1),-1)</f>
        <v>-1</v>
      </c>
      <c r="AG115" s="66">
        <f>IF(AND(Множество[[#This Row],[Y]]=1),ROW()-ROW(Множество[[#Headers],[№]]),"")</f>
        <v>106</v>
      </c>
      <c r="AH115" t="s">
        <v>608</v>
      </c>
      <c r="AI115" s="66">
        <v>1</v>
      </c>
      <c r="AJ115" s="66">
        <f>IF(LEN(Множество[[#This Row],[Свёртка]])&gt;0,1,-1)</f>
        <v>1</v>
      </c>
      <c r="AK115" s="66" t="s">
        <v>1781</v>
      </c>
      <c r="AL115" s="66">
        <f>IF(LEN(Множество[[#This Row],[Критерии]])&gt;0,1,-1)</f>
        <v>1</v>
      </c>
      <c r="AM115" s="66">
        <f>IF(AND(LEN(Множество[[#This Row],[Свёртка]])&gt;0,LEN(Множество[[#This Row],[Критерии]])&gt;0,LEN(Множество[[#This Row],[Оценки]])&gt;0),1,-1)</f>
        <v>1</v>
      </c>
      <c r="AN115">
        <v>3.2</v>
      </c>
      <c r="AO115">
        <v>-14.283333333333299</v>
      </c>
      <c r="AP115" s="208"/>
      <c r="AQ115" s="208"/>
      <c r="AR115" s="226"/>
      <c r="AS115" s="225"/>
      <c r="AT115" s="226"/>
      <c r="AU115" s="225"/>
      <c r="AV115" s="225"/>
      <c r="AW115" s="225"/>
      <c r="AX115" s="225"/>
      <c r="AY115" s="225"/>
    </row>
    <row r="116" spans="2:51" x14ac:dyDescent="0.25">
      <c r="B116" s="209" t="str">
        <f ca="1">IF(AND(Критерий[[#This Row],[Критерий]]&lt;&gt;"",Критерий[[#This Row],[O.K.Критерий]]=1),ROW()-ROW(Критерий[[#Headers],[№]]),"")</f>
        <v/>
      </c>
      <c r="C116" s="84"/>
      <c r="D11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6" s="208" t="str">
        <f ca="1">IFERROR(IF(IFERROR(SEARCH("Прив",Критерий[[#This Row],[Фкритерий]]),0)&gt;0,"Критерий",IF(IFERROR(SEARCH("Матр",Критерий[[#This Row],[Фкритерий]]),0)&gt;0,"ошибка","ошибка")),"ошибка")</f>
        <v>ошибка</v>
      </c>
      <c r="F116" s="224" t="str">
        <f ca="1">IFERROR(IF(LEN((INDIRECT(Критерий[[#This Row],[СНаименование]],FALSE)))=0,"ошибка",IFERROR(INDIRECT(Критерий[[#This Row],[СНаименование]],FALSE),"ошибка")),"ошибка")</f>
        <v>ошибка</v>
      </c>
      <c r="G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6" s="208" t="str">
        <f ca="1">IFERROR(IF(N(INDIRECT(Критерий[[#This Row],[СФизКритерий]],FALSE))=0,"ошибка",IFERROR(INDIRECT(Критерий[[#This Row],[СФизКритерий]],FALSE),"ошибка")),"ошибка")</f>
        <v>ошибка</v>
      </c>
      <c r="I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6" s="208" t="str">
        <f ca="1">IFERROR(_xlfn.FORMULATEXT(INDIRECT(Критерий[[#This Row],[Скритерий]],FALSE)),"ошибка")</f>
        <v>ошибка</v>
      </c>
      <c r="M116" s="208" t="str">
        <f ca="1">IFERROR(IF(N(INDIRECT(Критерий[[#This Row],[СМинФизКритерий]],FALSE))=0,"ошибка",IFERROR(INDIRECT(Критерий[[#This Row],[СМинФизКритерий]],FALSE),"ошибка")),"ошибка")</f>
        <v>ошибка</v>
      </c>
      <c r="N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6" s="208" t="str">
        <f ca="1">IFERROR(IF(N(INDIRECT(Критерий[[#This Row],[СМаксФизКритерий]],FALSE))=0,"ошибка",IFERROR(INDIRECT(Критерий[[#This Row],[СМаксФизКритерий]],FALSE),"ошибка")),"ошибка")</f>
        <v>ошибка</v>
      </c>
      <c r="P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6" s="208" t="str">
        <f ca="1">IFERROR(IF(N(INDIRECT(Критерий[[#This Row],[ССрФизКритерий]],FALSE))=0,"ошибка",IFERROR(INDIRECT(Критерий[[#This Row],[ССрФизКритерий]],FALSE),"ошибка")),"")</f>
        <v/>
      </c>
      <c r="R11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6" s="212">
        <f ca="1">IFERROR(IF(AND(Критерий[[#This Row],[ВидКритерий]]="Критерий",IFERROR(SEARCH("Приведение",Критерий[[#This Row],[Фкритерий]]),0)&gt;0),1,-1),-1)</f>
        <v>-1</v>
      </c>
      <c r="AG116" s="66">
        <f>IF(AND(Множество[[#This Row],[Y]]=1),ROW()-ROW(Множество[[#Headers],[№]]),"")</f>
        <v>107</v>
      </c>
      <c r="AH116" t="s">
        <v>608</v>
      </c>
      <c r="AI116" s="66">
        <v>1</v>
      </c>
      <c r="AJ116" s="66">
        <f>IF(LEN(Множество[[#This Row],[Свёртка]])&gt;0,1,-1)</f>
        <v>1</v>
      </c>
      <c r="AK116" s="66" t="s">
        <v>1781</v>
      </c>
      <c r="AL116" s="66">
        <f>IF(LEN(Множество[[#This Row],[Критерии]])&gt;0,1,-1)</f>
        <v>1</v>
      </c>
      <c r="AM116" s="66">
        <f>IF(AND(LEN(Множество[[#This Row],[Свёртка]])&gt;0,LEN(Множество[[#This Row],[Критерии]])&gt;0,LEN(Множество[[#This Row],[Оценки]])&gt;0),1,-1)</f>
        <v>1</v>
      </c>
      <c r="AN116">
        <v>3.1416666666666702</v>
      </c>
      <c r="AO116">
        <v>-14.3</v>
      </c>
      <c r="AP116" s="208"/>
      <c r="AQ116" s="208"/>
      <c r="AR116" s="226"/>
      <c r="AS116" s="225"/>
      <c r="AT116" s="226"/>
      <c r="AU116" s="225"/>
      <c r="AV116" s="225"/>
      <c r="AW116" s="225"/>
      <c r="AX116" s="225"/>
      <c r="AY116" s="225"/>
    </row>
    <row r="117" spans="2:51" x14ac:dyDescent="0.25">
      <c r="B117" s="209" t="str">
        <f ca="1">IF(AND(Критерий[[#This Row],[Критерий]]&lt;&gt;"",Критерий[[#This Row],[O.K.Критерий]]=1),ROW()-ROW(Критерий[[#Headers],[№]]),"")</f>
        <v/>
      </c>
      <c r="C117" s="84"/>
      <c r="D11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7" s="208" t="str">
        <f ca="1">IFERROR(IF(IFERROR(SEARCH("Прив",Критерий[[#This Row],[Фкритерий]]),0)&gt;0,"Критерий",IF(IFERROR(SEARCH("Матр",Критерий[[#This Row],[Фкритерий]]),0)&gt;0,"ошибка","ошибка")),"ошибка")</f>
        <v>ошибка</v>
      </c>
      <c r="F117" s="224" t="str">
        <f ca="1">IFERROR(IF(LEN((INDIRECT(Критерий[[#This Row],[СНаименование]],FALSE)))=0,"ошибка",IFERROR(INDIRECT(Критерий[[#This Row],[СНаименование]],FALSE),"ошибка")),"ошибка")</f>
        <v>ошибка</v>
      </c>
      <c r="G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7" s="208" t="str">
        <f ca="1">IFERROR(IF(N(INDIRECT(Критерий[[#This Row],[СФизКритерий]],FALSE))=0,"ошибка",IFERROR(INDIRECT(Критерий[[#This Row],[СФизКритерий]],FALSE),"ошибка")),"ошибка")</f>
        <v>ошибка</v>
      </c>
      <c r="I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7" s="208" t="str">
        <f ca="1">IFERROR(_xlfn.FORMULATEXT(INDIRECT(Критерий[[#This Row],[Скритерий]],FALSE)),"ошибка")</f>
        <v>ошибка</v>
      </c>
      <c r="M117" s="208" t="str">
        <f ca="1">IFERROR(IF(N(INDIRECT(Критерий[[#This Row],[СМинФизКритерий]],FALSE))=0,"ошибка",IFERROR(INDIRECT(Критерий[[#This Row],[СМинФизКритерий]],FALSE),"ошибка")),"ошибка")</f>
        <v>ошибка</v>
      </c>
      <c r="N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7" s="208" t="str">
        <f ca="1">IFERROR(IF(N(INDIRECT(Критерий[[#This Row],[СМаксФизКритерий]],FALSE))=0,"ошибка",IFERROR(INDIRECT(Критерий[[#This Row],[СМаксФизКритерий]],FALSE),"ошибка")),"ошибка")</f>
        <v>ошибка</v>
      </c>
      <c r="P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7" s="208" t="str">
        <f ca="1">IFERROR(IF(N(INDIRECT(Критерий[[#This Row],[ССрФизКритерий]],FALSE))=0,"ошибка",IFERROR(INDIRECT(Критерий[[#This Row],[ССрФизКритерий]],FALSE),"ошибка")),"")</f>
        <v/>
      </c>
      <c r="R11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7" s="212">
        <f ca="1">IFERROR(IF(AND(Критерий[[#This Row],[ВидКритерий]]="Критерий",IFERROR(SEARCH("Приведение",Критерий[[#This Row],[Фкритерий]]),0)&gt;0),1,-1),-1)</f>
        <v>-1</v>
      </c>
      <c r="AG117" s="66">
        <f>IF(AND(Множество[[#This Row],[Y]]=1),ROW()-ROW(Множество[[#Headers],[№]]),"")</f>
        <v>108</v>
      </c>
      <c r="AH117" t="s">
        <v>608</v>
      </c>
      <c r="AI117" s="66">
        <v>1</v>
      </c>
      <c r="AJ117" s="66">
        <f>IF(LEN(Множество[[#This Row],[Свёртка]])&gt;0,1,-1)</f>
        <v>1</v>
      </c>
      <c r="AK117" s="66" t="s">
        <v>1781</v>
      </c>
      <c r="AL117" s="66">
        <f>IF(LEN(Множество[[#This Row],[Критерии]])&gt;0,1,-1)</f>
        <v>1</v>
      </c>
      <c r="AM117" s="66">
        <f>IF(AND(LEN(Множество[[#This Row],[Свёртка]])&gt;0,LEN(Множество[[#This Row],[Критерии]])&gt;0,LEN(Множество[[#This Row],[Оценки]])&gt;0),1,-1)</f>
        <v>1</v>
      </c>
      <c r="AN117">
        <v>5.18333333333333</v>
      </c>
      <c r="AO117">
        <v>-16.3333333333333</v>
      </c>
      <c r="AP117" s="208"/>
      <c r="AQ117" s="208"/>
      <c r="AR117" s="226"/>
      <c r="AS117" s="225"/>
      <c r="AT117" s="226"/>
      <c r="AU117" s="225"/>
      <c r="AV117" s="225"/>
      <c r="AW117" s="225"/>
      <c r="AX117" s="225"/>
      <c r="AY117" s="225"/>
    </row>
    <row r="118" spans="2:51" x14ac:dyDescent="0.25">
      <c r="B118" s="209" t="str">
        <f ca="1">IF(AND(Критерий[[#This Row],[Критерий]]&lt;&gt;"",Критерий[[#This Row],[O.K.Критерий]]=1),ROW()-ROW(Критерий[[#Headers],[№]]),"")</f>
        <v/>
      </c>
      <c r="C118" s="84"/>
      <c r="D11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8" s="208" t="str">
        <f ca="1">IFERROR(IF(IFERROR(SEARCH("Прив",Критерий[[#This Row],[Фкритерий]]),0)&gt;0,"Критерий",IF(IFERROR(SEARCH("Матр",Критерий[[#This Row],[Фкритерий]]),0)&gt;0,"ошибка","ошибка")),"ошибка")</f>
        <v>ошибка</v>
      </c>
      <c r="F118" s="224" t="str">
        <f ca="1">IFERROR(IF(LEN((INDIRECT(Критерий[[#This Row],[СНаименование]],FALSE)))=0,"ошибка",IFERROR(INDIRECT(Критерий[[#This Row],[СНаименование]],FALSE),"ошибка")),"ошибка")</f>
        <v>ошибка</v>
      </c>
      <c r="G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8" s="208" t="str">
        <f ca="1">IFERROR(IF(N(INDIRECT(Критерий[[#This Row],[СФизКритерий]],FALSE))=0,"ошибка",IFERROR(INDIRECT(Критерий[[#This Row],[СФизКритерий]],FALSE),"ошибка")),"ошибка")</f>
        <v>ошибка</v>
      </c>
      <c r="I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8" s="208" t="str">
        <f ca="1">IFERROR(_xlfn.FORMULATEXT(INDIRECT(Критерий[[#This Row],[Скритерий]],FALSE)),"ошибка")</f>
        <v>ошибка</v>
      </c>
      <c r="M118" s="208" t="str">
        <f ca="1">IFERROR(IF(N(INDIRECT(Критерий[[#This Row],[СМинФизКритерий]],FALSE))=0,"ошибка",IFERROR(INDIRECT(Критерий[[#This Row],[СМинФизКритерий]],FALSE),"ошибка")),"ошибка")</f>
        <v>ошибка</v>
      </c>
      <c r="N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8" s="208" t="str">
        <f ca="1">IFERROR(IF(N(INDIRECT(Критерий[[#This Row],[СМаксФизКритерий]],FALSE))=0,"ошибка",IFERROR(INDIRECT(Критерий[[#This Row],[СМаксФизКритерий]],FALSE),"ошибка")),"ошибка")</f>
        <v>ошибка</v>
      </c>
      <c r="P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8" s="208" t="str">
        <f ca="1">IFERROR(IF(N(INDIRECT(Критерий[[#This Row],[ССрФизКритерий]],FALSE))=0,"ошибка",IFERROR(INDIRECT(Критерий[[#This Row],[ССрФизКритерий]],FALSE),"ошибка")),"")</f>
        <v/>
      </c>
      <c r="R11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8" s="212">
        <f ca="1">IFERROR(IF(AND(Критерий[[#This Row],[ВидКритерий]]="Критерий",IFERROR(SEARCH("Приведение",Критерий[[#This Row],[Фкритерий]]),0)&gt;0),1,-1),-1)</f>
        <v>-1</v>
      </c>
      <c r="AG118" s="66">
        <f>IF(AND(Множество[[#This Row],[Y]]=1),ROW()-ROW(Множество[[#Headers],[№]]),"")</f>
        <v>109</v>
      </c>
      <c r="AH118" t="s">
        <v>608</v>
      </c>
      <c r="AI118" s="66">
        <v>1</v>
      </c>
      <c r="AJ118" s="66">
        <f>IF(LEN(Множество[[#This Row],[Свёртка]])&gt;0,1,-1)</f>
        <v>1</v>
      </c>
      <c r="AK118" s="66" t="s">
        <v>1781</v>
      </c>
      <c r="AL118" s="66">
        <f>IF(LEN(Множество[[#This Row],[Критерии]])&gt;0,1,-1)</f>
        <v>1</v>
      </c>
      <c r="AM118" s="66">
        <f>IF(AND(LEN(Множество[[#This Row],[Свёртка]])&gt;0,LEN(Множество[[#This Row],[Критерии]])&gt;0,LEN(Множество[[#This Row],[Оценки]])&gt;0),1,-1)</f>
        <v>1</v>
      </c>
      <c r="AN118">
        <v>5.0083333333333302</v>
      </c>
      <c r="AO118">
        <v>-16.283333333333299</v>
      </c>
      <c r="AP118" s="208"/>
      <c r="AQ118" s="208"/>
      <c r="AR118" s="226"/>
      <c r="AS118" s="225"/>
      <c r="AT118" s="226"/>
      <c r="AU118" s="225"/>
      <c r="AV118" s="225"/>
      <c r="AW118" s="225"/>
      <c r="AX118" s="225"/>
      <c r="AY118" s="225"/>
    </row>
    <row r="119" spans="2:51" x14ac:dyDescent="0.25">
      <c r="B119" s="209" t="str">
        <f ca="1">IF(AND(Критерий[[#This Row],[Критерий]]&lt;&gt;"",Критерий[[#This Row],[O.K.Критерий]]=1),ROW()-ROW(Критерий[[#Headers],[№]]),"")</f>
        <v/>
      </c>
      <c r="C119" s="84"/>
      <c r="D11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9" s="208" t="str">
        <f ca="1">IFERROR(IF(IFERROR(SEARCH("Прив",Критерий[[#This Row],[Фкритерий]]),0)&gt;0,"Критерий",IF(IFERROR(SEARCH("Матр",Критерий[[#This Row],[Фкритерий]]),0)&gt;0,"ошибка","ошибка")),"ошибка")</f>
        <v>ошибка</v>
      </c>
      <c r="F119" s="211" t="str">
        <f ca="1">IFERROR(IF(LEN((INDIRECT(Критерий[[#This Row],[СНаименование]],FALSE)))=0,"ошибка",IFERROR(INDIRECT(Критерий[[#This Row],[СНаименование]],FALSE),"ошибка")),"ошибка")</f>
        <v>ошибка</v>
      </c>
      <c r="G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9" s="208" t="str">
        <f ca="1">IFERROR(IF(N(INDIRECT(Критерий[[#This Row],[СФизКритерий]],FALSE))=0,"ошибка",IFERROR(INDIRECT(Критерий[[#This Row],[СФизКритерий]],FALSE),"ошибка")),"ошибка")</f>
        <v>ошибка</v>
      </c>
      <c r="I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9" s="208" t="str">
        <f ca="1">IFERROR(_xlfn.FORMULATEXT(INDIRECT(Критерий[[#This Row],[Скритерий]],FALSE)),"ошибка")</f>
        <v>ошибка</v>
      </c>
      <c r="M119" s="208" t="str">
        <f ca="1">IFERROR(IF(N(INDIRECT(Критерий[[#This Row],[СМинФизКритерий]],FALSE))=0,"ошибка",IFERROR(INDIRECT(Критерий[[#This Row],[СМинФизКритерий]],FALSE),"ошибка")),"ошибка")</f>
        <v>ошибка</v>
      </c>
      <c r="N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9" s="208" t="str">
        <f ca="1">IFERROR(IF(N(INDIRECT(Критерий[[#This Row],[СМаксФизКритерий]],FALSE))=0,"ошибка",IFERROR(INDIRECT(Критерий[[#This Row],[СМаксФизКритерий]],FALSE),"ошибка")),"ошибка")</f>
        <v>ошибка</v>
      </c>
      <c r="P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9" s="208" t="str">
        <f ca="1">IFERROR(IF(N(INDIRECT(Критерий[[#This Row],[ССрФизКритерий]],FALSE))=0,"ошибка",IFERROR(INDIRECT(Критерий[[#This Row],[ССрФизКритерий]],FALSE),"ошибка")),"")</f>
        <v/>
      </c>
      <c r="R11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9" s="212">
        <f ca="1">IFERROR(IF(AND(Критерий[[#This Row],[ВидКритерий]]="Критерий",IFERROR(SEARCH("Приведение",Критерий[[#This Row],[Фкритерий]]),0)&gt;0),1,-1),-1)</f>
        <v>-1</v>
      </c>
      <c r="AG119" s="66">
        <f>IF(AND(Множество[[#This Row],[Y]]=1),ROW()-ROW(Множество[[#Headers],[№]]),"")</f>
        <v>110</v>
      </c>
      <c r="AH119" t="s">
        <v>608</v>
      </c>
      <c r="AI119" s="66">
        <v>1</v>
      </c>
      <c r="AJ119" s="66">
        <f>IF(LEN(Множество[[#This Row],[Свёртка]])&gt;0,1,-1)</f>
        <v>1</v>
      </c>
      <c r="AK119" s="66" t="s">
        <v>1781</v>
      </c>
      <c r="AL119" s="66">
        <f>IF(LEN(Множество[[#This Row],[Критерии]])&gt;0,1,-1)</f>
        <v>1</v>
      </c>
      <c r="AM119" s="66">
        <f>IF(AND(LEN(Множество[[#This Row],[Свёртка]])&gt;0,LEN(Множество[[#This Row],[Критерии]])&gt;0,LEN(Множество[[#This Row],[Оценки]])&gt;0),1,-1)</f>
        <v>1</v>
      </c>
      <c r="AN119">
        <v>5.06666666666667</v>
      </c>
      <c r="AO119">
        <v>-16.3</v>
      </c>
      <c r="AP119" s="208"/>
      <c r="AQ119" s="208"/>
      <c r="AR119" s="226"/>
      <c r="AS119" s="225"/>
      <c r="AT119" s="226"/>
      <c r="AU119" s="225"/>
      <c r="AV119" s="225"/>
      <c r="AW119" s="225"/>
      <c r="AX119" s="225"/>
      <c r="AY119" s="225"/>
    </row>
    <row r="120" spans="2:51" x14ac:dyDescent="0.25">
      <c r="B120" s="209" t="str">
        <f ca="1">IF(AND(Критерий[[#This Row],[Критерий]]&lt;&gt;"",Критерий[[#This Row],[O.K.Критерий]]=1),ROW()-ROW(Критерий[[#Headers],[№]]),"")</f>
        <v/>
      </c>
      <c r="C120" s="84"/>
      <c r="D12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0" s="208" t="str">
        <f ca="1">IFERROR(IF(IFERROR(SEARCH("Прив",Критерий[[#This Row],[Фкритерий]]),0)&gt;0,"Критерий",IF(IFERROR(SEARCH("Матр",Критерий[[#This Row],[Фкритерий]]),0)&gt;0,"ошибка","ошибка")),"ошибка")</f>
        <v>ошибка</v>
      </c>
      <c r="F120" s="211" t="str">
        <f ca="1">IFERROR(IF(LEN((INDIRECT(Критерий[[#This Row],[СНаименование]],FALSE)))=0,"ошибка",IFERROR(INDIRECT(Критерий[[#This Row],[СНаименование]],FALSE),"ошибка")),"ошибка")</f>
        <v>ошибка</v>
      </c>
      <c r="G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0" s="208" t="str">
        <f ca="1">IFERROR(IF(N(INDIRECT(Критерий[[#This Row],[СФизКритерий]],FALSE))=0,"ошибка",IFERROR(INDIRECT(Критерий[[#This Row],[СФизКритерий]],FALSE),"ошибка")),"ошибка")</f>
        <v>ошибка</v>
      </c>
      <c r="I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0" s="208" t="str">
        <f ca="1">IFERROR(_xlfn.FORMULATEXT(INDIRECT(Критерий[[#This Row],[Скритерий]],FALSE)),"ошибка")</f>
        <v>ошибка</v>
      </c>
      <c r="M120" s="208" t="str">
        <f ca="1">IFERROR(IF(N(INDIRECT(Критерий[[#This Row],[СМинФизКритерий]],FALSE))=0,"ошибка",IFERROR(INDIRECT(Критерий[[#This Row],[СМинФизКритерий]],FALSE),"ошибка")),"ошибка")</f>
        <v>ошибка</v>
      </c>
      <c r="N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0" s="208" t="str">
        <f ca="1">IFERROR(IF(N(INDIRECT(Критерий[[#This Row],[СМаксФизКритерий]],FALSE))=0,"ошибка",IFERROR(INDIRECT(Критерий[[#This Row],[СМаксФизКритерий]],FALSE),"ошибка")),"ошибка")</f>
        <v>ошибка</v>
      </c>
      <c r="P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0" s="208" t="str">
        <f ca="1">IFERROR(IF(N(INDIRECT(Критерий[[#This Row],[ССрФизКритерий]],FALSE))=0,"ошибка",IFERROR(INDIRECT(Критерий[[#This Row],[ССрФизКритерий]],FALSE),"ошибка")),"")</f>
        <v/>
      </c>
      <c r="R12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0" s="212">
        <f ca="1">IFERROR(IF(AND(Критерий[[#This Row],[ВидКритерий]]="Критерий",IFERROR(SEARCH("Приведение",Критерий[[#This Row],[Фкритерий]]),0)&gt;0),1,-1),-1)</f>
        <v>-1</v>
      </c>
      <c r="AG120" s="66">
        <f>IF(AND(Множество[[#This Row],[Y]]=1),ROW()-ROW(Множество[[#Headers],[№]]),"")</f>
        <v>111</v>
      </c>
      <c r="AH120" t="s">
        <v>608</v>
      </c>
      <c r="AI120" s="66">
        <v>1</v>
      </c>
      <c r="AJ120" s="66">
        <f>IF(LEN(Множество[[#This Row],[Свёртка]])&gt;0,1,-1)</f>
        <v>1</v>
      </c>
      <c r="AK120" s="66" t="s">
        <v>1781</v>
      </c>
      <c r="AL120" s="66">
        <f>IF(LEN(Множество[[#This Row],[Критерии]])&gt;0,1,-1)</f>
        <v>1</v>
      </c>
      <c r="AM120" s="66">
        <f>IF(AND(LEN(Множество[[#This Row],[Свёртка]])&gt;0,LEN(Множество[[#This Row],[Критерии]])&gt;0,LEN(Множество[[#This Row],[Оценки]])&gt;0),1,-1)</f>
        <v>1</v>
      </c>
      <c r="AN120">
        <v>5.125</v>
      </c>
      <c r="AO120">
        <v>-16.316666666666698</v>
      </c>
      <c r="AP120" s="208"/>
      <c r="AQ120" s="208"/>
      <c r="AR120" s="226"/>
      <c r="AS120" s="225"/>
      <c r="AT120" s="226"/>
      <c r="AU120" s="225"/>
      <c r="AV120" s="225"/>
      <c r="AW120" s="225"/>
      <c r="AX120" s="225"/>
      <c r="AY120" s="225"/>
    </row>
    <row r="121" spans="2:51" x14ac:dyDescent="0.25">
      <c r="B121" s="209" t="str">
        <f ca="1">IF(AND(Критерий[[#This Row],[Критерий]]&lt;&gt;"",Критерий[[#This Row],[O.K.Критерий]]=1),ROW()-ROW(Критерий[[#Headers],[№]]),"")</f>
        <v/>
      </c>
      <c r="C121" s="84"/>
      <c r="D12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1" s="208" t="str">
        <f ca="1">IFERROR(IF(IFERROR(SEARCH("Прив",Критерий[[#This Row],[Фкритерий]]),0)&gt;0,"Критерий",IF(IFERROR(SEARCH("Матр",Критерий[[#This Row],[Фкритерий]]),0)&gt;0,"ошибка","ошибка")),"ошибка")</f>
        <v>ошибка</v>
      </c>
      <c r="F121" s="211" t="str">
        <f ca="1">IFERROR(IF(LEN((INDIRECT(Критерий[[#This Row],[СНаименование]],FALSE)))=0,"ошибка",IFERROR(INDIRECT(Критерий[[#This Row],[СНаименование]],FALSE),"ошибка")),"ошибка")</f>
        <v>ошибка</v>
      </c>
      <c r="G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1" s="208" t="str">
        <f ca="1">IFERROR(IF(N(INDIRECT(Критерий[[#This Row],[СФизКритерий]],FALSE))=0,"ошибка",IFERROR(INDIRECT(Критерий[[#This Row],[СФизКритерий]],FALSE),"ошибка")),"ошибка")</f>
        <v>ошибка</v>
      </c>
      <c r="I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1" s="208" t="str">
        <f ca="1">IFERROR(_xlfn.FORMULATEXT(INDIRECT(Критерий[[#This Row],[Скритерий]],FALSE)),"ошибка")</f>
        <v>ошибка</v>
      </c>
      <c r="M121" s="208" t="str">
        <f ca="1">IFERROR(IF(N(INDIRECT(Критерий[[#This Row],[СМинФизКритерий]],FALSE))=0,"ошибка",IFERROR(INDIRECT(Критерий[[#This Row],[СМинФизКритерий]],FALSE),"ошибка")),"ошибка")</f>
        <v>ошибка</v>
      </c>
      <c r="N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1" s="208" t="str">
        <f ca="1">IFERROR(IF(N(INDIRECT(Критерий[[#This Row],[СМаксФизКритерий]],FALSE))=0,"ошибка",IFERROR(INDIRECT(Критерий[[#This Row],[СМаксФизКритерий]],FALSE),"ошибка")),"ошибка")</f>
        <v>ошибка</v>
      </c>
      <c r="P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1" s="208" t="str">
        <f ca="1">IFERROR(IF(N(INDIRECT(Критерий[[#This Row],[ССрФизКритерий]],FALSE))=0,"ошибка",IFERROR(INDIRECT(Критерий[[#This Row],[ССрФизКритерий]],FALSE),"ошибка")),"")</f>
        <v/>
      </c>
      <c r="R12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1" s="212">
        <f ca="1">IFERROR(IF(AND(Критерий[[#This Row],[ВидКритерий]]="Критерий",IFERROR(SEARCH("Приведение",Критерий[[#This Row],[Фкритерий]]),0)&gt;0),1,-1),-1)</f>
        <v>-1</v>
      </c>
      <c r="AG121" s="66">
        <f>IF(AND(Множество[[#This Row],[Y]]=1),ROW()-ROW(Множество[[#Headers],[№]]),"")</f>
        <v>112</v>
      </c>
      <c r="AH121" t="s">
        <v>608</v>
      </c>
      <c r="AI121" s="66">
        <v>1</v>
      </c>
      <c r="AJ121" s="66">
        <f>IF(LEN(Множество[[#This Row],[Свёртка]])&gt;0,1,-1)</f>
        <v>1</v>
      </c>
      <c r="AK121" s="66" t="s">
        <v>1781</v>
      </c>
      <c r="AL121" s="66">
        <f>IF(LEN(Множество[[#This Row],[Критерии]])&gt;0,1,-1)</f>
        <v>1</v>
      </c>
      <c r="AM121" s="66">
        <f>IF(AND(LEN(Множество[[#This Row],[Свёртка]])&gt;0,LEN(Множество[[#This Row],[Критерии]])&gt;0,LEN(Множество[[#This Row],[Оценки]])&gt;0),1,-1)</f>
        <v>1</v>
      </c>
      <c r="AN121">
        <v>3.0833333333333299</v>
      </c>
      <c r="AO121">
        <v>-14.3166666666667</v>
      </c>
      <c r="AP121" s="208"/>
      <c r="AQ121" s="208"/>
      <c r="AR121" s="226"/>
      <c r="AS121" s="225"/>
      <c r="AT121" s="226"/>
      <c r="AU121" s="225"/>
      <c r="AV121" s="225"/>
      <c r="AW121" s="225"/>
      <c r="AX121" s="225"/>
      <c r="AY121" s="225"/>
    </row>
    <row r="122" spans="2:51" x14ac:dyDescent="0.25">
      <c r="B122" s="209" t="str">
        <f ca="1">IF(AND(Критерий[[#This Row],[Критерий]]&lt;&gt;"",Критерий[[#This Row],[O.K.Критерий]]=1),ROW()-ROW(Критерий[[#Headers],[№]]),"")</f>
        <v/>
      </c>
      <c r="C122" s="84"/>
      <c r="D12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2" s="208" t="str">
        <f ca="1">IFERROR(IF(IFERROR(SEARCH("Прив",Критерий[[#This Row],[Фкритерий]]),0)&gt;0,"Критерий",IF(IFERROR(SEARCH("Матр",Критерий[[#This Row],[Фкритерий]]),0)&gt;0,"ошибка","ошибка")),"ошибка")</f>
        <v>ошибка</v>
      </c>
      <c r="F122" s="211" t="str">
        <f ca="1">IFERROR(IF(LEN((INDIRECT(Критерий[[#This Row],[СНаименование]],FALSE)))=0,"ошибка",IFERROR(INDIRECT(Критерий[[#This Row],[СНаименование]],FALSE),"ошибка")),"ошибка")</f>
        <v>ошибка</v>
      </c>
      <c r="G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2" s="208" t="str">
        <f ca="1">IFERROR(IF(N(INDIRECT(Критерий[[#This Row],[СФизКритерий]],FALSE))=0,"ошибка",IFERROR(INDIRECT(Критерий[[#This Row],[СФизКритерий]],FALSE),"ошибка")),"ошибка")</f>
        <v>ошибка</v>
      </c>
      <c r="I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2" s="208" t="str">
        <f ca="1">IFERROR(_xlfn.FORMULATEXT(INDIRECT(Критерий[[#This Row],[Скритерий]],FALSE)),"ошибка")</f>
        <v>ошибка</v>
      </c>
      <c r="M122" s="208" t="str">
        <f ca="1">IFERROR(IF(N(INDIRECT(Критерий[[#This Row],[СМинФизКритерий]],FALSE))=0,"ошибка",IFERROR(INDIRECT(Критерий[[#This Row],[СМинФизКритерий]],FALSE),"ошибка")),"ошибка")</f>
        <v>ошибка</v>
      </c>
      <c r="N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2" s="208" t="str">
        <f ca="1">IFERROR(IF(N(INDIRECT(Критерий[[#This Row],[СМаксФизКритерий]],FALSE))=0,"ошибка",IFERROR(INDIRECT(Критерий[[#This Row],[СМаксФизКритерий]],FALSE),"ошибка")),"ошибка")</f>
        <v>ошибка</v>
      </c>
      <c r="P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2" s="208" t="str">
        <f ca="1">IFERROR(IF(N(INDIRECT(Критерий[[#This Row],[ССрФизКритерий]],FALSE))=0,"ошибка",IFERROR(INDIRECT(Критерий[[#This Row],[ССрФизКритерий]],FALSE),"ошибка")),"")</f>
        <v/>
      </c>
      <c r="R12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2" s="212">
        <f ca="1">IFERROR(IF(AND(Критерий[[#This Row],[ВидКритерий]]="Критерий",IFERROR(SEARCH("Приведение",Критерий[[#This Row],[Фкритерий]]),0)&gt;0),1,-1),-1)</f>
        <v>-1</v>
      </c>
      <c r="AG122" s="66">
        <f>IF(AND(Множество[[#This Row],[Y]]=1),ROW()-ROW(Множество[[#Headers],[№]]),"")</f>
        <v>113</v>
      </c>
      <c r="AH122" t="s">
        <v>608</v>
      </c>
      <c r="AI122" s="66">
        <v>1</v>
      </c>
      <c r="AJ122" s="66">
        <f>IF(LEN(Множество[[#This Row],[Свёртка]])&gt;0,1,-1)</f>
        <v>1</v>
      </c>
      <c r="AK122" s="66" t="s">
        <v>1781</v>
      </c>
      <c r="AL122" s="66">
        <f>IF(LEN(Множество[[#This Row],[Критерии]])&gt;0,1,-1)</f>
        <v>1</v>
      </c>
      <c r="AM122" s="66">
        <f>IF(AND(LEN(Множество[[#This Row],[Свёртка]])&gt;0,LEN(Множество[[#This Row],[Критерии]])&gt;0,LEN(Множество[[#This Row],[Оценки]])&gt;0),1,-1)</f>
        <v>1</v>
      </c>
      <c r="AN122">
        <v>3.0249999999999999</v>
      </c>
      <c r="AO122">
        <v>-14.35</v>
      </c>
      <c r="AP122" s="208"/>
      <c r="AQ122" s="208"/>
      <c r="AR122" s="226"/>
      <c r="AS122" s="225"/>
      <c r="AT122" s="226"/>
      <c r="AU122" s="225"/>
      <c r="AV122" s="225"/>
      <c r="AW122" s="225"/>
      <c r="AX122" s="225"/>
      <c r="AY122" s="225"/>
    </row>
    <row r="123" spans="2:51" x14ac:dyDescent="0.25">
      <c r="B123" s="209" t="str">
        <f ca="1">IF(AND(Критерий[[#This Row],[Критерий]]&lt;&gt;"",Критерий[[#This Row],[O.K.Критерий]]=1),ROW()-ROW(Критерий[[#Headers],[№]]),"")</f>
        <v/>
      </c>
      <c r="C123" s="84"/>
      <c r="D12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3" s="208" t="str">
        <f ca="1">IFERROR(IF(IFERROR(SEARCH("Прив",Критерий[[#This Row],[Фкритерий]]),0)&gt;0,"Критерий",IF(IFERROR(SEARCH("Матр",Критерий[[#This Row],[Фкритерий]]),0)&gt;0,"ошибка","ошибка")),"ошибка")</f>
        <v>ошибка</v>
      </c>
      <c r="F123" s="211" t="str">
        <f ca="1">IFERROR(IF(LEN((INDIRECT(Критерий[[#This Row],[СНаименование]],FALSE)))=0,"ошибка",IFERROR(INDIRECT(Критерий[[#This Row],[СНаименование]],FALSE),"ошибка")),"ошибка")</f>
        <v>ошибка</v>
      </c>
      <c r="G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3" s="208" t="str">
        <f ca="1">IFERROR(IF(N(INDIRECT(Критерий[[#This Row],[СФизКритерий]],FALSE))=0,"ошибка",IFERROR(INDIRECT(Критерий[[#This Row],[СФизКритерий]],FALSE),"ошибка")),"ошибка")</f>
        <v>ошибка</v>
      </c>
      <c r="I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3" s="208" t="str">
        <f ca="1">IFERROR(_xlfn.FORMULATEXT(INDIRECT(Критерий[[#This Row],[Скритерий]],FALSE)),"ошибка")</f>
        <v>ошибка</v>
      </c>
      <c r="M123" s="208" t="str">
        <f ca="1">IFERROR(IF(N(INDIRECT(Критерий[[#This Row],[СМинФизКритерий]],FALSE))=0,"ошибка",IFERROR(INDIRECT(Критерий[[#This Row],[СМинФизКритерий]],FALSE),"ошибка")),"ошибка")</f>
        <v>ошибка</v>
      </c>
      <c r="N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3" s="208" t="str">
        <f ca="1">IFERROR(IF(N(INDIRECT(Критерий[[#This Row],[СМаксФизКритерий]],FALSE))=0,"ошибка",IFERROR(INDIRECT(Критерий[[#This Row],[СМаксФизКритерий]],FALSE),"ошибка")),"ошибка")</f>
        <v>ошибка</v>
      </c>
      <c r="P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3" s="208" t="str">
        <f ca="1">IFERROR(IF(N(INDIRECT(Критерий[[#This Row],[ССрФизКритерий]],FALSE))=0,"ошибка",IFERROR(INDIRECT(Критерий[[#This Row],[ССрФизКритерий]],FALSE),"ошибка")),"")</f>
        <v/>
      </c>
      <c r="R12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3" s="212">
        <f ca="1">IFERROR(IF(AND(Критерий[[#This Row],[ВидКритерий]]="Критерий",IFERROR(SEARCH("Приведение",Критерий[[#This Row],[Фкритерий]]),0)&gt;0),1,-1),-1)</f>
        <v>-1</v>
      </c>
      <c r="AG123" s="66">
        <f>IF(AND(Множество[[#This Row],[Y]]=1),ROW()-ROW(Множество[[#Headers],[№]]),"")</f>
        <v>114</v>
      </c>
      <c r="AH123" t="s">
        <v>608</v>
      </c>
      <c r="AI123" s="66">
        <v>1</v>
      </c>
      <c r="AJ123" s="66">
        <f>IF(LEN(Множество[[#This Row],[Свёртка]])&gt;0,1,-1)</f>
        <v>1</v>
      </c>
      <c r="AK123" s="66" t="s">
        <v>1781</v>
      </c>
      <c r="AL123" s="66">
        <f>IF(LEN(Множество[[#This Row],[Критерии]])&gt;0,1,-1)</f>
        <v>1</v>
      </c>
      <c r="AM123" s="66">
        <f>IF(AND(LEN(Множество[[#This Row],[Свёртка]])&gt;0,LEN(Множество[[#This Row],[Критерии]])&gt;0,LEN(Множество[[#This Row],[Оценки]])&gt;0),1,-1)</f>
        <v>1</v>
      </c>
      <c r="AN123">
        <v>4.95</v>
      </c>
      <c r="AO123">
        <v>-16.283333333333299</v>
      </c>
      <c r="AP123" s="208"/>
      <c r="AQ123" s="208"/>
      <c r="AR123" s="226"/>
      <c r="AS123" s="225"/>
      <c r="AT123" s="226"/>
      <c r="AU123" s="225"/>
      <c r="AV123" s="225"/>
      <c r="AW123" s="225"/>
      <c r="AX123" s="225"/>
      <c r="AY123" s="225"/>
    </row>
    <row r="124" spans="2:51" x14ac:dyDescent="0.25">
      <c r="AG124" s="66">
        <f>IF(AND(Множество[[#This Row],[Y]]=1),ROW()-ROW(Множество[[#Headers],[№]]),"")</f>
        <v>115</v>
      </c>
      <c r="AH124" t="s">
        <v>608</v>
      </c>
      <c r="AI124" s="66">
        <v>1</v>
      </c>
      <c r="AJ124" s="66">
        <f>IF(LEN(Множество[[#This Row],[Свёртка]])&gt;0,1,-1)</f>
        <v>1</v>
      </c>
      <c r="AK124" s="66" t="s">
        <v>1781</v>
      </c>
      <c r="AL124" s="66">
        <f>IF(LEN(Множество[[#This Row],[Критерии]])&gt;0,1,-1)</f>
        <v>1</v>
      </c>
      <c r="AM124" s="66">
        <f>IF(AND(LEN(Множество[[#This Row],[Свёртка]])&gt;0,LEN(Множество[[#This Row],[Критерии]])&gt;0,LEN(Множество[[#This Row],[Оценки]])&gt;0),1,-1)</f>
        <v>1</v>
      </c>
      <c r="AN124">
        <v>4.8916666666666702</v>
      </c>
      <c r="AO124">
        <v>-16.266666666666701</v>
      </c>
      <c r="AP124" s="208"/>
      <c r="AQ124" s="208"/>
      <c r="AR124" s="226"/>
      <c r="AS124" s="225"/>
      <c r="AT124" s="226"/>
      <c r="AU124" s="225"/>
      <c r="AV124" s="225"/>
      <c r="AW124" s="225"/>
      <c r="AX124" s="225"/>
      <c r="AY124" s="225"/>
    </row>
    <row r="125" spans="2:51" x14ac:dyDescent="0.25">
      <c r="AG125" s="66">
        <f>IF(AND(Множество[[#This Row],[Y]]=1),ROW()-ROW(Множество[[#Headers],[№]]),"")</f>
        <v>116</v>
      </c>
      <c r="AH125" t="s">
        <v>608</v>
      </c>
      <c r="AI125" s="66">
        <v>1</v>
      </c>
      <c r="AJ125" s="66">
        <f>IF(LEN(Множество[[#This Row],[Свёртка]])&gt;0,1,-1)</f>
        <v>1</v>
      </c>
      <c r="AK125" s="66" t="s">
        <v>1781</v>
      </c>
      <c r="AL125" s="66">
        <f>IF(LEN(Множество[[#This Row],[Критерии]])&gt;0,1,-1)</f>
        <v>1</v>
      </c>
      <c r="AM125" s="66">
        <f>IF(AND(LEN(Множество[[#This Row],[Свёртка]])&gt;0,LEN(Множество[[#This Row],[Критерии]])&gt;0,LEN(Множество[[#This Row],[Оценки]])&gt;0),1,-1)</f>
        <v>1</v>
      </c>
      <c r="AN125">
        <v>2.9083333333333301</v>
      </c>
      <c r="AO125">
        <v>-14.383333333333301</v>
      </c>
      <c r="AP125" s="208"/>
      <c r="AQ125" s="208"/>
      <c r="AR125" s="226"/>
      <c r="AS125" s="225"/>
      <c r="AT125" s="226"/>
      <c r="AU125" s="225"/>
      <c r="AV125" s="225"/>
      <c r="AW125" s="225"/>
      <c r="AX125" s="225"/>
      <c r="AY125" s="225"/>
    </row>
    <row r="126" spans="2:51" x14ac:dyDescent="0.25">
      <c r="AG126" s="66">
        <f>IF(AND(Множество[[#This Row],[Y]]=1),ROW()-ROW(Множество[[#Headers],[№]]),"")</f>
        <v>117</v>
      </c>
      <c r="AH126" t="s">
        <v>608</v>
      </c>
      <c r="AI126" s="66">
        <v>1</v>
      </c>
      <c r="AJ126" s="66">
        <f>IF(LEN(Множество[[#This Row],[Свёртка]])&gt;0,1,-1)</f>
        <v>1</v>
      </c>
      <c r="AK126" s="66" t="s">
        <v>1781</v>
      </c>
      <c r="AL126" s="66">
        <f>IF(LEN(Множество[[#This Row],[Критерии]])&gt;0,1,-1)</f>
        <v>1</v>
      </c>
      <c r="AM126" s="66">
        <f>IF(AND(LEN(Множество[[#This Row],[Свёртка]])&gt;0,LEN(Множество[[#This Row],[Критерии]])&gt;0,LEN(Множество[[#This Row],[Оценки]])&gt;0),1,-1)</f>
        <v>1</v>
      </c>
      <c r="AN126">
        <v>2.9666666666666699</v>
      </c>
      <c r="AO126">
        <v>-14.366666666666699</v>
      </c>
      <c r="AP126" s="208"/>
      <c r="AQ126" s="208"/>
      <c r="AR126" s="226"/>
      <c r="AS126" s="225"/>
      <c r="AT126" s="226"/>
      <c r="AU126" s="225"/>
      <c r="AV126" s="225"/>
      <c r="AW126" s="225"/>
      <c r="AX126" s="225"/>
      <c r="AY126" s="225"/>
    </row>
    <row r="127" spans="2:51" x14ac:dyDescent="0.25">
      <c r="AG127" s="66">
        <f>IF(AND(Множество[[#This Row],[Y]]=1),ROW()-ROW(Множество[[#Headers],[№]]),"")</f>
        <v>118</v>
      </c>
      <c r="AH127" t="s">
        <v>608</v>
      </c>
      <c r="AI127" s="66">
        <v>1</v>
      </c>
      <c r="AJ127" s="66">
        <f>IF(LEN(Множество[[#This Row],[Свёртка]])&gt;0,1,-1)</f>
        <v>1</v>
      </c>
      <c r="AK127" s="66" t="s">
        <v>1781</v>
      </c>
      <c r="AL127" s="66">
        <f>IF(LEN(Множество[[#This Row],[Критерии]])&gt;0,1,-1)</f>
        <v>1</v>
      </c>
      <c r="AM127" s="66">
        <f>IF(AND(LEN(Множество[[#This Row],[Свёртка]])&gt;0,LEN(Множество[[#This Row],[Критерии]])&gt;0,LEN(Множество[[#This Row],[Оценки]])&gt;0),1,-1)</f>
        <v>1</v>
      </c>
      <c r="AN127">
        <v>4.7750000000000004</v>
      </c>
      <c r="AO127">
        <v>-16.233333333333299</v>
      </c>
      <c r="AP127" s="208"/>
      <c r="AQ127" s="208"/>
      <c r="AR127" s="226"/>
      <c r="AS127" s="225"/>
      <c r="AT127" s="226"/>
      <c r="AU127" s="225"/>
      <c r="AV127" s="225"/>
      <c r="AW127" s="225"/>
      <c r="AX127" s="225"/>
      <c r="AY127" s="225"/>
    </row>
    <row r="128" spans="2:51" x14ac:dyDescent="0.25">
      <c r="AG128" s="66">
        <f>IF(AND(Множество[[#This Row],[Y]]=1),ROW()-ROW(Множество[[#Headers],[№]]),"")</f>
        <v>119</v>
      </c>
      <c r="AH128" t="s">
        <v>608</v>
      </c>
      <c r="AI128" s="66">
        <v>1</v>
      </c>
      <c r="AJ128" s="66">
        <f>IF(LEN(Множество[[#This Row],[Свёртка]])&gt;0,1,-1)</f>
        <v>1</v>
      </c>
      <c r="AK128" s="66" t="s">
        <v>1781</v>
      </c>
      <c r="AL128" s="66">
        <f>IF(LEN(Множество[[#This Row],[Критерии]])&gt;0,1,-1)</f>
        <v>1</v>
      </c>
      <c r="AM128" s="66">
        <f>IF(AND(LEN(Множество[[#This Row],[Свёртка]])&gt;0,LEN(Множество[[#This Row],[Критерии]])&gt;0,LEN(Множество[[#This Row],[Оценки]])&gt;0),1,-1)</f>
        <v>1</v>
      </c>
      <c r="AN128">
        <v>4.8333333333333304</v>
      </c>
      <c r="AO128">
        <v>-16.25</v>
      </c>
      <c r="AP128" s="208"/>
      <c r="AQ128" s="208"/>
      <c r="AR128" s="226"/>
      <c r="AS128" s="225"/>
      <c r="AT128" s="226"/>
      <c r="AU128" s="225"/>
      <c r="AV128" s="225"/>
      <c r="AW128" s="225"/>
      <c r="AX128" s="225"/>
      <c r="AY128" s="225"/>
    </row>
    <row r="129" spans="33:51" x14ac:dyDescent="0.25">
      <c r="AG129" s="66">
        <f>IF(AND(Множество[[#This Row],[Y]]=1),ROW()-ROW(Множество[[#Headers],[№]]),"")</f>
        <v>120</v>
      </c>
      <c r="AH129" t="s">
        <v>608</v>
      </c>
      <c r="AI129" s="66">
        <v>1</v>
      </c>
      <c r="AJ129" s="66">
        <f>IF(LEN(Множество[[#This Row],[Свёртка]])&gt;0,1,-1)</f>
        <v>1</v>
      </c>
      <c r="AK129" s="66" t="s">
        <v>1781</v>
      </c>
      <c r="AL129" s="66">
        <f>IF(LEN(Множество[[#This Row],[Критерии]])&gt;0,1,-1)</f>
        <v>1</v>
      </c>
      <c r="AM129" s="66">
        <f>IF(AND(LEN(Множество[[#This Row],[Свёртка]])&gt;0,LEN(Множество[[#This Row],[Критерии]])&gt;0,LEN(Множество[[#This Row],[Оценки]])&gt;0),1,-1)</f>
        <v>1</v>
      </c>
      <c r="AN129">
        <v>4.7166666666666703</v>
      </c>
      <c r="AO129">
        <v>-16.216666666666701</v>
      </c>
      <c r="AP129" s="208"/>
      <c r="AQ129" s="208"/>
      <c r="AR129" s="226"/>
      <c r="AS129" s="225"/>
      <c r="AT129" s="226"/>
      <c r="AU129" s="225"/>
      <c r="AV129" s="225"/>
      <c r="AW129" s="225"/>
      <c r="AX129" s="225"/>
      <c r="AY129" s="225"/>
    </row>
    <row r="130" spans="33:51" x14ac:dyDescent="0.25">
      <c r="AG130" s="66">
        <f>IF(AND(Множество[[#This Row],[Y]]=1),ROW()-ROW(Множество[[#Headers],[№]]),"")</f>
        <v>121</v>
      </c>
      <c r="AH130" t="s">
        <v>608</v>
      </c>
      <c r="AI130" s="66">
        <v>1</v>
      </c>
      <c r="AJ130" s="66">
        <f>IF(LEN(Множество[[#This Row],[Свёртка]])&gt;0,1,-1)</f>
        <v>1</v>
      </c>
      <c r="AK130" s="66" t="s">
        <v>1781</v>
      </c>
      <c r="AL130" s="66">
        <f>IF(LEN(Множество[[#This Row],[Критерии]])&gt;0,1,-1)</f>
        <v>1</v>
      </c>
      <c r="AM130" s="66">
        <f>IF(AND(LEN(Множество[[#This Row],[Свёртка]])&gt;0,LEN(Множество[[#This Row],[Критерии]])&gt;0,LEN(Множество[[#This Row],[Оценки]])&gt;0),1,-1)</f>
        <v>1</v>
      </c>
      <c r="AN130">
        <v>4.6583333333333297</v>
      </c>
      <c r="AO130">
        <v>-16.216666666666701</v>
      </c>
      <c r="AP130" s="208"/>
      <c r="AQ130" s="208"/>
      <c r="AR130" s="226"/>
      <c r="AS130" s="225"/>
      <c r="AT130" s="226"/>
      <c r="AU130" s="225"/>
      <c r="AV130" s="225"/>
      <c r="AW130" s="225"/>
      <c r="AX130" s="225"/>
      <c r="AY130" s="225"/>
    </row>
    <row r="131" spans="33:51" x14ac:dyDescent="0.25">
      <c r="AG131" s="66">
        <f>IF(AND(Множество[[#This Row],[Y]]=1),ROW()-ROW(Множество[[#Headers],[№]]),"")</f>
        <v>122</v>
      </c>
      <c r="AH131" t="s">
        <v>608</v>
      </c>
      <c r="AI131" s="66">
        <v>1</v>
      </c>
      <c r="AJ131" s="66">
        <f>IF(LEN(Множество[[#This Row],[Свёртка]])&gt;0,1,-1)</f>
        <v>1</v>
      </c>
      <c r="AK131" s="66" t="s">
        <v>1781</v>
      </c>
      <c r="AL131" s="66">
        <f>IF(LEN(Множество[[#This Row],[Критерии]])&gt;0,1,-1)</f>
        <v>1</v>
      </c>
      <c r="AM131" s="66">
        <f>IF(AND(LEN(Множество[[#This Row],[Свёртка]])&gt;0,LEN(Множество[[#This Row],[Критерии]])&gt;0,LEN(Множество[[#This Row],[Оценки]])&gt;0),1,-1)</f>
        <v>1</v>
      </c>
      <c r="AN131">
        <v>2.85</v>
      </c>
      <c r="AO131">
        <v>-14.4</v>
      </c>
      <c r="AP131" s="208"/>
      <c r="AQ131" s="208"/>
      <c r="AR131" s="226"/>
      <c r="AS131" s="225"/>
      <c r="AT131" s="226"/>
      <c r="AU131" s="225"/>
      <c r="AV131" s="225"/>
      <c r="AW131" s="225"/>
      <c r="AX131" s="225"/>
      <c r="AY131" s="225"/>
    </row>
    <row r="132" spans="33:51" x14ac:dyDescent="0.25">
      <c r="AG132" s="66">
        <f>IF(AND(Множество[[#This Row],[Y]]=1),ROW()-ROW(Множество[[#Headers],[№]]),"")</f>
        <v>123</v>
      </c>
      <c r="AH132" t="s">
        <v>608</v>
      </c>
      <c r="AI132" s="66">
        <v>1</v>
      </c>
      <c r="AJ132" s="66">
        <f>IF(LEN(Множество[[#This Row],[Свёртка]])&gt;0,1,-1)</f>
        <v>1</v>
      </c>
      <c r="AK132" s="66" t="s">
        <v>1781</v>
      </c>
      <c r="AL132" s="66">
        <f>IF(LEN(Множество[[#This Row],[Критерии]])&gt;0,1,-1)</f>
        <v>1</v>
      </c>
      <c r="AM132" s="66">
        <f>IF(AND(LEN(Множество[[#This Row],[Свёртка]])&gt;0,LEN(Множество[[#This Row],[Критерии]])&gt;0,LEN(Множество[[#This Row],[Оценки]])&gt;0),1,-1)</f>
        <v>1</v>
      </c>
      <c r="AN132">
        <v>4.4833333333333298</v>
      </c>
      <c r="AO132">
        <v>-16.1666666666667</v>
      </c>
      <c r="AP132" s="208"/>
      <c r="AQ132" s="208"/>
      <c r="AR132" s="226"/>
      <c r="AS132" s="225"/>
      <c r="AT132" s="226"/>
      <c r="AU132" s="225"/>
      <c r="AV132" s="225"/>
      <c r="AW132" s="225"/>
      <c r="AX132" s="225"/>
      <c r="AY132" s="225"/>
    </row>
    <row r="133" spans="33:51" x14ac:dyDescent="0.25">
      <c r="AG133" s="66">
        <f>IF(AND(Множество[[#This Row],[Y]]=1),ROW()-ROW(Множество[[#Headers],[№]]),"")</f>
        <v>124</v>
      </c>
      <c r="AH133" t="s">
        <v>608</v>
      </c>
      <c r="AI133" s="66">
        <v>1</v>
      </c>
      <c r="AJ133" s="66">
        <f>IF(LEN(Множество[[#This Row],[Свёртка]])&gt;0,1,-1)</f>
        <v>1</v>
      </c>
      <c r="AK133" s="66" t="s">
        <v>1781</v>
      </c>
      <c r="AL133" s="66">
        <f>IF(LEN(Множество[[#This Row],[Критерии]])&gt;0,1,-1)</f>
        <v>1</v>
      </c>
      <c r="AM133" s="66">
        <f>IF(AND(LEN(Множество[[#This Row],[Свёртка]])&gt;0,LEN(Множество[[#This Row],[Критерии]])&gt;0,LEN(Множество[[#This Row],[Оценки]])&gt;0),1,-1)</f>
        <v>1</v>
      </c>
      <c r="AN133">
        <v>2.7916666666666701</v>
      </c>
      <c r="AO133">
        <v>-14.4333333333333</v>
      </c>
      <c r="AP133" s="208"/>
      <c r="AQ133" s="208"/>
      <c r="AR133" s="226"/>
      <c r="AS133" s="225"/>
      <c r="AT133" s="226"/>
      <c r="AU133" s="225"/>
      <c r="AV133" s="225"/>
      <c r="AW133" s="225"/>
      <c r="AX133" s="225"/>
      <c r="AY133" s="225"/>
    </row>
    <row r="134" spans="33:51" x14ac:dyDescent="0.25">
      <c r="AG134" s="66">
        <f>IF(AND(Множество[[#This Row],[Y]]=1),ROW()-ROW(Множество[[#Headers],[№]]),"")</f>
        <v>125</v>
      </c>
      <c r="AH134" t="s">
        <v>608</v>
      </c>
      <c r="AI134" s="66">
        <v>1</v>
      </c>
      <c r="AJ134" s="66">
        <f>IF(LEN(Множество[[#This Row],[Свёртка]])&gt;0,1,-1)</f>
        <v>1</v>
      </c>
      <c r="AK134" s="66" t="s">
        <v>1781</v>
      </c>
      <c r="AL134" s="66">
        <f>IF(LEN(Множество[[#This Row],[Критерии]])&gt;0,1,-1)</f>
        <v>1</v>
      </c>
      <c r="AM134" s="66">
        <f>IF(AND(LEN(Множество[[#This Row],[Свёртка]])&gt;0,LEN(Множество[[#This Row],[Критерии]])&gt;0,LEN(Множество[[#This Row],[Оценки]])&gt;0),1,-1)</f>
        <v>1</v>
      </c>
      <c r="AN134">
        <v>4.5999999999999996</v>
      </c>
      <c r="AO134">
        <v>-16.2</v>
      </c>
      <c r="AP134" s="208"/>
      <c r="AQ134" s="208"/>
      <c r="AR134" s="226"/>
      <c r="AS134" s="225"/>
      <c r="AT134" s="226"/>
      <c r="AU134" s="225"/>
      <c r="AV134" s="225"/>
      <c r="AW134" s="225"/>
      <c r="AX134" s="225"/>
      <c r="AY134" s="225"/>
    </row>
    <row r="135" spans="33:51" x14ac:dyDescent="0.25">
      <c r="AG135" s="66">
        <f>IF(AND(Множество[[#This Row],[Y]]=1),ROW()-ROW(Множество[[#Headers],[№]]),"")</f>
        <v>126</v>
      </c>
      <c r="AH135" t="s">
        <v>608</v>
      </c>
      <c r="AI135" s="66">
        <v>1</v>
      </c>
      <c r="AJ135" s="66">
        <f>IF(LEN(Множество[[#This Row],[Свёртка]])&gt;0,1,-1)</f>
        <v>1</v>
      </c>
      <c r="AK135" s="66" t="s">
        <v>1781</v>
      </c>
      <c r="AL135" s="66">
        <f>IF(LEN(Множество[[#This Row],[Критерии]])&gt;0,1,-1)</f>
        <v>1</v>
      </c>
      <c r="AM135" s="66">
        <f>IF(AND(LEN(Множество[[#This Row],[Свёртка]])&gt;0,LEN(Множество[[#This Row],[Критерии]])&gt;0,LEN(Множество[[#This Row],[Оценки]])&gt;0),1,-1)</f>
        <v>1</v>
      </c>
      <c r="AN135">
        <v>4.5416666666666696</v>
      </c>
      <c r="AO135">
        <v>-16.183333333333302</v>
      </c>
      <c r="AP135" s="208"/>
      <c r="AQ135" s="208"/>
      <c r="AR135" s="226"/>
      <c r="AS135" s="225"/>
      <c r="AT135" s="226"/>
      <c r="AU135" s="225"/>
      <c r="AV135" s="225"/>
      <c r="AW135" s="225"/>
      <c r="AX135" s="225"/>
      <c r="AY135" s="225"/>
    </row>
    <row r="136" spans="33:51" x14ac:dyDescent="0.25">
      <c r="AG136" s="66">
        <f>IF(AND(Множество[[#This Row],[Y]]=1),ROW()-ROW(Множество[[#Headers],[№]]),"")</f>
        <v>127</v>
      </c>
      <c r="AH136" t="s">
        <v>608</v>
      </c>
      <c r="AI136" s="66">
        <v>1</v>
      </c>
      <c r="AJ136" s="66">
        <f>IF(LEN(Множество[[#This Row],[Свёртка]])&gt;0,1,-1)</f>
        <v>1</v>
      </c>
      <c r="AK136" s="66" t="s">
        <v>1781</v>
      </c>
      <c r="AL136" s="66">
        <f>IF(LEN(Множество[[#This Row],[Критерии]])&gt;0,1,-1)</f>
        <v>1</v>
      </c>
      <c r="AM136" s="66">
        <f>IF(AND(LEN(Множество[[#This Row],[Свёртка]])&gt;0,LEN(Множество[[#This Row],[Критерии]])&gt;0,LEN(Множество[[#This Row],[Оценки]])&gt;0),1,-1)</f>
        <v>1</v>
      </c>
      <c r="AN136">
        <v>6.7</v>
      </c>
      <c r="AO136">
        <v>-18.3333333333333</v>
      </c>
      <c r="AP136" s="208"/>
      <c r="AQ136" s="208"/>
      <c r="AR136" s="226"/>
      <c r="AS136" s="225"/>
      <c r="AT136" s="226"/>
      <c r="AU136" s="225"/>
      <c r="AV136" s="225"/>
      <c r="AW136" s="225"/>
      <c r="AX136" s="225"/>
      <c r="AY136" s="225"/>
    </row>
    <row r="137" spans="33:51" x14ac:dyDescent="0.25">
      <c r="AG137" s="66">
        <f>IF(AND(Множество[[#This Row],[Y]]=1),ROW()-ROW(Множество[[#Headers],[№]]),"")</f>
        <v>128</v>
      </c>
      <c r="AH137" t="s">
        <v>608</v>
      </c>
      <c r="AI137" s="66">
        <v>1</v>
      </c>
      <c r="AJ137" s="66">
        <f>IF(LEN(Множество[[#This Row],[Свёртка]])&gt;0,1,-1)</f>
        <v>1</v>
      </c>
      <c r="AK137" s="66" t="s">
        <v>1781</v>
      </c>
      <c r="AL137" s="66">
        <f>IF(LEN(Множество[[#This Row],[Критерии]])&gt;0,1,-1)</f>
        <v>1</v>
      </c>
      <c r="AM137" s="66">
        <f>IF(AND(LEN(Множество[[#This Row],[Свёртка]])&gt;0,LEN(Множество[[#This Row],[Критерии]])&gt;0,LEN(Множество[[#This Row],[Оценки]])&gt;0),1,-1)</f>
        <v>1</v>
      </c>
      <c r="AN137">
        <v>4.3666666666666698</v>
      </c>
      <c r="AO137">
        <v>-16.149999999999999</v>
      </c>
      <c r="AP137" s="208"/>
      <c r="AQ137" s="208"/>
      <c r="AR137" s="226"/>
      <c r="AS137" s="225"/>
      <c r="AT137" s="226"/>
      <c r="AU137" s="225"/>
      <c r="AV137" s="225"/>
      <c r="AW137" s="225"/>
      <c r="AX137" s="225"/>
      <c r="AY137" s="225"/>
    </row>
    <row r="138" spans="33:51" x14ac:dyDescent="0.25">
      <c r="AG138" s="66">
        <f>IF(AND(Множество[[#This Row],[Y]]=1),ROW()-ROW(Множество[[#Headers],[№]]),"")</f>
        <v>129</v>
      </c>
      <c r="AH138" t="s">
        <v>608</v>
      </c>
      <c r="AI138" s="66">
        <v>1</v>
      </c>
      <c r="AJ138" s="66">
        <f>IF(LEN(Множество[[#This Row],[Свёртка]])&gt;0,1,-1)</f>
        <v>1</v>
      </c>
      <c r="AK138" s="66" t="s">
        <v>1781</v>
      </c>
      <c r="AL138" s="66">
        <f>IF(LEN(Множество[[#This Row],[Критерии]])&gt;0,1,-1)</f>
        <v>1</v>
      </c>
      <c r="AM138" s="66">
        <f>IF(AND(LEN(Множество[[#This Row],[Свёртка]])&gt;0,LEN(Множество[[#This Row],[Критерии]])&gt;0,LEN(Множество[[#This Row],[Оценки]])&gt;0),1,-1)</f>
        <v>1</v>
      </c>
      <c r="AN138">
        <v>4.4249999999999998</v>
      </c>
      <c r="AO138">
        <v>-16.1666666666667</v>
      </c>
      <c r="AP138" s="208"/>
      <c r="AQ138" s="208"/>
      <c r="AR138" s="226"/>
      <c r="AS138" s="225"/>
      <c r="AT138" s="226"/>
      <c r="AU138" s="225"/>
      <c r="AV138" s="225"/>
      <c r="AW138" s="225"/>
      <c r="AX138" s="225"/>
      <c r="AY138" s="225"/>
    </row>
    <row r="139" spans="33:51" x14ac:dyDescent="0.25">
      <c r="AG139" s="66">
        <f>IF(AND(Множество[[#This Row],[Y]]=1),ROW()-ROW(Множество[[#Headers],[№]]),"")</f>
        <v>130</v>
      </c>
      <c r="AH139" t="s">
        <v>608</v>
      </c>
      <c r="AI139" s="66">
        <v>1</v>
      </c>
      <c r="AJ139" s="66">
        <f>IF(LEN(Множество[[#This Row],[Свёртка]])&gt;0,1,-1)</f>
        <v>1</v>
      </c>
      <c r="AK139" s="66" t="s">
        <v>1781</v>
      </c>
      <c r="AL139" s="66">
        <f>IF(LEN(Множество[[#This Row],[Критерии]])&gt;0,1,-1)</f>
        <v>1</v>
      </c>
      <c r="AM139" s="66">
        <f>IF(AND(LEN(Множество[[#This Row],[Свёртка]])&gt;0,LEN(Множество[[#This Row],[Критерии]])&gt;0,LEN(Множество[[#This Row],[Оценки]])&gt;0),1,-1)</f>
        <v>1</v>
      </c>
      <c r="AN139">
        <v>2.7333333333333298</v>
      </c>
      <c r="AO139">
        <v>-14.45</v>
      </c>
      <c r="AP139" s="208"/>
      <c r="AQ139" s="208"/>
      <c r="AR139" s="226"/>
      <c r="AS139" s="225"/>
      <c r="AT139" s="226"/>
      <c r="AU139" s="225"/>
      <c r="AV139" s="225"/>
      <c r="AW139" s="225"/>
      <c r="AX139" s="225"/>
      <c r="AY139" s="225"/>
    </row>
    <row r="140" spans="33:51" x14ac:dyDescent="0.25">
      <c r="AG140" s="66">
        <f>IF(AND(Множество[[#This Row],[Y]]=1),ROW()-ROW(Множество[[#Headers],[№]]),"")</f>
        <v>131</v>
      </c>
      <c r="AH140" t="s">
        <v>608</v>
      </c>
      <c r="AI140" s="66">
        <v>1</v>
      </c>
      <c r="AJ140" s="66">
        <f>IF(LEN(Множество[[#This Row],[Свёртка]])&gt;0,1,-1)</f>
        <v>1</v>
      </c>
      <c r="AK140" s="66" t="s">
        <v>1781</v>
      </c>
      <c r="AL140" s="66">
        <f>IF(LEN(Множество[[#This Row],[Критерии]])&gt;0,1,-1)</f>
        <v>1</v>
      </c>
      <c r="AM140" s="66">
        <f>IF(AND(LEN(Множество[[#This Row],[Свёртка]])&gt;0,LEN(Множество[[#This Row],[Критерии]])&gt;0,LEN(Множество[[#This Row],[Оценки]])&gt;0),1,-1)</f>
        <v>1</v>
      </c>
      <c r="AN140">
        <v>2.6749999999999998</v>
      </c>
      <c r="AO140">
        <v>-14.466666666666701</v>
      </c>
      <c r="AP140" s="208"/>
      <c r="AQ140" s="208"/>
      <c r="AR140" s="226"/>
      <c r="AS140" s="225"/>
      <c r="AT140" s="226"/>
      <c r="AU140" s="225"/>
      <c r="AV140" s="225"/>
      <c r="AW140" s="225"/>
      <c r="AX140" s="225"/>
      <c r="AY140" s="225"/>
    </row>
    <row r="141" spans="33:51" x14ac:dyDescent="0.25">
      <c r="AG141" s="66">
        <f>IF(AND(Множество[[#This Row],[Y]]=1),ROW()-ROW(Множество[[#Headers],[№]]),"")</f>
        <v>132</v>
      </c>
      <c r="AH141" t="s">
        <v>608</v>
      </c>
      <c r="AI141" s="66">
        <v>1</v>
      </c>
      <c r="AJ141" s="66">
        <f>IF(LEN(Множество[[#This Row],[Свёртка]])&gt;0,1,-1)</f>
        <v>1</v>
      </c>
      <c r="AK141" s="66" t="s">
        <v>1781</v>
      </c>
      <c r="AL141" s="66">
        <f>IF(LEN(Множество[[#This Row],[Критерии]])&gt;0,1,-1)</f>
        <v>1</v>
      </c>
      <c r="AM141" s="66">
        <f>IF(AND(LEN(Множество[[#This Row],[Свёртка]])&gt;0,LEN(Множество[[#This Row],[Критерии]])&gt;0,LEN(Множество[[#This Row],[Оценки]])&gt;0),1,-1)</f>
        <v>1</v>
      </c>
      <c r="AN141">
        <v>2.6166666666666698</v>
      </c>
      <c r="AO141">
        <v>-14.483333333333301</v>
      </c>
      <c r="AP141" s="208"/>
      <c r="AQ141" s="208"/>
      <c r="AR141" s="226"/>
      <c r="AS141" s="225"/>
      <c r="AT141" s="226"/>
      <c r="AU141" s="225"/>
      <c r="AV141" s="225"/>
      <c r="AW141" s="225"/>
      <c r="AX141" s="225"/>
      <c r="AY141" s="225"/>
    </row>
    <row r="142" spans="33:51" x14ac:dyDescent="0.25">
      <c r="AG142" s="66">
        <f>IF(AND(Множество[[#This Row],[Y]]=1),ROW()-ROW(Множество[[#Headers],[№]]),"")</f>
        <v>133</v>
      </c>
      <c r="AH142" t="s">
        <v>608</v>
      </c>
      <c r="AI142" s="66">
        <v>1</v>
      </c>
      <c r="AJ142" s="66">
        <f>IF(LEN(Множество[[#This Row],[Свёртка]])&gt;0,1,-1)</f>
        <v>1</v>
      </c>
      <c r="AK142" s="66" t="s">
        <v>1781</v>
      </c>
      <c r="AL142" s="66">
        <f>IF(LEN(Множество[[#This Row],[Критерии]])&gt;0,1,-1)</f>
        <v>1</v>
      </c>
      <c r="AM142" s="66">
        <f>IF(AND(LEN(Множество[[#This Row],[Свёртка]])&gt;0,LEN(Множество[[#This Row],[Критерии]])&gt;0,LEN(Множество[[#This Row],[Оценки]])&gt;0),1,-1)</f>
        <v>1</v>
      </c>
      <c r="AN142">
        <v>4.25</v>
      </c>
      <c r="AO142">
        <v>-16.100000000000001</v>
      </c>
      <c r="AP142" s="208"/>
      <c r="AQ142" s="208"/>
      <c r="AR142" s="226"/>
      <c r="AS142" s="225"/>
      <c r="AT142" s="226"/>
      <c r="AU142" s="225"/>
      <c r="AV142" s="225"/>
      <c r="AW142" s="225"/>
      <c r="AX142" s="225"/>
      <c r="AY142" s="225"/>
    </row>
    <row r="143" spans="33:51" x14ac:dyDescent="0.25">
      <c r="AG143" s="66">
        <f>IF(AND(Множество[[#This Row],[Y]]=1),ROW()-ROW(Множество[[#Headers],[№]]),"")</f>
        <v>134</v>
      </c>
      <c r="AH143" t="s">
        <v>608</v>
      </c>
      <c r="AI143" s="66">
        <v>1</v>
      </c>
      <c r="AJ143" s="66">
        <f>IF(LEN(Множество[[#This Row],[Свёртка]])&gt;0,1,-1)</f>
        <v>1</v>
      </c>
      <c r="AK143" s="66" t="s">
        <v>1781</v>
      </c>
      <c r="AL143" s="66">
        <f>IF(LEN(Множество[[#This Row],[Критерии]])&gt;0,1,-1)</f>
        <v>1</v>
      </c>
      <c r="AM143" s="66">
        <f>IF(AND(LEN(Множество[[#This Row],[Свёртка]])&gt;0,LEN(Множество[[#This Row],[Критерии]])&gt;0,LEN(Множество[[#This Row],[Оценки]])&gt;0),1,-1)</f>
        <v>1</v>
      </c>
      <c r="AN143">
        <v>4.30833333333333</v>
      </c>
      <c r="AO143">
        <v>-16.133333333333301</v>
      </c>
      <c r="AP143" s="208"/>
      <c r="AQ143" s="208"/>
      <c r="AR143" s="226"/>
      <c r="AS143" s="225"/>
      <c r="AT143" s="226"/>
      <c r="AU143" s="225"/>
      <c r="AV143" s="225"/>
      <c r="AW143" s="225"/>
      <c r="AX143" s="225"/>
      <c r="AY143" s="225"/>
    </row>
    <row r="144" spans="33:51" x14ac:dyDescent="0.25">
      <c r="AG144" s="66">
        <f>IF(AND(Множество[[#This Row],[Y]]=1),ROW()-ROW(Множество[[#Headers],[№]]),"")</f>
        <v>135</v>
      </c>
      <c r="AH144" t="s">
        <v>608</v>
      </c>
      <c r="AI144" s="66">
        <v>1</v>
      </c>
      <c r="AJ144" s="66">
        <f>IF(LEN(Множество[[#This Row],[Свёртка]])&gt;0,1,-1)</f>
        <v>1</v>
      </c>
      <c r="AK144" s="66" t="s">
        <v>1781</v>
      </c>
      <c r="AL144" s="66">
        <f>IF(LEN(Множество[[#This Row],[Критерии]])&gt;0,1,-1)</f>
        <v>1</v>
      </c>
      <c r="AM144" s="66">
        <f>IF(AND(LEN(Множество[[#This Row],[Свёртка]])&gt;0,LEN(Множество[[#This Row],[Критерии]])&gt;0,LEN(Множество[[#This Row],[Оценки]])&gt;0),1,-1)</f>
        <v>1</v>
      </c>
      <c r="AN144">
        <v>4.0750000000000002</v>
      </c>
      <c r="AO144">
        <v>-16.033333333333299</v>
      </c>
      <c r="AP144" s="208"/>
      <c r="AQ144" s="208"/>
      <c r="AR144" s="226"/>
      <c r="AS144" s="225"/>
      <c r="AT144" s="226"/>
      <c r="AU144" s="225"/>
      <c r="AV144" s="225"/>
      <c r="AW144" s="225"/>
      <c r="AX144" s="225"/>
      <c r="AY144" s="225"/>
    </row>
    <row r="145" spans="33:51" x14ac:dyDescent="0.25">
      <c r="AG145" s="66">
        <f>IF(AND(Множество[[#This Row],[Y]]=1),ROW()-ROW(Множество[[#Headers],[№]]),"")</f>
        <v>136</v>
      </c>
      <c r="AH145" t="s">
        <v>608</v>
      </c>
      <c r="AI145" s="66">
        <v>1</v>
      </c>
      <c r="AJ145" s="66">
        <f>IF(LEN(Множество[[#This Row],[Свёртка]])&gt;0,1,-1)</f>
        <v>1</v>
      </c>
      <c r="AK145" s="66" t="s">
        <v>1781</v>
      </c>
      <c r="AL145" s="66">
        <f>IF(LEN(Множество[[#This Row],[Критерии]])&gt;0,1,-1)</f>
        <v>1</v>
      </c>
      <c r="AM145" s="66">
        <f>IF(AND(LEN(Множество[[#This Row],[Свёртка]])&gt;0,LEN(Множество[[#This Row],[Критерии]])&gt;0,LEN(Множество[[#This Row],[Оценки]])&gt;0),1,-1)</f>
        <v>1</v>
      </c>
      <c r="AN145">
        <v>4.19166666666667</v>
      </c>
      <c r="AO145">
        <v>-16.0833333333333</v>
      </c>
      <c r="AP145" s="208"/>
      <c r="AQ145" s="208"/>
      <c r="AR145" s="226"/>
      <c r="AS145" s="225"/>
      <c r="AT145" s="226"/>
      <c r="AU145" s="225"/>
      <c r="AV145" s="225"/>
      <c r="AW145" s="225"/>
      <c r="AX145" s="225"/>
      <c r="AY145" s="225"/>
    </row>
    <row r="146" spans="33:51" x14ac:dyDescent="0.25">
      <c r="AG146" s="66">
        <f>IF(AND(Множество[[#This Row],[Y]]=1),ROW()-ROW(Множество[[#Headers],[№]]),"")</f>
        <v>137</v>
      </c>
      <c r="AH146" t="s">
        <v>608</v>
      </c>
      <c r="AI146" s="66">
        <v>1</v>
      </c>
      <c r="AJ146" s="66">
        <f>IF(LEN(Множество[[#This Row],[Свёртка]])&gt;0,1,-1)</f>
        <v>1</v>
      </c>
      <c r="AK146" s="66" t="s">
        <v>1781</v>
      </c>
      <c r="AL146" s="66">
        <f>IF(LEN(Множество[[#This Row],[Критерии]])&gt;0,1,-1)</f>
        <v>1</v>
      </c>
      <c r="AM146" s="66">
        <f>IF(AND(LEN(Множество[[#This Row],[Свёртка]])&gt;0,LEN(Множество[[#This Row],[Критерии]])&gt;0,LEN(Множество[[#This Row],[Оценки]])&gt;0),1,-1)</f>
        <v>1</v>
      </c>
      <c r="AN146">
        <v>4.1333333333333302</v>
      </c>
      <c r="AO146">
        <v>-16.066666666666698</v>
      </c>
      <c r="AP146" s="208"/>
      <c r="AQ146" s="208"/>
      <c r="AR146" s="226"/>
      <c r="AS146" s="225"/>
      <c r="AT146" s="226"/>
      <c r="AU146" s="225"/>
      <c r="AV146" s="225"/>
      <c r="AW146" s="225"/>
      <c r="AX146" s="225"/>
      <c r="AY146" s="225"/>
    </row>
    <row r="147" spans="33:51" x14ac:dyDescent="0.25">
      <c r="AG147" s="66">
        <f>IF(AND(Множество[[#This Row],[Y]]=1),ROW()-ROW(Множество[[#Headers],[№]]),"")</f>
        <v>138</v>
      </c>
      <c r="AH147" t="s">
        <v>608</v>
      </c>
      <c r="AI147" s="66">
        <v>1</v>
      </c>
      <c r="AJ147" s="66">
        <f>IF(LEN(Множество[[#This Row],[Свёртка]])&gt;0,1,-1)</f>
        <v>1</v>
      </c>
      <c r="AK147" s="66" t="s">
        <v>1781</v>
      </c>
      <c r="AL147" s="66">
        <f>IF(LEN(Множество[[#This Row],[Критерии]])&gt;0,1,-1)</f>
        <v>1</v>
      </c>
      <c r="AM147" s="66">
        <f>IF(AND(LEN(Множество[[#This Row],[Свёртка]])&gt;0,LEN(Множество[[#This Row],[Критерии]])&gt;0,LEN(Множество[[#This Row],[Оценки]])&gt;0),1,-1)</f>
        <v>1</v>
      </c>
      <c r="AN147">
        <v>7.1666666666666696</v>
      </c>
      <c r="AO147">
        <v>-19.133333333333301</v>
      </c>
      <c r="AP147" s="208"/>
      <c r="AQ147" s="208"/>
      <c r="AR147" s="226"/>
      <c r="AS147" s="225"/>
      <c r="AT147" s="226"/>
      <c r="AU147" s="225"/>
      <c r="AV147" s="225"/>
      <c r="AW147" s="225"/>
      <c r="AX147" s="225"/>
      <c r="AY147" s="225"/>
    </row>
    <row r="148" spans="33:51" x14ac:dyDescent="0.25">
      <c r="AG148" s="66">
        <f>IF(AND(Множество[[#This Row],[Y]]=1),ROW()-ROW(Множество[[#Headers],[№]]),"")</f>
        <v>139</v>
      </c>
      <c r="AH148" t="s">
        <v>608</v>
      </c>
      <c r="AI148" s="66">
        <v>1</v>
      </c>
      <c r="AJ148" s="66">
        <f>IF(LEN(Множество[[#This Row],[Свёртка]])&gt;0,1,-1)</f>
        <v>1</v>
      </c>
      <c r="AK148" s="66" t="s">
        <v>1781</v>
      </c>
      <c r="AL148" s="66">
        <f>IF(LEN(Множество[[#This Row],[Критерии]])&gt;0,1,-1)</f>
        <v>1</v>
      </c>
      <c r="AM148" s="66">
        <f>IF(AND(LEN(Множество[[#This Row],[Свёртка]])&gt;0,LEN(Множество[[#This Row],[Критерии]])&gt;0,LEN(Множество[[#This Row],[Оценки]])&gt;0),1,-1)</f>
        <v>1</v>
      </c>
      <c r="AN148">
        <v>2.55833333333333</v>
      </c>
      <c r="AO148">
        <v>-14.516666666666699</v>
      </c>
      <c r="AP148" s="208"/>
      <c r="AQ148" s="208"/>
      <c r="AR148" s="226"/>
      <c r="AS148" s="225"/>
      <c r="AT148" s="226"/>
      <c r="AU148" s="225"/>
      <c r="AV148" s="225"/>
      <c r="AW148" s="225"/>
      <c r="AX148" s="225"/>
      <c r="AY148" s="225"/>
    </row>
    <row r="149" spans="33:51" x14ac:dyDescent="0.25">
      <c r="AG149" s="66">
        <f>IF(AND(Множество[[#This Row],[Y]]=1),ROW()-ROW(Множество[[#Headers],[№]]),"")</f>
        <v>140</v>
      </c>
      <c r="AH149" t="s">
        <v>608</v>
      </c>
      <c r="AI149" s="66">
        <v>1</v>
      </c>
      <c r="AJ149" s="66">
        <f>IF(LEN(Множество[[#This Row],[Свёртка]])&gt;0,1,-1)</f>
        <v>1</v>
      </c>
      <c r="AK149" s="66" t="s">
        <v>1781</v>
      </c>
      <c r="AL149" s="66">
        <f>IF(LEN(Множество[[#This Row],[Критерии]])&gt;0,1,-1)</f>
        <v>1</v>
      </c>
      <c r="AM149" s="66">
        <f>IF(AND(LEN(Множество[[#This Row],[Свёртка]])&gt;0,LEN(Множество[[#This Row],[Критерии]])&gt;0,LEN(Множество[[#This Row],[Оценки]])&gt;0),1,-1)</f>
        <v>1</v>
      </c>
      <c r="AN149">
        <v>7.2249999999999996</v>
      </c>
      <c r="AO149">
        <v>-19.1666666666667</v>
      </c>
      <c r="AP149" s="208"/>
      <c r="AQ149" s="208"/>
      <c r="AR149" s="226"/>
      <c r="AS149" s="225"/>
      <c r="AT149" s="226"/>
      <c r="AU149" s="225"/>
      <c r="AV149" s="225"/>
      <c r="AW149" s="225"/>
      <c r="AX149" s="225"/>
      <c r="AY149" s="225"/>
    </row>
    <row r="150" spans="33:51" x14ac:dyDescent="0.25">
      <c r="AG150" s="66">
        <f>IF(AND(Множество[[#This Row],[Y]]=1),ROW()-ROW(Множество[[#Headers],[№]]),"")</f>
        <v>141</v>
      </c>
      <c r="AH150" t="s">
        <v>608</v>
      </c>
      <c r="AI150" s="66">
        <v>1</v>
      </c>
      <c r="AJ150" s="66">
        <f>IF(LEN(Множество[[#This Row],[Свёртка]])&gt;0,1,-1)</f>
        <v>1</v>
      </c>
      <c r="AK150" s="66" t="s">
        <v>1781</v>
      </c>
      <c r="AL150" s="66">
        <f>IF(LEN(Множество[[#This Row],[Критерии]])&gt;0,1,-1)</f>
        <v>1</v>
      </c>
      <c r="AM150" s="66">
        <f>IF(AND(LEN(Множество[[#This Row],[Свёртка]])&gt;0,LEN(Множество[[#This Row],[Критерии]])&gt;0,LEN(Множество[[#This Row],[Оценки]])&gt;0),1,-1)</f>
        <v>1</v>
      </c>
      <c r="AN150">
        <v>7.05</v>
      </c>
      <c r="AO150">
        <v>-19.033333333333299</v>
      </c>
      <c r="AP150" s="208"/>
      <c r="AQ150" s="208"/>
      <c r="AR150" s="226"/>
      <c r="AS150" s="225"/>
      <c r="AT150" s="226"/>
      <c r="AU150" s="225"/>
      <c r="AV150" s="225"/>
      <c r="AW150" s="225"/>
      <c r="AX150" s="225"/>
      <c r="AY150" s="225"/>
    </row>
    <row r="151" spans="33:51" x14ac:dyDescent="0.25">
      <c r="AG151" s="66">
        <f>IF(AND(Множество[[#This Row],[Y]]=1),ROW()-ROW(Множество[[#Headers],[№]]),"")</f>
        <v>142</v>
      </c>
      <c r="AH151" t="s">
        <v>608</v>
      </c>
      <c r="AI151" s="66">
        <v>1</v>
      </c>
      <c r="AJ151" s="66">
        <f>IF(LEN(Множество[[#This Row],[Свёртка]])&gt;0,1,-1)</f>
        <v>1</v>
      </c>
      <c r="AK151" s="66" t="s">
        <v>1781</v>
      </c>
      <c r="AL151" s="66">
        <f>IF(LEN(Множество[[#This Row],[Критерии]])&gt;0,1,-1)</f>
        <v>1</v>
      </c>
      <c r="AM151" s="66">
        <f>IF(AND(LEN(Множество[[#This Row],[Свёртка]])&gt;0,LEN(Множество[[#This Row],[Критерии]])&gt;0,LEN(Множество[[#This Row],[Оценки]])&gt;0),1,-1)</f>
        <v>1</v>
      </c>
      <c r="AN151">
        <v>6.7583333333333302</v>
      </c>
      <c r="AO151">
        <v>-18.816666666666698</v>
      </c>
      <c r="AP151" s="208"/>
      <c r="AQ151" s="208"/>
      <c r="AR151" s="226"/>
      <c r="AS151" s="225"/>
      <c r="AT151" s="226"/>
      <c r="AU151" s="225"/>
      <c r="AV151" s="225"/>
      <c r="AW151" s="225"/>
      <c r="AX151" s="225"/>
      <c r="AY151" s="225"/>
    </row>
    <row r="152" spans="33:51" x14ac:dyDescent="0.25">
      <c r="AG152" s="66">
        <f>IF(AND(Множество[[#This Row],[Y]]=1),ROW()-ROW(Множество[[#Headers],[№]]),"")</f>
        <v>143</v>
      </c>
      <c r="AH152" t="s">
        <v>608</v>
      </c>
      <c r="AI152" s="66">
        <v>1</v>
      </c>
      <c r="AJ152" s="66">
        <f>IF(LEN(Множество[[#This Row],[Свёртка]])&gt;0,1,-1)</f>
        <v>1</v>
      </c>
      <c r="AK152" s="66" t="s">
        <v>1781</v>
      </c>
      <c r="AL152" s="66">
        <f>IF(LEN(Множество[[#This Row],[Критерии]])&gt;0,1,-1)</f>
        <v>1</v>
      </c>
      <c r="AM152" s="66">
        <f>IF(AND(LEN(Множество[[#This Row],[Свёртка]])&gt;0,LEN(Множество[[#This Row],[Критерии]])&gt;0,LEN(Множество[[#This Row],[Оценки]])&gt;0),1,-1)</f>
        <v>1</v>
      </c>
      <c r="AN152">
        <v>6.875</v>
      </c>
      <c r="AO152">
        <v>-18.9166666666667</v>
      </c>
      <c r="AP152" s="208"/>
      <c r="AQ152" s="208"/>
      <c r="AR152" s="226"/>
      <c r="AS152" s="225"/>
      <c r="AT152" s="226"/>
      <c r="AU152" s="225"/>
      <c r="AV152" s="225"/>
      <c r="AW152" s="225"/>
      <c r="AX152" s="225"/>
      <c r="AY152" s="225"/>
    </row>
    <row r="153" spans="33:51" x14ac:dyDescent="0.25">
      <c r="AG153" s="66">
        <f>IF(AND(Множество[[#This Row],[Y]]=1),ROW()-ROW(Множество[[#Headers],[№]]),"")</f>
        <v>144</v>
      </c>
      <c r="AH153" t="s">
        <v>608</v>
      </c>
      <c r="AI153" s="66">
        <v>1</v>
      </c>
      <c r="AJ153" s="66">
        <f>IF(LEN(Множество[[#This Row],[Свёртка]])&gt;0,1,-1)</f>
        <v>1</v>
      </c>
      <c r="AK153" s="66" t="s">
        <v>1781</v>
      </c>
      <c r="AL153" s="66">
        <f>IF(LEN(Множество[[#This Row],[Критерии]])&gt;0,1,-1)</f>
        <v>1</v>
      </c>
      <c r="AM153" s="66">
        <f>IF(AND(LEN(Множество[[#This Row],[Свёртка]])&gt;0,LEN(Множество[[#This Row],[Критерии]])&gt;0,LEN(Множество[[#This Row],[Оценки]])&gt;0),1,-1)</f>
        <v>1</v>
      </c>
      <c r="AN153">
        <v>4.0166666666666702</v>
      </c>
      <c r="AO153">
        <v>-16.016666666666701</v>
      </c>
      <c r="AP153" s="208"/>
      <c r="AQ153" s="208"/>
      <c r="AR153" s="226"/>
      <c r="AS153" s="225"/>
      <c r="AT153" s="226"/>
      <c r="AU153" s="225"/>
      <c r="AV153" s="225"/>
      <c r="AW153" s="225"/>
      <c r="AX153" s="225"/>
      <c r="AY153" s="225"/>
    </row>
    <row r="154" spans="33:51" x14ac:dyDescent="0.25">
      <c r="AG154" s="66">
        <f>IF(AND(Множество[[#This Row],[Y]]=1),ROW()-ROW(Множество[[#Headers],[№]]),"")</f>
        <v>145</v>
      </c>
      <c r="AH154" t="s">
        <v>608</v>
      </c>
      <c r="AI154" s="66">
        <v>1</v>
      </c>
      <c r="AJ154" s="66">
        <f>IF(LEN(Множество[[#This Row],[Свёртка]])&gt;0,1,-1)</f>
        <v>1</v>
      </c>
      <c r="AK154" s="66" t="s">
        <v>1781</v>
      </c>
      <c r="AL154" s="66">
        <f>IF(LEN(Множество[[#This Row],[Критерии]])&gt;0,1,-1)</f>
        <v>1</v>
      </c>
      <c r="AM154" s="66">
        <f>IF(AND(LEN(Множество[[#This Row],[Свёртка]])&gt;0,LEN(Множество[[#This Row],[Критерии]])&gt;0,LEN(Множество[[#This Row],[Оценки]])&gt;0),1,-1)</f>
        <v>1</v>
      </c>
      <c r="AN154">
        <v>6.93333333333333</v>
      </c>
      <c r="AO154">
        <v>-18.95</v>
      </c>
      <c r="AP154" s="208"/>
      <c r="AQ154" s="208"/>
      <c r="AR154" s="226"/>
      <c r="AS154" s="225"/>
      <c r="AT154" s="226"/>
      <c r="AU154" s="225"/>
      <c r="AV154" s="225"/>
      <c r="AW154" s="225"/>
      <c r="AX154" s="225"/>
      <c r="AY154" s="225"/>
    </row>
    <row r="155" spans="33:51" x14ac:dyDescent="0.25">
      <c r="AG155" s="66">
        <f>IF(AND(Множество[[#This Row],[Y]]=1),ROW()-ROW(Множество[[#Headers],[№]]),"")</f>
        <v>146</v>
      </c>
      <c r="AH155" t="s">
        <v>608</v>
      </c>
      <c r="AI155" s="66">
        <v>1</v>
      </c>
      <c r="AJ155" s="66">
        <f>IF(LEN(Множество[[#This Row],[Свёртка]])&gt;0,1,-1)</f>
        <v>1</v>
      </c>
      <c r="AK155" s="66" t="s">
        <v>1781</v>
      </c>
      <c r="AL155" s="66">
        <f>IF(LEN(Множество[[#This Row],[Критерии]])&gt;0,1,-1)</f>
        <v>1</v>
      </c>
      <c r="AM155" s="66">
        <f>IF(AND(LEN(Множество[[#This Row],[Свёртка]])&gt;0,LEN(Множество[[#This Row],[Критерии]])&gt;0,LEN(Множество[[#This Row],[Оценки]])&gt;0),1,-1)</f>
        <v>1</v>
      </c>
      <c r="AN155">
        <v>3.9583333333333299</v>
      </c>
      <c r="AO155">
        <v>-16</v>
      </c>
      <c r="AP155" s="208"/>
      <c r="AQ155" s="208"/>
      <c r="AR155" s="226"/>
      <c r="AS155" s="225"/>
      <c r="AT155" s="226"/>
      <c r="AU155" s="225"/>
      <c r="AV155" s="225"/>
      <c r="AW155" s="225"/>
      <c r="AX155" s="225"/>
      <c r="AY155" s="225"/>
    </row>
    <row r="156" spans="33:51" x14ac:dyDescent="0.25">
      <c r="AG156" s="66">
        <f>IF(AND(Множество[[#This Row],[Y]]=1),ROW()-ROW(Множество[[#Headers],[№]]),"")</f>
        <v>147</v>
      </c>
      <c r="AH156" t="s">
        <v>608</v>
      </c>
      <c r="AI156" s="66">
        <v>1</v>
      </c>
      <c r="AJ156" s="66">
        <f>IF(LEN(Множество[[#This Row],[Свёртка]])&gt;0,1,-1)</f>
        <v>1</v>
      </c>
      <c r="AK156" s="66" t="s">
        <v>1781</v>
      </c>
      <c r="AL156" s="66">
        <f>IF(LEN(Множество[[#This Row],[Критерии]])&gt;0,1,-1)</f>
        <v>1</v>
      </c>
      <c r="AM156" s="66">
        <f>IF(AND(LEN(Множество[[#This Row],[Свёртка]])&gt;0,LEN(Множество[[#This Row],[Критерии]])&gt;0,LEN(Множество[[#This Row],[Оценки]])&gt;0),1,-1)</f>
        <v>1</v>
      </c>
      <c r="AN156">
        <v>2.5</v>
      </c>
      <c r="AO156">
        <v>-14.533333333333299</v>
      </c>
      <c r="AP156" s="208"/>
      <c r="AQ156" s="208"/>
      <c r="AR156" s="226"/>
      <c r="AS156" s="225"/>
      <c r="AT156" s="226"/>
      <c r="AU156" s="225"/>
      <c r="AV156" s="225"/>
      <c r="AW156" s="225"/>
      <c r="AX156" s="225"/>
      <c r="AY156" s="225"/>
    </row>
    <row r="157" spans="33:51" x14ac:dyDescent="0.25">
      <c r="AG157" s="66">
        <f>IF(AND(Множество[[#This Row],[Y]]=1),ROW()-ROW(Множество[[#Headers],[№]]),"")</f>
        <v>148</v>
      </c>
      <c r="AH157" t="s">
        <v>608</v>
      </c>
      <c r="AI157" s="66">
        <v>1</v>
      </c>
      <c r="AJ157" s="66">
        <f>IF(LEN(Множество[[#This Row],[Свёртка]])&gt;0,1,-1)</f>
        <v>1</v>
      </c>
      <c r="AK157" s="66" t="s">
        <v>1781</v>
      </c>
      <c r="AL157" s="66">
        <f>IF(LEN(Множество[[#This Row],[Критерии]])&gt;0,1,-1)</f>
        <v>1</v>
      </c>
      <c r="AM157" s="66">
        <f>IF(AND(LEN(Множество[[#This Row],[Свёртка]])&gt;0,LEN(Множество[[#This Row],[Критерии]])&gt;0,LEN(Множество[[#This Row],[Оценки]])&gt;0),1,-1)</f>
        <v>1</v>
      </c>
      <c r="AN157">
        <v>2.5</v>
      </c>
      <c r="AO157">
        <v>-14.533333333333299</v>
      </c>
      <c r="AP157" s="208"/>
      <c r="AQ157" s="208"/>
      <c r="AR157" s="226"/>
      <c r="AS157" s="225"/>
      <c r="AT157" s="226"/>
      <c r="AU157" s="225"/>
      <c r="AV157" s="225"/>
      <c r="AW157" s="225"/>
      <c r="AX157" s="225"/>
      <c r="AY157" s="225"/>
    </row>
    <row r="158" spans="33:51" x14ac:dyDescent="0.25">
      <c r="AG158" s="66">
        <f>IF(AND(Множество[[#This Row],[Y]]=1),ROW()-ROW(Множество[[#Headers],[№]]),"")</f>
        <v>149</v>
      </c>
      <c r="AH158" t="s">
        <v>608</v>
      </c>
      <c r="AI158" s="66">
        <v>1</v>
      </c>
      <c r="AJ158" s="66">
        <f>IF(LEN(Множество[[#This Row],[Свёртка]])&gt;0,1,-1)</f>
        <v>1</v>
      </c>
      <c r="AK158" s="66" t="s">
        <v>1781</v>
      </c>
      <c r="AL158" s="66">
        <f>IF(LEN(Множество[[#This Row],[Критерии]])&gt;0,1,-1)</f>
        <v>1</v>
      </c>
      <c r="AM158" s="66">
        <f>IF(AND(LEN(Множество[[#This Row],[Свёртка]])&gt;0,LEN(Множество[[#This Row],[Критерии]])&gt;0,LEN(Множество[[#This Row],[Оценки]])&gt;0),1,-1)</f>
        <v>1</v>
      </c>
      <c r="AN158">
        <v>7.1083333333333298</v>
      </c>
      <c r="AO158">
        <v>-19.0833333333333</v>
      </c>
      <c r="AP158" s="208"/>
      <c r="AQ158" s="208"/>
      <c r="AR158" s="226"/>
      <c r="AS158" s="225"/>
      <c r="AT158" s="226"/>
      <c r="AU158" s="225"/>
      <c r="AV158" s="225"/>
      <c r="AW158" s="225"/>
      <c r="AX158" s="225"/>
      <c r="AY158" s="225"/>
    </row>
    <row r="159" spans="33:51" x14ac:dyDescent="0.25">
      <c r="AG159" s="66">
        <f>IF(AND(Множество[[#This Row],[Y]]=1),ROW()-ROW(Множество[[#Headers],[№]]),"")</f>
        <v>150</v>
      </c>
      <c r="AH159" t="s">
        <v>608</v>
      </c>
      <c r="AI159" s="66">
        <v>1</v>
      </c>
      <c r="AJ159" s="66">
        <f>IF(LEN(Множество[[#This Row],[Свёртка]])&gt;0,1,-1)</f>
        <v>1</v>
      </c>
      <c r="AK159" s="66" t="s">
        <v>1781</v>
      </c>
      <c r="AL159" s="66">
        <f>IF(LEN(Множество[[#This Row],[Критерии]])&gt;0,1,-1)</f>
        <v>1</v>
      </c>
      <c r="AM159" s="66">
        <f>IF(AND(LEN(Множество[[#This Row],[Свёртка]])&gt;0,LEN(Множество[[#This Row],[Критерии]])&gt;0,LEN(Множество[[#This Row],[Оценки]])&gt;0),1,-1)</f>
        <v>1</v>
      </c>
      <c r="AN159">
        <v>6.9916666666666698</v>
      </c>
      <c r="AO159">
        <v>-19</v>
      </c>
      <c r="AP159" s="208"/>
      <c r="AQ159" s="208"/>
      <c r="AR159" s="226"/>
      <c r="AS159" s="225"/>
      <c r="AT159" s="226"/>
      <c r="AU159" s="225"/>
      <c r="AV159" s="225"/>
      <c r="AW159" s="225"/>
      <c r="AX159" s="225"/>
      <c r="AY159" s="225"/>
    </row>
    <row r="160" spans="33:51" x14ac:dyDescent="0.25">
      <c r="AG160" s="66">
        <f>IF(AND(Множество[[#This Row],[Y]]=1),ROW()-ROW(Множество[[#Headers],[№]]),"")</f>
        <v>151</v>
      </c>
      <c r="AH160" t="s">
        <v>608</v>
      </c>
      <c r="AI160" s="66">
        <v>1</v>
      </c>
      <c r="AJ160" s="66">
        <f>IF(LEN(Множество[[#This Row],[Свёртка]])&gt;0,1,-1)</f>
        <v>1</v>
      </c>
      <c r="AK160" s="66" t="s">
        <v>1781</v>
      </c>
      <c r="AL160" s="66">
        <f>IF(LEN(Множество[[#This Row],[Критерии]])&gt;0,1,-1)</f>
        <v>1</v>
      </c>
      <c r="AM160" s="66">
        <f>IF(AND(LEN(Множество[[#This Row],[Свёртка]])&gt;0,LEN(Множество[[#This Row],[Критерии]])&gt;0,LEN(Множество[[#This Row],[Оценки]])&gt;0),1,-1)</f>
        <v>1</v>
      </c>
      <c r="AN160">
        <v>6.81666666666667</v>
      </c>
      <c r="AO160">
        <v>-18.866666666666699</v>
      </c>
      <c r="AP160" s="208"/>
      <c r="AQ160" s="208"/>
      <c r="AR160" s="226"/>
      <c r="AS160" s="225"/>
      <c r="AT160" s="226"/>
      <c r="AU160" s="225"/>
      <c r="AV160" s="225"/>
      <c r="AW160" s="225"/>
      <c r="AX160" s="225"/>
      <c r="AY160" s="225"/>
    </row>
    <row r="161" spans="33:51" x14ac:dyDescent="0.25">
      <c r="AG161" s="66">
        <f>IF(AND(Множество[[#This Row],[Y]]=1),ROW()-ROW(Множество[[#Headers],[№]]),"")</f>
        <v>152</v>
      </c>
      <c r="AH161" t="s">
        <v>608</v>
      </c>
      <c r="AI161" s="66">
        <v>1</v>
      </c>
      <c r="AJ161" s="66">
        <f>IF(LEN(Множество[[#This Row],[Свёртка]])&gt;0,1,-1)</f>
        <v>1</v>
      </c>
      <c r="AK161" s="66" t="s">
        <v>1781</v>
      </c>
      <c r="AL161" s="66">
        <f>IF(LEN(Множество[[#This Row],[Критерии]])&gt;0,1,-1)</f>
        <v>1</v>
      </c>
      <c r="AM161" s="66">
        <f>IF(AND(LEN(Множество[[#This Row],[Свёртка]])&gt;0,LEN(Множество[[#This Row],[Критерии]])&gt;0,LEN(Множество[[#This Row],[Оценки]])&gt;0),1,-1)</f>
        <v>1</v>
      </c>
      <c r="AN161">
        <v>3.8416666666666699</v>
      </c>
      <c r="AO161">
        <v>-15.95</v>
      </c>
      <c r="AP161" s="208"/>
      <c r="AQ161" s="208"/>
      <c r="AR161" s="226"/>
      <c r="AS161" s="225"/>
      <c r="AT161" s="226"/>
      <c r="AU161" s="225"/>
      <c r="AV161" s="225"/>
      <c r="AW161" s="225"/>
      <c r="AX161" s="225"/>
      <c r="AY161" s="225"/>
    </row>
    <row r="162" spans="33:51" x14ac:dyDescent="0.25">
      <c r="AG162" s="66">
        <f>IF(AND(Множество[[#This Row],[Y]]=1),ROW()-ROW(Множество[[#Headers],[№]]),"")</f>
        <v>153</v>
      </c>
      <c r="AH162" t="s">
        <v>608</v>
      </c>
      <c r="AI162" s="66">
        <v>1</v>
      </c>
      <c r="AJ162" s="66">
        <f>IF(LEN(Множество[[#This Row],[Свёртка]])&gt;0,1,-1)</f>
        <v>1</v>
      </c>
      <c r="AK162" s="66" t="s">
        <v>1781</v>
      </c>
      <c r="AL162" s="66">
        <f>IF(LEN(Множество[[#This Row],[Критерии]])&gt;0,1,-1)</f>
        <v>1</v>
      </c>
      <c r="AM162" s="66">
        <f>IF(AND(LEN(Множество[[#This Row],[Свёртка]])&gt;0,LEN(Множество[[#This Row],[Критерии]])&gt;0,LEN(Множество[[#This Row],[Оценки]])&gt;0),1,-1)</f>
        <v>1</v>
      </c>
      <c r="AN162">
        <v>2.35</v>
      </c>
      <c r="AO162">
        <v>-14.483333333333301</v>
      </c>
      <c r="AP162" s="208"/>
      <c r="AQ162" s="208"/>
      <c r="AR162" s="226"/>
      <c r="AS162" s="225"/>
      <c r="AT162" s="226"/>
      <c r="AU162" s="225"/>
      <c r="AV162" s="225"/>
      <c r="AW162" s="225"/>
      <c r="AX162" s="225"/>
      <c r="AY162" s="225"/>
    </row>
    <row r="163" spans="33:51" x14ac:dyDescent="0.25">
      <c r="AG163" s="66">
        <f>IF(AND(Множество[[#This Row],[Y]]=1),ROW()-ROW(Множество[[#Headers],[№]]),"")</f>
        <v>154</v>
      </c>
      <c r="AH163" t="s">
        <v>608</v>
      </c>
      <c r="AI163" s="66">
        <v>1</v>
      </c>
      <c r="AJ163" s="66">
        <f>IF(LEN(Множество[[#This Row],[Свёртка]])&gt;0,1,-1)</f>
        <v>1</v>
      </c>
      <c r="AK163" s="66" t="s">
        <v>1781</v>
      </c>
      <c r="AL163" s="66">
        <f>IF(LEN(Множество[[#This Row],[Критерии]])&gt;0,1,-1)</f>
        <v>1</v>
      </c>
      <c r="AM163" s="66">
        <f>IF(AND(LEN(Множество[[#This Row],[Свёртка]])&gt;0,LEN(Множество[[#This Row],[Критерии]])&gt;0,LEN(Множество[[#This Row],[Оценки]])&gt;0),1,-1)</f>
        <v>1</v>
      </c>
      <c r="AN163">
        <v>3.9</v>
      </c>
      <c r="AO163">
        <v>-15.983333333333301</v>
      </c>
      <c r="AP163" s="208"/>
      <c r="AQ163" s="208"/>
      <c r="AR163" s="226"/>
      <c r="AS163" s="225"/>
      <c r="AT163" s="226"/>
      <c r="AU163" s="225"/>
      <c r="AV163" s="225"/>
      <c r="AW163" s="225"/>
      <c r="AX163" s="225"/>
      <c r="AY163" s="225"/>
    </row>
    <row r="164" spans="33:51" x14ac:dyDescent="0.25">
      <c r="AG164" s="66">
        <f>IF(AND(Множество[[#This Row],[Y]]=1),ROW()-ROW(Множество[[#Headers],[№]]),"")</f>
        <v>155</v>
      </c>
      <c r="AH164" t="s">
        <v>608</v>
      </c>
      <c r="AI164" s="66">
        <v>1</v>
      </c>
      <c r="AJ164" s="66">
        <f>IF(LEN(Множество[[#This Row],[Свёртка]])&gt;0,1,-1)</f>
        <v>1</v>
      </c>
      <c r="AK164" s="66" t="s">
        <v>1781</v>
      </c>
      <c r="AL164" s="66">
        <f>IF(LEN(Множество[[#This Row],[Критерии]])&gt;0,1,-1)</f>
        <v>1</v>
      </c>
      <c r="AM164" s="66">
        <f>IF(AND(LEN(Множество[[#This Row],[Свёртка]])&gt;0,LEN(Множество[[#This Row],[Критерии]])&gt;0,LEN(Множество[[#This Row],[Оценки]])&gt;0),1,-1)</f>
        <v>1</v>
      </c>
      <c r="AN164">
        <v>2.4249999999999998</v>
      </c>
      <c r="AO164">
        <v>-14.516666666666699</v>
      </c>
      <c r="AP164" s="208"/>
      <c r="AQ164" s="208"/>
      <c r="AR164" s="226"/>
      <c r="AS164" s="225"/>
      <c r="AT164" s="226"/>
      <c r="AU164" s="225"/>
      <c r="AV164" s="225"/>
      <c r="AW164" s="225"/>
      <c r="AX164" s="225"/>
      <c r="AY164" s="225"/>
    </row>
    <row r="165" spans="33:51" x14ac:dyDescent="0.25">
      <c r="AG165" s="66">
        <f>IF(AND(Множество[[#This Row],[Y]]=1),ROW()-ROW(Множество[[#Headers],[№]]),"")</f>
        <v>156</v>
      </c>
      <c r="AH165" t="s">
        <v>608</v>
      </c>
      <c r="AI165" s="66">
        <v>1</v>
      </c>
      <c r="AJ165" s="66">
        <f>IF(LEN(Множество[[#This Row],[Свёртка]])&gt;0,1,-1)</f>
        <v>1</v>
      </c>
      <c r="AK165" s="66" t="s">
        <v>1781</v>
      </c>
      <c r="AL165" s="66">
        <f>IF(LEN(Множество[[#This Row],[Критерии]])&gt;0,1,-1)</f>
        <v>1</v>
      </c>
      <c r="AM165" s="66">
        <f>IF(AND(LEN(Множество[[#This Row],[Свёртка]])&gt;0,LEN(Множество[[#This Row],[Критерии]])&gt;0,LEN(Множество[[#This Row],[Оценки]])&gt;0),1,-1)</f>
        <v>1</v>
      </c>
      <c r="AN165">
        <v>3.6666666666666701</v>
      </c>
      <c r="AO165">
        <v>-15.9</v>
      </c>
      <c r="AP165" s="208"/>
      <c r="AQ165" s="208"/>
      <c r="AR165" s="226"/>
      <c r="AS165" s="225"/>
      <c r="AT165" s="226"/>
      <c r="AU165" s="225"/>
      <c r="AV165" s="225"/>
      <c r="AW165" s="225"/>
      <c r="AX165" s="225"/>
      <c r="AY165" s="225"/>
    </row>
    <row r="166" spans="33:51" x14ac:dyDescent="0.25">
      <c r="AG166" s="66">
        <f>IF(AND(Множество[[#This Row],[Y]]=1),ROW()-ROW(Множество[[#Headers],[№]]),"")</f>
        <v>157</v>
      </c>
      <c r="AH166" t="s">
        <v>608</v>
      </c>
      <c r="AI166" s="66">
        <v>1</v>
      </c>
      <c r="AJ166" s="66">
        <f>IF(LEN(Множество[[#This Row],[Свёртка]])&gt;0,1,-1)</f>
        <v>1</v>
      </c>
      <c r="AK166" s="66" t="s">
        <v>1781</v>
      </c>
      <c r="AL166" s="66">
        <f>IF(LEN(Множество[[#This Row],[Критерии]])&gt;0,1,-1)</f>
        <v>1</v>
      </c>
      <c r="AM166" s="66">
        <f>IF(AND(LEN(Множество[[#This Row],[Свёртка]])&gt;0,LEN(Множество[[#This Row],[Критерии]])&gt;0,LEN(Множество[[#This Row],[Оценки]])&gt;0),1,-1)</f>
        <v>1</v>
      </c>
      <c r="AN166">
        <v>3.7250000000000001</v>
      </c>
      <c r="AO166">
        <v>-15.9166666666667</v>
      </c>
      <c r="AP166" s="208"/>
      <c r="AQ166" s="208"/>
      <c r="AR166" s="226"/>
      <c r="AS166" s="225"/>
      <c r="AT166" s="226"/>
      <c r="AU166" s="225"/>
      <c r="AV166" s="225"/>
      <c r="AW166" s="225"/>
      <c r="AX166" s="225"/>
      <c r="AY166" s="225"/>
    </row>
    <row r="167" spans="33:51" x14ac:dyDescent="0.25">
      <c r="AG167" s="66">
        <f>IF(AND(Множество[[#This Row],[Y]]=1),ROW()-ROW(Множество[[#Headers],[№]]),"")</f>
        <v>158</v>
      </c>
      <c r="AH167" t="s">
        <v>608</v>
      </c>
      <c r="AI167" s="66">
        <v>1</v>
      </c>
      <c r="AJ167" s="66">
        <f>IF(LEN(Множество[[#This Row],[Свёртка]])&gt;0,1,-1)</f>
        <v>1</v>
      </c>
      <c r="AK167" s="66" t="s">
        <v>1781</v>
      </c>
      <c r="AL167" s="66">
        <f>IF(LEN(Множество[[#This Row],[Критерии]])&gt;0,1,-1)</f>
        <v>1</v>
      </c>
      <c r="AM167" s="66">
        <f>IF(AND(LEN(Множество[[#This Row],[Свёртка]])&gt;0,LEN(Множество[[#This Row],[Критерии]])&gt;0,LEN(Множество[[#This Row],[Оценки]])&gt;0),1,-1)</f>
        <v>1</v>
      </c>
      <c r="AN167">
        <v>3.7833333333333301</v>
      </c>
      <c r="AO167">
        <v>-15.9333333333333</v>
      </c>
      <c r="AP167" s="208"/>
      <c r="AQ167" s="208"/>
      <c r="AR167" s="226"/>
      <c r="AS167" s="225"/>
      <c r="AT167" s="226"/>
      <c r="AU167" s="225"/>
      <c r="AV167" s="225"/>
      <c r="AW167" s="225"/>
      <c r="AX167" s="225"/>
      <c r="AY167" s="225"/>
    </row>
    <row r="168" spans="33:51" x14ac:dyDescent="0.25">
      <c r="AG168" s="66">
        <f>IF(AND(Множество[[#This Row],[Y]]=1),ROW()-ROW(Множество[[#Headers],[№]]),"")</f>
        <v>159</v>
      </c>
      <c r="AH168" t="s">
        <v>608</v>
      </c>
      <c r="AI168" s="66">
        <v>1</v>
      </c>
      <c r="AJ168" s="66">
        <f>IF(LEN(Множество[[#This Row],[Свёртка]])&gt;0,1,-1)</f>
        <v>1</v>
      </c>
      <c r="AK168" s="66" t="s">
        <v>1781</v>
      </c>
      <c r="AL168" s="66">
        <f>IF(LEN(Множество[[#This Row],[Критерии]])&gt;0,1,-1)</f>
        <v>1</v>
      </c>
      <c r="AM168" s="66">
        <f>IF(AND(LEN(Множество[[#This Row],[Свёртка]])&gt;0,LEN(Множество[[#This Row],[Критерии]])&gt;0,LEN(Множество[[#This Row],[Оценки]])&gt;0),1,-1)</f>
        <v>1</v>
      </c>
      <c r="AN168">
        <v>2.2749999999999999</v>
      </c>
      <c r="AO168">
        <v>-14.466666666666701</v>
      </c>
      <c r="AP168" s="208"/>
      <c r="AQ168" s="208"/>
      <c r="AR168" s="226"/>
      <c r="AS168" s="225"/>
      <c r="AT168" s="226"/>
      <c r="AU168" s="225"/>
      <c r="AV168" s="225"/>
      <c r="AW168" s="225"/>
      <c r="AX168" s="225"/>
      <c r="AY168" s="225"/>
    </row>
    <row r="169" spans="33:51" x14ac:dyDescent="0.25">
      <c r="AG169" s="66">
        <f>IF(AND(Множество[[#This Row],[Y]]=1),ROW()-ROW(Множество[[#Headers],[№]]),"")</f>
        <v>160</v>
      </c>
      <c r="AH169" t="s">
        <v>608</v>
      </c>
      <c r="AI169" s="66">
        <v>1</v>
      </c>
      <c r="AJ169" s="66">
        <f>IF(LEN(Множество[[#This Row],[Свёртка]])&gt;0,1,-1)</f>
        <v>1</v>
      </c>
      <c r="AK169" s="66" t="s">
        <v>1781</v>
      </c>
      <c r="AL169" s="66">
        <f>IF(LEN(Множество[[#This Row],[Критерии]])&gt;0,1,-1)</f>
        <v>1</v>
      </c>
      <c r="AM169" s="66">
        <f>IF(AND(LEN(Множество[[#This Row],[Свёртка]])&gt;0,LEN(Множество[[#This Row],[Критерии]])&gt;0,LEN(Множество[[#This Row],[Оценки]])&gt;0),1,-1)</f>
        <v>1</v>
      </c>
      <c r="AN169">
        <v>3.55</v>
      </c>
      <c r="AO169">
        <v>-15.85</v>
      </c>
      <c r="AP169" s="208"/>
      <c r="AQ169" s="208"/>
      <c r="AR169" s="226"/>
      <c r="AS169" s="225"/>
      <c r="AT169" s="226"/>
      <c r="AU169" s="225"/>
      <c r="AV169" s="225"/>
      <c r="AW169" s="225"/>
      <c r="AX169" s="225"/>
      <c r="AY169" s="225"/>
    </row>
    <row r="170" spans="33:51" x14ac:dyDescent="0.25">
      <c r="AG170" s="66">
        <f>IF(AND(Множество[[#This Row],[Y]]=1),ROW()-ROW(Множество[[#Headers],[№]]),"")</f>
        <v>161</v>
      </c>
      <c r="AH170" t="s">
        <v>608</v>
      </c>
      <c r="AI170" s="66">
        <v>1</v>
      </c>
      <c r="AJ170" s="66">
        <f>IF(LEN(Множество[[#This Row],[Свёртка]])&gt;0,1,-1)</f>
        <v>1</v>
      </c>
      <c r="AK170" s="66" t="s">
        <v>1781</v>
      </c>
      <c r="AL170" s="66">
        <f>IF(LEN(Множество[[#This Row],[Критерии]])&gt;0,1,-1)</f>
        <v>1</v>
      </c>
      <c r="AM170" s="66">
        <f>IF(AND(LEN(Множество[[#This Row],[Свёртка]])&gt;0,LEN(Множество[[#This Row],[Критерии]])&gt;0,LEN(Множество[[#This Row],[Оценки]])&gt;0),1,-1)</f>
        <v>1</v>
      </c>
      <c r="AN170">
        <v>3.6083333333333298</v>
      </c>
      <c r="AO170">
        <v>-15.866666666666699</v>
      </c>
      <c r="AP170" s="208"/>
      <c r="AQ170" s="208"/>
      <c r="AR170" s="226"/>
      <c r="AS170" s="225"/>
      <c r="AT170" s="226"/>
      <c r="AU170" s="225"/>
      <c r="AV170" s="225"/>
      <c r="AW170" s="225"/>
      <c r="AX170" s="225"/>
      <c r="AY170" s="225"/>
    </row>
    <row r="171" spans="33:51" x14ac:dyDescent="0.25">
      <c r="AG171" s="66">
        <f>IF(AND(Множество[[#This Row],[Y]]=1),ROW()-ROW(Множество[[#Headers],[№]]),"")</f>
        <v>162</v>
      </c>
      <c r="AH171" t="s">
        <v>608</v>
      </c>
      <c r="AI171" s="66">
        <v>1</v>
      </c>
      <c r="AJ171" s="66">
        <f>IF(LEN(Множество[[#This Row],[Свёртка]])&gt;0,1,-1)</f>
        <v>1</v>
      </c>
      <c r="AK171" s="66" t="s">
        <v>1781</v>
      </c>
      <c r="AL171" s="66">
        <f>IF(LEN(Множество[[#This Row],[Критерии]])&gt;0,1,-1)</f>
        <v>1</v>
      </c>
      <c r="AM171" s="66">
        <f>IF(AND(LEN(Множество[[#This Row],[Свёртка]])&gt;0,LEN(Множество[[#This Row],[Критерии]])&gt;0,LEN(Множество[[#This Row],[Оценки]])&gt;0),1,-1)</f>
        <v>1</v>
      </c>
      <c r="AN171">
        <v>2.125</v>
      </c>
      <c r="AO171">
        <v>-14.4333333333333</v>
      </c>
      <c r="AP171" s="208"/>
      <c r="AQ171" s="208"/>
      <c r="AR171" s="226"/>
      <c r="AS171" s="225"/>
      <c r="AT171" s="226"/>
      <c r="AU171" s="225"/>
      <c r="AV171" s="225"/>
      <c r="AW171" s="225"/>
      <c r="AX171" s="225"/>
      <c r="AY171" s="225"/>
    </row>
    <row r="172" spans="33:51" x14ac:dyDescent="0.25">
      <c r="AG172" s="66">
        <f>IF(AND(Множество[[#This Row],[Y]]=1),ROW()-ROW(Множество[[#Headers],[№]]),"")</f>
        <v>163</v>
      </c>
      <c r="AH172" t="s">
        <v>608</v>
      </c>
      <c r="AI172" s="66">
        <v>1</v>
      </c>
      <c r="AJ172" s="66">
        <f>IF(LEN(Множество[[#This Row],[Свёртка]])&gt;0,1,-1)</f>
        <v>1</v>
      </c>
      <c r="AK172" s="66" t="s">
        <v>1781</v>
      </c>
      <c r="AL172" s="66">
        <f>IF(LEN(Множество[[#This Row],[Критерии]])&gt;0,1,-1)</f>
        <v>1</v>
      </c>
      <c r="AM172" s="66">
        <f>IF(AND(LEN(Множество[[#This Row],[Свёртка]])&gt;0,LEN(Множество[[#This Row],[Критерии]])&gt;0,LEN(Множество[[#This Row],[Оценки]])&gt;0),1,-1)</f>
        <v>1</v>
      </c>
      <c r="AN172">
        <v>2.2000000000000002</v>
      </c>
      <c r="AO172">
        <v>-14.45</v>
      </c>
      <c r="AP172" s="208"/>
      <c r="AQ172" s="208"/>
      <c r="AR172" s="226"/>
      <c r="AS172" s="225"/>
      <c r="AT172" s="226"/>
      <c r="AU172" s="225"/>
      <c r="AV172" s="225"/>
      <c r="AW172" s="225"/>
      <c r="AX172" s="225"/>
      <c r="AY172" s="225"/>
    </row>
    <row r="173" spans="33:51" x14ac:dyDescent="0.25">
      <c r="AG173" s="66">
        <f>IF(AND(Множество[[#This Row],[Y]]=1),ROW()-ROW(Множество[[#Headers],[№]]),"")</f>
        <v>164</v>
      </c>
      <c r="AH173" t="s">
        <v>608</v>
      </c>
      <c r="AI173" s="66">
        <v>1</v>
      </c>
      <c r="AJ173" s="66">
        <f>IF(LEN(Множество[[#This Row],[Свёртка]])&gt;0,1,-1)</f>
        <v>1</v>
      </c>
      <c r="AK173" s="66" t="s">
        <v>1781</v>
      </c>
      <c r="AL173" s="66">
        <f>IF(LEN(Множество[[#This Row],[Критерии]])&gt;0,1,-1)</f>
        <v>1</v>
      </c>
      <c r="AM173" s="66">
        <f>IF(AND(LEN(Множество[[#This Row],[Свёртка]])&gt;0,LEN(Множество[[#This Row],[Критерии]])&gt;0,LEN(Множество[[#This Row],[Оценки]])&gt;0),1,-1)</f>
        <v>1</v>
      </c>
      <c r="AN173">
        <v>3.43333333333333</v>
      </c>
      <c r="AO173">
        <v>-15.8</v>
      </c>
      <c r="AP173" s="208"/>
      <c r="AQ173" s="208"/>
      <c r="AR173" s="226"/>
      <c r="AS173" s="225"/>
      <c r="AT173" s="226"/>
      <c r="AU173" s="225"/>
      <c r="AV173" s="225"/>
      <c r="AW173" s="225"/>
      <c r="AX173" s="225"/>
      <c r="AY173" s="225"/>
    </row>
    <row r="174" spans="33:51" x14ac:dyDescent="0.25">
      <c r="AG174" s="66">
        <f>IF(AND(Множество[[#This Row],[Y]]=1),ROW()-ROW(Множество[[#Headers],[№]]),"")</f>
        <v>165</v>
      </c>
      <c r="AH174" t="s">
        <v>608</v>
      </c>
      <c r="AI174" s="66">
        <v>1</v>
      </c>
      <c r="AJ174" s="66">
        <f>IF(LEN(Множество[[#This Row],[Свёртка]])&gt;0,1,-1)</f>
        <v>1</v>
      </c>
      <c r="AK174" s="66" t="s">
        <v>1781</v>
      </c>
      <c r="AL174" s="66">
        <f>IF(LEN(Множество[[#This Row],[Критерии]])&gt;0,1,-1)</f>
        <v>1</v>
      </c>
      <c r="AM174" s="66">
        <f>IF(AND(LEN(Множество[[#This Row],[Свёртка]])&gt;0,LEN(Множество[[#This Row],[Критерии]])&gt;0,LEN(Множество[[#This Row],[Оценки]])&gt;0),1,-1)</f>
        <v>1</v>
      </c>
      <c r="AN174">
        <v>1.9750000000000001</v>
      </c>
      <c r="AO174">
        <v>-14.383333333333301</v>
      </c>
      <c r="AP174" s="208"/>
      <c r="AQ174" s="208"/>
      <c r="AR174" s="226"/>
      <c r="AS174" s="225"/>
      <c r="AT174" s="226"/>
      <c r="AU174" s="225"/>
      <c r="AV174" s="225"/>
      <c r="AW174" s="225"/>
      <c r="AX174" s="225"/>
      <c r="AY174" s="225"/>
    </row>
    <row r="175" spans="33:51" x14ac:dyDescent="0.25">
      <c r="AG175" s="66">
        <f>IF(AND(Множество[[#This Row],[Y]]=1),ROW()-ROW(Множество[[#Headers],[№]]),"")</f>
        <v>166</v>
      </c>
      <c r="AH175" t="s">
        <v>608</v>
      </c>
      <c r="AI175" s="66">
        <v>1</v>
      </c>
      <c r="AJ175" s="66">
        <f>IF(LEN(Множество[[#This Row],[Свёртка]])&gt;0,1,-1)</f>
        <v>1</v>
      </c>
      <c r="AK175" s="66" t="s">
        <v>1781</v>
      </c>
      <c r="AL175" s="66">
        <f>IF(LEN(Множество[[#This Row],[Критерии]])&gt;0,1,-1)</f>
        <v>1</v>
      </c>
      <c r="AM175" s="66">
        <f>IF(AND(LEN(Множество[[#This Row],[Свёртка]])&gt;0,LEN(Множество[[#This Row],[Критерии]])&gt;0,LEN(Множество[[#This Row],[Оценки]])&gt;0),1,-1)</f>
        <v>1</v>
      </c>
      <c r="AN175">
        <v>3.4916666666666698</v>
      </c>
      <c r="AO175">
        <v>-15.8333333333333</v>
      </c>
      <c r="AP175" s="208"/>
      <c r="AQ175" s="208"/>
      <c r="AR175" s="226"/>
      <c r="AS175" s="225"/>
      <c r="AT175" s="226"/>
      <c r="AU175" s="225"/>
      <c r="AV175" s="225"/>
      <c r="AW175" s="225"/>
      <c r="AX175" s="225"/>
      <c r="AY175" s="225"/>
    </row>
    <row r="176" spans="33:51" x14ac:dyDescent="0.25">
      <c r="AG176" s="66">
        <f>IF(AND(Множество[[#This Row],[Y]]=1),ROW()-ROW(Множество[[#Headers],[№]]),"")</f>
        <v>167</v>
      </c>
      <c r="AH176" t="s">
        <v>608</v>
      </c>
      <c r="AI176" s="66">
        <v>1</v>
      </c>
      <c r="AJ176" s="66">
        <f>IF(LEN(Множество[[#This Row],[Свёртка]])&gt;0,1,-1)</f>
        <v>1</v>
      </c>
      <c r="AK176" s="66" t="s">
        <v>1781</v>
      </c>
      <c r="AL176" s="66">
        <f>IF(LEN(Множество[[#This Row],[Критерии]])&gt;0,1,-1)</f>
        <v>1</v>
      </c>
      <c r="AM176" s="66">
        <f>IF(AND(LEN(Множество[[#This Row],[Свёртка]])&gt;0,LEN(Множество[[#This Row],[Критерии]])&gt;0,LEN(Множество[[#This Row],[Оценки]])&gt;0),1,-1)</f>
        <v>1</v>
      </c>
      <c r="AN176">
        <v>2.0499999999999998</v>
      </c>
      <c r="AO176">
        <v>-14.4</v>
      </c>
      <c r="AP176" s="208"/>
      <c r="AQ176" s="208"/>
      <c r="AR176" s="226"/>
      <c r="AS176" s="225"/>
      <c r="AT176" s="226"/>
      <c r="AU176" s="225"/>
      <c r="AV176" s="225"/>
      <c r="AW176" s="225"/>
      <c r="AX176" s="225"/>
      <c r="AY176" s="225"/>
    </row>
    <row r="177" spans="33:51" x14ac:dyDescent="0.25">
      <c r="AG177" s="66">
        <f>IF(AND(Множество[[#This Row],[Y]]=1),ROW()-ROW(Множество[[#Headers],[№]]),"")</f>
        <v>168</v>
      </c>
      <c r="AH177" t="s">
        <v>608</v>
      </c>
      <c r="AI177" s="66">
        <v>1</v>
      </c>
      <c r="AJ177" s="66">
        <f>IF(LEN(Множество[[#This Row],[Свёртка]])&gt;0,1,-1)</f>
        <v>1</v>
      </c>
      <c r="AK177" s="66" t="s">
        <v>1781</v>
      </c>
      <c r="AL177" s="66">
        <f>IF(LEN(Множество[[#This Row],[Критерии]])&gt;0,1,-1)</f>
        <v>1</v>
      </c>
      <c r="AM177" s="66">
        <f>IF(AND(LEN(Множество[[#This Row],[Свёртка]])&gt;0,LEN(Множество[[#This Row],[Критерии]])&gt;0,LEN(Множество[[#This Row],[Оценки]])&gt;0),1,-1)</f>
        <v>1</v>
      </c>
      <c r="AN177">
        <v>3.31666666666667</v>
      </c>
      <c r="AO177">
        <v>-15.766666666666699</v>
      </c>
      <c r="AP177" s="208"/>
      <c r="AQ177" s="208"/>
      <c r="AR177" s="226"/>
      <c r="AS177" s="225"/>
      <c r="AT177" s="226"/>
      <c r="AU177" s="225"/>
      <c r="AV177" s="225"/>
      <c r="AW177" s="225"/>
      <c r="AX177" s="225"/>
      <c r="AY177" s="225"/>
    </row>
    <row r="178" spans="33:51" x14ac:dyDescent="0.25">
      <c r="AG178" s="66">
        <f>IF(AND(Множество[[#This Row],[Y]]=1),ROW()-ROW(Множество[[#Headers],[№]]),"")</f>
        <v>169</v>
      </c>
      <c r="AH178" t="s">
        <v>608</v>
      </c>
      <c r="AI178" s="66">
        <v>1</v>
      </c>
      <c r="AJ178" s="66">
        <f>IF(LEN(Множество[[#This Row],[Свёртка]])&gt;0,1,-1)</f>
        <v>1</v>
      </c>
      <c r="AK178" s="66" t="s">
        <v>1781</v>
      </c>
      <c r="AL178" s="66">
        <f>IF(LEN(Множество[[#This Row],[Критерии]])&gt;0,1,-1)</f>
        <v>1</v>
      </c>
      <c r="AM178" s="66">
        <f>IF(AND(LEN(Множество[[#This Row],[Свёртка]])&gt;0,LEN(Множество[[#This Row],[Критерии]])&gt;0,LEN(Множество[[#This Row],[Оценки]])&gt;0),1,-1)</f>
        <v>1</v>
      </c>
      <c r="AN178">
        <v>3.375</v>
      </c>
      <c r="AO178">
        <v>-15.783333333333299</v>
      </c>
      <c r="AP178" s="208"/>
      <c r="AQ178" s="208"/>
      <c r="AR178" s="226"/>
      <c r="AS178" s="225"/>
      <c r="AT178" s="226"/>
      <c r="AU178" s="225"/>
      <c r="AV178" s="225"/>
      <c r="AW178" s="225"/>
      <c r="AX178" s="225"/>
      <c r="AY178" s="225"/>
    </row>
    <row r="179" spans="33:51" x14ac:dyDescent="0.25">
      <c r="AG179" s="66">
        <f>IF(AND(Множество[[#This Row],[Y]]=1),ROW()-ROW(Множество[[#Headers],[№]]),"")</f>
        <v>170</v>
      </c>
      <c r="AH179" t="s">
        <v>608</v>
      </c>
      <c r="AI179" s="66">
        <v>1</v>
      </c>
      <c r="AJ179" s="66">
        <f>IF(LEN(Множество[[#This Row],[Свёртка]])&gt;0,1,-1)</f>
        <v>1</v>
      </c>
      <c r="AK179" s="66" t="s">
        <v>1781</v>
      </c>
      <c r="AL179" s="66">
        <f>IF(LEN(Множество[[#This Row],[Критерии]])&gt;0,1,-1)</f>
        <v>1</v>
      </c>
      <c r="AM179" s="66">
        <f>IF(AND(LEN(Множество[[#This Row],[Свёртка]])&gt;0,LEN(Множество[[#This Row],[Критерии]])&gt;0,LEN(Множество[[#This Row],[Оценки]])&gt;0),1,-1)</f>
        <v>1</v>
      </c>
      <c r="AN179">
        <v>1.825</v>
      </c>
      <c r="AO179">
        <v>-14.35</v>
      </c>
      <c r="AP179" s="208"/>
      <c r="AQ179" s="208"/>
      <c r="AR179" s="226"/>
      <c r="AS179" s="225"/>
      <c r="AT179" s="226"/>
      <c r="AU179" s="225"/>
      <c r="AV179" s="225"/>
      <c r="AW179" s="225"/>
      <c r="AX179" s="225"/>
      <c r="AY179" s="225"/>
    </row>
    <row r="180" spans="33:51" x14ac:dyDescent="0.25">
      <c r="AG180" s="66">
        <f>IF(AND(Множество[[#This Row],[Y]]=1),ROW()-ROW(Множество[[#Headers],[№]]),"")</f>
        <v>171</v>
      </c>
      <c r="AH180" t="s">
        <v>608</v>
      </c>
      <c r="AI180" s="66">
        <v>1</v>
      </c>
      <c r="AJ180" s="66">
        <f>IF(LEN(Множество[[#This Row],[Свёртка]])&gt;0,1,-1)</f>
        <v>1</v>
      </c>
      <c r="AK180" s="66" t="s">
        <v>1781</v>
      </c>
      <c r="AL180" s="66">
        <f>IF(LEN(Множество[[#This Row],[Критерии]])&gt;0,1,-1)</f>
        <v>1</v>
      </c>
      <c r="AM180" s="66">
        <f>IF(AND(LEN(Множество[[#This Row],[Свёртка]])&gt;0,LEN(Множество[[#This Row],[Критерии]])&gt;0,LEN(Множество[[#This Row],[Оценки]])&gt;0),1,-1)</f>
        <v>1</v>
      </c>
      <c r="AN180">
        <v>3.1416666666666702</v>
      </c>
      <c r="AO180">
        <v>-15.7</v>
      </c>
      <c r="AP180" s="208"/>
      <c r="AQ180" s="208"/>
      <c r="AR180" s="226"/>
      <c r="AS180" s="225"/>
      <c r="AT180" s="226"/>
      <c r="AU180" s="225"/>
      <c r="AV180" s="225"/>
      <c r="AW180" s="225"/>
      <c r="AX180" s="225"/>
      <c r="AY180" s="225"/>
    </row>
    <row r="181" spans="33:51" x14ac:dyDescent="0.25">
      <c r="AG181" s="66">
        <f>IF(AND(Множество[[#This Row],[Y]]=1),ROW()-ROW(Множество[[#Headers],[№]]),"")</f>
        <v>172</v>
      </c>
      <c r="AH181" t="s">
        <v>608</v>
      </c>
      <c r="AI181" s="66">
        <v>1</v>
      </c>
      <c r="AJ181" s="66">
        <f>IF(LEN(Множество[[#This Row],[Свёртка]])&gt;0,1,-1)</f>
        <v>1</v>
      </c>
      <c r="AK181" s="66" t="s">
        <v>1781</v>
      </c>
      <c r="AL181" s="66">
        <f>IF(LEN(Множество[[#This Row],[Критерии]])&gt;0,1,-1)</f>
        <v>1</v>
      </c>
      <c r="AM181" s="66">
        <f>IF(AND(LEN(Множество[[#This Row],[Свёртка]])&gt;0,LEN(Множество[[#This Row],[Критерии]])&gt;0,LEN(Множество[[#This Row],[Оценки]])&gt;0),1,-1)</f>
        <v>1</v>
      </c>
      <c r="AN181">
        <v>1.9</v>
      </c>
      <c r="AO181">
        <v>-14.366666666666699</v>
      </c>
      <c r="AP181" s="208"/>
      <c r="AQ181" s="208"/>
      <c r="AR181" s="226"/>
      <c r="AS181" s="225"/>
      <c r="AT181" s="226"/>
      <c r="AU181" s="225"/>
      <c r="AV181" s="225"/>
      <c r="AW181" s="225"/>
      <c r="AX181" s="225"/>
      <c r="AY181" s="225"/>
    </row>
    <row r="182" spans="33:51" x14ac:dyDescent="0.25">
      <c r="AG182" s="66">
        <f>IF(AND(Множество[[#This Row],[Y]]=1),ROW()-ROW(Множество[[#Headers],[№]]),"")</f>
        <v>173</v>
      </c>
      <c r="AH182" t="s">
        <v>608</v>
      </c>
      <c r="AI182" s="66">
        <v>1</v>
      </c>
      <c r="AJ182" s="66">
        <f>IF(LEN(Множество[[#This Row],[Свёртка]])&gt;0,1,-1)</f>
        <v>1</v>
      </c>
      <c r="AK182" s="66" t="s">
        <v>1781</v>
      </c>
      <c r="AL182" s="66">
        <f>IF(LEN(Множество[[#This Row],[Критерии]])&gt;0,1,-1)</f>
        <v>1</v>
      </c>
      <c r="AM182" s="66">
        <f>IF(AND(LEN(Множество[[#This Row],[Свёртка]])&gt;0,LEN(Множество[[#This Row],[Критерии]])&gt;0,LEN(Множество[[#This Row],[Оценки]])&gt;0),1,-1)</f>
        <v>1</v>
      </c>
      <c r="AN182">
        <v>3.2583333333333302</v>
      </c>
      <c r="AO182">
        <v>-15.75</v>
      </c>
      <c r="AP182" s="208"/>
      <c r="AQ182" s="208"/>
      <c r="AR182" s="226"/>
      <c r="AS182" s="225"/>
      <c r="AT182" s="226"/>
      <c r="AU182" s="225"/>
      <c r="AV182" s="225"/>
      <c r="AW182" s="225"/>
      <c r="AX182" s="225"/>
      <c r="AY182" s="225"/>
    </row>
    <row r="183" spans="33:51" x14ac:dyDescent="0.25">
      <c r="AG183" s="66">
        <f>IF(AND(Множество[[#This Row],[Y]]=1),ROW()-ROW(Множество[[#Headers],[№]]),"")</f>
        <v>174</v>
      </c>
      <c r="AH183" t="s">
        <v>608</v>
      </c>
      <c r="AI183" s="66">
        <v>1</v>
      </c>
      <c r="AJ183" s="66">
        <f>IF(LEN(Множество[[#This Row],[Свёртка]])&gt;0,1,-1)</f>
        <v>1</v>
      </c>
      <c r="AK183" s="66" t="s">
        <v>1781</v>
      </c>
      <c r="AL183" s="66">
        <f>IF(LEN(Множество[[#This Row],[Критерии]])&gt;0,1,-1)</f>
        <v>1</v>
      </c>
      <c r="AM183" s="66">
        <f>IF(AND(LEN(Множество[[#This Row],[Свёртка]])&gt;0,LEN(Множество[[#This Row],[Критерии]])&gt;0,LEN(Множество[[#This Row],[Оценки]])&gt;0),1,-1)</f>
        <v>1</v>
      </c>
      <c r="AN183">
        <v>3.2</v>
      </c>
      <c r="AO183">
        <v>-15.716666666666701</v>
      </c>
      <c r="AP183" s="208"/>
      <c r="AQ183" s="208"/>
      <c r="AR183" s="226"/>
      <c r="AS183" s="225"/>
      <c r="AT183" s="226"/>
      <c r="AU183" s="225"/>
      <c r="AV183" s="225"/>
      <c r="AW183" s="225"/>
      <c r="AX183" s="225"/>
      <c r="AY183" s="225"/>
    </row>
    <row r="184" spans="33:51" x14ac:dyDescent="0.25">
      <c r="AG184" s="66">
        <f>IF(AND(Множество[[#This Row],[Y]]=1),ROW()-ROW(Множество[[#Headers],[№]]),"")</f>
        <v>175</v>
      </c>
      <c r="AH184" t="s">
        <v>608</v>
      </c>
      <c r="AI184" s="66">
        <v>1</v>
      </c>
      <c r="AJ184" s="66">
        <f>IF(LEN(Множество[[#This Row],[Свёртка]])&gt;0,1,-1)</f>
        <v>1</v>
      </c>
      <c r="AK184" s="66" t="s">
        <v>1781</v>
      </c>
      <c r="AL184" s="66">
        <f>IF(LEN(Множество[[#This Row],[Критерии]])&gt;0,1,-1)</f>
        <v>1</v>
      </c>
      <c r="AM184" s="66">
        <f>IF(AND(LEN(Множество[[#This Row],[Свёртка]])&gt;0,LEN(Множество[[#This Row],[Критерии]])&gt;0,LEN(Множество[[#This Row],[Оценки]])&gt;0),1,-1)</f>
        <v>1</v>
      </c>
      <c r="AN184">
        <v>1.675</v>
      </c>
      <c r="AO184">
        <v>-14.3</v>
      </c>
      <c r="AP184" s="208"/>
      <c r="AQ184" s="208"/>
      <c r="AR184" s="226"/>
      <c r="AS184" s="225"/>
      <c r="AT184" s="226"/>
      <c r="AU184" s="225"/>
      <c r="AV184" s="225"/>
      <c r="AW184" s="225"/>
      <c r="AX184" s="225"/>
      <c r="AY184" s="225"/>
    </row>
    <row r="185" spans="33:51" x14ac:dyDescent="0.25">
      <c r="AG185" s="66">
        <f>IF(AND(Множество[[#This Row],[Y]]=1),ROW()-ROW(Множество[[#Headers],[№]]),"")</f>
        <v>176</v>
      </c>
      <c r="AH185" t="s">
        <v>608</v>
      </c>
      <c r="AI185" s="66">
        <v>1</v>
      </c>
      <c r="AJ185" s="66">
        <f>IF(LEN(Множество[[#This Row],[Свёртка]])&gt;0,1,-1)</f>
        <v>1</v>
      </c>
      <c r="AK185" s="66" t="s">
        <v>1781</v>
      </c>
      <c r="AL185" s="66">
        <f>IF(LEN(Множество[[#This Row],[Критерии]])&gt;0,1,-1)</f>
        <v>1</v>
      </c>
      <c r="AM185" s="66">
        <f>IF(AND(LEN(Множество[[#This Row],[Свёртка]])&gt;0,LEN(Множество[[#This Row],[Критерии]])&gt;0,LEN(Множество[[#This Row],[Оценки]])&gt;0),1,-1)</f>
        <v>1</v>
      </c>
      <c r="AN185">
        <v>1.75</v>
      </c>
      <c r="AO185">
        <v>-14.3166666666667</v>
      </c>
      <c r="AP185" s="208"/>
      <c r="AQ185" s="208"/>
      <c r="AR185" s="226"/>
      <c r="AS185" s="225"/>
      <c r="AT185" s="226"/>
      <c r="AU185" s="225"/>
      <c r="AV185" s="225"/>
      <c r="AW185" s="225"/>
      <c r="AX185" s="225"/>
      <c r="AY185" s="225"/>
    </row>
    <row r="186" spans="33:51" x14ac:dyDescent="0.25">
      <c r="AG186" s="66">
        <f>IF(AND(Множество[[#This Row],[Y]]=1),ROW()-ROW(Множество[[#Headers],[№]]),"")</f>
        <v>177</v>
      </c>
      <c r="AH186" t="s">
        <v>608</v>
      </c>
      <c r="AI186" s="66">
        <v>1</v>
      </c>
      <c r="AJ186" s="66">
        <f>IF(LEN(Множество[[#This Row],[Свёртка]])&gt;0,1,-1)</f>
        <v>1</v>
      </c>
      <c r="AK186" s="66" t="s">
        <v>1781</v>
      </c>
      <c r="AL186" s="66">
        <f>IF(LEN(Множество[[#This Row],[Критерии]])&gt;0,1,-1)</f>
        <v>1</v>
      </c>
      <c r="AM186" s="66">
        <f>IF(AND(LEN(Множество[[#This Row],[Свёртка]])&gt;0,LEN(Множество[[#This Row],[Критерии]])&gt;0,LEN(Множество[[#This Row],[Оценки]])&gt;0),1,-1)</f>
        <v>1</v>
      </c>
      <c r="AN186">
        <v>3.0833333333333299</v>
      </c>
      <c r="AO186">
        <v>-15.6833333333333</v>
      </c>
      <c r="AP186" s="208"/>
      <c r="AQ186" s="208"/>
      <c r="AR186" s="226"/>
      <c r="AS186" s="225"/>
      <c r="AT186" s="226"/>
      <c r="AU186" s="225"/>
      <c r="AV186" s="225"/>
      <c r="AW186" s="225"/>
      <c r="AX186" s="225"/>
      <c r="AY186" s="225"/>
    </row>
    <row r="187" spans="33:51" x14ac:dyDescent="0.25">
      <c r="AG187" s="66">
        <f>IF(AND(Множество[[#This Row],[Y]]=1),ROW()-ROW(Множество[[#Headers],[№]]),"")</f>
        <v>178</v>
      </c>
      <c r="AH187" t="s">
        <v>608</v>
      </c>
      <c r="AI187" s="66">
        <v>1</v>
      </c>
      <c r="AJ187" s="66">
        <f>IF(LEN(Множество[[#This Row],[Свёртка]])&gt;0,1,-1)</f>
        <v>1</v>
      </c>
      <c r="AK187" s="66" t="s">
        <v>1781</v>
      </c>
      <c r="AL187" s="66">
        <f>IF(LEN(Множество[[#This Row],[Критерии]])&gt;0,1,-1)</f>
        <v>1</v>
      </c>
      <c r="AM187" s="66">
        <f>IF(AND(LEN(Множество[[#This Row],[Свёртка]])&gt;0,LEN(Множество[[#This Row],[Критерии]])&gt;0,LEN(Множество[[#This Row],[Оценки]])&gt;0),1,-1)</f>
        <v>1</v>
      </c>
      <c r="AN187">
        <v>3.0249999999999999</v>
      </c>
      <c r="AO187">
        <v>-15.65</v>
      </c>
      <c r="AP187" s="208"/>
      <c r="AQ187" s="208"/>
      <c r="AR187" s="226"/>
      <c r="AS187" s="225"/>
      <c r="AT187" s="226"/>
      <c r="AU187" s="225"/>
      <c r="AV187" s="225"/>
      <c r="AW187" s="225"/>
      <c r="AX187" s="225"/>
      <c r="AY187" s="225"/>
    </row>
    <row r="188" spans="33:51" x14ac:dyDescent="0.25">
      <c r="AG188" s="66">
        <f>IF(AND(Множество[[#This Row],[Y]]=1),ROW()-ROW(Множество[[#Headers],[№]]),"")</f>
        <v>179</v>
      </c>
      <c r="AH188" t="s">
        <v>608</v>
      </c>
      <c r="AI188" s="66">
        <v>1</v>
      </c>
      <c r="AJ188" s="66">
        <f>IF(LEN(Множество[[#This Row],[Свёртка]])&gt;0,1,-1)</f>
        <v>1</v>
      </c>
      <c r="AK188" s="66" t="s">
        <v>1781</v>
      </c>
      <c r="AL188" s="66">
        <f>IF(LEN(Множество[[#This Row],[Критерии]])&gt;0,1,-1)</f>
        <v>1</v>
      </c>
      <c r="AM188" s="66">
        <f>IF(AND(LEN(Множество[[#This Row],[Свёртка]])&gt;0,LEN(Множество[[#This Row],[Критерии]])&gt;0,LEN(Множество[[#This Row],[Оценки]])&gt;0),1,-1)</f>
        <v>1</v>
      </c>
      <c r="AN188">
        <v>2.9083333333333301</v>
      </c>
      <c r="AO188">
        <v>-15.616666666666699</v>
      </c>
      <c r="AP188" s="208"/>
      <c r="AQ188" s="208"/>
      <c r="AR188" s="226"/>
      <c r="AS188" s="225"/>
      <c r="AT188" s="226"/>
      <c r="AU188" s="225"/>
      <c r="AV188" s="225"/>
      <c r="AW188" s="225"/>
      <c r="AX188" s="225"/>
      <c r="AY188" s="225"/>
    </row>
    <row r="189" spans="33:51" x14ac:dyDescent="0.25">
      <c r="AG189" s="66">
        <f>IF(AND(Множество[[#This Row],[Y]]=1),ROW()-ROW(Множество[[#Headers],[№]]),"")</f>
        <v>180</v>
      </c>
      <c r="AH189" t="s">
        <v>608</v>
      </c>
      <c r="AI189" s="66">
        <v>1</v>
      </c>
      <c r="AJ189" s="66">
        <f>IF(LEN(Множество[[#This Row],[Свёртка]])&gt;0,1,-1)</f>
        <v>1</v>
      </c>
      <c r="AK189" s="66" t="s">
        <v>1781</v>
      </c>
      <c r="AL189" s="66">
        <f>IF(LEN(Множество[[#This Row],[Критерии]])&gt;0,1,-1)</f>
        <v>1</v>
      </c>
      <c r="AM189" s="66">
        <f>IF(AND(LEN(Множество[[#This Row],[Свёртка]])&gt;0,LEN(Множество[[#This Row],[Критерии]])&gt;0,LEN(Множество[[#This Row],[Оценки]])&gt;0),1,-1)</f>
        <v>1</v>
      </c>
      <c r="AN189">
        <v>2.9666666666666699</v>
      </c>
      <c r="AO189">
        <v>-15.633333333333301</v>
      </c>
      <c r="AP189" s="208"/>
      <c r="AQ189" s="208"/>
      <c r="AR189" s="226"/>
      <c r="AS189" s="225"/>
      <c r="AT189" s="226"/>
      <c r="AU189" s="225"/>
      <c r="AV189" s="225"/>
      <c r="AW189" s="225"/>
      <c r="AX189" s="225"/>
      <c r="AY189" s="225"/>
    </row>
    <row r="190" spans="33:51" x14ac:dyDescent="0.25">
      <c r="AG190" s="66">
        <f>IF(AND(Множество[[#This Row],[Y]]=1),ROW()-ROW(Множество[[#Headers],[№]]),"")</f>
        <v>181</v>
      </c>
      <c r="AH190" t="s">
        <v>608</v>
      </c>
      <c r="AI190" s="66">
        <v>1</v>
      </c>
      <c r="AJ190" s="66">
        <f>IF(LEN(Множество[[#This Row],[Свёртка]])&gt;0,1,-1)</f>
        <v>1</v>
      </c>
      <c r="AK190" s="66" t="s">
        <v>1781</v>
      </c>
      <c r="AL190" s="66">
        <f>IF(LEN(Множество[[#This Row],[Критерии]])&gt;0,1,-1)</f>
        <v>1</v>
      </c>
      <c r="AM190" s="66">
        <f>IF(AND(LEN(Множество[[#This Row],[Свёртка]])&gt;0,LEN(Множество[[#This Row],[Критерии]])&gt;0,LEN(Множество[[#This Row],[Оценки]])&gt;0),1,-1)</f>
        <v>1</v>
      </c>
      <c r="AN190">
        <v>1.6</v>
      </c>
      <c r="AO190">
        <v>-14.283333333333299</v>
      </c>
      <c r="AP190" s="208"/>
      <c r="AQ190" s="208"/>
      <c r="AR190" s="226"/>
      <c r="AS190" s="225"/>
      <c r="AT190" s="226"/>
      <c r="AU190" s="225"/>
      <c r="AV190" s="225"/>
      <c r="AW190" s="225"/>
      <c r="AX190" s="225"/>
      <c r="AY190" s="225"/>
    </row>
    <row r="191" spans="33:51" x14ac:dyDescent="0.25">
      <c r="AG191" s="66">
        <f>IF(AND(Множество[[#This Row],[Y]]=1),ROW()-ROW(Множество[[#Headers],[№]]),"")</f>
        <v>182</v>
      </c>
      <c r="AH191" t="s">
        <v>608</v>
      </c>
      <c r="AI191" s="66">
        <v>1</v>
      </c>
      <c r="AJ191" s="66">
        <f>IF(LEN(Множество[[#This Row],[Свёртка]])&gt;0,1,-1)</f>
        <v>1</v>
      </c>
      <c r="AK191" s="66" t="s">
        <v>1781</v>
      </c>
      <c r="AL191" s="66">
        <f>IF(LEN(Множество[[#This Row],[Критерии]])&gt;0,1,-1)</f>
        <v>1</v>
      </c>
      <c r="AM191" s="66">
        <f>IF(AND(LEN(Множество[[#This Row],[Свёртка]])&gt;0,LEN(Множество[[#This Row],[Критерии]])&gt;0,LEN(Множество[[#This Row],[Оценки]])&gt;0),1,-1)</f>
        <v>1</v>
      </c>
      <c r="AN191">
        <v>2.7916666666666701</v>
      </c>
      <c r="AO191">
        <v>-15.5666666666667</v>
      </c>
      <c r="AP191" s="208"/>
      <c r="AQ191" s="208"/>
      <c r="AR191" s="226"/>
      <c r="AS191" s="225"/>
      <c r="AT191" s="226"/>
      <c r="AU191" s="225"/>
      <c r="AV191" s="225"/>
      <c r="AW191" s="225"/>
      <c r="AX191" s="225"/>
      <c r="AY191" s="225"/>
    </row>
    <row r="192" spans="33:51" x14ac:dyDescent="0.25">
      <c r="AG192" s="66">
        <f>IF(AND(Множество[[#This Row],[Y]]=1),ROW()-ROW(Множество[[#Headers],[№]]),"")</f>
        <v>183</v>
      </c>
      <c r="AH192" t="s">
        <v>608</v>
      </c>
      <c r="AI192" s="66">
        <v>1</v>
      </c>
      <c r="AJ192" s="66">
        <f>IF(LEN(Множество[[#This Row],[Свёртка]])&gt;0,1,-1)</f>
        <v>1</v>
      </c>
      <c r="AK192" s="66" t="s">
        <v>1781</v>
      </c>
      <c r="AL192" s="66">
        <f>IF(LEN(Множество[[#This Row],[Критерии]])&gt;0,1,-1)</f>
        <v>1</v>
      </c>
      <c r="AM192" s="66">
        <f>IF(AND(LEN(Множество[[#This Row],[Свёртка]])&gt;0,LEN(Множество[[#This Row],[Критерии]])&gt;0,LEN(Множество[[#This Row],[Оценки]])&gt;0),1,-1)</f>
        <v>1</v>
      </c>
      <c r="AN192">
        <v>1.45</v>
      </c>
      <c r="AO192">
        <v>-14.233333333333301</v>
      </c>
      <c r="AP192" s="208"/>
      <c r="AQ192" s="208"/>
      <c r="AR192" s="226"/>
      <c r="AS192" s="225"/>
      <c r="AT192" s="226"/>
      <c r="AU192" s="225"/>
      <c r="AV192" s="225"/>
      <c r="AW192" s="225"/>
      <c r="AX192" s="225"/>
      <c r="AY192" s="225"/>
    </row>
    <row r="193" spans="33:51" x14ac:dyDescent="0.25">
      <c r="AG193" s="66">
        <f>IF(AND(Множество[[#This Row],[Y]]=1),ROW()-ROW(Множество[[#Headers],[№]]),"")</f>
        <v>184</v>
      </c>
      <c r="AH193" t="s">
        <v>608</v>
      </c>
      <c r="AI193" s="66">
        <v>1</v>
      </c>
      <c r="AJ193" s="66">
        <f>IF(LEN(Множество[[#This Row],[Свёртка]])&gt;0,1,-1)</f>
        <v>1</v>
      </c>
      <c r="AK193" s="66" t="s">
        <v>1781</v>
      </c>
      <c r="AL193" s="66">
        <f>IF(LEN(Множество[[#This Row],[Критерии]])&gt;0,1,-1)</f>
        <v>1</v>
      </c>
      <c r="AM193" s="66">
        <f>IF(AND(LEN(Множество[[#This Row],[Свёртка]])&gt;0,LEN(Множество[[#This Row],[Критерии]])&gt;0,LEN(Множество[[#This Row],[Оценки]])&gt;0),1,-1)</f>
        <v>1</v>
      </c>
      <c r="AN193">
        <v>1.5249999999999999</v>
      </c>
      <c r="AO193">
        <v>-14.25</v>
      </c>
      <c r="AP193" s="208"/>
      <c r="AQ193" s="208"/>
      <c r="AR193" s="226"/>
      <c r="AS193" s="225"/>
      <c r="AT193" s="226"/>
      <c r="AU193" s="225"/>
      <c r="AV193" s="225"/>
      <c r="AW193" s="225"/>
      <c r="AX193" s="225"/>
      <c r="AY193" s="225"/>
    </row>
    <row r="194" spans="33:51" x14ac:dyDescent="0.25">
      <c r="AG194" s="66">
        <f>IF(AND(Множество[[#This Row],[Y]]=1),ROW()-ROW(Множество[[#Headers],[№]]),"")</f>
        <v>185</v>
      </c>
      <c r="AH194" t="s">
        <v>608</v>
      </c>
      <c r="AI194" s="66">
        <v>1</v>
      </c>
      <c r="AJ194" s="66">
        <f>IF(LEN(Множество[[#This Row],[Свёртка]])&gt;0,1,-1)</f>
        <v>1</v>
      </c>
      <c r="AK194" s="66" t="s">
        <v>1781</v>
      </c>
      <c r="AL194" s="66">
        <f>IF(LEN(Множество[[#This Row],[Критерии]])&gt;0,1,-1)</f>
        <v>1</v>
      </c>
      <c r="AM194" s="66">
        <f>IF(AND(LEN(Множество[[#This Row],[Свёртка]])&gt;0,LEN(Множество[[#This Row],[Критерии]])&gt;0,LEN(Множество[[#This Row],[Оценки]])&gt;0),1,-1)</f>
        <v>1</v>
      </c>
      <c r="AN194">
        <v>2.85</v>
      </c>
      <c r="AO194">
        <v>-15.6</v>
      </c>
      <c r="AP194" s="208"/>
      <c r="AQ194" s="208"/>
      <c r="AR194" s="226"/>
      <c r="AS194" s="225"/>
      <c r="AT194" s="226"/>
      <c r="AU194" s="225"/>
      <c r="AV194" s="225"/>
      <c r="AW194" s="225"/>
      <c r="AX194" s="225"/>
      <c r="AY194" s="225"/>
    </row>
    <row r="195" spans="33:51" x14ac:dyDescent="0.25">
      <c r="AG195" s="66">
        <f>IF(AND(Множество[[#This Row],[Y]]=1),ROW()-ROW(Множество[[#Headers],[№]]),"")</f>
        <v>186</v>
      </c>
      <c r="AH195" t="s">
        <v>608</v>
      </c>
      <c r="AI195" s="66">
        <v>1</v>
      </c>
      <c r="AJ195" s="66">
        <f>IF(LEN(Множество[[#This Row],[Свёртка]])&gt;0,1,-1)</f>
        <v>1</v>
      </c>
      <c r="AK195" s="66" t="s">
        <v>1781</v>
      </c>
      <c r="AL195" s="66">
        <f>IF(LEN(Множество[[#This Row],[Критерии]])&gt;0,1,-1)</f>
        <v>1</v>
      </c>
      <c r="AM195" s="66">
        <f>IF(AND(LEN(Множество[[#This Row],[Свёртка]])&gt;0,LEN(Множество[[#This Row],[Критерии]])&gt;0,LEN(Множество[[#This Row],[Оценки]])&gt;0),1,-1)</f>
        <v>1</v>
      </c>
      <c r="AN195">
        <v>1.375</v>
      </c>
      <c r="AO195">
        <v>-14.216666666666701</v>
      </c>
      <c r="AP195" s="208"/>
      <c r="AQ195" s="208"/>
      <c r="AR195" s="226"/>
      <c r="AS195" s="225"/>
      <c r="AT195" s="226"/>
      <c r="AU195" s="225"/>
      <c r="AV195" s="225"/>
      <c r="AW195" s="225"/>
      <c r="AX195" s="225"/>
      <c r="AY195" s="225"/>
    </row>
    <row r="196" spans="33:51" x14ac:dyDescent="0.25">
      <c r="AG196" s="66">
        <f>IF(AND(Множество[[#This Row],[Y]]=1),ROW()-ROW(Множество[[#Headers],[№]]),"")</f>
        <v>187</v>
      </c>
      <c r="AH196" t="s">
        <v>608</v>
      </c>
      <c r="AI196" s="66">
        <v>1</v>
      </c>
      <c r="AJ196" s="66">
        <f>IF(LEN(Множество[[#This Row],[Свёртка]])&gt;0,1,-1)</f>
        <v>1</v>
      </c>
      <c r="AK196" s="66" t="s">
        <v>1781</v>
      </c>
      <c r="AL196" s="66">
        <f>IF(LEN(Множество[[#This Row],[Критерии]])&gt;0,1,-1)</f>
        <v>1</v>
      </c>
      <c r="AM196" s="66">
        <f>IF(AND(LEN(Множество[[#This Row],[Свёртка]])&gt;0,LEN(Множество[[#This Row],[Критерии]])&gt;0,LEN(Множество[[#This Row],[Оценки]])&gt;0),1,-1)</f>
        <v>1</v>
      </c>
      <c r="AN196">
        <v>1.3</v>
      </c>
      <c r="AO196">
        <v>-14.2</v>
      </c>
      <c r="AP196" s="208"/>
      <c r="AQ196" s="208"/>
      <c r="AR196" s="226"/>
      <c r="AS196" s="225"/>
      <c r="AT196" s="226"/>
      <c r="AU196" s="225"/>
      <c r="AV196" s="225"/>
      <c r="AW196" s="225"/>
      <c r="AX196" s="225"/>
      <c r="AY196" s="225"/>
    </row>
    <row r="197" spans="33:51" x14ac:dyDescent="0.25">
      <c r="AG197" s="66">
        <f>IF(AND(Множество[[#This Row],[Y]]=1),ROW()-ROW(Множество[[#Headers],[№]]),"")</f>
        <v>188</v>
      </c>
      <c r="AH197" t="s">
        <v>608</v>
      </c>
      <c r="AI197" s="66">
        <v>1</v>
      </c>
      <c r="AJ197" s="66">
        <f>IF(LEN(Множество[[#This Row],[Свёртка]])&gt;0,1,-1)</f>
        <v>1</v>
      </c>
      <c r="AK197" s="66" t="s">
        <v>1781</v>
      </c>
      <c r="AL197" s="66">
        <f>IF(LEN(Множество[[#This Row],[Критерии]])&gt;0,1,-1)</f>
        <v>1</v>
      </c>
      <c r="AM197" s="66">
        <f>IF(AND(LEN(Множество[[#This Row],[Свёртка]])&gt;0,LEN(Множество[[#This Row],[Критерии]])&gt;0,LEN(Множество[[#This Row],[Оценки]])&gt;0),1,-1)</f>
        <v>1</v>
      </c>
      <c r="AN197">
        <v>2.6166666666666698</v>
      </c>
      <c r="AO197">
        <v>-15.516666666666699</v>
      </c>
      <c r="AP197" s="208"/>
      <c r="AQ197" s="208"/>
      <c r="AR197" s="226"/>
      <c r="AS197" s="225"/>
      <c r="AT197" s="226"/>
      <c r="AU197" s="225"/>
      <c r="AV197" s="225"/>
      <c r="AW197" s="225"/>
      <c r="AX197" s="225"/>
      <c r="AY197" s="225"/>
    </row>
    <row r="198" spans="33:51" x14ac:dyDescent="0.25">
      <c r="AG198" s="66">
        <f>IF(AND(Множество[[#This Row],[Y]]=1),ROW()-ROW(Множество[[#Headers],[№]]),"")</f>
        <v>189</v>
      </c>
      <c r="AH198" t="s">
        <v>608</v>
      </c>
      <c r="AI198" s="66">
        <v>1</v>
      </c>
      <c r="AJ198" s="66">
        <f>IF(LEN(Множество[[#This Row],[Свёртка]])&gt;0,1,-1)</f>
        <v>1</v>
      </c>
      <c r="AK198" s="66" t="s">
        <v>1781</v>
      </c>
      <c r="AL198" s="66">
        <f>IF(LEN(Множество[[#This Row],[Критерии]])&gt;0,1,-1)</f>
        <v>1</v>
      </c>
      <c r="AM198" s="66">
        <f>IF(AND(LEN(Множество[[#This Row],[Свёртка]])&gt;0,LEN(Множество[[#This Row],[Критерии]])&gt;0,LEN(Множество[[#This Row],[Оценки]])&gt;0),1,-1)</f>
        <v>1</v>
      </c>
      <c r="AN198">
        <v>2.6749999999999998</v>
      </c>
      <c r="AO198">
        <v>-15.533333333333299</v>
      </c>
      <c r="AP198" s="208"/>
      <c r="AQ198" s="208"/>
      <c r="AR198" s="226"/>
      <c r="AS198" s="225"/>
      <c r="AT198" s="226"/>
      <c r="AU198" s="225"/>
      <c r="AV198" s="225"/>
      <c r="AW198" s="225"/>
      <c r="AX198" s="225"/>
      <c r="AY198" s="225"/>
    </row>
    <row r="199" spans="33:51" x14ac:dyDescent="0.25">
      <c r="AG199" s="66">
        <f>IF(AND(Множество[[#This Row],[Y]]=1),ROW()-ROW(Множество[[#Headers],[№]]),"")</f>
        <v>190</v>
      </c>
      <c r="AH199" t="s">
        <v>608</v>
      </c>
      <c r="AI199" s="66">
        <v>1</v>
      </c>
      <c r="AJ199" s="66">
        <f>IF(LEN(Множество[[#This Row],[Свёртка]])&gt;0,1,-1)</f>
        <v>1</v>
      </c>
      <c r="AK199" s="66" t="s">
        <v>1781</v>
      </c>
      <c r="AL199" s="66">
        <f>IF(LEN(Множество[[#This Row],[Критерии]])&gt;0,1,-1)</f>
        <v>1</v>
      </c>
      <c r="AM199" s="66">
        <f>IF(AND(LEN(Множество[[#This Row],[Свёртка]])&gt;0,LEN(Множество[[#This Row],[Критерии]])&gt;0,LEN(Множество[[#This Row],[Оценки]])&gt;0),1,-1)</f>
        <v>1</v>
      </c>
      <c r="AN199">
        <v>2.7333333333333298</v>
      </c>
      <c r="AO199">
        <v>-15.55</v>
      </c>
      <c r="AP199" s="208"/>
      <c r="AQ199" s="208"/>
      <c r="AR199" s="226"/>
      <c r="AS199" s="225"/>
      <c r="AT199" s="226"/>
      <c r="AU199" s="225"/>
      <c r="AV199" s="225"/>
      <c r="AW199" s="225"/>
      <c r="AX199" s="225"/>
      <c r="AY199" s="225"/>
    </row>
    <row r="200" spans="33:51" x14ac:dyDescent="0.25">
      <c r="AG200" s="66">
        <f>IF(AND(Множество[[#This Row],[Y]]=1),ROW()-ROW(Множество[[#Headers],[№]]),"")</f>
        <v>191</v>
      </c>
      <c r="AH200" t="s">
        <v>608</v>
      </c>
      <c r="AI200" s="66">
        <v>1</v>
      </c>
      <c r="AJ200" s="66">
        <f>IF(LEN(Множество[[#This Row],[Свёртка]])&gt;0,1,-1)</f>
        <v>1</v>
      </c>
      <c r="AK200" s="66" t="s">
        <v>1781</v>
      </c>
      <c r="AL200" s="66">
        <f>IF(LEN(Множество[[#This Row],[Критерии]])&gt;0,1,-1)</f>
        <v>1</v>
      </c>
      <c r="AM200" s="66">
        <f>IF(AND(LEN(Множество[[#This Row],[Свёртка]])&gt;0,LEN(Множество[[#This Row],[Критерии]])&gt;0,LEN(Множество[[#This Row],[Оценки]])&gt;0),1,-1)</f>
        <v>1</v>
      </c>
      <c r="AN200">
        <v>2.5</v>
      </c>
      <c r="AO200">
        <v>-15.466666666666701</v>
      </c>
      <c r="AP200" s="208"/>
      <c r="AQ200" s="208"/>
      <c r="AR200" s="226"/>
      <c r="AS200" s="225"/>
      <c r="AT200" s="226"/>
      <c r="AU200" s="225"/>
      <c r="AV200" s="225"/>
      <c r="AW200" s="225"/>
      <c r="AX200" s="225"/>
      <c r="AY200" s="225"/>
    </row>
    <row r="201" spans="33:51" x14ac:dyDescent="0.25">
      <c r="AG201" s="66">
        <f>IF(AND(Множество[[#This Row],[Y]]=1),ROW()-ROW(Множество[[#Headers],[№]]),"")</f>
        <v>192</v>
      </c>
      <c r="AH201" t="s">
        <v>608</v>
      </c>
      <c r="AI201" s="66">
        <v>1</v>
      </c>
      <c r="AJ201" s="66">
        <f>IF(LEN(Множество[[#This Row],[Свёртка]])&gt;0,1,-1)</f>
        <v>1</v>
      </c>
      <c r="AK201" s="66" t="s">
        <v>1781</v>
      </c>
      <c r="AL201" s="66">
        <f>IF(LEN(Множество[[#This Row],[Критерии]])&gt;0,1,-1)</f>
        <v>1</v>
      </c>
      <c r="AM201" s="66">
        <f>IF(AND(LEN(Множество[[#This Row],[Свёртка]])&gt;0,LEN(Множество[[#This Row],[Критерии]])&gt;0,LEN(Множество[[#This Row],[Оценки]])&gt;0),1,-1)</f>
        <v>1</v>
      </c>
      <c r="AN201">
        <v>1.1499999999999999</v>
      </c>
      <c r="AO201">
        <v>-14.15</v>
      </c>
      <c r="AP201" s="208"/>
      <c r="AQ201" s="208"/>
      <c r="AR201" s="226"/>
      <c r="AS201" s="225"/>
      <c r="AT201" s="226"/>
      <c r="AU201" s="225"/>
      <c r="AV201" s="225"/>
      <c r="AW201" s="225"/>
      <c r="AX201" s="225"/>
      <c r="AY201" s="225"/>
    </row>
    <row r="202" spans="33:51" x14ac:dyDescent="0.25">
      <c r="AG202" s="66">
        <f>IF(AND(Множество[[#This Row],[Y]]=1),ROW()-ROW(Множество[[#Headers],[№]]),"")</f>
        <v>193</v>
      </c>
      <c r="AH202" t="s">
        <v>608</v>
      </c>
      <c r="AI202" s="66">
        <v>1</v>
      </c>
      <c r="AJ202" s="66">
        <f>IF(LEN(Множество[[#This Row],[Свёртка]])&gt;0,1,-1)</f>
        <v>1</v>
      </c>
      <c r="AK202" s="66" t="s">
        <v>1781</v>
      </c>
      <c r="AL202" s="66">
        <f>IF(LEN(Множество[[#This Row],[Критерии]])&gt;0,1,-1)</f>
        <v>1</v>
      </c>
      <c r="AM202" s="66">
        <f>IF(AND(LEN(Множество[[#This Row],[Свёртка]])&gt;0,LEN(Множество[[#This Row],[Критерии]])&gt;0,LEN(Множество[[#This Row],[Оценки]])&gt;0),1,-1)</f>
        <v>1</v>
      </c>
      <c r="AN202">
        <v>2.55833333333333</v>
      </c>
      <c r="AO202">
        <v>-15.483333333333301</v>
      </c>
      <c r="AP202" s="208"/>
      <c r="AQ202" s="208"/>
      <c r="AR202" s="226"/>
      <c r="AS202" s="225"/>
      <c r="AT202" s="226"/>
      <c r="AU202" s="225"/>
      <c r="AV202" s="225"/>
      <c r="AW202" s="225"/>
      <c r="AX202" s="225"/>
      <c r="AY202" s="225"/>
    </row>
    <row r="203" spans="33:51" x14ac:dyDescent="0.25">
      <c r="AG203" s="66">
        <f>IF(AND(Множество[[#This Row],[Y]]=1),ROW()-ROW(Множество[[#Headers],[№]]),"")</f>
        <v>194</v>
      </c>
      <c r="AH203" t="s">
        <v>608</v>
      </c>
      <c r="AI203" s="66">
        <v>1</v>
      </c>
      <c r="AJ203" s="66">
        <f>IF(LEN(Множество[[#This Row],[Свёртка]])&gt;0,1,-1)</f>
        <v>1</v>
      </c>
      <c r="AK203" s="66" t="s">
        <v>1781</v>
      </c>
      <c r="AL203" s="66">
        <f>IF(LEN(Множество[[#This Row],[Критерии]])&gt;0,1,-1)</f>
        <v>1</v>
      </c>
      <c r="AM203" s="66">
        <f>IF(AND(LEN(Множество[[#This Row],[Свёртка]])&gt;0,LEN(Множество[[#This Row],[Критерии]])&gt;0,LEN(Множество[[#This Row],[Оценки]])&gt;0),1,-1)</f>
        <v>1</v>
      </c>
      <c r="AN203">
        <v>1.2250000000000001</v>
      </c>
      <c r="AO203">
        <v>-14.1666666666667</v>
      </c>
      <c r="AP203" s="208"/>
      <c r="AQ203" s="208"/>
      <c r="AR203" s="226"/>
      <c r="AS203" s="225"/>
      <c r="AT203" s="226"/>
      <c r="AU203" s="225"/>
      <c r="AV203" s="225"/>
      <c r="AW203" s="225"/>
      <c r="AX203" s="225"/>
      <c r="AY203" s="225"/>
    </row>
    <row r="204" spans="33:51" x14ac:dyDescent="0.25">
      <c r="AG204" s="66">
        <f>IF(AND(Множество[[#This Row],[Y]]=1),ROW()-ROW(Множество[[#Headers],[№]]),"")</f>
        <v>195</v>
      </c>
      <c r="AH204" t="s">
        <v>608</v>
      </c>
      <c r="AI204" s="66">
        <v>1</v>
      </c>
      <c r="AJ204" s="66">
        <f>IF(LEN(Множество[[#This Row],[Свёртка]])&gt;0,1,-1)</f>
        <v>1</v>
      </c>
      <c r="AK204" s="66" t="s">
        <v>1781</v>
      </c>
      <c r="AL204" s="66">
        <f>IF(LEN(Множество[[#This Row],[Критерии]])&gt;0,1,-1)</f>
        <v>1</v>
      </c>
      <c r="AM204" s="66">
        <f>IF(AND(LEN(Множество[[#This Row],[Свёртка]])&gt;0,LEN(Множество[[#This Row],[Критерии]])&gt;0,LEN(Множество[[#This Row],[Оценки]])&gt;0),1,-1)</f>
        <v>1</v>
      </c>
      <c r="AN204">
        <v>1.075</v>
      </c>
      <c r="AO204">
        <v>-14.133333333333301</v>
      </c>
      <c r="AP204" s="208"/>
      <c r="AQ204" s="208"/>
      <c r="AR204" s="226"/>
      <c r="AS204" s="225"/>
      <c r="AT204" s="226"/>
      <c r="AU204" s="225"/>
      <c r="AV204" s="225"/>
      <c r="AW204" s="225"/>
      <c r="AX204" s="225"/>
      <c r="AY204" s="225"/>
    </row>
    <row r="205" spans="33:51" x14ac:dyDescent="0.25">
      <c r="AG205" s="66">
        <f>IF(AND(Множество[[#This Row],[Y]]=1),ROW()-ROW(Множество[[#Headers],[№]]),"")</f>
        <v>196</v>
      </c>
      <c r="AH205" t="s">
        <v>608</v>
      </c>
      <c r="AI205" s="66">
        <v>1</v>
      </c>
      <c r="AJ205" s="66">
        <f>IF(LEN(Множество[[#This Row],[Свёртка]])&gt;0,1,-1)</f>
        <v>1</v>
      </c>
      <c r="AK205" s="66" t="s">
        <v>1781</v>
      </c>
      <c r="AL205" s="66">
        <f>IF(LEN(Множество[[#This Row],[Критерии]])&gt;0,1,-1)</f>
        <v>1</v>
      </c>
      <c r="AM205" s="66">
        <f>IF(AND(LEN(Множество[[#This Row],[Свёртка]])&gt;0,LEN(Множество[[#This Row],[Критерии]])&gt;0,LEN(Множество[[#This Row],[Оценки]])&gt;0),1,-1)</f>
        <v>1</v>
      </c>
      <c r="AN205">
        <v>2.4249999999999998</v>
      </c>
      <c r="AO205">
        <v>-15.483333333333301</v>
      </c>
      <c r="AP205" s="208"/>
      <c r="AQ205" s="208"/>
      <c r="AR205" s="226"/>
      <c r="AS205" s="225"/>
      <c r="AT205" s="226"/>
      <c r="AU205" s="225"/>
      <c r="AV205" s="225"/>
      <c r="AW205" s="225"/>
      <c r="AX205" s="225"/>
      <c r="AY205" s="225"/>
    </row>
    <row r="206" spans="33:51" x14ac:dyDescent="0.25">
      <c r="AG206" s="66">
        <f>IF(AND(Множество[[#This Row],[Y]]=1),ROW()-ROW(Множество[[#Headers],[№]]),"")</f>
        <v>197</v>
      </c>
      <c r="AH206" t="s">
        <v>608</v>
      </c>
      <c r="AI206" s="66">
        <v>1</v>
      </c>
      <c r="AJ206" s="66">
        <f>IF(LEN(Множество[[#This Row],[Свёртка]])&gt;0,1,-1)</f>
        <v>1</v>
      </c>
      <c r="AK206" s="66" t="s">
        <v>1781</v>
      </c>
      <c r="AL206" s="66">
        <f>IF(LEN(Множество[[#This Row],[Критерии]])&gt;0,1,-1)</f>
        <v>1</v>
      </c>
      <c r="AM206" s="66">
        <f>IF(AND(LEN(Множество[[#This Row],[Свёртка]])&gt;0,LEN(Множество[[#This Row],[Критерии]])&gt;0,LEN(Множество[[#This Row],[Оценки]])&gt;0),1,-1)</f>
        <v>1</v>
      </c>
      <c r="AN206">
        <v>2.35</v>
      </c>
      <c r="AO206">
        <v>-15.516666666666699</v>
      </c>
      <c r="AP206" s="208"/>
      <c r="AQ206" s="208"/>
      <c r="AR206" s="226"/>
      <c r="AS206" s="225"/>
      <c r="AT206" s="226"/>
      <c r="AU206" s="225"/>
      <c r="AV206" s="225"/>
      <c r="AW206" s="225"/>
      <c r="AX206" s="225"/>
      <c r="AY206" s="225"/>
    </row>
    <row r="207" spans="33:51" x14ac:dyDescent="0.25">
      <c r="AG207" s="66">
        <f>IF(AND(Множество[[#This Row],[Y]]=1),ROW()-ROW(Множество[[#Headers],[№]]),"")</f>
        <v>198</v>
      </c>
      <c r="AH207" t="s">
        <v>608</v>
      </c>
      <c r="AI207" s="66">
        <v>1</v>
      </c>
      <c r="AJ207" s="66">
        <f>IF(LEN(Множество[[#This Row],[Свёртка]])&gt;0,1,-1)</f>
        <v>1</v>
      </c>
      <c r="AK207" s="66" t="s">
        <v>1781</v>
      </c>
      <c r="AL207" s="66">
        <f>IF(LEN(Множество[[#This Row],[Критерии]])&gt;0,1,-1)</f>
        <v>1</v>
      </c>
      <c r="AM207" s="66">
        <f>IF(AND(LEN(Множество[[#This Row],[Свёртка]])&gt;0,LEN(Множество[[#This Row],[Критерии]])&gt;0,LEN(Множество[[#This Row],[Оценки]])&gt;0),1,-1)</f>
        <v>1</v>
      </c>
      <c r="AN207">
        <v>0.999999999999996</v>
      </c>
      <c r="AO207">
        <v>-14.1</v>
      </c>
      <c r="AP207" s="208"/>
      <c r="AQ207" s="208"/>
      <c r="AR207" s="226"/>
      <c r="AS207" s="225"/>
      <c r="AT207" s="226"/>
      <c r="AU207" s="225"/>
      <c r="AV207" s="225"/>
      <c r="AW207" s="225"/>
      <c r="AX207" s="225"/>
      <c r="AY207" s="225"/>
    </row>
    <row r="208" spans="33:51" x14ac:dyDescent="0.25">
      <c r="AG208" s="66">
        <f>IF(AND(Множество[[#This Row],[Y]]=1),ROW()-ROW(Множество[[#Headers],[№]]),"")</f>
        <v>199</v>
      </c>
      <c r="AH208" t="s">
        <v>608</v>
      </c>
      <c r="AI208" s="66">
        <v>1</v>
      </c>
      <c r="AJ208" s="66">
        <f>IF(LEN(Множество[[#This Row],[Свёртка]])&gt;0,1,-1)</f>
        <v>1</v>
      </c>
      <c r="AK208" s="66" t="s">
        <v>1781</v>
      </c>
      <c r="AL208" s="66">
        <f>IF(LEN(Множество[[#This Row],[Критерии]])&gt;0,1,-1)</f>
        <v>1</v>
      </c>
      <c r="AM208" s="66">
        <f>IF(AND(LEN(Множество[[#This Row],[Свёртка]])&gt;0,LEN(Множество[[#This Row],[Критерии]])&gt;0,LEN(Множество[[#This Row],[Оценки]])&gt;0),1,-1)</f>
        <v>1</v>
      </c>
      <c r="AN208">
        <v>0.92500000000000104</v>
      </c>
      <c r="AO208">
        <v>-14.0833333333333</v>
      </c>
      <c r="AP208" s="208"/>
      <c r="AQ208" s="208"/>
      <c r="AR208" s="226"/>
      <c r="AS208" s="225"/>
      <c r="AT208" s="226"/>
      <c r="AU208" s="225"/>
      <c r="AV208" s="225"/>
      <c r="AW208" s="225"/>
      <c r="AX208" s="225"/>
      <c r="AY208" s="225"/>
    </row>
    <row r="209" spans="33:51" x14ac:dyDescent="0.25">
      <c r="AG209" s="66">
        <f>IF(AND(Множество[[#This Row],[Y]]=1),ROW()-ROW(Множество[[#Headers],[№]]),"")</f>
        <v>200</v>
      </c>
      <c r="AH209" t="s">
        <v>608</v>
      </c>
      <c r="AI209" s="66">
        <v>1</v>
      </c>
      <c r="AJ209" s="66">
        <f>IF(LEN(Множество[[#This Row],[Свёртка]])&gt;0,1,-1)</f>
        <v>1</v>
      </c>
      <c r="AK209" s="66" t="s">
        <v>1781</v>
      </c>
      <c r="AL209" s="66">
        <f>IF(LEN(Множество[[#This Row],[Критерии]])&gt;0,1,-1)</f>
        <v>1</v>
      </c>
      <c r="AM209" s="66">
        <f>IF(AND(LEN(Множество[[#This Row],[Свёртка]])&gt;0,LEN(Множество[[#This Row],[Критерии]])&gt;0,LEN(Множество[[#This Row],[Оценки]])&gt;0),1,-1)</f>
        <v>1</v>
      </c>
      <c r="AN209">
        <v>0.84999999999999798</v>
      </c>
      <c r="AO209">
        <v>-14.0666666666667</v>
      </c>
      <c r="AP209" s="208"/>
      <c r="AQ209" s="208"/>
      <c r="AR209" s="226"/>
      <c r="AS209" s="225"/>
      <c r="AT209" s="226"/>
      <c r="AU209" s="225"/>
      <c r="AV209" s="225"/>
      <c r="AW209" s="225"/>
      <c r="AX209" s="225"/>
      <c r="AY209" s="225"/>
    </row>
    <row r="210" spans="33:51" x14ac:dyDescent="0.25">
      <c r="AG210" s="66">
        <f>IF(AND(Множество[[#This Row],[Y]]=1),ROW()-ROW(Множество[[#Headers],[№]]),"")</f>
        <v>201</v>
      </c>
      <c r="AH210" t="s">
        <v>608</v>
      </c>
      <c r="AI210" s="66">
        <v>1</v>
      </c>
      <c r="AJ210" s="66">
        <f>IF(LEN(Множество[[#This Row],[Свёртка]])&gt;0,1,-1)</f>
        <v>1</v>
      </c>
      <c r="AK210" s="66" t="s">
        <v>1781</v>
      </c>
      <c r="AL210" s="66">
        <f>IF(LEN(Множество[[#This Row],[Критерии]])&gt;0,1,-1)</f>
        <v>1</v>
      </c>
      <c r="AM210" s="66">
        <f>IF(AND(LEN(Множество[[#This Row],[Свёртка]])&gt;0,LEN(Множество[[#This Row],[Критерии]])&gt;0,LEN(Множество[[#This Row],[Оценки]])&gt;0),1,-1)</f>
        <v>1</v>
      </c>
      <c r="AN210">
        <v>0.77499999999999902</v>
      </c>
      <c r="AO210">
        <v>-14.05</v>
      </c>
      <c r="AP210" s="208"/>
      <c r="AQ210" s="208"/>
      <c r="AR210" s="226"/>
      <c r="AS210" s="225"/>
      <c r="AT210" s="226"/>
      <c r="AU210" s="225"/>
      <c r="AV210" s="225"/>
      <c r="AW210" s="225"/>
      <c r="AX210" s="225"/>
      <c r="AY210" s="225"/>
    </row>
    <row r="211" spans="33:51" x14ac:dyDescent="0.25">
      <c r="AG211" s="66">
        <f>IF(AND(Множество[[#This Row],[Y]]=1),ROW()-ROW(Множество[[#Headers],[№]]),"")</f>
        <v>202</v>
      </c>
      <c r="AH211" t="s">
        <v>608</v>
      </c>
      <c r="AI211" s="66">
        <v>1</v>
      </c>
      <c r="AJ211" s="66">
        <f>IF(LEN(Множество[[#This Row],[Свёртка]])&gt;0,1,-1)</f>
        <v>1</v>
      </c>
      <c r="AK211" s="66" t="s">
        <v>1781</v>
      </c>
      <c r="AL211" s="66">
        <f>IF(LEN(Множество[[#This Row],[Критерии]])&gt;0,1,-1)</f>
        <v>1</v>
      </c>
      <c r="AM211" s="66">
        <f>IF(AND(LEN(Множество[[#This Row],[Свёртка]])&gt;0,LEN(Множество[[#This Row],[Критерии]])&gt;0,LEN(Множество[[#This Row],[Оценки]])&gt;0),1,-1)</f>
        <v>1</v>
      </c>
      <c r="AN211">
        <v>2.2749999999999999</v>
      </c>
      <c r="AO211">
        <v>-15.533333333333299</v>
      </c>
      <c r="AP211" s="208"/>
      <c r="AQ211" s="208"/>
      <c r="AR211" s="226"/>
      <c r="AS211" s="225"/>
      <c r="AT211" s="226"/>
      <c r="AU211" s="225"/>
      <c r="AV211" s="225"/>
      <c r="AW211" s="225"/>
      <c r="AX211" s="225"/>
      <c r="AY211" s="225"/>
    </row>
    <row r="212" spans="33:51" x14ac:dyDescent="0.25">
      <c r="AG212" s="66">
        <f>IF(AND(Множество[[#This Row],[Y]]=1),ROW()-ROW(Множество[[#Headers],[№]]),"")</f>
        <v>203</v>
      </c>
      <c r="AH212" t="s">
        <v>608</v>
      </c>
      <c r="AI212" s="66">
        <v>1</v>
      </c>
      <c r="AJ212" s="66">
        <f>IF(LEN(Множество[[#This Row],[Свёртка]])&gt;0,1,-1)</f>
        <v>1</v>
      </c>
      <c r="AK212" s="66" t="s">
        <v>1781</v>
      </c>
      <c r="AL212" s="66">
        <f>IF(LEN(Множество[[#This Row],[Критерии]])&gt;0,1,-1)</f>
        <v>1</v>
      </c>
      <c r="AM212" s="66">
        <f>IF(AND(LEN(Множество[[#This Row],[Свёртка]])&gt;0,LEN(Множество[[#This Row],[Критерии]])&gt;0,LEN(Множество[[#This Row],[Оценки]])&gt;0),1,-1)</f>
        <v>1</v>
      </c>
      <c r="AN212">
        <v>0.625</v>
      </c>
      <c r="AO212">
        <v>-14</v>
      </c>
      <c r="AP212" s="208"/>
      <c r="AQ212" s="208"/>
      <c r="AR212" s="226"/>
      <c r="AS212" s="225"/>
      <c r="AT212" s="226"/>
      <c r="AU212" s="225"/>
      <c r="AV212" s="225"/>
      <c r="AW212" s="225"/>
      <c r="AX212" s="225"/>
      <c r="AY212" s="225"/>
    </row>
    <row r="213" spans="33:51" x14ac:dyDescent="0.25">
      <c r="AG213" s="66">
        <f>IF(AND(Множество[[#This Row],[Y]]=1),ROW()-ROW(Множество[[#Headers],[№]]),"")</f>
        <v>204</v>
      </c>
      <c r="AH213" t="s">
        <v>608</v>
      </c>
      <c r="AI213" s="66">
        <v>1</v>
      </c>
      <c r="AJ213" s="66">
        <f>IF(LEN(Множество[[#This Row],[Свёртка]])&gt;0,1,-1)</f>
        <v>1</v>
      </c>
      <c r="AK213" s="66" t="s">
        <v>1781</v>
      </c>
      <c r="AL213" s="66">
        <f>IF(LEN(Множество[[#This Row],[Критерии]])&gt;0,1,-1)</f>
        <v>1</v>
      </c>
      <c r="AM213" s="66">
        <f>IF(AND(LEN(Множество[[#This Row],[Свёртка]])&gt;0,LEN(Множество[[#This Row],[Критерии]])&gt;0,LEN(Множество[[#This Row],[Оценки]])&gt;0),1,-1)</f>
        <v>1</v>
      </c>
      <c r="AN213">
        <v>0.69999999999999896</v>
      </c>
      <c r="AO213">
        <v>-14.016666666666699</v>
      </c>
      <c r="AP213" s="208"/>
      <c r="AQ213" s="208"/>
      <c r="AR213" s="226"/>
      <c r="AS213" s="225"/>
      <c r="AT213" s="226"/>
      <c r="AU213" s="225"/>
      <c r="AV213" s="225"/>
      <c r="AW213" s="225"/>
      <c r="AX213" s="225"/>
      <c r="AY213" s="225"/>
    </row>
    <row r="214" spans="33:51" x14ac:dyDescent="0.25">
      <c r="AG214" s="66">
        <f>IF(AND(Множество[[#This Row],[Y]]=1),ROW()-ROW(Множество[[#Headers],[№]]),"")</f>
        <v>205</v>
      </c>
      <c r="AH214" t="s">
        <v>608</v>
      </c>
      <c r="AI214" s="66">
        <v>1</v>
      </c>
      <c r="AJ214" s="66">
        <f>IF(LEN(Множество[[#This Row],[Свёртка]])&gt;0,1,-1)</f>
        <v>1</v>
      </c>
      <c r="AK214" s="66" t="s">
        <v>1781</v>
      </c>
      <c r="AL214" s="66">
        <f>IF(LEN(Множество[[#This Row],[Критерии]])&gt;0,1,-1)</f>
        <v>1</v>
      </c>
      <c r="AM214" s="66">
        <f>IF(AND(LEN(Множество[[#This Row],[Свёртка]])&gt;0,LEN(Множество[[#This Row],[Критерии]])&gt;0,LEN(Множество[[#This Row],[Оценки]])&gt;0),1,-1)</f>
        <v>1</v>
      </c>
      <c r="AN214">
        <v>2.2000000000000002</v>
      </c>
      <c r="AO214">
        <v>-15.55</v>
      </c>
      <c r="AP214" s="208"/>
      <c r="AQ214" s="208"/>
      <c r="AR214" s="226"/>
      <c r="AS214" s="225"/>
      <c r="AT214" s="226"/>
      <c r="AU214" s="225"/>
      <c r="AV214" s="225"/>
      <c r="AW214" s="225"/>
      <c r="AX214" s="225"/>
      <c r="AY214" s="225"/>
    </row>
    <row r="215" spans="33:51" x14ac:dyDescent="0.25">
      <c r="AG215" s="66">
        <f>IF(AND(Множество[[#This Row],[Y]]=1),ROW()-ROW(Множество[[#Headers],[№]]),"")</f>
        <v>206</v>
      </c>
      <c r="AH215" t="s">
        <v>608</v>
      </c>
      <c r="AI215" s="66">
        <v>1</v>
      </c>
      <c r="AJ215" s="66">
        <f>IF(LEN(Множество[[#This Row],[Свёртка]])&gt;0,1,-1)</f>
        <v>1</v>
      </c>
      <c r="AK215" s="66" t="s">
        <v>1781</v>
      </c>
      <c r="AL215" s="66">
        <f>IF(LEN(Множество[[#This Row],[Критерии]])&gt;0,1,-1)</f>
        <v>1</v>
      </c>
      <c r="AM215" s="66">
        <f>IF(AND(LEN(Множество[[#This Row],[Свёртка]])&gt;0,LEN(Множество[[#This Row],[Критерии]])&gt;0,LEN(Множество[[#This Row],[Оценки]])&gt;0),1,-1)</f>
        <v>1</v>
      </c>
      <c r="AN215">
        <v>2.125</v>
      </c>
      <c r="AO215">
        <v>-15.5666666666667</v>
      </c>
      <c r="AP215" s="208"/>
      <c r="AQ215" s="208"/>
      <c r="AR215" s="226"/>
      <c r="AS215" s="225"/>
      <c r="AT215" s="226"/>
      <c r="AU215" s="225"/>
      <c r="AV215" s="225"/>
      <c r="AW215" s="225"/>
      <c r="AX215" s="225"/>
      <c r="AY215" s="225"/>
    </row>
    <row r="216" spans="33:51" x14ac:dyDescent="0.25">
      <c r="AG216" s="66">
        <f>IF(AND(Множество[[#This Row],[Y]]=1),ROW()-ROW(Множество[[#Headers],[№]]),"")</f>
        <v>207</v>
      </c>
      <c r="AH216" t="s">
        <v>608</v>
      </c>
      <c r="AI216" s="66">
        <v>1</v>
      </c>
      <c r="AJ216" s="66">
        <f>IF(LEN(Множество[[#This Row],[Свёртка]])&gt;0,1,-1)</f>
        <v>1</v>
      </c>
      <c r="AK216" s="66" t="s">
        <v>1781</v>
      </c>
      <c r="AL216" s="66">
        <f>IF(LEN(Множество[[#This Row],[Критерии]])&gt;0,1,-1)</f>
        <v>1</v>
      </c>
      <c r="AM216" s="66">
        <f>IF(AND(LEN(Множество[[#This Row],[Свёртка]])&gt;0,LEN(Множество[[#This Row],[Критерии]])&gt;0,LEN(Множество[[#This Row],[Оценки]])&gt;0),1,-1)</f>
        <v>1</v>
      </c>
      <c r="AN216">
        <v>0.47500000000000098</v>
      </c>
      <c r="AO216">
        <v>-13.966666666666701</v>
      </c>
      <c r="AP216" s="208"/>
      <c r="AQ216" s="208"/>
      <c r="AR216" s="226"/>
      <c r="AS216" s="225"/>
      <c r="AT216" s="226"/>
      <c r="AU216" s="225"/>
      <c r="AV216" s="225"/>
      <c r="AW216" s="225"/>
      <c r="AX216" s="225"/>
      <c r="AY216" s="225"/>
    </row>
    <row r="217" spans="33:51" x14ac:dyDescent="0.25">
      <c r="AG217" s="66">
        <f>IF(AND(Множество[[#This Row],[Y]]=1),ROW()-ROW(Множество[[#Headers],[№]]),"")</f>
        <v>208</v>
      </c>
      <c r="AH217" t="s">
        <v>608</v>
      </c>
      <c r="AI217" s="66">
        <v>1</v>
      </c>
      <c r="AJ217" s="66">
        <f>IF(LEN(Множество[[#This Row],[Свёртка]])&gt;0,1,-1)</f>
        <v>1</v>
      </c>
      <c r="AK217" s="66" t="s">
        <v>1781</v>
      </c>
      <c r="AL217" s="66">
        <f>IF(LEN(Множество[[#This Row],[Критерии]])&gt;0,1,-1)</f>
        <v>1</v>
      </c>
      <c r="AM217" s="66">
        <f>IF(AND(LEN(Множество[[#This Row],[Свёртка]])&gt;0,LEN(Множество[[#This Row],[Критерии]])&gt;0,LEN(Множество[[#This Row],[Оценки]])&gt;0),1,-1)</f>
        <v>1</v>
      </c>
      <c r="AN217">
        <v>0.55000000000000104</v>
      </c>
      <c r="AO217">
        <v>-13.983333333333301</v>
      </c>
      <c r="AP217" s="208"/>
      <c r="AQ217" s="208"/>
      <c r="AR217" s="226"/>
      <c r="AS217" s="225"/>
      <c r="AT217" s="226"/>
      <c r="AU217" s="225"/>
      <c r="AV217" s="225"/>
      <c r="AW217" s="225"/>
      <c r="AX217" s="225"/>
      <c r="AY217" s="225"/>
    </row>
    <row r="218" spans="33:51" x14ac:dyDescent="0.25">
      <c r="AG218" s="66">
        <f>IF(AND(Множество[[#This Row],[Y]]=1),ROW()-ROW(Множество[[#Headers],[№]]),"")</f>
        <v>209</v>
      </c>
      <c r="AH218" t="s">
        <v>608</v>
      </c>
      <c r="AI218" s="66">
        <v>1</v>
      </c>
      <c r="AJ218" s="66">
        <f>IF(LEN(Множество[[#This Row],[Свёртка]])&gt;0,1,-1)</f>
        <v>1</v>
      </c>
      <c r="AK218" s="66" t="s">
        <v>1781</v>
      </c>
      <c r="AL218" s="66">
        <f>IF(LEN(Множество[[#This Row],[Критерии]])&gt;0,1,-1)</f>
        <v>1</v>
      </c>
      <c r="AM218" s="66">
        <f>IF(AND(LEN(Множество[[#This Row],[Свёртка]])&gt;0,LEN(Множество[[#This Row],[Критерии]])&gt;0,LEN(Множество[[#This Row],[Оценки]])&gt;0),1,-1)</f>
        <v>1</v>
      </c>
      <c r="AN218">
        <v>0.40000000000000202</v>
      </c>
      <c r="AO218">
        <v>-13.9333333333333</v>
      </c>
      <c r="AP218" s="208"/>
      <c r="AQ218" s="208"/>
      <c r="AR218" s="226"/>
      <c r="AS218" s="225"/>
      <c r="AT218" s="226"/>
      <c r="AU218" s="225"/>
      <c r="AV218" s="225"/>
      <c r="AW218" s="225"/>
      <c r="AX218" s="225"/>
      <c r="AY218" s="225"/>
    </row>
    <row r="219" spans="33:51" x14ac:dyDescent="0.25">
      <c r="AG219" s="66">
        <f>IF(AND(Множество[[#This Row],[Y]]=1),ROW()-ROW(Множество[[#Headers],[№]]),"")</f>
        <v>210</v>
      </c>
      <c r="AH219" t="s">
        <v>608</v>
      </c>
      <c r="AI219" s="66">
        <v>1</v>
      </c>
      <c r="AJ219" s="66">
        <f>IF(LEN(Множество[[#This Row],[Свёртка]])&gt;0,1,-1)</f>
        <v>1</v>
      </c>
      <c r="AK219" s="66" t="s">
        <v>1781</v>
      </c>
      <c r="AL219" s="66">
        <f>IF(LEN(Множество[[#This Row],[Критерии]])&gt;0,1,-1)</f>
        <v>1</v>
      </c>
      <c r="AM219" s="66">
        <f>IF(AND(LEN(Множество[[#This Row],[Свёртка]])&gt;0,LEN(Множество[[#This Row],[Критерии]])&gt;0,LEN(Множество[[#This Row],[Оценки]])&gt;0),1,-1)</f>
        <v>1</v>
      </c>
      <c r="AN219">
        <v>1.9750000000000001</v>
      </c>
      <c r="AO219">
        <v>-15.616666666666699</v>
      </c>
      <c r="AP219" s="208"/>
      <c r="AQ219" s="208"/>
      <c r="AR219" s="226"/>
      <c r="AS219" s="225"/>
      <c r="AT219" s="226"/>
      <c r="AU219" s="225"/>
      <c r="AV219" s="225"/>
      <c r="AW219" s="225"/>
      <c r="AX219" s="225"/>
      <c r="AY219" s="225"/>
    </row>
    <row r="220" spans="33:51" x14ac:dyDescent="0.25">
      <c r="AG220" s="66">
        <f>IF(AND(Множество[[#This Row],[Y]]=1),ROW()-ROW(Множество[[#Headers],[№]]),"")</f>
        <v>211</v>
      </c>
      <c r="AH220" t="s">
        <v>608</v>
      </c>
      <c r="AI220" s="66">
        <v>1</v>
      </c>
      <c r="AJ220" s="66">
        <f>IF(LEN(Множество[[#This Row],[Свёртка]])&gt;0,1,-1)</f>
        <v>1</v>
      </c>
      <c r="AK220" s="66" t="s">
        <v>1781</v>
      </c>
      <c r="AL220" s="66">
        <f>IF(LEN(Множество[[#This Row],[Критерии]])&gt;0,1,-1)</f>
        <v>1</v>
      </c>
      <c r="AM220" s="66">
        <f>IF(AND(LEN(Множество[[#This Row],[Свёртка]])&gt;0,LEN(Множество[[#This Row],[Критерии]])&gt;0,LEN(Множество[[#This Row],[Оценки]])&gt;0),1,-1)</f>
        <v>1</v>
      </c>
      <c r="AN220">
        <v>2.0499999999999998</v>
      </c>
      <c r="AO220">
        <v>-15.6</v>
      </c>
      <c r="AP220" s="208"/>
      <c r="AQ220" s="208"/>
      <c r="AR220" s="226"/>
      <c r="AS220" s="225"/>
      <c r="AT220" s="226"/>
      <c r="AU220" s="225"/>
      <c r="AV220" s="225"/>
      <c r="AW220" s="225"/>
      <c r="AX220" s="225"/>
      <c r="AY220" s="225"/>
    </row>
    <row r="221" spans="33:51" x14ac:dyDescent="0.25">
      <c r="AG221" s="66">
        <f>IF(AND(Множество[[#This Row],[Y]]=1),ROW()-ROW(Множество[[#Headers],[№]]),"")</f>
        <v>212</v>
      </c>
      <c r="AH221" t="s">
        <v>608</v>
      </c>
      <c r="AI221" s="66">
        <v>1</v>
      </c>
      <c r="AJ221" s="66">
        <f>IF(LEN(Множество[[#This Row],[Свёртка]])&gt;0,1,-1)</f>
        <v>1</v>
      </c>
      <c r="AK221" s="66" t="s">
        <v>1781</v>
      </c>
      <c r="AL221" s="66">
        <f>IF(LEN(Множество[[#This Row],[Критерии]])&gt;0,1,-1)</f>
        <v>1</v>
      </c>
      <c r="AM221" s="66">
        <f>IF(AND(LEN(Множество[[#This Row],[Свёртка]])&gt;0,LEN(Множество[[#This Row],[Критерии]])&gt;0,LEN(Множество[[#This Row],[Оценки]])&gt;0),1,-1)</f>
        <v>1</v>
      </c>
      <c r="AN221">
        <v>0.32499999999999901</v>
      </c>
      <c r="AO221">
        <v>-13.9166666666667</v>
      </c>
      <c r="AP221" s="208"/>
      <c r="AQ221" s="208"/>
      <c r="AR221" s="226"/>
      <c r="AS221" s="225"/>
      <c r="AT221" s="226"/>
      <c r="AU221" s="225"/>
      <c r="AV221" s="225"/>
      <c r="AW221" s="225"/>
      <c r="AX221" s="225"/>
      <c r="AY221" s="225"/>
    </row>
    <row r="222" spans="33:51" x14ac:dyDescent="0.25">
      <c r="AG222" s="66">
        <f>IF(AND(Множество[[#This Row],[Y]]=1),ROW()-ROW(Множество[[#Headers],[№]]),"")</f>
        <v>213</v>
      </c>
      <c r="AH222" t="s">
        <v>608</v>
      </c>
      <c r="AI222" s="66">
        <v>1</v>
      </c>
      <c r="AJ222" s="66">
        <f>IF(LEN(Множество[[#This Row],[Свёртка]])&gt;0,1,-1)</f>
        <v>1</v>
      </c>
      <c r="AK222" s="66" t="s">
        <v>1781</v>
      </c>
      <c r="AL222" s="66">
        <f>IF(LEN(Множество[[#This Row],[Критерии]])&gt;0,1,-1)</f>
        <v>1</v>
      </c>
      <c r="AM222" s="66">
        <f>IF(AND(LEN(Множество[[#This Row],[Свёртка]])&gt;0,LEN(Множество[[#This Row],[Критерии]])&gt;0,LEN(Множество[[#This Row],[Оценки]])&gt;0),1,-1)</f>
        <v>1</v>
      </c>
      <c r="AN222">
        <v>0.25</v>
      </c>
      <c r="AO222">
        <v>-13.9</v>
      </c>
      <c r="AP222" s="208"/>
      <c r="AQ222" s="208"/>
      <c r="AR222" s="226"/>
      <c r="AS222" s="225"/>
      <c r="AT222" s="226"/>
      <c r="AU222" s="225"/>
      <c r="AV222" s="225"/>
      <c r="AW222" s="225"/>
      <c r="AX222" s="225"/>
      <c r="AY222" s="225"/>
    </row>
    <row r="223" spans="33:51" x14ac:dyDescent="0.25">
      <c r="AG223" s="66">
        <f>IF(AND(Множество[[#This Row],[Y]]=1),ROW()-ROW(Множество[[#Headers],[№]]),"")</f>
        <v>214</v>
      </c>
      <c r="AH223" t="s">
        <v>608</v>
      </c>
      <c r="AI223" s="66">
        <v>1</v>
      </c>
      <c r="AJ223" s="66">
        <f>IF(LEN(Множество[[#This Row],[Свёртка]])&gt;0,1,-1)</f>
        <v>1</v>
      </c>
      <c r="AK223" s="66" t="s">
        <v>1781</v>
      </c>
      <c r="AL223" s="66">
        <f>IF(LEN(Множество[[#This Row],[Критерии]])&gt;0,1,-1)</f>
        <v>1</v>
      </c>
      <c r="AM223" s="66">
        <f>IF(AND(LEN(Множество[[#This Row],[Свёртка]])&gt;0,LEN(Множество[[#This Row],[Критерии]])&gt;0,LEN(Множество[[#This Row],[Оценки]])&gt;0),1,-1)</f>
        <v>1</v>
      </c>
      <c r="AN223">
        <v>0.17499999999999699</v>
      </c>
      <c r="AO223">
        <v>-13.866666666666699</v>
      </c>
      <c r="AP223" s="208"/>
      <c r="AQ223" s="208"/>
      <c r="AR223" s="226"/>
      <c r="AS223" s="225"/>
      <c r="AT223" s="226"/>
      <c r="AU223" s="225"/>
      <c r="AV223" s="225"/>
      <c r="AW223" s="225"/>
      <c r="AX223" s="225"/>
      <c r="AY223" s="225"/>
    </row>
    <row r="224" spans="33:51" x14ac:dyDescent="0.25">
      <c r="AG224" s="66">
        <f>IF(AND(Множество[[#This Row],[Y]]=1),ROW()-ROW(Множество[[#Headers],[№]]),"")</f>
        <v>215</v>
      </c>
      <c r="AH224" t="s">
        <v>608</v>
      </c>
      <c r="AI224" s="66">
        <v>1</v>
      </c>
      <c r="AJ224" s="66">
        <f>IF(LEN(Множество[[#This Row],[Свёртка]])&gt;0,1,-1)</f>
        <v>1</v>
      </c>
      <c r="AK224" s="66" t="s">
        <v>1781</v>
      </c>
      <c r="AL224" s="66">
        <f>IF(LEN(Множество[[#This Row],[Критерии]])&gt;0,1,-1)</f>
        <v>1</v>
      </c>
      <c r="AM224" s="66">
        <f>IF(AND(LEN(Множество[[#This Row],[Свёртка]])&gt;0,LEN(Множество[[#This Row],[Критерии]])&gt;0,LEN(Множество[[#This Row],[Оценки]])&gt;0),1,-1)</f>
        <v>1</v>
      </c>
      <c r="AN224">
        <v>0.100000000000001</v>
      </c>
      <c r="AO224">
        <v>-13.85</v>
      </c>
      <c r="AP224" s="208"/>
      <c r="AQ224" s="208"/>
      <c r="AR224" s="226"/>
      <c r="AS224" s="225"/>
      <c r="AT224" s="226"/>
      <c r="AU224" s="225"/>
      <c r="AV224" s="225"/>
      <c r="AW224" s="225"/>
      <c r="AX224" s="225"/>
      <c r="AY224" s="225"/>
    </row>
    <row r="225" spans="33:51" x14ac:dyDescent="0.25">
      <c r="AG225" s="66">
        <f>IF(AND(Множество[[#This Row],[Y]]=1),ROW()-ROW(Множество[[#Headers],[№]]),"")</f>
        <v>216</v>
      </c>
      <c r="AH225" t="s">
        <v>608</v>
      </c>
      <c r="AI225" s="66">
        <v>1</v>
      </c>
      <c r="AJ225" s="66">
        <f>IF(LEN(Множество[[#This Row],[Свёртка]])&gt;0,1,-1)</f>
        <v>1</v>
      </c>
      <c r="AK225" s="66" t="s">
        <v>1781</v>
      </c>
      <c r="AL225" s="66">
        <f>IF(LEN(Множество[[#This Row],[Критерии]])&gt;0,1,-1)</f>
        <v>1</v>
      </c>
      <c r="AM225" s="66">
        <f>IF(AND(LEN(Множество[[#This Row],[Свёртка]])&gt;0,LEN(Множество[[#This Row],[Критерии]])&gt;0,LEN(Множество[[#This Row],[Оценки]])&gt;0),1,-1)</f>
        <v>1</v>
      </c>
      <c r="AN225">
        <v>1.9</v>
      </c>
      <c r="AO225">
        <v>-15.633333333333301</v>
      </c>
      <c r="AP225" s="208"/>
      <c r="AQ225" s="208"/>
      <c r="AR225" s="226"/>
      <c r="AS225" s="225"/>
      <c r="AT225" s="226"/>
      <c r="AU225" s="225"/>
      <c r="AV225" s="225"/>
      <c r="AW225" s="225"/>
      <c r="AX225" s="225"/>
      <c r="AY225" s="225"/>
    </row>
    <row r="226" spans="33:51" x14ac:dyDescent="0.25">
      <c r="AG226" s="66">
        <f>IF(AND(Множество[[#This Row],[Y]]=1),ROW()-ROW(Множество[[#Headers],[№]]),"")</f>
        <v>217</v>
      </c>
      <c r="AH226" t="s">
        <v>608</v>
      </c>
      <c r="AI226" s="66">
        <v>1</v>
      </c>
      <c r="AJ226" s="66">
        <f>IF(LEN(Множество[[#This Row],[Свёртка]])&gt;0,1,-1)</f>
        <v>1</v>
      </c>
      <c r="AK226" s="66" t="s">
        <v>1781</v>
      </c>
      <c r="AL226" s="66">
        <f>IF(LEN(Множество[[#This Row],[Критерии]])&gt;0,1,-1)</f>
        <v>1</v>
      </c>
      <c r="AM226" s="66">
        <f>IF(AND(LEN(Множество[[#This Row],[Свёртка]])&gt;0,LEN(Множество[[#This Row],[Критерии]])&gt;0,LEN(Множество[[#This Row],[Оценки]])&gt;0),1,-1)</f>
        <v>1</v>
      </c>
      <c r="AN226">
        <v>1.825</v>
      </c>
      <c r="AO226">
        <v>-15.65</v>
      </c>
      <c r="AP226" s="208"/>
      <c r="AQ226" s="208"/>
      <c r="AR226" s="226"/>
      <c r="AS226" s="225"/>
      <c r="AT226" s="226"/>
      <c r="AU226" s="225"/>
      <c r="AV226" s="225"/>
      <c r="AW226" s="225"/>
      <c r="AX226" s="225"/>
      <c r="AY226" s="225"/>
    </row>
    <row r="227" spans="33:51" x14ac:dyDescent="0.25">
      <c r="AG227" s="66">
        <f>IF(AND(Множество[[#This Row],[Y]]=1),ROW()-ROW(Множество[[#Headers],[№]]),"")</f>
        <v>218</v>
      </c>
      <c r="AH227" t="s">
        <v>608</v>
      </c>
      <c r="AI227" s="66">
        <v>1</v>
      </c>
      <c r="AJ227" s="66">
        <f>IF(LEN(Множество[[#This Row],[Свёртка]])&gt;0,1,-1)</f>
        <v>1</v>
      </c>
      <c r="AK227" s="66" t="s">
        <v>1781</v>
      </c>
      <c r="AL227" s="66">
        <f>IF(LEN(Множество[[#This Row],[Критерии]])&gt;0,1,-1)</f>
        <v>1</v>
      </c>
      <c r="AM227" s="66">
        <f>IF(AND(LEN(Множество[[#This Row],[Свёртка]])&gt;0,LEN(Множество[[#This Row],[Критерии]])&gt;0,LEN(Множество[[#This Row],[Оценки]])&gt;0),1,-1)</f>
        <v>1</v>
      </c>
      <c r="AN227" s="234">
        <v>-4.9999999999997199E-2</v>
      </c>
      <c r="AO227">
        <v>-13.8333333333333</v>
      </c>
      <c r="AP227" s="208"/>
      <c r="AQ227" s="208"/>
      <c r="AR227" s="226"/>
      <c r="AS227" s="225"/>
      <c r="AT227" s="226"/>
      <c r="AU227" s="225"/>
      <c r="AV227" s="225"/>
      <c r="AW227" s="225"/>
      <c r="AX227" s="225"/>
      <c r="AY227" s="225"/>
    </row>
    <row r="228" spans="33:51" x14ac:dyDescent="0.25">
      <c r="AG228" s="66">
        <f>IF(AND(Множество[[#This Row],[Y]]=1),ROW()-ROW(Множество[[#Headers],[№]]),"")</f>
        <v>219</v>
      </c>
      <c r="AH228" t="s">
        <v>608</v>
      </c>
      <c r="AI228" s="66">
        <v>1</v>
      </c>
      <c r="AJ228" s="66">
        <f>IF(LEN(Множество[[#This Row],[Свёртка]])&gt;0,1,-1)</f>
        <v>1</v>
      </c>
      <c r="AK228" s="66" t="s">
        <v>1781</v>
      </c>
      <c r="AL228" s="66">
        <f>IF(LEN(Множество[[#This Row],[Критерии]])&gt;0,1,-1)</f>
        <v>1</v>
      </c>
      <c r="AM228" s="66">
        <f>IF(AND(LEN(Множество[[#This Row],[Свёртка]])&gt;0,LEN(Множество[[#This Row],[Критерии]])&gt;0,LEN(Множество[[#This Row],[Оценки]])&gt;0),1,-1)</f>
        <v>1</v>
      </c>
      <c r="AN228" s="234">
        <v>2.49999999999986E-2</v>
      </c>
      <c r="AO228">
        <v>-13.8333333333333</v>
      </c>
      <c r="AP228" s="208"/>
      <c r="AQ228" s="208"/>
      <c r="AR228" s="226"/>
      <c r="AS228" s="225"/>
      <c r="AT228" s="226"/>
      <c r="AU228" s="225"/>
      <c r="AV228" s="225"/>
      <c r="AW228" s="225"/>
      <c r="AX228" s="225"/>
      <c r="AY228" s="225"/>
    </row>
    <row r="229" spans="33:51" x14ac:dyDescent="0.25">
      <c r="AG229" s="66">
        <f>IF(AND(Множество[[#This Row],[Y]]=1),ROW()-ROW(Множество[[#Headers],[№]]),"")</f>
        <v>220</v>
      </c>
      <c r="AH229" t="s">
        <v>608</v>
      </c>
      <c r="AI229" s="66">
        <v>1</v>
      </c>
      <c r="AJ229" s="66">
        <f>IF(LEN(Множество[[#This Row],[Свёртка]])&gt;0,1,-1)</f>
        <v>1</v>
      </c>
      <c r="AK229" s="66" t="s">
        <v>1781</v>
      </c>
      <c r="AL229" s="66">
        <f>IF(LEN(Множество[[#This Row],[Критерии]])&gt;0,1,-1)</f>
        <v>1</v>
      </c>
      <c r="AM229" s="66">
        <f>IF(AND(LEN(Множество[[#This Row],[Свёртка]])&gt;0,LEN(Множество[[#This Row],[Критерии]])&gt;0,LEN(Множество[[#This Row],[Оценки]])&gt;0),1,-1)</f>
        <v>1</v>
      </c>
      <c r="AN229">
        <v>1.75</v>
      </c>
      <c r="AO229">
        <v>-15.6833333333333</v>
      </c>
      <c r="AP229" s="208"/>
      <c r="AQ229" s="208"/>
      <c r="AR229" s="226"/>
      <c r="AS229" s="225"/>
      <c r="AT229" s="226"/>
      <c r="AU229" s="225"/>
      <c r="AV229" s="225"/>
      <c r="AW229" s="225"/>
      <c r="AX229" s="225"/>
      <c r="AY229" s="225"/>
    </row>
    <row r="230" spans="33:51" x14ac:dyDescent="0.25">
      <c r="AG230" s="66">
        <f>IF(AND(Множество[[#This Row],[Y]]=1),ROW()-ROW(Множество[[#Headers],[№]]),"")</f>
        <v>221</v>
      </c>
      <c r="AH230" t="s">
        <v>608</v>
      </c>
      <c r="AI230" s="66">
        <v>1</v>
      </c>
      <c r="AJ230" s="66">
        <f>IF(LEN(Множество[[#This Row],[Свёртка]])&gt;0,1,-1)</f>
        <v>1</v>
      </c>
      <c r="AK230" s="66" t="s">
        <v>1781</v>
      </c>
      <c r="AL230" s="66">
        <f>IF(LEN(Множество[[#This Row],[Критерии]])&gt;0,1,-1)</f>
        <v>1</v>
      </c>
      <c r="AM230" s="66">
        <f>IF(AND(LEN(Множество[[#This Row],[Свёртка]])&gt;0,LEN(Множество[[#This Row],[Критерии]])&gt;0,LEN(Множество[[#This Row],[Оценки]])&gt;0),1,-1)</f>
        <v>1</v>
      </c>
      <c r="AN230">
        <v>-0.125</v>
      </c>
      <c r="AO230">
        <v>-13.8166666666667</v>
      </c>
      <c r="AP230" s="208"/>
      <c r="AQ230" s="208"/>
      <c r="AR230" s="226"/>
      <c r="AS230" s="225"/>
      <c r="AT230" s="226"/>
      <c r="AU230" s="225"/>
      <c r="AV230" s="225"/>
      <c r="AW230" s="225"/>
      <c r="AX230" s="225"/>
      <c r="AY230" s="225"/>
    </row>
    <row r="231" spans="33:51" x14ac:dyDescent="0.25">
      <c r="AG231" s="66">
        <f>IF(AND(Множество[[#This Row],[Y]]=1),ROW()-ROW(Множество[[#Headers],[№]]),"")</f>
        <v>222</v>
      </c>
      <c r="AH231" t="s">
        <v>608</v>
      </c>
      <c r="AI231" s="66">
        <v>1</v>
      </c>
      <c r="AJ231" s="66">
        <f>IF(LEN(Множество[[#This Row],[Свёртка]])&gt;0,1,-1)</f>
        <v>1</v>
      </c>
      <c r="AK231" s="66" t="s">
        <v>1781</v>
      </c>
      <c r="AL231" s="66">
        <f>IF(LEN(Множество[[#This Row],[Критерии]])&gt;0,1,-1)</f>
        <v>1</v>
      </c>
      <c r="AM231" s="66">
        <f>IF(AND(LEN(Множество[[#This Row],[Свёртка]])&gt;0,LEN(Множество[[#This Row],[Критерии]])&gt;0,LEN(Множество[[#This Row],[Оценки]])&gt;0),1,-1)</f>
        <v>1</v>
      </c>
      <c r="AN231">
        <v>1.675</v>
      </c>
      <c r="AO231">
        <v>-15.7</v>
      </c>
      <c r="AP231" s="208"/>
      <c r="AQ231" s="208"/>
      <c r="AR231" s="226"/>
      <c r="AS231" s="225"/>
      <c r="AT231" s="226"/>
      <c r="AU231" s="225"/>
      <c r="AV231" s="225"/>
      <c r="AW231" s="225"/>
      <c r="AX231" s="225"/>
      <c r="AY231" s="225"/>
    </row>
    <row r="232" spans="33:51" x14ac:dyDescent="0.25">
      <c r="AG232" s="66">
        <f>IF(AND(Множество[[#This Row],[Y]]=1),ROW()-ROW(Множество[[#Headers],[№]]),"")</f>
        <v>223</v>
      </c>
      <c r="AH232" t="s">
        <v>608</v>
      </c>
      <c r="AI232" s="66">
        <v>1</v>
      </c>
      <c r="AJ232" s="66">
        <f>IF(LEN(Множество[[#This Row],[Свёртка]])&gt;0,1,-1)</f>
        <v>1</v>
      </c>
      <c r="AK232" s="66" t="s">
        <v>1781</v>
      </c>
      <c r="AL232" s="66">
        <f>IF(LEN(Множество[[#This Row],[Критерии]])&gt;0,1,-1)</f>
        <v>1</v>
      </c>
      <c r="AM232" s="66">
        <f>IF(AND(LEN(Множество[[#This Row],[Свёртка]])&gt;0,LEN(Множество[[#This Row],[Критерии]])&gt;0,LEN(Множество[[#This Row],[Оценки]])&gt;0),1,-1)</f>
        <v>1</v>
      </c>
      <c r="AN232">
        <v>-0.27500000000000202</v>
      </c>
      <c r="AO232">
        <v>-13.783333333333299</v>
      </c>
      <c r="AP232" s="208"/>
      <c r="AQ232" s="208"/>
      <c r="AR232" s="226"/>
      <c r="AS232" s="225"/>
      <c r="AT232" s="226"/>
      <c r="AU232" s="225"/>
      <c r="AV232" s="225"/>
      <c r="AW232" s="225"/>
      <c r="AX232" s="225"/>
      <c r="AY232" s="225"/>
    </row>
    <row r="233" spans="33:51" x14ac:dyDescent="0.25">
      <c r="AG233" s="66">
        <f>IF(AND(Множество[[#This Row],[Y]]=1),ROW()-ROW(Множество[[#Headers],[№]]),"")</f>
        <v>224</v>
      </c>
      <c r="AH233" t="s">
        <v>608</v>
      </c>
      <c r="AI233" s="66">
        <v>1</v>
      </c>
      <c r="AJ233" s="66">
        <f>IF(LEN(Множество[[#This Row],[Свёртка]])&gt;0,1,-1)</f>
        <v>1</v>
      </c>
      <c r="AK233" s="66" t="s">
        <v>1781</v>
      </c>
      <c r="AL233" s="66">
        <f>IF(LEN(Множество[[#This Row],[Критерии]])&gt;0,1,-1)</f>
        <v>1</v>
      </c>
      <c r="AM233" s="66">
        <f>IF(AND(LEN(Множество[[#This Row],[Свёртка]])&gt;0,LEN(Множество[[#This Row],[Критерии]])&gt;0,LEN(Множество[[#This Row],[Оценки]])&gt;0),1,-1)</f>
        <v>1</v>
      </c>
      <c r="AN233">
        <v>-0.19999999999999901</v>
      </c>
      <c r="AO233">
        <v>-13.8</v>
      </c>
      <c r="AP233" s="208"/>
      <c r="AQ233" s="208"/>
      <c r="AR233" s="226"/>
      <c r="AS233" s="225"/>
      <c r="AT233" s="226"/>
      <c r="AU233" s="225"/>
      <c r="AV233" s="225"/>
      <c r="AW233" s="225"/>
      <c r="AX233" s="225"/>
      <c r="AY233" s="225"/>
    </row>
    <row r="234" spans="33:51" x14ac:dyDescent="0.25">
      <c r="AG234" s="66">
        <f>IF(AND(Множество[[#This Row],[Y]]=1),ROW()-ROW(Множество[[#Headers],[№]]),"")</f>
        <v>225</v>
      </c>
      <c r="AH234" t="s">
        <v>608</v>
      </c>
      <c r="AI234" s="66">
        <v>1</v>
      </c>
      <c r="AJ234" s="66">
        <f>IF(LEN(Множество[[#This Row],[Свёртка]])&gt;0,1,-1)</f>
        <v>1</v>
      </c>
      <c r="AK234" s="66" t="s">
        <v>1781</v>
      </c>
      <c r="AL234" s="66">
        <f>IF(LEN(Множество[[#This Row],[Критерии]])&gt;0,1,-1)</f>
        <v>1</v>
      </c>
      <c r="AM234" s="66">
        <f>IF(AND(LEN(Множество[[#This Row],[Свёртка]])&gt;0,LEN(Множество[[#This Row],[Критерии]])&gt;0,LEN(Множество[[#This Row],[Оценки]])&gt;0),1,-1)</f>
        <v>1</v>
      </c>
      <c r="AN234">
        <v>1.6</v>
      </c>
      <c r="AO234">
        <v>-15.716666666666701</v>
      </c>
      <c r="AP234" s="208"/>
      <c r="AQ234" s="208"/>
      <c r="AR234" s="226"/>
      <c r="AS234" s="225"/>
      <c r="AT234" s="226"/>
      <c r="AU234" s="225"/>
      <c r="AV234" s="225"/>
      <c r="AW234" s="225"/>
      <c r="AX234" s="225"/>
      <c r="AY234" s="225"/>
    </row>
    <row r="235" spans="33:51" x14ac:dyDescent="0.25">
      <c r="AG235" s="66">
        <f>IF(AND(Множество[[#This Row],[Y]]=1),ROW()-ROW(Множество[[#Headers],[№]]),"")</f>
        <v>226</v>
      </c>
      <c r="AH235" t="s">
        <v>608</v>
      </c>
      <c r="AI235" s="66">
        <v>1</v>
      </c>
      <c r="AJ235" s="66">
        <f>IF(LEN(Множество[[#This Row],[Свёртка]])&gt;0,1,-1)</f>
        <v>1</v>
      </c>
      <c r="AK235" s="66" t="s">
        <v>1781</v>
      </c>
      <c r="AL235" s="66">
        <f>IF(LEN(Множество[[#This Row],[Критерии]])&gt;0,1,-1)</f>
        <v>1</v>
      </c>
      <c r="AM235" s="66">
        <f>IF(AND(LEN(Множество[[#This Row],[Свёртка]])&gt;0,LEN(Множество[[#This Row],[Критерии]])&gt;0,LEN(Множество[[#This Row],[Оценки]])&gt;0),1,-1)</f>
        <v>1</v>
      </c>
      <c r="AN235">
        <v>-0.42500000000000099</v>
      </c>
      <c r="AO235">
        <v>-13.766666666666699</v>
      </c>
      <c r="AP235" s="208"/>
      <c r="AQ235" s="208"/>
      <c r="AR235" s="226"/>
      <c r="AS235" s="225"/>
      <c r="AT235" s="226"/>
      <c r="AU235" s="225"/>
      <c r="AV235" s="225"/>
      <c r="AW235" s="225"/>
      <c r="AX235" s="225"/>
      <c r="AY235" s="225"/>
    </row>
    <row r="236" spans="33:51" x14ac:dyDescent="0.25">
      <c r="AG236" s="66">
        <f>IF(AND(Множество[[#This Row],[Y]]=1),ROW()-ROW(Множество[[#Headers],[№]]),"")</f>
        <v>227</v>
      </c>
      <c r="AH236" t="s">
        <v>608</v>
      </c>
      <c r="AI236" s="66">
        <v>1</v>
      </c>
      <c r="AJ236" s="66">
        <f>IF(LEN(Множество[[#This Row],[Свёртка]])&gt;0,1,-1)</f>
        <v>1</v>
      </c>
      <c r="AK236" s="66" t="s">
        <v>1781</v>
      </c>
      <c r="AL236" s="66">
        <f>IF(LEN(Множество[[#This Row],[Критерии]])&gt;0,1,-1)</f>
        <v>1</v>
      </c>
      <c r="AM236" s="66">
        <f>IF(AND(LEN(Множество[[#This Row],[Свёртка]])&gt;0,LEN(Множество[[#This Row],[Критерии]])&gt;0,LEN(Множество[[#This Row],[Оценки]])&gt;0),1,-1)</f>
        <v>1</v>
      </c>
      <c r="AN236">
        <v>-0.34999999999999798</v>
      </c>
      <c r="AO236">
        <v>-13.783333333333299</v>
      </c>
      <c r="AP236" s="208"/>
      <c r="AQ236" s="208"/>
      <c r="AR236" s="226"/>
      <c r="AS236" s="225"/>
      <c r="AT236" s="226"/>
      <c r="AU236" s="225"/>
      <c r="AV236" s="225"/>
      <c r="AW236" s="225"/>
      <c r="AX236" s="225"/>
      <c r="AY236" s="225"/>
    </row>
    <row r="237" spans="33:51" x14ac:dyDescent="0.25">
      <c r="AG237" s="66">
        <f>IF(AND(Множество[[#This Row],[Y]]=1),ROW()-ROW(Множество[[#Headers],[№]]),"")</f>
        <v>228</v>
      </c>
      <c r="AH237" t="s">
        <v>608</v>
      </c>
      <c r="AI237" s="66">
        <v>1</v>
      </c>
      <c r="AJ237" s="66">
        <f>IF(LEN(Множество[[#This Row],[Свёртка]])&gt;0,1,-1)</f>
        <v>1</v>
      </c>
      <c r="AK237" s="66" t="s">
        <v>1781</v>
      </c>
      <c r="AL237" s="66">
        <f>IF(LEN(Множество[[#This Row],[Критерии]])&gt;0,1,-1)</f>
        <v>1</v>
      </c>
      <c r="AM237" s="66">
        <f>IF(AND(LEN(Множество[[#This Row],[Свёртка]])&gt;0,LEN(Множество[[#This Row],[Критерии]])&gt;0,LEN(Множество[[#This Row],[Оценки]])&gt;0),1,-1)</f>
        <v>1</v>
      </c>
      <c r="AN237">
        <v>-0.5</v>
      </c>
      <c r="AO237">
        <v>-13.75</v>
      </c>
      <c r="AP237" s="208"/>
      <c r="AQ237" s="208"/>
      <c r="AR237" s="226"/>
      <c r="AS237" s="225"/>
      <c r="AT237" s="226"/>
      <c r="AU237" s="225"/>
      <c r="AV237" s="225"/>
      <c r="AW237" s="225"/>
      <c r="AX237" s="225"/>
      <c r="AY237" s="225"/>
    </row>
    <row r="238" spans="33:51" x14ac:dyDescent="0.25">
      <c r="AG238" s="66">
        <f>IF(AND(Множество[[#This Row],[Y]]=1),ROW()-ROW(Множество[[#Headers],[№]]),"")</f>
        <v>229</v>
      </c>
      <c r="AH238" t="s">
        <v>608</v>
      </c>
      <c r="AI238" s="66">
        <v>1</v>
      </c>
      <c r="AJ238" s="66">
        <f>IF(LEN(Множество[[#This Row],[Свёртка]])&gt;0,1,-1)</f>
        <v>1</v>
      </c>
      <c r="AK238" s="66" t="s">
        <v>1781</v>
      </c>
      <c r="AL238" s="66">
        <f>IF(LEN(Множество[[#This Row],[Критерии]])&gt;0,1,-1)</f>
        <v>1</v>
      </c>
      <c r="AM238" s="66">
        <f>IF(AND(LEN(Множество[[#This Row],[Свёртка]])&gt;0,LEN(Множество[[#This Row],[Критерии]])&gt;0,LEN(Множество[[#This Row],[Оценки]])&gt;0),1,-1)</f>
        <v>1</v>
      </c>
      <c r="AN238">
        <v>1.5249999999999999</v>
      </c>
      <c r="AO238">
        <v>-15.75</v>
      </c>
      <c r="AP238" s="208"/>
      <c r="AQ238" s="208"/>
      <c r="AR238" s="226"/>
      <c r="AS238" s="225"/>
      <c r="AT238" s="226"/>
      <c r="AU238" s="225"/>
      <c r="AV238" s="225"/>
      <c r="AW238" s="225"/>
      <c r="AX238" s="225"/>
      <c r="AY238" s="225"/>
    </row>
    <row r="239" spans="33:51" x14ac:dyDescent="0.25">
      <c r="AG239" s="66">
        <f>IF(AND(Множество[[#This Row],[Y]]=1),ROW()-ROW(Множество[[#Headers],[№]]),"")</f>
        <v>230</v>
      </c>
      <c r="AH239" t="s">
        <v>608</v>
      </c>
      <c r="AI239" s="66">
        <v>1</v>
      </c>
      <c r="AJ239" s="66">
        <f>IF(LEN(Множество[[#This Row],[Свёртка]])&gt;0,1,-1)</f>
        <v>1</v>
      </c>
      <c r="AK239" s="66" t="s">
        <v>1781</v>
      </c>
      <c r="AL239" s="66">
        <f>IF(LEN(Множество[[#This Row],[Критерии]])&gt;0,1,-1)</f>
        <v>1</v>
      </c>
      <c r="AM239" s="66">
        <f>IF(AND(LEN(Множество[[#This Row],[Свёртка]])&gt;0,LEN(Множество[[#This Row],[Критерии]])&gt;0,LEN(Множество[[#This Row],[Оценки]])&gt;0),1,-1)</f>
        <v>1</v>
      </c>
      <c r="AN239">
        <v>-0.57500000000000295</v>
      </c>
      <c r="AO239">
        <v>-13.733333333333301</v>
      </c>
      <c r="AP239" s="208"/>
      <c r="AQ239" s="208"/>
      <c r="AR239" s="226"/>
      <c r="AS239" s="225"/>
      <c r="AT239" s="226"/>
      <c r="AU239" s="225"/>
      <c r="AV239" s="225"/>
      <c r="AW239" s="225"/>
      <c r="AX239" s="225"/>
      <c r="AY239" s="225"/>
    </row>
    <row r="240" spans="33:51" x14ac:dyDescent="0.25">
      <c r="AG240" s="66">
        <f>IF(AND(Множество[[#This Row],[Y]]=1),ROW()-ROW(Множество[[#Headers],[№]]),"")</f>
        <v>231</v>
      </c>
      <c r="AH240" t="s">
        <v>608</v>
      </c>
      <c r="AI240" s="66">
        <v>1</v>
      </c>
      <c r="AJ240" s="66">
        <f>IF(LEN(Множество[[#This Row],[Свёртка]])&gt;0,1,-1)</f>
        <v>1</v>
      </c>
      <c r="AK240" s="66" t="s">
        <v>1781</v>
      </c>
      <c r="AL240" s="66">
        <f>IF(LEN(Множество[[#This Row],[Критерии]])&gt;0,1,-1)</f>
        <v>1</v>
      </c>
      <c r="AM240" s="66">
        <f>IF(AND(LEN(Множество[[#This Row],[Свёртка]])&gt;0,LEN(Множество[[#This Row],[Критерии]])&gt;0,LEN(Множество[[#This Row],[Оценки]])&gt;0),1,-1)</f>
        <v>1</v>
      </c>
      <c r="AN240">
        <v>1.45</v>
      </c>
      <c r="AO240">
        <v>-15.766666666666699</v>
      </c>
      <c r="AP240" s="208"/>
      <c r="AQ240" s="208"/>
      <c r="AR240" s="226"/>
      <c r="AS240" s="225"/>
      <c r="AT240" s="226"/>
      <c r="AU240" s="225"/>
      <c r="AV240" s="225"/>
      <c r="AW240" s="225"/>
      <c r="AX240" s="225"/>
      <c r="AY240" s="225"/>
    </row>
    <row r="241" spans="33:51" x14ac:dyDescent="0.25">
      <c r="AG241" s="66">
        <f>IF(AND(Множество[[#This Row],[Y]]=1),ROW()-ROW(Множество[[#Headers],[№]]),"")</f>
        <v>232</v>
      </c>
      <c r="AH241" t="s">
        <v>608</v>
      </c>
      <c r="AI241" s="66">
        <v>1</v>
      </c>
      <c r="AJ241" s="66">
        <f>IF(LEN(Множество[[#This Row],[Свёртка]])&gt;0,1,-1)</f>
        <v>1</v>
      </c>
      <c r="AK241" s="66" t="s">
        <v>1781</v>
      </c>
      <c r="AL241" s="66">
        <f>IF(LEN(Множество[[#This Row],[Критерии]])&gt;0,1,-1)</f>
        <v>1</v>
      </c>
      <c r="AM241" s="66">
        <f>IF(AND(LEN(Множество[[#This Row],[Свёртка]])&gt;0,LEN(Множество[[#This Row],[Критерии]])&gt;0,LEN(Множество[[#This Row],[Оценки]])&gt;0),1,-1)</f>
        <v>1</v>
      </c>
      <c r="AN241">
        <v>-0.72500000000000098</v>
      </c>
      <c r="AO241">
        <v>-13.716666666666701</v>
      </c>
      <c r="AP241" s="208"/>
      <c r="AQ241" s="208"/>
      <c r="AR241" s="226"/>
      <c r="AS241" s="225"/>
      <c r="AT241" s="226"/>
      <c r="AU241" s="225"/>
      <c r="AV241" s="225"/>
      <c r="AW241" s="225"/>
      <c r="AX241" s="225"/>
      <c r="AY241" s="225"/>
    </row>
    <row r="242" spans="33:51" x14ac:dyDescent="0.25">
      <c r="AG242" s="66">
        <f>IF(AND(Множество[[#This Row],[Y]]=1),ROW()-ROW(Множество[[#Headers],[№]]),"")</f>
        <v>233</v>
      </c>
      <c r="AH242" t="s">
        <v>608</v>
      </c>
      <c r="AI242" s="66">
        <v>1</v>
      </c>
      <c r="AJ242" s="66">
        <f>IF(LEN(Множество[[#This Row],[Свёртка]])&gt;0,1,-1)</f>
        <v>1</v>
      </c>
      <c r="AK242" s="66" t="s">
        <v>1781</v>
      </c>
      <c r="AL242" s="66">
        <f>IF(LEN(Множество[[#This Row],[Критерии]])&gt;0,1,-1)</f>
        <v>1</v>
      </c>
      <c r="AM242" s="66">
        <f>IF(AND(LEN(Множество[[#This Row],[Свёртка]])&gt;0,LEN(Множество[[#This Row],[Критерии]])&gt;0,LEN(Множество[[#This Row],[Оценки]])&gt;0),1,-1)</f>
        <v>1</v>
      </c>
      <c r="AN242">
        <v>-0.64999999999999902</v>
      </c>
      <c r="AO242">
        <v>-13.716666666666701</v>
      </c>
      <c r="AP242" s="208"/>
      <c r="AQ242" s="208"/>
      <c r="AR242" s="226"/>
      <c r="AS242" s="225"/>
      <c r="AT242" s="226"/>
      <c r="AU242" s="225"/>
      <c r="AV242" s="225"/>
      <c r="AW242" s="225"/>
      <c r="AX242" s="225"/>
      <c r="AY242" s="225"/>
    </row>
    <row r="243" spans="33:51" x14ac:dyDescent="0.25">
      <c r="AG243" s="66">
        <f>IF(AND(Множество[[#This Row],[Y]]=1),ROW()-ROW(Множество[[#Headers],[№]]),"")</f>
        <v>234</v>
      </c>
      <c r="AH243" t="s">
        <v>608</v>
      </c>
      <c r="AI243" s="66">
        <v>1</v>
      </c>
      <c r="AJ243" s="66">
        <f>IF(LEN(Множество[[#This Row],[Свёртка]])&gt;0,1,-1)</f>
        <v>1</v>
      </c>
      <c r="AK243" s="66" t="s">
        <v>1781</v>
      </c>
      <c r="AL243" s="66">
        <f>IF(LEN(Множество[[#This Row],[Критерии]])&gt;0,1,-1)</f>
        <v>1</v>
      </c>
      <c r="AM243" s="66">
        <f>IF(AND(LEN(Множество[[#This Row],[Свёртка]])&gt;0,LEN(Множество[[#This Row],[Критерии]])&gt;0,LEN(Множество[[#This Row],[Оценки]])&gt;0),1,-1)</f>
        <v>1</v>
      </c>
      <c r="AN243">
        <v>1.3</v>
      </c>
      <c r="AO243">
        <v>-15.8</v>
      </c>
      <c r="AP243" s="208"/>
      <c r="AQ243" s="208"/>
      <c r="AR243" s="226"/>
      <c r="AS243" s="225"/>
      <c r="AT243" s="226"/>
      <c r="AU243" s="225"/>
      <c r="AV243" s="225"/>
      <c r="AW243" s="225"/>
      <c r="AX243" s="225"/>
      <c r="AY243" s="225"/>
    </row>
    <row r="244" spans="33:51" x14ac:dyDescent="0.25">
      <c r="AG244" s="66">
        <f>IF(AND(Множество[[#This Row],[Y]]=1),ROW()-ROW(Множество[[#Headers],[№]]),"")</f>
        <v>235</v>
      </c>
      <c r="AH244" t="s">
        <v>608</v>
      </c>
      <c r="AI244" s="66">
        <v>1</v>
      </c>
      <c r="AJ244" s="66">
        <f>IF(LEN(Множество[[#This Row],[Свёртка]])&gt;0,1,-1)</f>
        <v>1</v>
      </c>
      <c r="AK244" s="66" t="s">
        <v>1781</v>
      </c>
      <c r="AL244" s="66">
        <f>IF(LEN(Множество[[#This Row],[Критерии]])&gt;0,1,-1)</f>
        <v>1</v>
      </c>
      <c r="AM244" s="66">
        <f>IF(AND(LEN(Множество[[#This Row],[Свёртка]])&gt;0,LEN(Множество[[#This Row],[Критерии]])&gt;0,LEN(Множество[[#This Row],[Оценки]])&gt;0),1,-1)</f>
        <v>1</v>
      </c>
      <c r="AN244">
        <v>1.375</v>
      </c>
      <c r="AO244">
        <v>-15.783333333333299</v>
      </c>
      <c r="AP244" s="208"/>
      <c r="AQ244" s="208"/>
      <c r="AR244" s="226"/>
      <c r="AS244" s="225"/>
      <c r="AT244" s="226"/>
      <c r="AU244" s="225"/>
      <c r="AV244" s="225"/>
      <c r="AW244" s="225"/>
      <c r="AX244" s="225"/>
      <c r="AY244" s="225"/>
    </row>
    <row r="245" spans="33:51" x14ac:dyDescent="0.25">
      <c r="AG245" s="66">
        <f>IF(AND(Множество[[#This Row],[Y]]=1),ROW()-ROW(Множество[[#Headers],[№]]),"")</f>
        <v>236</v>
      </c>
      <c r="AH245" t="s">
        <v>608</v>
      </c>
      <c r="AI245" s="66">
        <v>1</v>
      </c>
      <c r="AJ245" s="66">
        <f>IF(LEN(Множество[[#This Row],[Свёртка]])&gt;0,1,-1)</f>
        <v>1</v>
      </c>
      <c r="AK245" s="66" t="s">
        <v>1781</v>
      </c>
      <c r="AL245" s="66">
        <f>IF(LEN(Множество[[#This Row],[Критерии]])&gt;0,1,-1)</f>
        <v>1</v>
      </c>
      <c r="AM245" s="66">
        <f>IF(AND(LEN(Множество[[#This Row],[Свёртка]])&gt;0,LEN(Множество[[#This Row],[Критерии]])&gt;0,LEN(Множество[[#This Row],[Оценки]])&gt;0),1,-1)</f>
        <v>1</v>
      </c>
      <c r="AN245">
        <v>-0.79999999999999705</v>
      </c>
      <c r="AO245">
        <v>-13.7</v>
      </c>
      <c r="AP245" s="208"/>
      <c r="AQ245" s="208"/>
      <c r="AR245" s="226"/>
      <c r="AS245" s="225"/>
      <c r="AT245" s="226"/>
      <c r="AU245" s="225"/>
      <c r="AV245" s="225"/>
      <c r="AW245" s="225"/>
      <c r="AX245" s="225"/>
      <c r="AY245" s="225"/>
    </row>
    <row r="246" spans="33:51" x14ac:dyDescent="0.25">
      <c r="AG246" s="66">
        <f>IF(AND(Множество[[#This Row],[Y]]=1),ROW()-ROW(Множество[[#Headers],[№]]),"")</f>
        <v>237</v>
      </c>
      <c r="AH246" t="s">
        <v>608</v>
      </c>
      <c r="AI246" s="66">
        <v>1</v>
      </c>
      <c r="AJ246" s="66">
        <f>IF(LEN(Множество[[#This Row],[Свёртка]])&gt;0,1,-1)</f>
        <v>1</v>
      </c>
      <c r="AK246" s="66" t="s">
        <v>1781</v>
      </c>
      <c r="AL246" s="66">
        <f>IF(LEN(Множество[[#This Row],[Критерии]])&gt;0,1,-1)</f>
        <v>1</v>
      </c>
      <c r="AM246" s="66">
        <f>IF(AND(LEN(Множество[[#This Row],[Свёртка]])&gt;0,LEN(Множество[[#This Row],[Критерии]])&gt;0,LEN(Множество[[#This Row],[Оценки]])&gt;0),1,-1)</f>
        <v>1</v>
      </c>
      <c r="AN246">
        <v>-0.875</v>
      </c>
      <c r="AO246">
        <v>-13.6833333333333</v>
      </c>
      <c r="AP246" s="208"/>
      <c r="AQ246" s="208"/>
      <c r="AR246" s="226"/>
      <c r="AS246" s="225"/>
      <c r="AT246" s="226"/>
      <c r="AU246" s="225"/>
      <c r="AV246" s="225"/>
      <c r="AW246" s="225"/>
      <c r="AX246" s="225"/>
      <c r="AY246" s="225"/>
    </row>
    <row r="247" spans="33:51" x14ac:dyDescent="0.25">
      <c r="AG247" s="66">
        <f>IF(AND(Множество[[#This Row],[Y]]=1),ROW()-ROW(Множество[[#Headers],[№]]),"")</f>
        <v>238</v>
      </c>
      <c r="AH247" t="s">
        <v>608</v>
      </c>
      <c r="AI247" s="66">
        <v>1</v>
      </c>
      <c r="AJ247" s="66">
        <f>IF(LEN(Множество[[#This Row],[Свёртка]])&gt;0,1,-1)</f>
        <v>1</v>
      </c>
      <c r="AK247" s="66" t="s">
        <v>1781</v>
      </c>
      <c r="AL247" s="66">
        <f>IF(LEN(Множество[[#This Row],[Критерии]])&gt;0,1,-1)</f>
        <v>1</v>
      </c>
      <c r="AM247" s="66">
        <f>IF(AND(LEN(Множество[[#This Row],[Свёртка]])&gt;0,LEN(Множество[[#This Row],[Критерии]])&gt;0,LEN(Множество[[#This Row],[Оценки]])&gt;0),1,-1)</f>
        <v>1</v>
      </c>
      <c r="AN247">
        <v>-0.94999999999999896</v>
      </c>
      <c r="AO247">
        <v>-13.6666666666667</v>
      </c>
      <c r="AP247" s="208"/>
      <c r="AQ247" s="208"/>
      <c r="AR247" s="226"/>
      <c r="AS247" s="225"/>
      <c r="AT247" s="226"/>
      <c r="AU247" s="225"/>
      <c r="AV247" s="225"/>
      <c r="AW247" s="225"/>
      <c r="AX247" s="225"/>
      <c r="AY247" s="225"/>
    </row>
    <row r="248" spans="33:51" x14ac:dyDescent="0.25">
      <c r="AG248" s="66">
        <f>IF(AND(Множество[[#This Row],[Y]]=1),ROW()-ROW(Множество[[#Headers],[№]]),"")</f>
        <v>239</v>
      </c>
      <c r="AH248" t="s">
        <v>608</v>
      </c>
      <c r="AI248" s="66">
        <v>1</v>
      </c>
      <c r="AJ248" s="66">
        <f>IF(LEN(Множество[[#This Row],[Свёртка]])&gt;0,1,-1)</f>
        <v>1</v>
      </c>
      <c r="AK248" s="66" t="s">
        <v>1781</v>
      </c>
      <c r="AL248" s="66">
        <f>IF(LEN(Множество[[#This Row],[Критерии]])&gt;0,1,-1)</f>
        <v>1</v>
      </c>
      <c r="AM248" s="66">
        <f>IF(AND(LEN(Множество[[#This Row],[Свёртка]])&gt;0,LEN(Множество[[#This Row],[Критерии]])&gt;0,LEN(Множество[[#This Row],[Оценки]])&gt;0),1,-1)</f>
        <v>1</v>
      </c>
      <c r="AN248">
        <v>1.1499999999999999</v>
      </c>
      <c r="AO248">
        <v>-15.85</v>
      </c>
      <c r="AP248" s="208"/>
      <c r="AQ248" s="208"/>
      <c r="AR248" s="226"/>
      <c r="AS248" s="225"/>
      <c r="AT248" s="226"/>
      <c r="AU248" s="225"/>
      <c r="AV248" s="225"/>
      <c r="AW248" s="225"/>
      <c r="AX248" s="225"/>
      <c r="AY248" s="225"/>
    </row>
    <row r="249" spans="33:51" x14ac:dyDescent="0.25">
      <c r="AG249" s="66">
        <f>IF(AND(Множество[[#This Row],[Y]]=1),ROW()-ROW(Множество[[#Headers],[№]]),"")</f>
        <v>240</v>
      </c>
      <c r="AH249" t="s">
        <v>608</v>
      </c>
      <c r="AI249" s="66">
        <v>1</v>
      </c>
      <c r="AJ249" s="66">
        <f>IF(LEN(Множество[[#This Row],[Свёртка]])&gt;0,1,-1)</f>
        <v>1</v>
      </c>
      <c r="AK249" s="66" t="s">
        <v>1781</v>
      </c>
      <c r="AL249" s="66">
        <f>IF(LEN(Множество[[#This Row],[Критерии]])&gt;0,1,-1)</f>
        <v>1</v>
      </c>
      <c r="AM249" s="66">
        <f>IF(AND(LEN(Множество[[#This Row],[Свёртка]])&gt;0,LEN(Множество[[#This Row],[Критерии]])&gt;0,LEN(Множество[[#This Row],[Оценки]])&gt;0),1,-1)</f>
        <v>1</v>
      </c>
      <c r="AN249">
        <v>1.2250000000000001</v>
      </c>
      <c r="AO249">
        <v>-15.8333333333333</v>
      </c>
      <c r="AP249" s="208"/>
      <c r="AQ249" s="208"/>
      <c r="AR249" s="226"/>
      <c r="AS249" s="225"/>
      <c r="AT249" s="226"/>
      <c r="AU249" s="225"/>
      <c r="AV249" s="225"/>
      <c r="AW249" s="225"/>
      <c r="AX249" s="225"/>
      <c r="AY249" s="225"/>
    </row>
    <row r="250" spans="33:51" x14ac:dyDescent="0.25">
      <c r="AG250" s="66">
        <f>IF(AND(Множество[[#This Row],[Y]]=1),ROW()-ROW(Множество[[#Headers],[№]]),"")</f>
        <v>241</v>
      </c>
      <c r="AH250" t="s">
        <v>608</v>
      </c>
      <c r="AI250" s="66">
        <v>1</v>
      </c>
      <c r="AJ250" s="66">
        <f>IF(LEN(Множество[[#This Row],[Свёртка]])&gt;0,1,-1)</f>
        <v>1</v>
      </c>
      <c r="AK250" s="66" t="s">
        <v>1781</v>
      </c>
      <c r="AL250" s="66">
        <f>IF(LEN(Множество[[#This Row],[Критерии]])&gt;0,1,-1)</f>
        <v>1</v>
      </c>
      <c r="AM250" s="66">
        <f>IF(AND(LEN(Множество[[#This Row],[Свёртка]])&gt;0,LEN(Множество[[#This Row],[Критерии]])&gt;0,LEN(Множество[[#This Row],[Оценки]])&gt;0),1,-1)</f>
        <v>1</v>
      </c>
      <c r="AN250">
        <v>-1.1000000000000001</v>
      </c>
      <c r="AO250">
        <v>-13.65</v>
      </c>
      <c r="AP250" s="208"/>
      <c r="AQ250" s="208"/>
      <c r="AR250" s="226"/>
      <c r="AS250" s="225"/>
      <c r="AT250" s="226"/>
      <c r="AU250" s="225"/>
      <c r="AV250" s="225"/>
      <c r="AW250" s="225"/>
      <c r="AX250" s="225"/>
      <c r="AY250" s="225"/>
    </row>
    <row r="251" spans="33:51" x14ac:dyDescent="0.25">
      <c r="AG251" s="66">
        <f>IF(AND(Множество[[#This Row],[Y]]=1),ROW()-ROW(Множество[[#Headers],[№]]),"")</f>
        <v>242</v>
      </c>
      <c r="AH251" t="s">
        <v>608</v>
      </c>
      <c r="AI251" s="66">
        <v>1</v>
      </c>
      <c r="AJ251" s="66">
        <f>IF(LEN(Множество[[#This Row],[Свёртка]])&gt;0,1,-1)</f>
        <v>1</v>
      </c>
      <c r="AK251" s="66" t="s">
        <v>1781</v>
      </c>
      <c r="AL251" s="66">
        <f>IF(LEN(Множество[[#This Row],[Критерии]])&gt;0,1,-1)</f>
        <v>1</v>
      </c>
      <c r="AM251" s="66">
        <f>IF(AND(LEN(Множество[[#This Row],[Свёртка]])&gt;0,LEN(Множество[[#This Row],[Критерии]])&gt;0,LEN(Множество[[#This Row],[Оценки]])&gt;0),1,-1)</f>
        <v>1</v>
      </c>
      <c r="AN251">
        <v>-1.25</v>
      </c>
      <c r="AO251">
        <v>-13.616666666666699</v>
      </c>
      <c r="AP251" s="208"/>
      <c r="AQ251" s="208"/>
      <c r="AR251" s="226"/>
      <c r="AS251" s="225"/>
      <c r="AT251" s="226"/>
      <c r="AU251" s="225"/>
      <c r="AV251" s="225"/>
      <c r="AW251" s="225"/>
      <c r="AX251" s="225"/>
      <c r="AY251" s="225"/>
    </row>
    <row r="252" spans="33:51" x14ac:dyDescent="0.25">
      <c r="AG252" s="66">
        <f>IF(AND(Множество[[#This Row],[Y]]=1),ROW()-ROW(Множество[[#Headers],[№]]),"")</f>
        <v>243</v>
      </c>
      <c r="AH252" t="s">
        <v>608</v>
      </c>
      <c r="AI252" s="66">
        <v>1</v>
      </c>
      <c r="AJ252" s="66">
        <f>IF(LEN(Множество[[#This Row],[Свёртка]])&gt;0,1,-1)</f>
        <v>1</v>
      </c>
      <c r="AK252" s="66" t="s">
        <v>1781</v>
      </c>
      <c r="AL252" s="66">
        <f>IF(LEN(Множество[[#This Row],[Критерии]])&gt;0,1,-1)</f>
        <v>1</v>
      </c>
      <c r="AM252" s="66">
        <f>IF(AND(LEN(Множество[[#This Row],[Свёртка]])&gt;0,LEN(Множество[[#This Row],[Критерии]])&gt;0,LEN(Множество[[#This Row],[Оценки]])&gt;0),1,-1)</f>
        <v>1</v>
      </c>
      <c r="AN252">
        <v>1.075</v>
      </c>
      <c r="AO252">
        <v>-15.866666666666699</v>
      </c>
      <c r="AP252" s="208"/>
      <c r="AQ252" s="208"/>
      <c r="AR252" s="226"/>
      <c r="AS252" s="225"/>
      <c r="AT252" s="226"/>
      <c r="AU252" s="225"/>
      <c r="AV252" s="225"/>
      <c r="AW252" s="225"/>
      <c r="AX252" s="225"/>
      <c r="AY252" s="225"/>
    </row>
    <row r="253" spans="33:51" x14ac:dyDescent="0.25">
      <c r="AG253" s="66">
        <f>IF(AND(Множество[[#This Row],[Y]]=1),ROW()-ROW(Множество[[#Headers],[№]]),"")</f>
        <v>244</v>
      </c>
      <c r="AH253" t="s">
        <v>608</v>
      </c>
      <c r="AI253" s="66">
        <v>1</v>
      </c>
      <c r="AJ253" s="66">
        <f>IF(LEN(Множество[[#This Row],[Свёртка]])&gt;0,1,-1)</f>
        <v>1</v>
      </c>
      <c r="AK253" s="66" t="s">
        <v>1781</v>
      </c>
      <c r="AL253" s="66">
        <f>IF(LEN(Множество[[#This Row],[Критерии]])&gt;0,1,-1)</f>
        <v>1</v>
      </c>
      <c r="AM253" s="66">
        <f>IF(AND(LEN(Множество[[#This Row],[Свёртка]])&gt;0,LEN(Множество[[#This Row],[Критерии]])&gt;0,LEN(Множество[[#This Row],[Оценки]])&gt;0),1,-1)</f>
        <v>1</v>
      </c>
      <c r="AN253">
        <v>-1.175</v>
      </c>
      <c r="AO253">
        <v>-13.633333333333301</v>
      </c>
      <c r="AP253" s="208"/>
      <c r="AQ253" s="208"/>
      <c r="AR253" s="226"/>
      <c r="AS253" s="225"/>
      <c r="AT253" s="226"/>
      <c r="AU253" s="225"/>
      <c r="AV253" s="225"/>
      <c r="AW253" s="225"/>
      <c r="AX253" s="225"/>
      <c r="AY253" s="225"/>
    </row>
    <row r="254" spans="33:51" x14ac:dyDescent="0.25">
      <c r="AG254" s="66">
        <f>IF(AND(Множество[[#This Row],[Y]]=1),ROW()-ROW(Множество[[#Headers],[№]]),"")</f>
        <v>245</v>
      </c>
      <c r="AH254" t="s">
        <v>608</v>
      </c>
      <c r="AI254" s="66">
        <v>1</v>
      </c>
      <c r="AJ254" s="66">
        <f>IF(LEN(Множество[[#This Row],[Свёртка]])&gt;0,1,-1)</f>
        <v>1</v>
      </c>
      <c r="AK254" s="66" t="s">
        <v>1781</v>
      </c>
      <c r="AL254" s="66">
        <f>IF(LEN(Множество[[#This Row],[Критерии]])&gt;0,1,-1)</f>
        <v>1</v>
      </c>
      <c r="AM254" s="66">
        <f>IF(AND(LEN(Множество[[#This Row],[Свёртка]])&gt;0,LEN(Множество[[#This Row],[Критерии]])&gt;0,LEN(Множество[[#This Row],[Оценки]])&gt;0),1,-1)</f>
        <v>1</v>
      </c>
      <c r="AN254">
        <v>-1.4</v>
      </c>
      <c r="AO254">
        <v>-13.6</v>
      </c>
      <c r="AP254" s="208"/>
      <c r="AQ254" s="208"/>
      <c r="AR254" s="226"/>
      <c r="AS254" s="225"/>
      <c r="AT254" s="226"/>
      <c r="AU254" s="225"/>
      <c r="AV254" s="225"/>
      <c r="AW254" s="225"/>
      <c r="AX254" s="225"/>
      <c r="AY254" s="225"/>
    </row>
    <row r="255" spans="33:51" x14ac:dyDescent="0.25">
      <c r="AG255" s="66">
        <f>IF(AND(Множество[[#This Row],[Y]]=1),ROW()-ROW(Множество[[#Headers],[№]]),"")</f>
        <v>246</v>
      </c>
      <c r="AH255" t="s">
        <v>608</v>
      </c>
      <c r="AI255" s="66">
        <v>1</v>
      </c>
      <c r="AJ255" s="66">
        <f>IF(LEN(Множество[[#This Row],[Свёртка]])&gt;0,1,-1)</f>
        <v>1</v>
      </c>
      <c r="AK255" s="66" t="s">
        <v>1781</v>
      </c>
      <c r="AL255" s="66">
        <f>IF(LEN(Множество[[#This Row],[Критерии]])&gt;0,1,-1)</f>
        <v>1</v>
      </c>
      <c r="AM255" s="66">
        <f>IF(AND(LEN(Множество[[#This Row],[Свёртка]])&gt;0,LEN(Множество[[#This Row],[Критерии]])&gt;0,LEN(Множество[[#This Row],[Оценки]])&gt;0),1,-1)</f>
        <v>1</v>
      </c>
      <c r="AN255">
        <v>-1.325</v>
      </c>
      <c r="AO255">
        <v>-13.6</v>
      </c>
      <c r="AP255" s="208"/>
      <c r="AQ255" s="208"/>
      <c r="AR255" s="226"/>
      <c r="AS255" s="225"/>
      <c r="AT255" s="226"/>
      <c r="AU255" s="225"/>
      <c r="AV255" s="225"/>
      <c r="AW255" s="225"/>
      <c r="AX255" s="225"/>
      <c r="AY255" s="225"/>
    </row>
    <row r="256" spans="33:51" x14ac:dyDescent="0.25">
      <c r="AG256" s="66">
        <f>IF(AND(Множество[[#This Row],[Y]]=1),ROW()-ROW(Множество[[#Headers],[№]]),"")</f>
        <v>247</v>
      </c>
      <c r="AH256" t="s">
        <v>608</v>
      </c>
      <c r="AI256" s="66">
        <v>1</v>
      </c>
      <c r="AJ256" s="66">
        <f>IF(LEN(Множество[[#This Row],[Свёртка]])&gt;0,1,-1)</f>
        <v>1</v>
      </c>
      <c r="AK256" s="66" t="s">
        <v>1781</v>
      </c>
      <c r="AL256" s="66">
        <f>IF(LEN(Множество[[#This Row],[Критерии]])&gt;0,1,-1)</f>
        <v>1</v>
      </c>
      <c r="AM256" s="66">
        <f>IF(AND(LEN(Множество[[#This Row],[Свёртка]])&gt;0,LEN(Множество[[#This Row],[Критерии]])&gt;0,LEN(Множество[[#This Row],[Оценки]])&gt;0),1,-1)</f>
        <v>1</v>
      </c>
      <c r="AN256">
        <v>0.999999999999996</v>
      </c>
      <c r="AO256">
        <v>-15.9</v>
      </c>
      <c r="AP256" s="208"/>
      <c r="AQ256" s="208"/>
      <c r="AR256" s="226"/>
      <c r="AS256" s="225"/>
      <c r="AT256" s="226"/>
      <c r="AU256" s="225"/>
      <c r="AV256" s="225"/>
      <c r="AW256" s="225"/>
      <c r="AX256" s="225"/>
      <c r="AY256" s="225"/>
    </row>
    <row r="257" spans="33:51" x14ac:dyDescent="0.25">
      <c r="AG257" s="66">
        <f>IF(AND(Множество[[#This Row],[Y]]=1),ROW()-ROW(Множество[[#Headers],[№]]),"")</f>
        <v>248</v>
      </c>
      <c r="AH257" t="s">
        <v>608</v>
      </c>
      <c r="AI257" s="66">
        <v>1</v>
      </c>
      <c r="AJ257" s="66">
        <f>IF(LEN(Множество[[#This Row],[Свёртка]])&gt;0,1,-1)</f>
        <v>1</v>
      </c>
      <c r="AK257" s="66" t="s">
        <v>1781</v>
      </c>
      <c r="AL257" s="66">
        <f>IF(LEN(Множество[[#This Row],[Критерии]])&gt;0,1,-1)</f>
        <v>1</v>
      </c>
      <c r="AM257" s="66">
        <f>IF(AND(LEN(Множество[[#This Row],[Свёртка]])&gt;0,LEN(Множество[[#This Row],[Критерии]])&gt;0,LEN(Множество[[#This Row],[Оценки]])&gt;0),1,-1)</f>
        <v>1</v>
      </c>
      <c r="AN257">
        <v>0.92500000000000104</v>
      </c>
      <c r="AO257">
        <v>-15.9166666666667</v>
      </c>
      <c r="AP257" s="208"/>
      <c r="AQ257" s="208"/>
      <c r="AR257" s="226"/>
      <c r="AS257" s="225"/>
      <c r="AT257" s="226"/>
      <c r="AU257" s="225"/>
      <c r="AV257" s="225"/>
      <c r="AW257" s="225"/>
      <c r="AX257" s="225"/>
      <c r="AY257" s="225"/>
    </row>
    <row r="258" spans="33:51" x14ac:dyDescent="0.25">
      <c r="AG258" s="66">
        <f>IF(AND(Множество[[#This Row],[Y]]=1),ROW()-ROW(Множество[[#Headers],[№]]),"")</f>
        <v>249</v>
      </c>
      <c r="AH258" t="s">
        <v>608</v>
      </c>
      <c r="AI258" s="66">
        <v>1</v>
      </c>
      <c r="AJ258" s="66">
        <f>IF(LEN(Множество[[#This Row],[Свёртка]])&gt;0,1,-1)</f>
        <v>1</v>
      </c>
      <c r="AK258" s="66" t="s">
        <v>1781</v>
      </c>
      <c r="AL258" s="66">
        <f>IF(LEN(Множество[[#This Row],[Критерии]])&gt;0,1,-1)</f>
        <v>1</v>
      </c>
      <c r="AM258" s="66">
        <f>IF(AND(LEN(Множество[[#This Row],[Свёртка]])&gt;0,LEN(Множество[[#This Row],[Критерии]])&gt;0,LEN(Множество[[#This Row],[Оценки]])&gt;0),1,-1)</f>
        <v>1</v>
      </c>
      <c r="AN258">
        <v>-1.4750000000000001</v>
      </c>
      <c r="AO258">
        <v>-13.5833333333333</v>
      </c>
      <c r="AP258" s="208"/>
      <c r="AQ258" s="208"/>
      <c r="AR258" s="226"/>
      <c r="AS258" s="225"/>
      <c r="AT258" s="226"/>
      <c r="AU258" s="225"/>
      <c r="AV258" s="225"/>
      <c r="AW258" s="225"/>
      <c r="AX258" s="225"/>
      <c r="AY258" s="225"/>
    </row>
    <row r="259" spans="33:51" x14ac:dyDescent="0.25">
      <c r="AG259" s="66">
        <f>IF(AND(Множество[[#This Row],[Y]]=1),ROW()-ROW(Множество[[#Headers],[№]]),"")</f>
        <v>250</v>
      </c>
      <c r="AH259" t="s">
        <v>608</v>
      </c>
      <c r="AI259" s="66">
        <v>1</v>
      </c>
      <c r="AJ259" s="66">
        <f>IF(LEN(Множество[[#This Row],[Свёртка]])&gt;0,1,-1)</f>
        <v>1</v>
      </c>
      <c r="AK259" s="66" t="s">
        <v>1781</v>
      </c>
      <c r="AL259" s="66">
        <f>IF(LEN(Множество[[#This Row],[Критерии]])&gt;0,1,-1)</f>
        <v>1</v>
      </c>
      <c r="AM259" s="66">
        <f>IF(AND(LEN(Множество[[#This Row],[Свёртка]])&gt;0,LEN(Множество[[#This Row],[Критерии]])&gt;0,LEN(Множество[[#This Row],[Оценки]])&gt;0),1,-1)</f>
        <v>1</v>
      </c>
      <c r="AN259">
        <v>0.84999999999999798</v>
      </c>
      <c r="AO259">
        <v>-15.9333333333333</v>
      </c>
      <c r="AP259" s="208"/>
      <c r="AQ259" s="208"/>
      <c r="AR259" s="226"/>
      <c r="AS259" s="225"/>
      <c r="AT259" s="226"/>
      <c r="AU259" s="225"/>
      <c r="AV259" s="225"/>
      <c r="AW259" s="225"/>
      <c r="AX259" s="225"/>
      <c r="AY259" s="225"/>
    </row>
    <row r="260" spans="33:51" x14ac:dyDescent="0.25">
      <c r="AG260" s="66">
        <f>IF(AND(Множество[[#This Row],[Y]]=1),ROW()-ROW(Множество[[#Headers],[№]]),"")</f>
        <v>251</v>
      </c>
      <c r="AH260" t="s">
        <v>608</v>
      </c>
      <c r="AI260" s="66">
        <v>1</v>
      </c>
      <c r="AJ260" s="66">
        <f>IF(LEN(Множество[[#This Row],[Свёртка]])&gt;0,1,-1)</f>
        <v>1</v>
      </c>
      <c r="AK260" s="66" t="s">
        <v>1781</v>
      </c>
      <c r="AL260" s="66">
        <f>IF(LEN(Множество[[#This Row],[Критерии]])&gt;0,1,-1)</f>
        <v>1</v>
      </c>
      <c r="AM260" s="66">
        <f>IF(AND(LEN(Множество[[#This Row],[Свёртка]])&gt;0,LEN(Множество[[#This Row],[Критерии]])&gt;0,LEN(Множество[[#This Row],[Оценки]])&gt;0),1,-1)</f>
        <v>1</v>
      </c>
      <c r="AN260">
        <v>0.77499999999999902</v>
      </c>
      <c r="AO260">
        <v>-15.95</v>
      </c>
      <c r="AP260" s="208"/>
      <c r="AQ260" s="208"/>
      <c r="AR260" s="226"/>
      <c r="AS260" s="225"/>
      <c r="AT260" s="226"/>
      <c r="AU260" s="225"/>
      <c r="AV260" s="225"/>
      <c r="AW260" s="225"/>
      <c r="AX260" s="225"/>
      <c r="AY260" s="225"/>
    </row>
    <row r="261" spans="33:51" x14ac:dyDescent="0.25">
      <c r="AG261" s="66">
        <f>IF(AND(Множество[[#This Row],[Y]]=1),ROW()-ROW(Множество[[#Headers],[№]]),"")</f>
        <v>252</v>
      </c>
      <c r="AH261" t="s">
        <v>608</v>
      </c>
      <c r="AI261" s="66">
        <v>1</v>
      </c>
      <c r="AJ261" s="66">
        <f>IF(LEN(Множество[[#This Row],[Свёртка]])&gt;0,1,-1)</f>
        <v>1</v>
      </c>
      <c r="AK261" s="66" t="s">
        <v>1781</v>
      </c>
      <c r="AL261" s="66">
        <f>IF(LEN(Множество[[#This Row],[Критерии]])&gt;0,1,-1)</f>
        <v>1</v>
      </c>
      <c r="AM261" s="66">
        <f>IF(AND(LEN(Множество[[#This Row],[Свёртка]])&gt;0,LEN(Множество[[#This Row],[Критерии]])&gt;0,LEN(Множество[[#This Row],[Оценки]])&gt;0),1,-1)</f>
        <v>1</v>
      </c>
      <c r="AN261">
        <v>-1.55</v>
      </c>
      <c r="AO261">
        <v>-13.5666666666667</v>
      </c>
      <c r="AP261" s="208"/>
      <c r="AQ261" s="208"/>
      <c r="AR261" s="226"/>
      <c r="AS261" s="225"/>
      <c r="AT261" s="226"/>
      <c r="AU261" s="225"/>
      <c r="AV261" s="225"/>
      <c r="AW261" s="225"/>
      <c r="AX261" s="225"/>
      <c r="AY261" s="225"/>
    </row>
    <row r="262" spans="33:51" x14ac:dyDescent="0.25">
      <c r="AG262" s="66">
        <f>IF(AND(Множество[[#This Row],[Y]]=1),ROW()-ROW(Множество[[#Headers],[№]]),"")</f>
        <v>253</v>
      </c>
      <c r="AH262" t="s">
        <v>608</v>
      </c>
      <c r="AI262" s="66">
        <v>1</v>
      </c>
      <c r="AJ262" s="66">
        <f>IF(LEN(Множество[[#This Row],[Свёртка]])&gt;0,1,-1)</f>
        <v>1</v>
      </c>
      <c r="AK262" s="66" t="s">
        <v>1781</v>
      </c>
      <c r="AL262" s="66">
        <f>IF(LEN(Множество[[#This Row],[Критерии]])&gt;0,1,-1)</f>
        <v>1</v>
      </c>
      <c r="AM262" s="66">
        <f>IF(AND(LEN(Множество[[#This Row],[Свёртка]])&gt;0,LEN(Множество[[#This Row],[Критерии]])&gt;0,LEN(Множество[[#This Row],[Оценки]])&gt;0),1,-1)</f>
        <v>1</v>
      </c>
      <c r="AN262">
        <v>-1.625</v>
      </c>
      <c r="AO262">
        <v>-13.55</v>
      </c>
      <c r="AP262" s="208"/>
      <c r="AQ262" s="208"/>
      <c r="AR262" s="226"/>
      <c r="AS262" s="225"/>
      <c r="AT262" s="226"/>
      <c r="AU262" s="225"/>
      <c r="AV262" s="225"/>
      <c r="AW262" s="225"/>
      <c r="AX262" s="225"/>
      <c r="AY262" s="225"/>
    </row>
    <row r="263" spans="33:51" x14ac:dyDescent="0.25">
      <c r="AG263" s="66">
        <f>IF(AND(Множество[[#This Row],[Y]]=1),ROW()-ROW(Множество[[#Headers],[№]]),"")</f>
        <v>254</v>
      </c>
      <c r="AH263" t="s">
        <v>608</v>
      </c>
      <c r="AI263" s="66">
        <v>1</v>
      </c>
      <c r="AJ263" s="66">
        <f>IF(LEN(Множество[[#This Row],[Свёртка]])&gt;0,1,-1)</f>
        <v>1</v>
      </c>
      <c r="AK263" s="66" t="s">
        <v>1781</v>
      </c>
      <c r="AL263" s="66">
        <f>IF(LEN(Множество[[#This Row],[Критерии]])&gt;0,1,-1)</f>
        <v>1</v>
      </c>
      <c r="AM263" s="66">
        <f>IF(AND(LEN(Множество[[#This Row],[Свёртка]])&gt;0,LEN(Множество[[#This Row],[Критерии]])&gt;0,LEN(Множество[[#This Row],[Оценки]])&gt;0),1,-1)</f>
        <v>1</v>
      </c>
      <c r="AN263">
        <v>-1.7749999999999999</v>
      </c>
      <c r="AO263">
        <v>-13.533333333333299</v>
      </c>
      <c r="AP263" s="208"/>
      <c r="AQ263" s="208"/>
      <c r="AR263" s="226"/>
      <c r="AS263" s="225"/>
      <c r="AT263" s="226"/>
      <c r="AU263" s="225"/>
      <c r="AV263" s="225"/>
      <c r="AW263" s="225"/>
      <c r="AX263" s="225"/>
      <c r="AY263" s="225"/>
    </row>
    <row r="264" spans="33:51" x14ac:dyDescent="0.25">
      <c r="AG264" s="66">
        <f>IF(AND(Множество[[#This Row],[Y]]=1),ROW()-ROW(Множество[[#Headers],[№]]),"")</f>
        <v>255</v>
      </c>
      <c r="AH264" t="s">
        <v>608</v>
      </c>
      <c r="AI264" s="66">
        <v>1</v>
      </c>
      <c r="AJ264" s="66">
        <f>IF(LEN(Множество[[#This Row],[Свёртка]])&gt;0,1,-1)</f>
        <v>1</v>
      </c>
      <c r="AK264" s="66" t="s">
        <v>1781</v>
      </c>
      <c r="AL264" s="66">
        <f>IF(LEN(Множество[[#This Row],[Критерии]])&gt;0,1,-1)</f>
        <v>1</v>
      </c>
      <c r="AM264" s="66">
        <f>IF(AND(LEN(Множество[[#This Row],[Свёртка]])&gt;0,LEN(Множество[[#This Row],[Критерии]])&gt;0,LEN(Множество[[#This Row],[Оценки]])&gt;0),1,-1)</f>
        <v>1</v>
      </c>
      <c r="AN264">
        <v>0.69999999999999896</v>
      </c>
      <c r="AO264">
        <v>-15.983333333333301</v>
      </c>
      <c r="AP264" s="208"/>
      <c r="AQ264" s="208"/>
      <c r="AR264" s="226"/>
      <c r="AS264" s="225"/>
      <c r="AT264" s="226"/>
      <c r="AU264" s="225"/>
      <c r="AV264" s="225"/>
      <c r="AW264" s="225"/>
      <c r="AX264" s="225"/>
      <c r="AY264" s="225"/>
    </row>
    <row r="265" spans="33:51" x14ac:dyDescent="0.25">
      <c r="AG265" s="66">
        <f>IF(AND(Множество[[#This Row],[Y]]=1),ROW()-ROW(Множество[[#Headers],[№]]),"")</f>
        <v>256</v>
      </c>
      <c r="AH265" t="s">
        <v>608</v>
      </c>
      <c r="AI265" s="66">
        <v>1</v>
      </c>
      <c r="AJ265" s="66">
        <f>IF(LEN(Множество[[#This Row],[Свёртка]])&gt;0,1,-1)</f>
        <v>1</v>
      </c>
      <c r="AK265" s="66" t="s">
        <v>1781</v>
      </c>
      <c r="AL265" s="66">
        <f>IF(LEN(Множество[[#This Row],[Критерии]])&gt;0,1,-1)</f>
        <v>1</v>
      </c>
      <c r="AM265" s="66">
        <f>IF(AND(LEN(Множество[[#This Row],[Свёртка]])&gt;0,LEN(Множество[[#This Row],[Критерии]])&gt;0,LEN(Множество[[#This Row],[Оценки]])&gt;0),1,-1)</f>
        <v>1</v>
      </c>
      <c r="AN265">
        <v>0.625</v>
      </c>
      <c r="AO265">
        <v>-16</v>
      </c>
      <c r="AP265" s="208"/>
      <c r="AQ265" s="208"/>
      <c r="AR265" s="226"/>
      <c r="AS265" s="225"/>
      <c r="AT265" s="226"/>
      <c r="AU265" s="225"/>
      <c r="AV265" s="225"/>
      <c r="AW265" s="225"/>
      <c r="AX265" s="225"/>
      <c r="AY265" s="225"/>
    </row>
    <row r="266" spans="33:51" x14ac:dyDescent="0.25">
      <c r="AG266" s="66">
        <f>IF(AND(Множество[[#This Row],[Y]]=1),ROW()-ROW(Множество[[#Headers],[№]]),"")</f>
        <v>257</v>
      </c>
      <c r="AH266" t="s">
        <v>608</v>
      </c>
      <c r="AI266" s="66">
        <v>1</v>
      </c>
      <c r="AJ266" s="66">
        <f>IF(LEN(Множество[[#This Row],[Свёртка]])&gt;0,1,-1)</f>
        <v>1</v>
      </c>
      <c r="AK266" s="66" t="s">
        <v>1781</v>
      </c>
      <c r="AL266" s="66">
        <f>IF(LEN(Множество[[#This Row],[Критерии]])&gt;0,1,-1)</f>
        <v>1</v>
      </c>
      <c r="AM266" s="66">
        <f>IF(AND(LEN(Множество[[#This Row],[Свёртка]])&gt;0,LEN(Множество[[#This Row],[Критерии]])&gt;0,LEN(Множество[[#This Row],[Оценки]])&gt;0),1,-1)</f>
        <v>1</v>
      </c>
      <c r="AN266">
        <v>-1.925</v>
      </c>
      <c r="AO266">
        <v>-13.5</v>
      </c>
      <c r="AP266" s="208"/>
      <c r="AQ266" s="208"/>
      <c r="AR266" s="226"/>
      <c r="AS266" s="225"/>
      <c r="AT266" s="226"/>
      <c r="AU266" s="225"/>
      <c r="AV266" s="225"/>
      <c r="AW266" s="225"/>
      <c r="AX266" s="225"/>
      <c r="AY266" s="225"/>
    </row>
    <row r="267" spans="33:51" x14ac:dyDescent="0.25">
      <c r="AG267" s="66">
        <f>IF(AND(Множество[[#This Row],[Y]]=1),ROW()-ROW(Множество[[#Headers],[№]]),"")</f>
        <v>258</v>
      </c>
      <c r="AH267" t="s">
        <v>608</v>
      </c>
      <c r="AI267" s="66">
        <v>1</v>
      </c>
      <c r="AJ267" s="66">
        <f>IF(LEN(Множество[[#This Row],[Свёртка]])&gt;0,1,-1)</f>
        <v>1</v>
      </c>
      <c r="AK267" s="66" t="s">
        <v>1781</v>
      </c>
      <c r="AL267" s="66">
        <f>IF(LEN(Множество[[#This Row],[Критерии]])&gt;0,1,-1)</f>
        <v>1</v>
      </c>
      <c r="AM267" s="66">
        <f>IF(AND(LEN(Множество[[#This Row],[Свёртка]])&gt;0,LEN(Множество[[#This Row],[Критерии]])&gt;0,LEN(Множество[[#This Row],[Оценки]])&gt;0),1,-1)</f>
        <v>1</v>
      </c>
      <c r="AN267">
        <v>-1.85</v>
      </c>
      <c r="AO267">
        <v>-13.516666666666699</v>
      </c>
      <c r="AP267" s="208"/>
      <c r="AQ267" s="208"/>
      <c r="AR267" s="226"/>
      <c r="AS267" s="225"/>
      <c r="AT267" s="226"/>
      <c r="AU267" s="225"/>
      <c r="AV267" s="225"/>
      <c r="AW267" s="225"/>
      <c r="AX267" s="225"/>
      <c r="AY267" s="225"/>
    </row>
    <row r="268" spans="33:51" x14ac:dyDescent="0.25">
      <c r="AG268" s="66">
        <f>IF(AND(Множество[[#This Row],[Y]]=1),ROW()-ROW(Множество[[#Headers],[№]]),"")</f>
        <v>259</v>
      </c>
      <c r="AH268" t="s">
        <v>608</v>
      </c>
      <c r="AI268" s="66">
        <v>1</v>
      </c>
      <c r="AJ268" s="66">
        <f>IF(LEN(Множество[[#This Row],[Свёртка]])&gt;0,1,-1)</f>
        <v>1</v>
      </c>
      <c r="AK268" s="66" t="s">
        <v>1781</v>
      </c>
      <c r="AL268" s="66">
        <f>IF(LEN(Множество[[#This Row],[Критерии]])&gt;0,1,-1)</f>
        <v>1</v>
      </c>
      <c r="AM268" s="66">
        <f>IF(AND(LEN(Множество[[#This Row],[Свёртка]])&gt;0,LEN(Множество[[#This Row],[Критерии]])&gt;0,LEN(Множество[[#This Row],[Оценки]])&gt;0),1,-1)</f>
        <v>1</v>
      </c>
      <c r="AN268">
        <v>0.55000000000000104</v>
      </c>
      <c r="AO268">
        <v>-16.016666666666701</v>
      </c>
      <c r="AP268" s="208"/>
      <c r="AQ268" s="208"/>
      <c r="AR268" s="226"/>
      <c r="AS268" s="225"/>
      <c r="AT268" s="226"/>
      <c r="AU268" s="225"/>
      <c r="AV268" s="225"/>
      <c r="AW268" s="225"/>
      <c r="AX268" s="225"/>
      <c r="AY268" s="225"/>
    </row>
    <row r="269" spans="33:51" x14ac:dyDescent="0.25">
      <c r="AG269" s="66">
        <f>IF(AND(Множество[[#This Row],[Y]]=1),ROW()-ROW(Множество[[#Headers],[№]]),"")</f>
        <v>260</v>
      </c>
      <c r="AH269" t="s">
        <v>608</v>
      </c>
      <c r="AI269" s="66">
        <v>1</v>
      </c>
      <c r="AJ269" s="66">
        <f>IF(LEN(Множество[[#This Row],[Свёртка]])&gt;0,1,-1)</f>
        <v>1</v>
      </c>
      <c r="AK269" s="66" t="s">
        <v>1781</v>
      </c>
      <c r="AL269" s="66">
        <f>IF(LEN(Множество[[#This Row],[Критерии]])&gt;0,1,-1)</f>
        <v>1</v>
      </c>
      <c r="AM269" s="66">
        <f>IF(AND(LEN(Множество[[#This Row],[Свёртка]])&gt;0,LEN(Множество[[#This Row],[Критерии]])&gt;0,LEN(Множество[[#This Row],[Оценки]])&gt;0),1,-1)</f>
        <v>1</v>
      </c>
      <c r="AN269">
        <v>-2</v>
      </c>
      <c r="AO269">
        <v>-13.483333333333301</v>
      </c>
      <c r="AP269" s="208"/>
      <c r="AQ269" s="208"/>
      <c r="AR269" s="226"/>
      <c r="AS269" s="225"/>
      <c r="AT269" s="226"/>
      <c r="AU269" s="225"/>
      <c r="AV269" s="225"/>
      <c r="AW269" s="225"/>
      <c r="AX269" s="225"/>
      <c r="AY269" s="225"/>
    </row>
    <row r="270" spans="33:51" x14ac:dyDescent="0.25">
      <c r="AG270" s="66">
        <f>IF(AND(Множество[[#This Row],[Y]]=1),ROW()-ROW(Множество[[#Headers],[№]]),"")</f>
        <v>261</v>
      </c>
      <c r="AH270" t="s">
        <v>608</v>
      </c>
      <c r="AI270" s="66">
        <v>1</v>
      </c>
      <c r="AJ270" s="66">
        <f>IF(LEN(Множество[[#This Row],[Свёртка]])&gt;0,1,-1)</f>
        <v>1</v>
      </c>
      <c r="AK270" s="66" t="s">
        <v>1781</v>
      </c>
      <c r="AL270" s="66">
        <f>IF(LEN(Множество[[#This Row],[Критерии]])&gt;0,1,-1)</f>
        <v>1</v>
      </c>
      <c r="AM270" s="66">
        <f>IF(AND(LEN(Множество[[#This Row],[Свёртка]])&gt;0,LEN(Множество[[#This Row],[Критерии]])&gt;0,LEN(Множество[[#This Row],[Оценки]])&gt;0),1,-1)</f>
        <v>1</v>
      </c>
      <c r="AN270">
        <v>0.47500000000000098</v>
      </c>
      <c r="AO270">
        <v>-16.033333333333299</v>
      </c>
      <c r="AP270" s="208"/>
      <c r="AQ270" s="208"/>
      <c r="AR270" s="226"/>
      <c r="AS270" s="225"/>
      <c r="AT270" s="226"/>
      <c r="AU270" s="225"/>
      <c r="AV270" s="225"/>
      <c r="AW270" s="225"/>
      <c r="AX270" s="225"/>
      <c r="AY270" s="225"/>
    </row>
    <row r="271" spans="33:51" x14ac:dyDescent="0.25">
      <c r="AG271" s="66">
        <f>IF(AND(Множество[[#This Row],[Y]]=1),ROW()-ROW(Множество[[#Headers],[№]]),"")</f>
        <v>262</v>
      </c>
      <c r="AH271" t="s">
        <v>608</v>
      </c>
      <c r="AI271" s="66">
        <v>1</v>
      </c>
      <c r="AJ271" s="66">
        <f>IF(LEN(Множество[[#This Row],[Свёртка]])&gt;0,1,-1)</f>
        <v>1</v>
      </c>
      <c r="AK271" s="66" t="s">
        <v>1781</v>
      </c>
      <c r="AL271" s="66">
        <f>IF(LEN(Множество[[#This Row],[Критерии]])&gt;0,1,-1)</f>
        <v>1</v>
      </c>
      <c r="AM271" s="66">
        <f>IF(AND(LEN(Множество[[#This Row],[Свёртка]])&gt;0,LEN(Множество[[#This Row],[Критерии]])&gt;0,LEN(Множество[[#This Row],[Оценки]])&gt;0),1,-1)</f>
        <v>1</v>
      </c>
      <c r="AN271">
        <v>-2.15</v>
      </c>
      <c r="AO271">
        <v>-13.466666666666701</v>
      </c>
      <c r="AP271" s="208"/>
      <c r="AQ271" s="208"/>
      <c r="AR271" s="226"/>
      <c r="AS271" s="225"/>
      <c r="AT271" s="226"/>
      <c r="AU271" s="225"/>
      <c r="AV271" s="225"/>
      <c r="AW271" s="225"/>
      <c r="AX271" s="225"/>
      <c r="AY271" s="225"/>
    </row>
    <row r="272" spans="33:51" x14ac:dyDescent="0.25">
      <c r="AG272" s="66">
        <f>IF(AND(Множество[[#This Row],[Y]]=1),ROW()-ROW(Множество[[#Headers],[№]]),"")</f>
        <v>263</v>
      </c>
      <c r="AH272" t="s">
        <v>608</v>
      </c>
      <c r="AI272" s="66">
        <v>1</v>
      </c>
      <c r="AJ272" s="66">
        <f>IF(LEN(Множество[[#This Row],[Свёртка]])&gt;0,1,-1)</f>
        <v>1</v>
      </c>
      <c r="AK272" s="66" t="s">
        <v>1781</v>
      </c>
      <c r="AL272" s="66">
        <f>IF(LEN(Множество[[#This Row],[Критерии]])&gt;0,1,-1)</f>
        <v>1</v>
      </c>
      <c r="AM272" s="66">
        <f>IF(AND(LEN(Множество[[#This Row],[Свёртка]])&gt;0,LEN(Множество[[#This Row],[Критерии]])&gt;0,LEN(Множество[[#This Row],[Оценки]])&gt;0),1,-1)</f>
        <v>1</v>
      </c>
      <c r="AN272">
        <v>-2.0750000000000002</v>
      </c>
      <c r="AO272">
        <v>-13.483333333333301</v>
      </c>
      <c r="AP272" s="208"/>
      <c r="AQ272" s="208"/>
      <c r="AR272" s="226"/>
      <c r="AS272" s="225"/>
      <c r="AT272" s="226"/>
      <c r="AU272" s="225"/>
      <c r="AV272" s="225"/>
      <c r="AW272" s="225"/>
      <c r="AX272" s="225"/>
      <c r="AY272" s="225"/>
    </row>
    <row r="273" spans="33:51" x14ac:dyDescent="0.25">
      <c r="AG273" s="66">
        <f>IF(AND(Множество[[#This Row],[Y]]=1),ROW()-ROW(Множество[[#Headers],[№]]),"")</f>
        <v>264</v>
      </c>
      <c r="AH273" t="s">
        <v>608</v>
      </c>
      <c r="AI273" s="66">
        <v>1</v>
      </c>
      <c r="AJ273" s="66">
        <f>IF(LEN(Множество[[#This Row],[Свёртка]])&gt;0,1,-1)</f>
        <v>1</v>
      </c>
      <c r="AK273" s="66" t="s">
        <v>1781</v>
      </c>
      <c r="AL273" s="66">
        <f>IF(LEN(Множество[[#This Row],[Критерии]])&gt;0,1,-1)</f>
        <v>1</v>
      </c>
      <c r="AM273" s="66">
        <f>IF(AND(LEN(Множество[[#This Row],[Свёртка]])&gt;0,LEN(Множество[[#This Row],[Критерии]])&gt;0,LEN(Множество[[#This Row],[Оценки]])&gt;0),1,-1)</f>
        <v>1</v>
      </c>
      <c r="AN273">
        <v>0.40000000000000202</v>
      </c>
      <c r="AO273">
        <v>-16.066666666666698</v>
      </c>
      <c r="AP273" s="208"/>
      <c r="AQ273" s="208"/>
      <c r="AR273" s="226"/>
      <c r="AS273" s="225"/>
      <c r="AT273" s="226"/>
      <c r="AU273" s="225"/>
      <c r="AV273" s="225"/>
      <c r="AW273" s="225"/>
      <c r="AX273" s="225"/>
      <c r="AY273" s="225"/>
    </row>
    <row r="274" spans="33:51" x14ac:dyDescent="0.25">
      <c r="AG274" s="66">
        <f>IF(AND(Множество[[#This Row],[Y]]=1),ROW()-ROW(Множество[[#Headers],[№]]),"")</f>
        <v>265</v>
      </c>
      <c r="AH274" t="s">
        <v>608</v>
      </c>
      <c r="AI274" s="66">
        <v>1</v>
      </c>
      <c r="AJ274" s="66">
        <f>IF(LEN(Множество[[#This Row],[Свёртка]])&gt;0,1,-1)</f>
        <v>1</v>
      </c>
      <c r="AK274" s="66" t="s">
        <v>1781</v>
      </c>
      <c r="AL274" s="66">
        <f>IF(LEN(Множество[[#This Row],[Критерии]])&gt;0,1,-1)</f>
        <v>1</v>
      </c>
      <c r="AM274" s="66">
        <f>IF(AND(LEN(Множество[[#This Row],[Свёртка]])&gt;0,LEN(Множество[[#This Row],[Критерии]])&gt;0,LEN(Множество[[#This Row],[Оценки]])&gt;0),1,-1)</f>
        <v>1</v>
      </c>
      <c r="AN274">
        <v>-2.2250000000000001</v>
      </c>
      <c r="AO274">
        <v>-13.45</v>
      </c>
      <c r="AP274" s="208"/>
      <c r="AQ274" s="208"/>
      <c r="AR274" s="226"/>
      <c r="AS274" s="225"/>
      <c r="AT274" s="226"/>
      <c r="AU274" s="225"/>
      <c r="AV274" s="225"/>
      <c r="AW274" s="225"/>
      <c r="AX274" s="225"/>
      <c r="AY274" s="225"/>
    </row>
    <row r="275" spans="33:51" x14ac:dyDescent="0.25">
      <c r="AG275" s="66">
        <f>IF(AND(Множество[[#This Row],[Y]]=1),ROW()-ROW(Множество[[#Headers],[№]]),"")</f>
        <v>266</v>
      </c>
      <c r="AH275" t="s">
        <v>608</v>
      </c>
      <c r="AI275" s="66">
        <v>1</v>
      </c>
      <c r="AJ275" s="66">
        <f>IF(LEN(Множество[[#This Row],[Свёртка]])&gt;0,1,-1)</f>
        <v>1</v>
      </c>
      <c r="AK275" s="66" t="s">
        <v>1781</v>
      </c>
      <c r="AL275" s="66">
        <f>IF(LEN(Множество[[#This Row],[Критерии]])&gt;0,1,-1)</f>
        <v>1</v>
      </c>
      <c r="AM275" s="66">
        <f>IF(AND(LEN(Множество[[#This Row],[Свёртка]])&gt;0,LEN(Множество[[#This Row],[Критерии]])&gt;0,LEN(Множество[[#This Row],[Оценки]])&gt;0),1,-1)</f>
        <v>1</v>
      </c>
      <c r="AN275">
        <v>-2.2999999999999998</v>
      </c>
      <c r="AO275">
        <v>-13.4333333333333</v>
      </c>
      <c r="AP275" s="208"/>
      <c r="AQ275" s="208"/>
      <c r="AR275" s="226"/>
      <c r="AS275" s="225"/>
      <c r="AT275" s="226"/>
      <c r="AU275" s="225"/>
      <c r="AV275" s="225"/>
      <c r="AW275" s="225"/>
      <c r="AX275" s="225"/>
      <c r="AY275" s="225"/>
    </row>
    <row r="276" spans="33:51" x14ac:dyDescent="0.25">
      <c r="AG276" s="66">
        <f>IF(AND(Множество[[#This Row],[Y]]=1),ROW()-ROW(Множество[[#Headers],[№]]),"")</f>
        <v>267</v>
      </c>
      <c r="AH276" t="s">
        <v>608</v>
      </c>
      <c r="AI276" s="66">
        <v>1</v>
      </c>
      <c r="AJ276" s="66">
        <f>IF(LEN(Множество[[#This Row],[Свёртка]])&gt;0,1,-1)</f>
        <v>1</v>
      </c>
      <c r="AK276" s="66" t="s">
        <v>1781</v>
      </c>
      <c r="AL276" s="66">
        <f>IF(LEN(Множество[[#This Row],[Критерии]])&gt;0,1,-1)</f>
        <v>1</v>
      </c>
      <c r="AM276" s="66">
        <f>IF(AND(LEN(Множество[[#This Row],[Свёртка]])&gt;0,LEN(Множество[[#This Row],[Критерии]])&gt;0,LEN(Множество[[#This Row],[Оценки]])&gt;0),1,-1)</f>
        <v>1</v>
      </c>
      <c r="AN276">
        <v>-3.125</v>
      </c>
      <c r="AO276">
        <v>-12.75</v>
      </c>
      <c r="AP276" s="208"/>
      <c r="AQ276" s="208"/>
      <c r="AR276" s="226"/>
      <c r="AS276" s="225"/>
      <c r="AT276" s="226"/>
      <c r="AU276" s="225"/>
      <c r="AV276" s="225"/>
      <c r="AW276" s="225"/>
      <c r="AX276" s="225"/>
      <c r="AY276" s="225"/>
    </row>
    <row r="277" spans="33:51" x14ac:dyDescent="0.25">
      <c r="AG277" s="66">
        <f>IF(AND(Множество[[#This Row],[Y]]=1),ROW()-ROW(Множество[[#Headers],[№]]),"")</f>
        <v>268</v>
      </c>
      <c r="AH277" t="s">
        <v>608</v>
      </c>
      <c r="AI277" s="66">
        <v>1</v>
      </c>
      <c r="AJ277" s="66">
        <f>IF(LEN(Множество[[#This Row],[Свёртка]])&gt;0,1,-1)</f>
        <v>1</v>
      </c>
      <c r="AK277" s="66" t="s">
        <v>1781</v>
      </c>
      <c r="AL277" s="66">
        <f>IF(LEN(Множество[[#This Row],[Критерии]])&gt;0,1,-1)</f>
        <v>1</v>
      </c>
      <c r="AM277" s="66">
        <f>IF(AND(LEN(Множество[[#This Row],[Свёртка]])&gt;0,LEN(Множество[[#This Row],[Критерии]])&gt;0,LEN(Множество[[#This Row],[Оценки]])&gt;0),1,-1)</f>
        <v>1</v>
      </c>
      <c r="AN277">
        <v>-2.4500000000000002</v>
      </c>
      <c r="AO277">
        <v>-13.4166666666667</v>
      </c>
      <c r="AP277" s="208"/>
      <c r="AQ277" s="208"/>
      <c r="AR277" s="226"/>
      <c r="AS277" s="225"/>
      <c r="AT277" s="226"/>
      <c r="AU277" s="225"/>
      <c r="AV277" s="225"/>
      <c r="AW277" s="225"/>
      <c r="AX277" s="225"/>
      <c r="AY277" s="225"/>
    </row>
    <row r="278" spans="33:51" x14ac:dyDescent="0.25">
      <c r="AG278" s="66">
        <f>IF(AND(Множество[[#This Row],[Y]]=1),ROW()-ROW(Множество[[#Headers],[№]]),"")</f>
        <v>269</v>
      </c>
      <c r="AH278" t="s">
        <v>608</v>
      </c>
      <c r="AI278" s="66">
        <v>1</v>
      </c>
      <c r="AJ278" s="66">
        <f>IF(LEN(Множество[[#This Row],[Свёртка]])&gt;0,1,-1)</f>
        <v>1</v>
      </c>
      <c r="AK278" s="66" t="s">
        <v>1781</v>
      </c>
      <c r="AL278" s="66">
        <f>IF(LEN(Множество[[#This Row],[Критерии]])&gt;0,1,-1)</f>
        <v>1</v>
      </c>
      <c r="AM278" s="66">
        <f>IF(AND(LEN(Множество[[#This Row],[Свёртка]])&gt;0,LEN(Множество[[#This Row],[Критерии]])&gt;0,LEN(Множество[[#This Row],[Оценки]])&gt;0),1,-1)</f>
        <v>1</v>
      </c>
      <c r="AN278">
        <v>-2.9750000000000001</v>
      </c>
      <c r="AO278">
        <v>-12.85</v>
      </c>
      <c r="AP278" s="208"/>
      <c r="AQ278" s="208"/>
      <c r="AR278" s="226"/>
      <c r="AS278" s="225"/>
      <c r="AT278" s="226"/>
      <c r="AU278" s="225"/>
      <c r="AV278" s="225"/>
      <c r="AW278" s="225"/>
      <c r="AX278" s="225"/>
      <c r="AY278" s="225"/>
    </row>
    <row r="279" spans="33:51" x14ac:dyDescent="0.25">
      <c r="AG279" s="66">
        <f>IF(AND(Множество[[#This Row],[Y]]=1),ROW()-ROW(Множество[[#Headers],[№]]),"")</f>
        <v>270</v>
      </c>
      <c r="AH279" t="s">
        <v>608</v>
      </c>
      <c r="AI279" s="66">
        <v>1</v>
      </c>
      <c r="AJ279" s="66">
        <f>IF(LEN(Множество[[#This Row],[Свёртка]])&gt;0,1,-1)</f>
        <v>1</v>
      </c>
      <c r="AK279" s="66" t="s">
        <v>1781</v>
      </c>
      <c r="AL279" s="66">
        <f>IF(LEN(Множество[[#This Row],[Критерии]])&gt;0,1,-1)</f>
        <v>1</v>
      </c>
      <c r="AM279" s="66">
        <f>IF(AND(LEN(Множество[[#This Row],[Свёртка]])&gt;0,LEN(Множество[[#This Row],[Критерии]])&gt;0,LEN(Множество[[#This Row],[Оценки]])&gt;0),1,-1)</f>
        <v>1</v>
      </c>
      <c r="AN279">
        <v>0.32499999999999901</v>
      </c>
      <c r="AO279">
        <v>-16.0833333333333</v>
      </c>
      <c r="AP279" s="208"/>
      <c r="AQ279" s="208"/>
      <c r="AR279" s="226"/>
      <c r="AS279" s="225"/>
      <c r="AT279" s="226"/>
      <c r="AU279" s="225"/>
      <c r="AV279" s="225"/>
      <c r="AW279" s="225"/>
      <c r="AX279" s="225"/>
      <c r="AY279" s="225"/>
    </row>
    <row r="280" spans="33:51" x14ac:dyDescent="0.25">
      <c r="AG280" s="66">
        <f>IF(AND(Множество[[#This Row],[Y]]=1),ROW()-ROW(Множество[[#Headers],[№]]),"")</f>
        <v>271</v>
      </c>
      <c r="AH280" t="s">
        <v>608</v>
      </c>
      <c r="AI280" s="66">
        <v>1</v>
      </c>
      <c r="AJ280" s="66">
        <f>IF(LEN(Множество[[#This Row],[Свёртка]])&gt;0,1,-1)</f>
        <v>1</v>
      </c>
      <c r="AK280" s="66" t="s">
        <v>1781</v>
      </c>
      <c r="AL280" s="66">
        <f>IF(LEN(Множество[[#This Row],[Критерии]])&gt;0,1,-1)</f>
        <v>1</v>
      </c>
      <c r="AM280" s="66">
        <f>IF(AND(LEN(Множество[[#This Row],[Свёртка]])&gt;0,LEN(Множество[[#This Row],[Критерии]])&gt;0,LEN(Множество[[#This Row],[Оценки]])&gt;0),1,-1)</f>
        <v>1</v>
      </c>
      <c r="AN280">
        <v>0.25</v>
      </c>
      <c r="AO280">
        <v>-16.100000000000001</v>
      </c>
      <c r="AP280" s="208"/>
      <c r="AQ280" s="208"/>
      <c r="AR280" s="226"/>
      <c r="AS280" s="225"/>
      <c r="AT280" s="226"/>
      <c r="AU280" s="225"/>
      <c r="AV280" s="225"/>
      <c r="AW280" s="225"/>
      <c r="AX280" s="225"/>
      <c r="AY280" s="225"/>
    </row>
    <row r="281" spans="33:51" x14ac:dyDescent="0.25">
      <c r="AG281" s="66">
        <f>IF(AND(Множество[[#This Row],[Y]]=1),ROW()-ROW(Множество[[#Headers],[№]]),"")</f>
        <v>272</v>
      </c>
      <c r="AH281" t="s">
        <v>608</v>
      </c>
      <c r="AI281" s="66">
        <v>1</v>
      </c>
      <c r="AJ281" s="66">
        <f>IF(LEN(Множество[[#This Row],[Свёртка]])&gt;0,1,-1)</f>
        <v>1</v>
      </c>
      <c r="AK281" s="66" t="s">
        <v>1781</v>
      </c>
      <c r="AL281" s="66">
        <f>IF(LEN(Множество[[#This Row],[Критерии]])&gt;0,1,-1)</f>
        <v>1</v>
      </c>
      <c r="AM281" s="66">
        <f>IF(AND(LEN(Множество[[#This Row],[Свёртка]])&gt;0,LEN(Множество[[#This Row],[Критерии]])&gt;0,LEN(Множество[[#This Row],[Оценки]])&gt;0),1,-1)</f>
        <v>1</v>
      </c>
      <c r="AN281">
        <v>-3.05</v>
      </c>
      <c r="AO281">
        <v>-12.8</v>
      </c>
      <c r="AP281" s="208"/>
      <c r="AQ281" s="208"/>
      <c r="AR281" s="226"/>
      <c r="AS281" s="225"/>
      <c r="AT281" s="226"/>
      <c r="AU281" s="225"/>
      <c r="AV281" s="225"/>
      <c r="AW281" s="225"/>
      <c r="AX281" s="225"/>
      <c r="AY281" s="225"/>
    </row>
    <row r="282" spans="33:51" x14ac:dyDescent="0.25">
      <c r="AG282" s="66">
        <f>IF(AND(Множество[[#This Row],[Y]]=1),ROW()-ROW(Множество[[#Headers],[№]]),"")</f>
        <v>273</v>
      </c>
      <c r="AH282" t="s">
        <v>608</v>
      </c>
      <c r="AI282" s="66">
        <v>1</v>
      </c>
      <c r="AJ282" s="66">
        <f>IF(LEN(Множество[[#This Row],[Свёртка]])&gt;0,1,-1)</f>
        <v>1</v>
      </c>
      <c r="AK282" s="66" t="s">
        <v>1781</v>
      </c>
      <c r="AL282" s="66">
        <f>IF(LEN(Множество[[#This Row],[Критерии]])&gt;0,1,-1)</f>
        <v>1</v>
      </c>
      <c r="AM282" s="66">
        <f>IF(AND(LEN(Множество[[#This Row],[Свёртка]])&gt;0,LEN(Множество[[#This Row],[Критерии]])&gt;0,LEN(Множество[[#This Row],[Оценки]])&gt;0),1,-1)</f>
        <v>1</v>
      </c>
      <c r="AN282">
        <v>-2.5249999999999999</v>
      </c>
      <c r="AO282">
        <v>-13.4</v>
      </c>
      <c r="AP282" s="208"/>
      <c r="AQ282" s="208"/>
      <c r="AR282" s="226"/>
      <c r="AS282" s="225"/>
      <c r="AT282" s="226"/>
      <c r="AU282" s="225"/>
      <c r="AV282" s="225"/>
      <c r="AW282" s="225"/>
      <c r="AX282" s="225"/>
      <c r="AY282" s="225"/>
    </row>
    <row r="283" spans="33:51" x14ac:dyDescent="0.25">
      <c r="AG283" s="66">
        <f>IF(AND(Множество[[#This Row],[Y]]=1),ROW()-ROW(Множество[[#Headers],[№]]),"")</f>
        <v>274</v>
      </c>
      <c r="AH283" t="s">
        <v>608</v>
      </c>
      <c r="AI283" s="66">
        <v>1</v>
      </c>
      <c r="AJ283" s="66">
        <f>IF(LEN(Множество[[#This Row],[Свёртка]])&gt;0,1,-1)</f>
        <v>1</v>
      </c>
      <c r="AK283" s="66" t="s">
        <v>1781</v>
      </c>
      <c r="AL283" s="66">
        <f>IF(LEN(Множество[[#This Row],[Критерии]])&gt;0,1,-1)</f>
        <v>1</v>
      </c>
      <c r="AM283" s="66">
        <f>IF(AND(LEN(Множество[[#This Row],[Свёртка]])&gt;0,LEN(Множество[[#This Row],[Критерии]])&gt;0,LEN(Множество[[#This Row],[Оценки]])&gt;0),1,-1)</f>
        <v>1</v>
      </c>
      <c r="AN283">
        <v>-3.2</v>
      </c>
      <c r="AO283">
        <v>-12.716666666666701</v>
      </c>
      <c r="AP283" s="208"/>
      <c r="AQ283" s="208"/>
      <c r="AR283" s="226"/>
      <c r="AS283" s="225"/>
      <c r="AT283" s="226"/>
      <c r="AU283" s="225"/>
      <c r="AV283" s="225"/>
      <c r="AW283" s="225"/>
      <c r="AX283" s="225"/>
      <c r="AY283" s="225"/>
    </row>
    <row r="284" spans="33:51" x14ac:dyDescent="0.25">
      <c r="AG284" s="66">
        <f>IF(AND(Множество[[#This Row],[Y]]=1),ROW()-ROW(Множество[[#Headers],[№]]),"")</f>
        <v>275</v>
      </c>
      <c r="AH284" t="s">
        <v>608</v>
      </c>
      <c r="AI284" s="66">
        <v>1</v>
      </c>
      <c r="AJ284" s="66">
        <f>IF(LEN(Множество[[#This Row],[Свёртка]])&gt;0,1,-1)</f>
        <v>1</v>
      </c>
      <c r="AK284" s="66" t="s">
        <v>1781</v>
      </c>
      <c r="AL284" s="66">
        <f>IF(LEN(Множество[[#This Row],[Критерии]])&gt;0,1,-1)</f>
        <v>1</v>
      </c>
      <c r="AM284" s="66">
        <f>IF(AND(LEN(Множество[[#This Row],[Свёртка]])&gt;0,LEN(Множество[[#This Row],[Критерии]])&gt;0,LEN(Множество[[#This Row],[Оценки]])&gt;0),1,-1)</f>
        <v>1</v>
      </c>
      <c r="AN284">
        <v>-3.35</v>
      </c>
      <c r="AO284">
        <v>-12.633333333333301</v>
      </c>
      <c r="AP284" s="208"/>
      <c r="AQ284" s="208"/>
      <c r="AR284" s="226"/>
      <c r="AS284" s="225"/>
      <c r="AT284" s="226"/>
      <c r="AU284" s="225"/>
      <c r="AV284" s="225"/>
      <c r="AW284" s="225"/>
      <c r="AX284" s="225"/>
      <c r="AY284" s="225"/>
    </row>
    <row r="285" spans="33:51" x14ac:dyDescent="0.25">
      <c r="AG285" s="66">
        <f>IF(AND(Множество[[#This Row],[Y]]=1),ROW()-ROW(Множество[[#Headers],[№]]),"")</f>
        <v>276</v>
      </c>
      <c r="AH285" t="s">
        <v>608</v>
      </c>
      <c r="AI285" s="66">
        <v>1</v>
      </c>
      <c r="AJ285" s="66">
        <f>IF(LEN(Множество[[#This Row],[Свёртка]])&gt;0,1,-1)</f>
        <v>1</v>
      </c>
      <c r="AK285" s="66" t="s">
        <v>1781</v>
      </c>
      <c r="AL285" s="66">
        <f>IF(LEN(Множество[[#This Row],[Критерии]])&gt;0,1,-1)</f>
        <v>1</v>
      </c>
      <c r="AM285" s="66">
        <f>IF(AND(LEN(Множество[[#This Row],[Свёртка]])&gt;0,LEN(Множество[[#This Row],[Критерии]])&gt;0,LEN(Множество[[#This Row],[Оценки]])&gt;0),1,-1)</f>
        <v>1</v>
      </c>
      <c r="AN285">
        <v>-3.5</v>
      </c>
      <c r="AO285">
        <v>-12.533333333333299</v>
      </c>
      <c r="AP285" s="208"/>
      <c r="AQ285" s="208"/>
      <c r="AR285" s="226"/>
      <c r="AS285" s="225"/>
      <c r="AT285" s="226"/>
      <c r="AU285" s="225"/>
      <c r="AV285" s="225"/>
      <c r="AW285" s="225"/>
      <c r="AX285" s="225"/>
      <c r="AY285" s="225"/>
    </row>
    <row r="286" spans="33:51" x14ac:dyDescent="0.25">
      <c r="AG286" s="66">
        <f>IF(AND(Множество[[#This Row],[Y]]=1),ROW()-ROW(Множество[[#Headers],[№]]),"")</f>
        <v>277</v>
      </c>
      <c r="AH286" t="s">
        <v>608</v>
      </c>
      <c r="AI286" s="66">
        <v>1</v>
      </c>
      <c r="AJ286" s="66">
        <f>IF(LEN(Множество[[#This Row],[Свёртка]])&gt;0,1,-1)</f>
        <v>1</v>
      </c>
      <c r="AK286" s="66" t="s">
        <v>1781</v>
      </c>
      <c r="AL286" s="66">
        <f>IF(LEN(Множество[[#This Row],[Критерии]])&gt;0,1,-1)</f>
        <v>1</v>
      </c>
      <c r="AM286" s="66">
        <f>IF(AND(LEN(Множество[[#This Row],[Свёртка]])&gt;0,LEN(Множество[[#This Row],[Критерии]])&gt;0,LEN(Множество[[#This Row],[Оценки]])&gt;0),1,-1)</f>
        <v>1</v>
      </c>
      <c r="AN286">
        <v>0.100000000000001</v>
      </c>
      <c r="AO286">
        <v>-16.149999999999999</v>
      </c>
      <c r="AP286" s="208"/>
      <c r="AQ286" s="208"/>
      <c r="AR286" s="226"/>
      <c r="AS286" s="225"/>
      <c r="AT286" s="226"/>
      <c r="AU286" s="225"/>
      <c r="AV286" s="225"/>
      <c r="AW286" s="225"/>
      <c r="AX286" s="225"/>
      <c r="AY286" s="225"/>
    </row>
    <row r="287" spans="33:51" x14ac:dyDescent="0.25">
      <c r="AG287" s="66">
        <f>IF(AND(Множество[[#This Row],[Y]]=1),ROW()-ROW(Множество[[#Headers],[№]]),"")</f>
        <v>278</v>
      </c>
      <c r="AH287" t="s">
        <v>608</v>
      </c>
      <c r="AI287" s="66">
        <v>1</v>
      </c>
      <c r="AJ287" s="66">
        <f>IF(LEN(Множество[[#This Row],[Свёртка]])&gt;0,1,-1)</f>
        <v>1</v>
      </c>
      <c r="AK287" s="66" t="s">
        <v>1781</v>
      </c>
      <c r="AL287" s="66">
        <f>IF(LEN(Множество[[#This Row],[Критерии]])&gt;0,1,-1)</f>
        <v>1</v>
      </c>
      <c r="AM287" s="66">
        <f>IF(AND(LEN(Множество[[#This Row],[Свёртка]])&gt;0,LEN(Множество[[#This Row],[Критерии]])&gt;0,LEN(Множество[[#This Row],[Оценки]])&gt;0),1,-1)</f>
        <v>1</v>
      </c>
      <c r="AN287">
        <v>-3.2749999999999999</v>
      </c>
      <c r="AO287">
        <v>-12.6666666666667</v>
      </c>
      <c r="AP287" s="208"/>
      <c r="AQ287" s="208"/>
      <c r="AR287" s="226"/>
      <c r="AS287" s="225"/>
      <c r="AT287" s="226"/>
      <c r="AU287" s="225"/>
      <c r="AV287" s="225"/>
      <c r="AW287" s="225"/>
      <c r="AX287" s="225"/>
      <c r="AY287" s="225"/>
    </row>
    <row r="288" spans="33:51" x14ac:dyDescent="0.25">
      <c r="AG288" s="66">
        <f>IF(AND(Множество[[#This Row],[Y]]=1),ROW()-ROW(Множество[[#Headers],[№]]),"")</f>
        <v>279</v>
      </c>
      <c r="AH288" t="s">
        <v>608</v>
      </c>
      <c r="AI288" s="66">
        <v>1</v>
      </c>
      <c r="AJ288" s="66">
        <f>IF(LEN(Множество[[#This Row],[Свёртка]])&gt;0,1,-1)</f>
        <v>1</v>
      </c>
      <c r="AK288" s="66" t="s">
        <v>1781</v>
      </c>
      <c r="AL288" s="66">
        <f>IF(LEN(Множество[[#This Row],[Критерии]])&gt;0,1,-1)</f>
        <v>1</v>
      </c>
      <c r="AM288" s="66">
        <f>IF(AND(LEN(Множество[[#This Row],[Свёртка]])&gt;0,LEN(Множество[[#This Row],[Критерии]])&gt;0,LEN(Множество[[#This Row],[Оценки]])&gt;0),1,-1)</f>
        <v>1</v>
      </c>
      <c r="AN288">
        <v>0.17499999999999699</v>
      </c>
      <c r="AO288">
        <v>-16.133333333333301</v>
      </c>
      <c r="AP288" s="208"/>
      <c r="AQ288" s="208"/>
      <c r="AR288" s="226"/>
      <c r="AS288" s="225"/>
      <c r="AT288" s="226"/>
      <c r="AU288" s="225"/>
      <c r="AV288" s="225"/>
      <c r="AW288" s="225"/>
      <c r="AX288" s="225"/>
      <c r="AY288" s="225"/>
    </row>
    <row r="289" spans="33:51" x14ac:dyDescent="0.25">
      <c r="AG289" s="66">
        <f>IF(AND(Множество[[#This Row],[Y]]=1),ROW()-ROW(Множество[[#Headers],[№]]),"")</f>
        <v>280</v>
      </c>
      <c r="AH289" t="s">
        <v>608</v>
      </c>
      <c r="AI289" s="66">
        <v>1</v>
      </c>
      <c r="AJ289" s="66">
        <f>IF(LEN(Множество[[#This Row],[Свёртка]])&gt;0,1,-1)</f>
        <v>1</v>
      </c>
      <c r="AK289" s="66" t="s">
        <v>1781</v>
      </c>
      <c r="AL289" s="66">
        <f>IF(LEN(Множество[[#This Row],[Критерии]])&gt;0,1,-1)</f>
        <v>1</v>
      </c>
      <c r="AM289" s="66">
        <f>IF(AND(LEN(Множество[[#This Row],[Свёртка]])&gt;0,LEN(Множество[[#This Row],[Критерии]])&gt;0,LEN(Множество[[#This Row],[Оценки]])&gt;0),1,-1)</f>
        <v>1</v>
      </c>
      <c r="AN289">
        <v>-2.6749999999999998</v>
      </c>
      <c r="AO289">
        <v>-13.366666666666699</v>
      </c>
      <c r="AP289" s="208"/>
      <c r="AQ289" s="208"/>
      <c r="AR289" s="226"/>
      <c r="AS289" s="225"/>
      <c r="AT289" s="226"/>
      <c r="AU289" s="225"/>
      <c r="AV289" s="225"/>
      <c r="AW289" s="225"/>
      <c r="AX289" s="225"/>
      <c r="AY289" s="225"/>
    </row>
    <row r="290" spans="33:51" x14ac:dyDescent="0.25">
      <c r="AG290" s="66">
        <f>IF(AND(Множество[[#This Row],[Y]]=1),ROW()-ROW(Множество[[#Headers],[№]]),"")</f>
        <v>281</v>
      </c>
      <c r="AH290" t="s">
        <v>608</v>
      </c>
      <c r="AI290" s="66">
        <v>1</v>
      </c>
      <c r="AJ290" s="66">
        <f>IF(LEN(Множество[[#This Row],[Свёртка]])&gt;0,1,-1)</f>
        <v>1</v>
      </c>
      <c r="AK290" s="66" t="s">
        <v>1781</v>
      </c>
      <c r="AL290" s="209">
        <f>IF(LEN(Множество[[#This Row],[Критерии]])&gt;0,1,-1)</f>
        <v>1</v>
      </c>
      <c r="AM290" s="209">
        <f>IF(AND(LEN(Множество[[#This Row],[Свёртка]])&gt;0,LEN(Множество[[#This Row],[Критерии]])&gt;0,LEN(Множество[[#This Row],[Оценки]])&gt;0),1,-1)</f>
        <v>1</v>
      </c>
      <c r="AN290">
        <v>-2.6</v>
      </c>
      <c r="AO290">
        <v>-13.383333333333301</v>
      </c>
      <c r="AP290" s="208"/>
      <c r="AQ290" s="208"/>
      <c r="AR290" s="226"/>
      <c r="AS290" s="225"/>
      <c r="AT290" s="226"/>
      <c r="AU290" s="225"/>
      <c r="AV290" s="225"/>
      <c r="AW290" s="225"/>
      <c r="AX290" s="225"/>
      <c r="AY290" s="225"/>
    </row>
    <row r="291" spans="33:51" x14ac:dyDescent="0.25">
      <c r="AG291" s="66">
        <f>IF(AND(Множество[[#This Row],[Y]]=1),ROW()-ROW(Множество[[#Headers],[№]]),"")</f>
        <v>282</v>
      </c>
      <c r="AH291" t="s">
        <v>608</v>
      </c>
      <c r="AI291" s="66">
        <v>1</v>
      </c>
      <c r="AJ291" s="66">
        <f>IF(LEN(Множество[[#This Row],[Свёртка]])&gt;0,1,-1)</f>
        <v>1</v>
      </c>
      <c r="AK291" s="66" t="s">
        <v>1781</v>
      </c>
      <c r="AL291" s="209">
        <f>IF(LEN(Множество[[#This Row],[Критерии]])&gt;0,1,-1)</f>
        <v>1</v>
      </c>
      <c r="AM291" s="209">
        <f>IF(AND(LEN(Множество[[#This Row],[Свёртка]])&gt;0,LEN(Множество[[#This Row],[Критерии]])&gt;0,LEN(Множество[[#This Row],[Оценки]])&gt;0),1,-1)</f>
        <v>1</v>
      </c>
      <c r="AN291">
        <v>-3.4249999999999998</v>
      </c>
      <c r="AO291">
        <v>-12.5833333333333</v>
      </c>
      <c r="AP291" s="208"/>
      <c r="AQ291" s="208"/>
      <c r="AR291" s="226"/>
      <c r="AS291" s="225"/>
      <c r="AT291" s="226"/>
      <c r="AU291" s="225"/>
      <c r="AV291" s="225"/>
      <c r="AW291" s="225"/>
      <c r="AX291" s="225"/>
      <c r="AY291" s="225"/>
    </row>
    <row r="292" spans="33:51" x14ac:dyDescent="0.25">
      <c r="AG292" s="66">
        <f>IF(AND(Множество[[#This Row],[Y]]=1),ROW()-ROW(Множество[[#Headers],[№]]),"")</f>
        <v>283</v>
      </c>
      <c r="AH292" t="s">
        <v>608</v>
      </c>
      <c r="AI292" s="66">
        <v>1</v>
      </c>
      <c r="AJ292" s="66">
        <f>IF(LEN(Множество[[#This Row],[Свёртка]])&gt;0,1,-1)</f>
        <v>1</v>
      </c>
      <c r="AK292" s="66" t="s">
        <v>1781</v>
      </c>
      <c r="AL292" s="209">
        <f>IF(LEN(Множество[[#This Row],[Критерии]])&gt;0,1,-1)</f>
        <v>1</v>
      </c>
      <c r="AM292" s="209">
        <f>IF(AND(LEN(Множество[[#This Row],[Свёртка]])&gt;0,LEN(Множество[[#This Row],[Критерии]])&gt;0,LEN(Множество[[#This Row],[Оценки]])&gt;0),1,-1)</f>
        <v>1</v>
      </c>
      <c r="AN292">
        <v>-3.5750000000000002</v>
      </c>
      <c r="AO292">
        <v>-12.5</v>
      </c>
      <c r="AP292" s="208"/>
      <c r="AQ292" s="208"/>
      <c r="AR292" s="226"/>
      <c r="AS292" s="225"/>
      <c r="AT292" s="226"/>
      <c r="AU292" s="225"/>
      <c r="AV292" s="225"/>
      <c r="AW292" s="225"/>
      <c r="AX292" s="225"/>
      <c r="AY292" s="225"/>
    </row>
    <row r="293" spans="33:51" x14ac:dyDescent="0.25">
      <c r="AG293" s="66">
        <f>IF(AND(Множество[[#This Row],[Y]]=1),ROW()-ROW(Множество[[#Headers],[№]]),"")</f>
        <v>284</v>
      </c>
      <c r="AH293" t="s">
        <v>608</v>
      </c>
      <c r="AI293" s="66">
        <v>1</v>
      </c>
      <c r="AJ293" s="66">
        <f>IF(LEN(Множество[[#This Row],[Свёртка]])&gt;0,1,-1)</f>
        <v>1</v>
      </c>
      <c r="AK293" s="66" t="s">
        <v>1781</v>
      </c>
      <c r="AL293" s="209">
        <f>IF(LEN(Множество[[#This Row],[Критерии]])&gt;0,1,-1)</f>
        <v>1</v>
      </c>
      <c r="AM293" s="209">
        <f>IF(AND(LEN(Множество[[#This Row],[Свёртка]])&gt;0,LEN(Множество[[#This Row],[Критерии]])&gt;0,LEN(Множество[[#This Row],[Оценки]])&gt;0),1,-1)</f>
        <v>1</v>
      </c>
      <c r="AN293">
        <v>-2.8250000000000002</v>
      </c>
      <c r="AO293">
        <v>-13.35</v>
      </c>
      <c r="AP293" s="208"/>
      <c r="AQ293" s="208"/>
      <c r="AR293" s="226"/>
      <c r="AS293" s="225"/>
      <c r="AT293" s="226"/>
      <c r="AU293" s="225"/>
      <c r="AV293" s="225"/>
      <c r="AW293" s="225"/>
      <c r="AX293" s="225"/>
      <c r="AY293" s="225"/>
    </row>
    <row r="294" spans="33:51" x14ac:dyDescent="0.25">
      <c r="AG294" s="66">
        <f>IF(AND(Множество[[#This Row],[Y]]=1),ROW()-ROW(Множество[[#Headers],[№]]),"")</f>
        <v>285</v>
      </c>
      <c r="AH294" t="s">
        <v>608</v>
      </c>
      <c r="AI294" s="66">
        <v>1</v>
      </c>
      <c r="AJ294" s="66">
        <f>IF(LEN(Множество[[#This Row],[Свёртка]])&gt;0,1,-1)</f>
        <v>1</v>
      </c>
      <c r="AK294" s="66" t="s">
        <v>1781</v>
      </c>
      <c r="AL294" s="209">
        <f>IF(LEN(Множество[[#This Row],[Критерии]])&gt;0,1,-1)</f>
        <v>1</v>
      </c>
      <c r="AM294" s="209">
        <f>IF(AND(LEN(Множество[[#This Row],[Свёртка]])&gt;0,LEN(Множество[[#This Row],[Критерии]])&gt;0,LEN(Множество[[#This Row],[Оценки]])&gt;0),1,-1)</f>
        <v>1</v>
      </c>
      <c r="AN294" s="234">
        <v>2.49999999999986E-2</v>
      </c>
      <c r="AO294">
        <v>-16.1666666666667</v>
      </c>
      <c r="AP294" s="208"/>
      <c r="AQ294" s="208"/>
      <c r="AR294" s="226"/>
      <c r="AS294" s="225"/>
      <c r="AT294" s="226"/>
      <c r="AU294" s="225"/>
      <c r="AV294" s="225"/>
      <c r="AW294" s="225"/>
      <c r="AX294" s="225"/>
      <c r="AY294" s="225"/>
    </row>
    <row r="295" spans="33:51" x14ac:dyDescent="0.25">
      <c r="AG295" s="66">
        <f>IF(AND(Множество[[#This Row],[Y]]=1),ROW()-ROW(Множество[[#Headers],[№]]),"")</f>
        <v>286</v>
      </c>
      <c r="AH295" t="s">
        <v>608</v>
      </c>
      <c r="AI295" s="66">
        <v>1</v>
      </c>
      <c r="AJ295" s="66">
        <f>IF(LEN(Множество[[#This Row],[Свёртка]])&gt;0,1,-1)</f>
        <v>1</v>
      </c>
      <c r="AK295" s="66" t="s">
        <v>1781</v>
      </c>
      <c r="AL295" s="209">
        <f>IF(LEN(Множество[[#This Row],[Критерии]])&gt;0,1,-1)</f>
        <v>1</v>
      </c>
      <c r="AM295" s="209">
        <f>IF(AND(LEN(Множество[[#This Row],[Свёртка]])&gt;0,LEN(Множество[[#This Row],[Критерии]])&gt;0,LEN(Множество[[#This Row],[Оценки]])&gt;0),1,-1)</f>
        <v>1</v>
      </c>
      <c r="AN295" s="234">
        <v>-4.9999999999997199E-2</v>
      </c>
      <c r="AO295">
        <v>-16.1666666666667</v>
      </c>
      <c r="AP295" s="208"/>
      <c r="AQ295" s="208"/>
      <c r="AR295" s="226"/>
      <c r="AS295" s="225"/>
      <c r="AT295" s="226"/>
      <c r="AU295" s="225"/>
      <c r="AV295" s="225"/>
      <c r="AW295" s="225"/>
      <c r="AX295" s="225"/>
      <c r="AY295" s="225"/>
    </row>
    <row r="296" spans="33:51" x14ac:dyDescent="0.25">
      <c r="AG296" s="66">
        <f>IF(AND(Множество[[#This Row],[Y]]=1),ROW()-ROW(Множество[[#Headers],[№]]),"")</f>
        <v>287</v>
      </c>
      <c r="AH296" t="s">
        <v>608</v>
      </c>
      <c r="AI296" s="66">
        <v>1</v>
      </c>
      <c r="AJ296" s="66">
        <f>IF(LEN(Множество[[#This Row],[Свёртка]])&gt;0,1,-1)</f>
        <v>1</v>
      </c>
      <c r="AK296" s="66" t="s">
        <v>1781</v>
      </c>
      <c r="AL296" s="209">
        <f>IF(LEN(Множество[[#This Row],[Критерии]])&gt;0,1,-1)</f>
        <v>1</v>
      </c>
      <c r="AM296" s="209">
        <f>IF(AND(LEN(Множество[[#This Row],[Свёртка]])&gt;0,LEN(Множество[[#This Row],[Критерии]])&gt;0,LEN(Множество[[#This Row],[Оценки]])&gt;0),1,-1)</f>
        <v>1</v>
      </c>
      <c r="AN296">
        <v>-2.9</v>
      </c>
      <c r="AO296">
        <v>-13.3333333333333</v>
      </c>
      <c r="AP296" s="208"/>
      <c r="AQ296" s="208"/>
      <c r="AR296" s="226"/>
      <c r="AS296" s="225"/>
      <c r="AT296" s="226"/>
      <c r="AU296" s="225"/>
      <c r="AV296" s="225"/>
      <c r="AW296" s="225"/>
      <c r="AX296" s="225"/>
      <c r="AY296" s="225"/>
    </row>
    <row r="297" spans="33:51" x14ac:dyDescent="0.25">
      <c r="AG297" s="66">
        <f>IF(AND(Множество[[#This Row],[Y]]=1),ROW()-ROW(Множество[[#Headers],[№]]),"")</f>
        <v>288</v>
      </c>
      <c r="AH297" t="s">
        <v>608</v>
      </c>
      <c r="AI297" s="66">
        <v>1</v>
      </c>
      <c r="AJ297" s="66">
        <f>IF(LEN(Множество[[#This Row],[Свёртка]])&gt;0,1,-1)</f>
        <v>1</v>
      </c>
      <c r="AK297" s="66" t="s">
        <v>1781</v>
      </c>
      <c r="AL297" s="209">
        <f>IF(LEN(Множество[[#This Row],[Критерии]])&gt;0,1,-1)</f>
        <v>1</v>
      </c>
      <c r="AM297" s="209">
        <f>IF(AND(LEN(Множество[[#This Row],[Свёртка]])&gt;0,LEN(Множество[[#This Row],[Критерии]])&gt;0,LEN(Множество[[#This Row],[Оценки]])&gt;0),1,-1)</f>
        <v>1</v>
      </c>
      <c r="AN297">
        <v>-2.9</v>
      </c>
      <c r="AO297">
        <v>-11.6666666666667</v>
      </c>
      <c r="AP297" s="208"/>
      <c r="AQ297" s="208"/>
      <c r="AR297" s="226"/>
      <c r="AS297" s="225"/>
      <c r="AT297" s="226"/>
      <c r="AU297" s="225"/>
      <c r="AV297" s="225"/>
      <c r="AW297" s="225"/>
      <c r="AX297" s="225"/>
      <c r="AY297" s="225"/>
    </row>
    <row r="298" spans="33:51" x14ac:dyDescent="0.25">
      <c r="AG298" s="66">
        <f>IF(AND(Множество[[#This Row],[Y]]=1),ROW()-ROW(Множество[[#Headers],[№]]),"")</f>
        <v>289</v>
      </c>
      <c r="AH298" t="s">
        <v>608</v>
      </c>
      <c r="AI298" s="66">
        <v>1</v>
      </c>
      <c r="AJ298" s="66">
        <f>IF(LEN(Множество[[#This Row],[Свёртка]])&gt;0,1,-1)</f>
        <v>1</v>
      </c>
      <c r="AK298" s="66" t="s">
        <v>1781</v>
      </c>
      <c r="AL298" s="209">
        <f>IF(LEN(Множество[[#This Row],[Критерии]])&gt;0,1,-1)</f>
        <v>1</v>
      </c>
      <c r="AM298" s="209">
        <f>IF(AND(LEN(Множество[[#This Row],[Свёртка]])&gt;0,LEN(Множество[[#This Row],[Критерии]])&gt;0,LEN(Множество[[#This Row],[Оценки]])&gt;0),1,-1)</f>
        <v>1</v>
      </c>
      <c r="AN298">
        <v>-0.125</v>
      </c>
      <c r="AO298">
        <v>-16.183333333333302</v>
      </c>
      <c r="AP298" s="208"/>
      <c r="AQ298" s="208"/>
      <c r="AR298" s="226"/>
      <c r="AS298" s="225"/>
      <c r="AT298" s="226"/>
      <c r="AU298" s="225"/>
      <c r="AV298" s="225"/>
      <c r="AW298" s="225"/>
      <c r="AX298" s="225"/>
      <c r="AY298" s="225"/>
    </row>
    <row r="299" spans="33:51" x14ac:dyDescent="0.25">
      <c r="AG299" s="66">
        <f>IF(AND(Множество[[#This Row],[Y]]=1),ROW()-ROW(Множество[[#Headers],[№]]),"")</f>
        <v>290</v>
      </c>
      <c r="AH299" t="s">
        <v>608</v>
      </c>
      <c r="AI299" s="66">
        <v>1</v>
      </c>
      <c r="AJ299" s="66">
        <f>IF(LEN(Множество[[#This Row],[Свёртка]])&gt;0,1,-1)</f>
        <v>1</v>
      </c>
      <c r="AK299" s="66" t="s">
        <v>1781</v>
      </c>
      <c r="AL299" s="209">
        <f>IF(LEN(Множество[[#This Row],[Критерии]])&gt;0,1,-1)</f>
        <v>1</v>
      </c>
      <c r="AM299" s="209">
        <f>IF(AND(LEN(Множество[[#This Row],[Свёртка]])&gt;0,LEN(Множество[[#This Row],[Критерии]])&gt;0,LEN(Множество[[#This Row],[Оценки]])&gt;0),1,-1)</f>
        <v>1</v>
      </c>
      <c r="AN299">
        <v>-0.27500000000000202</v>
      </c>
      <c r="AO299">
        <v>-16.216666666666701</v>
      </c>
      <c r="AP299" s="208"/>
      <c r="AQ299" s="208"/>
      <c r="AR299" s="226"/>
      <c r="AS299" s="225"/>
      <c r="AT299" s="226"/>
      <c r="AU299" s="225"/>
      <c r="AV299" s="225"/>
      <c r="AW299" s="225"/>
      <c r="AX299" s="225"/>
      <c r="AY299" s="225"/>
    </row>
    <row r="300" spans="33:51" x14ac:dyDescent="0.25">
      <c r="AG300" s="66">
        <f>IF(AND(Множество[[#This Row],[Y]]=1),ROW()-ROW(Множество[[#Headers],[№]]),"")</f>
        <v>291</v>
      </c>
      <c r="AH300" t="s">
        <v>608</v>
      </c>
      <c r="AI300" s="66">
        <v>1</v>
      </c>
      <c r="AJ300" s="66">
        <f>IF(LEN(Множество[[#This Row],[Свёртка]])&gt;0,1,-1)</f>
        <v>1</v>
      </c>
      <c r="AK300" s="66" t="s">
        <v>1781</v>
      </c>
      <c r="AL300" s="209">
        <f>IF(LEN(Множество[[#This Row],[Критерии]])&gt;0,1,-1)</f>
        <v>1</v>
      </c>
      <c r="AM300" s="209">
        <f>IF(AND(LEN(Множество[[#This Row],[Свёртка]])&gt;0,LEN(Множество[[#This Row],[Критерии]])&gt;0,LEN(Множество[[#This Row],[Оценки]])&gt;0),1,-1)</f>
        <v>1</v>
      </c>
      <c r="AN300">
        <v>-0.19999999999999901</v>
      </c>
      <c r="AO300">
        <v>-16.2</v>
      </c>
      <c r="AP300" s="208"/>
      <c r="AQ300" s="208"/>
      <c r="AR300" s="226"/>
      <c r="AS300" s="225"/>
      <c r="AT300" s="226"/>
      <c r="AU300" s="225"/>
      <c r="AV300" s="225"/>
      <c r="AW300" s="225"/>
      <c r="AX300" s="225"/>
      <c r="AY300" s="225"/>
    </row>
    <row r="301" spans="33:51" x14ac:dyDescent="0.25">
      <c r="AG301" s="66">
        <f>IF(AND(Множество[[#This Row],[Y]]=1),ROW()-ROW(Множество[[#Headers],[№]]),"")</f>
        <v>292</v>
      </c>
      <c r="AH301" t="s">
        <v>608</v>
      </c>
      <c r="AI301" s="66">
        <v>1</v>
      </c>
      <c r="AJ301" s="66">
        <f>IF(LEN(Множество[[#This Row],[Свёртка]])&gt;0,1,-1)</f>
        <v>1</v>
      </c>
      <c r="AK301" s="66" t="s">
        <v>1781</v>
      </c>
      <c r="AL301" s="209">
        <f>IF(LEN(Множество[[#This Row],[Критерии]])&gt;0,1,-1)</f>
        <v>1</v>
      </c>
      <c r="AM301" s="209">
        <f>IF(AND(LEN(Множество[[#This Row],[Свёртка]])&gt;0,LEN(Множество[[#This Row],[Критерии]])&gt;0,LEN(Множество[[#This Row],[Оценки]])&gt;0),1,-1)</f>
        <v>1</v>
      </c>
      <c r="AN301">
        <v>-0.34999999999999798</v>
      </c>
      <c r="AO301">
        <v>-16.216666666666701</v>
      </c>
      <c r="AP301" s="208"/>
      <c r="AQ301" s="208"/>
      <c r="AR301" s="226"/>
      <c r="AS301" s="225"/>
      <c r="AT301" s="226"/>
      <c r="AU301" s="225"/>
      <c r="AV301" s="225"/>
      <c r="AW301" s="225"/>
      <c r="AX301" s="225"/>
      <c r="AY301" s="225"/>
    </row>
    <row r="302" spans="33:51" x14ac:dyDescent="0.25">
      <c r="AG302" s="66">
        <f>IF(AND(Множество[[#This Row],[Y]]=1),ROW()-ROW(Множество[[#Headers],[№]]),"")</f>
        <v>293</v>
      </c>
      <c r="AH302" t="s">
        <v>608</v>
      </c>
      <c r="AI302" s="66">
        <v>1</v>
      </c>
      <c r="AJ302" s="66">
        <f>IF(LEN(Множество[[#This Row],[Свёртка]])&gt;0,1,-1)</f>
        <v>1</v>
      </c>
      <c r="AK302" s="66" t="s">
        <v>1781</v>
      </c>
      <c r="AL302" s="209">
        <f>IF(LEN(Множество[[#This Row],[Критерии]])&gt;0,1,-1)</f>
        <v>1</v>
      </c>
      <c r="AM302" s="209">
        <f>IF(AND(LEN(Множество[[#This Row],[Свёртка]])&gt;0,LEN(Множество[[#This Row],[Критерии]])&gt;0,LEN(Множество[[#This Row],[Оценки]])&gt;0),1,-1)</f>
        <v>1</v>
      </c>
      <c r="AN302">
        <v>-0.42500000000000099</v>
      </c>
      <c r="AO302">
        <v>-16.233333333333299</v>
      </c>
      <c r="AP302" s="208"/>
      <c r="AQ302" s="208"/>
      <c r="AR302" s="226"/>
      <c r="AS302" s="225"/>
      <c r="AT302" s="226"/>
      <c r="AU302" s="225"/>
      <c r="AV302" s="225"/>
      <c r="AW302" s="225"/>
      <c r="AX302" s="225"/>
      <c r="AY302" s="225"/>
    </row>
    <row r="303" spans="33:51" x14ac:dyDescent="0.25">
      <c r="AG303" s="66">
        <f>IF(AND(Множество[[#This Row],[Y]]=1),ROW()-ROW(Множество[[#Headers],[№]]),"")</f>
        <v>294</v>
      </c>
      <c r="AH303" t="s">
        <v>608</v>
      </c>
      <c r="AI303" s="66">
        <v>1</v>
      </c>
      <c r="AJ303" s="66">
        <f>IF(LEN(Множество[[#This Row],[Свёртка]])&gt;0,1,-1)</f>
        <v>1</v>
      </c>
      <c r="AK303" s="66" t="s">
        <v>1781</v>
      </c>
      <c r="AL303" s="209">
        <f>IF(LEN(Множество[[#This Row],[Критерии]])&gt;0,1,-1)</f>
        <v>1</v>
      </c>
      <c r="AM303" s="209">
        <f>IF(AND(LEN(Множество[[#This Row],[Свёртка]])&gt;0,LEN(Множество[[#This Row],[Критерии]])&gt;0,LEN(Множество[[#This Row],[Оценки]])&gt;0),1,-1)</f>
        <v>1</v>
      </c>
      <c r="AN303">
        <v>-2.9750000000000001</v>
      </c>
      <c r="AO303">
        <v>-11.1833333333333</v>
      </c>
      <c r="AP303" s="208"/>
      <c r="AQ303" s="208"/>
      <c r="AR303" s="226"/>
      <c r="AS303" s="225"/>
      <c r="AT303" s="226"/>
      <c r="AU303" s="225"/>
      <c r="AV303" s="225"/>
      <c r="AW303" s="225"/>
      <c r="AX303" s="225"/>
      <c r="AY303" s="225"/>
    </row>
    <row r="304" spans="33:51" x14ac:dyDescent="0.25">
      <c r="AG304" s="66">
        <f>IF(AND(Множество[[#This Row],[Y]]=1),ROW()-ROW(Множество[[#Headers],[№]]),"")</f>
        <v>295</v>
      </c>
      <c r="AH304" t="s">
        <v>608</v>
      </c>
      <c r="AI304" s="66">
        <v>1</v>
      </c>
      <c r="AJ304" s="66">
        <f>IF(LEN(Множество[[#This Row],[Свёртка]])&gt;0,1,-1)</f>
        <v>1</v>
      </c>
      <c r="AK304" s="66" t="s">
        <v>1781</v>
      </c>
      <c r="AL304" s="209">
        <f>IF(LEN(Множество[[#This Row],[Критерии]])&gt;0,1,-1)</f>
        <v>1</v>
      </c>
      <c r="AM304" s="209">
        <f>IF(AND(LEN(Множество[[#This Row],[Свёртка]])&gt;0,LEN(Множество[[#This Row],[Критерии]])&gt;0,LEN(Множество[[#This Row],[Оценки]])&gt;0),1,-1)</f>
        <v>1</v>
      </c>
      <c r="AN304">
        <v>-0.5</v>
      </c>
      <c r="AO304">
        <v>-16.25</v>
      </c>
      <c r="AP304" s="208"/>
      <c r="AQ304" s="208"/>
      <c r="AR304" s="226"/>
      <c r="AS304" s="225"/>
      <c r="AT304" s="226"/>
      <c r="AU304" s="225"/>
      <c r="AV304" s="225"/>
      <c r="AW304" s="225"/>
      <c r="AX304" s="225"/>
      <c r="AY304" s="225"/>
    </row>
    <row r="305" spans="33:51" x14ac:dyDescent="0.25">
      <c r="AG305" s="66">
        <f>IF(AND(Множество[[#This Row],[Y]]=1),ROW()-ROW(Множество[[#Headers],[№]]),"")</f>
        <v>296</v>
      </c>
      <c r="AH305" t="s">
        <v>608</v>
      </c>
      <c r="AI305" s="66">
        <v>1</v>
      </c>
      <c r="AJ305" s="66">
        <f>IF(LEN(Множество[[#This Row],[Свёртка]])&gt;0,1,-1)</f>
        <v>1</v>
      </c>
      <c r="AK305" s="66" t="s">
        <v>1781</v>
      </c>
      <c r="AL305" s="209">
        <f>IF(LEN(Множество[[#This Row],[Критерии]])&gt;0,1,-1)</f>
        <v>1</v>
      </c>
      <c r="AM305" s="209">
        <f>IF(AND(LEN(Множество[[#This Row],[Свёртка]])&gt;0,LEN(Множество[[#This Row],[Критерии]])&gt;0,LEN(Множество[[#This Row],[Оценки]])&gt;0),1,-1)</f>
        <v>1</v>
      </c>
      <c r="AN305">
        <v>-0.57500000000000295</v>
      </c>
      <c r="AO305">
        <v>-16.266666666666701</v>
      </c>
      <c r="AP305" s="208"/>
      <c r="AQ305" s="208"/>
      <c r="AR305" s="226"/>
      <c r="AS305" s="225"/>
      <c r="AT305" s="226"/>
      <c r="AU305" s="225"/>
      <c r="AV305" s="225"/>
      <c r="AW305" s="225"/>
      <c r="AX305" s="225"/>
      <c r="AY305" s="225"/>
    </row>
    <row r="306" spans="33:51" x14ac:dyDescent="0.25">
      <c r="AG306" s="66">
        <f>IF(AND(Множество[[#This Row],[Y]]=1),ROW()-ROW(Множество[[#Headers],[№]]),"")</f>
        <v>297</v>
      </c>
      <c r="AH306" t="s">
        <v>608</v>
      </c>
      <c r="AI306" s="66">
        <v>1</v>
      </c>
      <c r="AJ306" s="66">
        <f>IF(LEN(Множество[[#This Row],[Свёртка]])&gt;0,1,-1)</f>
        <v>1</v>
      </c>
      <c r="AK306" s="66" t="s">
        <v>1781</v>
      </c>
      <c r="AL306" s="209">
        <f>IF(LEN(Множество[[#This Row],[Критерии]])&gt;0,1,-1)</f>
        <v>1</v>
      </c>
      <c r="AM306" s="209">
        <f>IF(AND(LEN(Множество[[#This Row],[Свёртка]])&gt;0,LEN(Множество[[#This Row],[Критерии]])&gt;0,LEN(Множество[[#This Row],[Оценки]])&gt;0),1,-1)</f>
        <v>1</v>
      </c>
      <c r="AN306">
        <v>-3.05</v>
      </c>
      <c r="AO306">
        <v>-11.133333333333301</v>
      </c>
      <c r="AP306" s="208"/>
      <c r="AQ306" s="208"/>
      <c r="AR306" s="226"/>
      <c r="AS306" s="225"/>
      <c r="AT306" s="226"/>
      <c r="AU306" s="225"/>
      <c r="AV306" s="225"/>
      <c r="AW306" s="225"/>
      <c r="AX306" s="225"/>
      <c r="AY306" s="225"/>
    </row>
    <row r="307" spans="33:51" x14ac:dyDescent="0.25">
      <c r="AG307" s="66">
        <f>IF(AND(Множество[[#This Row],[Y]]=1),ROW()-ROW(Множество[[#Headers],[№]]),"")</f>
        <v>298</v>
      </c>
      <c r="AH307" t="s">
        <v>608</v>
      </c>
      <c r="AI307" s="66">
        <v>1</v>
      </c>
      <c r="AJ307" s="66">
        <f>IF(LEN(Множество[[#This Row],[Свёртка]])&gt;0,1,-1)</f>
        <v>1</v>
      </c>
      <c r="AK307" s="66" t="s">
        <v>1781</v>
      </c>
      <c r="AL307" s="209">
        <f>IF(LEN(Множество[[#This Row],[Критерии]])&gt;0,1,-1)</f>
        <v>1</v>
      </c>
      <c r="AM307" s="209">
        <f>IF(AND(LEN(Множество[[#This Row],[Свёртка]])&gt;0,LEN(Множество[[#This Row],[Критерии]])&gt;0,LEN(Множество[[#This Row],[Оценки]])&gt;0),1,-1)</f>
        <v>1</v>
      </c>
      <c r="AN307">
        <v>-0.64999999999999902</v>
      </c>
      <c r="AO307">
        <v>-16.283333333333299</v>
      </c>
      <c r="AP307" s="208"/>
      <c r="AQ307" s="208"/>
      <c r="AR307" s="226"/>
      <c r="AS307" s="225"/>
      <c r="AT307" s="226"/>
      <c r="AU307" s="225"/>
      <c r="AV307" s="225"/>
      <c r="AW307" s="225"/>
      <c r="AX307" s="225"/>
      <c r="AY307" s="225"/>
    </row>
    <row r="308" spans="33:51" x14ac:dyDescent="0.25">
      <c r="AG308" s="66">
        <f>IF(AND(Множество[[#This Row],[Y]]=1),ROW()-ROW(Множество[[#Headers],[№]]),"")</f>
        <v>299</v>
      </c>
      <c r="AH308" t="s">
        <v>608</v>
      </c>
      <c r="AI308" s="66">
        <v>1</v>
      </c>
      <c r="AJ308" s="66">
        <f>IF(LEN(Множество[[#This Row],[Свёртка]])&gt;0,1,-1)</f>
        <v>1</v>
      </c>
      <c r="AK308" s="66" t="s">
        <v>1781</v>
      </c>
      <c r="AL308" s="209">
        <f>IF(LEN(Множество[[#This Row],[Критерии]])&gt;0,1,-1)</f>
        <v>1</v>
      </c>
      <c r="AM308" s="209">
        <f>IF(AND(LEN(Множество[[#This Row],[Свёртка]])&gt;0,LEN(Множество[[#This Row],[Критерии]])&gt;0,LEN(Множество[[#This Row],[Оценки]])&gt;0),1,-1)</f>
        <v>1</v>
      </c>
      <c r="AN308">
        <v>-0.72500000000000098</v>
      </c>
      <c r="AO308">
        <v>-16.283333333333299</v>
      </c>
      <c r="AP308" s="208"/>
      <c r="AQ308" s="208"/>
      <c r="AR308" s="226"/>
      <c r="AS308" s="225"/>
      <c r="AT308" s="226"/>
      <c r="AU308" s="225"/>
      <c r="AV308" s="225"/>
      <c r="AW308" s="225"/>
      <c r="AX308" s="225"/>
      <c r="AY308" s="225"/>
    </row>
    <row r="309" spans="33:51" x14ac:dyDescent="0.25">
      <c r="AG309" s="66">
        <f>IF(AND(Множество[[#This Row],[Y]]=1),ROW()-ROW(Множество[[#Headers],[№]]),"")</f>
        <v>300</v>
      </c>
      <c r="AH309" t="s">
        <v>608</v>
      </c>
      <c r="AI309" s="66">
        <v>1</v>
      </c>
      <c r="AJ309" s="66">
        <f>IF(LEN(Множество[[#This Row],[Свёртка]])&gt;0,1,-1)</f>
        <v>1</v>
      </c>
      <c r="AK309" s="66" t="s">
        <v>1781</v>
      </c>
      <c r="AL309" s="209">
        <f>IF(LEN(Множество[[#This Row],[Критерии]])&gt;0,1,-1)</f>
        <v>1</v>
      </c>
      <c r="AM309" s="209">
        <f>IF(AND(LEN(Множество[[#This Row],[Свёртка]])&gt;0,LEN(Множество[[#This Row],[Критерии]])&gt;0,LEN(Множество[[#This Row],[Оценки]])&gt;0),1,-1)</f>
        <v>1</v>
      </c>
      <c r="AN309">
        <v>-3.125</v>
      </c>
      <c r="AO309">
        <v>-11.0833333333333</v>
      </c>
      <c r="AP309" s="208"/>
      <c r="AQ309" s="208"/>
      <c r="AR309" s="226"/>
      <c r="AS309" s="225"/>
      <c r="AT309" s="226"/>
      <c r="AU309" s="225"/>
      <c r="AV309" s="225"/>
      <c r="AW309" s="225"/>
      <c r="AX309" s="225"/>
      <c r="AY309" s="225"/>
    </row>
    <row r="310" spans="33:51" x14ac:dyDescent="0.25">
      <c r="AG310" s="66">
        <f>IF(AND(Множество[[#This Row],[Y]]=1),ROW()-ROW(Множество[[#Headers],[№]]),"")</f>
        <v>301</v>
      </c>
      <c r="AH310" t="s">
        <v>608</v>
      </c>
      <c r="AI310" s="66">
        <v>1</v>
      </c>
      <c r="AJ310" s="66">
        <f>IF(LEN(Множество[[#This Row],[Свёртка]])&gt;0,1,-1)</f>
        <v>1</v>
      </c>
      <c r="AK310" s="66" t="s">
        <v>1781</v>
      </c>
      <c r="AL310" s="209">
        <f>IF(LEN(Множество[[#This Row],[Критерии]])&gt;0,1,-1)</f>
        <v>1</v>
      </c>
      <c r="AM310" s="209">
        <f>IF(AND(LEN(Множество[[#This Row],[Свёртка]])&gt;0,LEN(Множество[[#This Row],[Критерии]])&gt;0,LEN(Множество[[#This Row],[Оценки]])&gt;0),1,-1)</f>
        <v>1</v>
      </c>
      <c r="AN310">
        <v>-0.79999999999999705</v>
      </c>
      <c r="AO310">
        <v>-16.3</v>
      </c>
      <c r="AP310" s="208"/>
      <c r="AQ310" s="208"/>
      <c r="AR310" s="226"/>
      <c r="AS310" s="225"/>
      <c r="AT310" s="226"/>
      <c r="AU310" s="225"/>
      <c r="AV310" s="225"/>
      <c r="AW310" s="225"/>
      <c r="AX310" s="225"/>
      <c r="AY310" s="225"/>
    </row>
    <row r="311" spans="33:51" x14ac:dyDescent="0.25">
      <c r="AG311" s="66">
        <f>IF(AND(Множество[[#This Row],[Y]]=1),ROW()-ROW(Множество[[#Headers],[№]]),"")</f>
        <v>302</v>
      </c>
      <c r="AH311" t="s">
        <v>608</v>
      </c>
      <c r="AI311" s="66">
        <v>1</v>
      </c>
      <c r="AJ311" s="66">
        <f>IF(LEN(Множество[[#This Row],[Свёртка]])&gt;0,1,-1)</f>
        <v>1</v>
      </c>
      <c r="AK311" s="66" t="s">
        <v>1781</v>
      </c>
      <c r="AL311" s="209">
        <f>IF(LEN(Множество[[#This Row],[Критерии]])&gt;0,1,-1)</f>
        <v>1</v>
      </c>
      <c r="AM311" s="209">
        <f>IF(AND(LEN(Множество[[#This Row],[Свёртка]])&gt;0,LEN(Множество[[#This Row],[Критерии]])&gt;0,LEN(Множество[[#This Row],[Оценки]])&gt;0),1,-1)</f>
        <v>1</v>
      </c>
      <c r="AN311">
        <v>-3.2</v>
      </c>
      <c r="AO311">
        <v>-11.05</v>
      </c>
      <c r="AP311" s="208"/>
      <c r="AQ311" s="208"/>
      <c r="AR311" s="226"/>
      <c r="AS311" s="225"/>
      <c r="AT311" s="226"/>
      <c r="AU311" s="225"/>
      <c r="AV311" s="225"/>
      <c r="AW311" s="225"/>
      <c r="AX311" s="225"/>
      <c r="AY311" s="225"/>
    </row>
    <row r="312" spans="33:51" x14ac:dyDescent="0.25">
      <c r="AG312" s="66">
        <f>IF(AND(Множество[[#This Row],[Y]]=1),ROW()-ROW(Множество[[#Headers],[№]]),"")</f>
        <v>303</v>
      </c>
      <c r="AH312" t="s">
        <v>608</v>
      </c>
      <c r="AI312" s="66">
        <v>1</v>
      </c>
      <c r="AJ312" s="66">
        <f>IF(LEN(Множество[[#This Row],[Свёртка]])&gt;0,1,-1)</f>
        <v>1</v>
      </c>
      <c r="AK312" s="66" t="s">
        <v>1781</v>
      </c>
      <c r="AL312" s="209">
        <f>IF(LEN(Множество[[#This Row],[Критерии]])&gt;0,1,-1)</f>
        <v>1</v>
      </c>
      <c r="AM312" s="209">
        <f>IF(AND(LEN(Множество[[#This Row],[Свёртка]])&gt;0,LEN(Множество[[#This Row],[Критерии]])&gt;0,LEN(Множество[[#This Row],[Оценки]])&gt;0),1,-1)</f>
        <v>1</v>
      </c>
      <c r="AN312">
        <v>-0.875</v>
      </c>
      <c r="AO312">
        <v>-16.316666666666698</v>
      </c>
      <c r="AP312" s="208"/>
      <c r="AQ312" s="208"/>
      <c r="AR312" s="226"/>
      <c r="AS312" s="225"/>
      <c r="AT312" s="226"/>
      <c r="AU312" s="225"/>
      <c r="AV312" s="225"/>
      <c r="AW312" s="225"/>
      <c r="AX312" s="225"/>
      <c r="AY312" s="225"/>
    </row>
    <row r="313" spans="33:51" x14ac:dyDescent="0.25">
      <c r="AG313" s="66">
        <f>IF(AND(Множество[[#This Row],[Y]]=1),ROW()-ROW(Множество[[#Headers],[№]]),"")</f>
        <v>304</v>
      </c>
      <c r="AH313" t="s">
        <v>608</v>
      </c>
      <c r="AI313" s="66">
        <v>1</v>
      </c>
      <c r="AJ313" s="66">
        <f>IF(LEN(Множество[[#This Row],[Свёртка]])&gt;0,1,-1)</f>
        <v>1</v>
      </c>
      <c r="AK313" s="66" t="s">
        <v>1781</v>
      </c>
      <c r="AL313" s="209">
        <f>IF(LEN(Множество[[#This Row],[Критерии]])&gt;0,1,-1)</f>
        <v>1</v>
      </c>
      <c r="AM313" s="209">
        <f>IF(AND(LEN(Множество[[#This Row],[Свёртка]])&gt;0,LEN(Множество[[#This Row],[Критерии]])&gt;0,LEN(Множество[[#This Row],[Оценки]])&gt;0),1,-1)</f>
        <v>1</v>
      </c>
      <c r="AN313">
        <v>-0.94999999999999896</v>
      </c>
      <c r="AO313">
        <v>-16.3333333333333</v>
      </c>
      <c r="AP313" s="208"/>
      <c r="AQ313" s="208"/>
      <c r="AR313" s="226"/>
      <c r="AS313" s="225"/>
      <c r="AT313" s="226"/>
      <c r="AU313" s="225"/>
      <c r="AV313" s="225"/>
      <c r="AW313" s="225"/>
      <c r="AX313" s="225"/>
      <c r="AY313" s="225"/>
    </row>
    <row r="314" spans="33:51" x14ac:dyDescent="0.25">
      <c r="AG314" s="66">
        <f>IF(AND(Множество[[#This Row],[Y]]=1),ROW()-ROW(Множество[[#Headers],[№]]),"")</f>
        <v>305</v>
      </c>
      <c r="AH314" t="s">
        <v>608</v>
      </c>
      <c r="AI314" s="66">
        <v>1</v>
      </c>
      <c r="AJ314" s="66">
        <f>IF(LEN(Множество[[#This Row],[Свёртка]])&gt;0,1,-1)</f>
        <v>1</v>
      </c>
      <c r="AK314" s="66" t="s">
        <v>1781</v>
      </c>
      <c r="AL314" s="209">
        <f>IF(LEN(Множество[[#This Row],[Критерии]])&gt;0,1,-1)</f>
        <v>1</v>
      </c>
      <c r="AM314" s="209">
        <f>IF(AND(LEN(Множество[[#This Row],[Свёртка]])&gt;0,LEN(Множество[[#This Row],[Критерии]])&gt;0,LEN(Множество[[#This Row],[Оценки]])&gt;0),1,-1)</f>
        <v>1</v>
      </c>
      <c r="AN314">
        <v>-3.2749999999999999</v>
      </c>
      <c r="AO314">
        <v>-11</v>
      </c>
      <c r="AP314" s="208"/>
      <c r="AQ314" s="208"/>
      <c r="AR314" s="226"/>
      <c r="AS314" s="225"/>
      <c r="AT314" s="226"/>
      <c r="AU314" s="225"/>
      <c r="AV314" s="225"/>
      <c r="AW314" s="225"/>
      <c r="AX314" s="225"/>
      <c r="AY314" s="225"/>
    </row>
    <row r="315" spans="33:51" x14ac:dyDescent="0.25">
      <c r="AG315" s="66">
        <f>IF(AND(Множество[[#This Row],[Y]]=1),ROW()-ROW(Множество[[#Headers],[№]]),"")</f>
        <v>306</v>
      </c>
      <c r="AH315" t="s">
        <v>608</v>
      </c>
      <c r="AI315" s="66">
        <v>1</v>
      </c>
      <c r="AJ315" s="66">
        <f>IF(LEN(Множество[[#This Row],[Свёртка]])&gt;0,1,-1)</f>
        <v>1</v>
      </c>
      <c r="AK315" s="66" t="s">
        <v>1781</v>
      </c>
      <c r="AL315" s="209">
        <f>IF(LEN(Множество[[#This Row],[Критерии]])&gt;0,1,-1)</f>
        <v>1</v>
      </c>
      <c r="AM315" s="209">
        <f>IF(AND(LEN(Множество[[#This Row],[Свёртка]])&gt;0,LEN(Множество[[#This Row],[Критерии]])&gt;0,LEN(Множество[[#This Row],[Оценки]])&gt;0),1,-1)</f>
        <v>1</v>
      </c>
      <c r="AN315">
        <v>-3.35</v>
      </c>
      <c r="AO315">
        <v>-10.966666666666701</v>
      </c>
      <c r="AP315" s="208"/>
      <c r="AQ315" s="208"/>
      <c r="AR315" s="226"/>
      <c r="AS315" s="225"/>
      <c r="AT315" s="226"/>
      <c r="AU315" s="225"/>
      <c r="AV315" s="225"/>
      <c r="AW315" s="225"/>
      <c r="AX315" s="225"/>
      <c r="AY315" s="225"/>
    </row>
    <row r="316" spans="33:51" x14ac:dyDescent="0.25">
      <c r="AG316" s="66">
        <f>IF(AND(Множество[[#This Row],[Y]]=1),ROW()-ROW(Множество[[#Headers],[№]]),"")</f>
        <v>307</v>
      </c>
      <c r="AH316" t="s">
        <v>608</v>
      </c>
      <c r="AI316" s="66">
        <v>1</v>
      </c>
      <c r="AJ316" s="66">
        <f>IF(LEN(Множество[[#This Row],[Свёртка]])&gt;0,1,-1)</f>
        <v>1</v>
      </c>
      <c r="AK316" s="66" t="s">
        <v>1781</v>
      </c>
      <c r="AL316" s="209">
        <f>IF(LEN(Множество[[#This Row],[Критерии]])&gt;0,1,-1)</f>
        <v>1</v>
      </c>
      <c r="AM316" s="209">
        <f>IF(AND(LEN(Множество[[#This Row],[Свёртка]])&gt;0,LEN(Множество[[#This Row],[Критерии]])&gt;0,LEN(Множество[[#This Row],[Оценки]])&gt;0),1,-1)</f>
        <v>1</v>
      </c>
      <c r="AN316">
        <v>-1.1000000000000001</v>
      </c>
      <c r="AO316">
        <v>-16.350000000000001</v>
      </c>
      <c r="AP316" s="208"/>
      <c r="AQ316" s="208"/>
      <c r="AR316" s="226"/>
      <c r="AS316" s="225"/>
      <c r="AT316" s="226"/>
      <c r="AU316" s="225"/>
      <c r="AV316" s="225"/>
      <c r="AW316" s="225"/>
      <c r="AX316" s="225"/>
      <c r="AY316" s="225"/>
    </row>
    <row r="317" spans="33:51" x14ac:dyDescent="0.25">
      <c r="AG317" s="66">
        <f>IF(AND(Множество[[#This Row],[Y]]=1),ROW()-ROW(Множество[[#Headers],[№]]),"")</f>
        <v>308</v>
      </c>
      <c r="AH317" t="s">
        <v>608</v>
      </c>
      <c r="AI317" s="66">
        <v>1</v>
      </c>
      <c r="AJ317" s="66">
        <f>IF(LEN(Множество[[#This Row],[Свёртка]])&gt;0,1,-1)</f>
        <v>1</v>
      </c>
      <c r="AK317" s="66" t="s">
        <v>1781</v>
      </c>
      <c r="AL317" s="209">
        <f>IF(LEN(Множество[[#This Row],[Критерии]])&gt;0,1,-1)</f>
        <v>1</v>
      </c>
      <c r="AM317" s="209">
        <f>IF(AND(LEN(Множество[[#This Row],[Свёртка]])&gt;0,LEN(Множество[[#This Row],[Критерии]])&gt;0,LEN(Множество[[#This Row],[Оценки]])&gt;0),1,-1)</f>
        <v>1</v>
      </c>
      <c r="AN317">
        <v>-3.4249999999999998</v>
      </c>
      <c r="AO317">
        <v>-10.9166666666667</v>
      </c>
      <c r="AP317" s="208"/>
      <c r="AQ317" s="208"/>
      <c r="AR317" s="226"/>
      <c r="AS317" s="225"/>
      <c r="AT317" s="226"/>
      <c r="AU317" s="225"/>
      <c r="AV317" s="225"/>
      <c r="AW317" s="225"/>
      <c r="AX317" s="225"/>
      <c r="AY317" s="225"/>
    </row>
    <row r="318" spans="33:51" x14ac:dyDescent="0.25">
      <c r="AG318" s="66">
        <f>IF(AND(Множество[[#This Row],[Y]]=1),ROW()-ROW(Множество[[#Headers],[№]]),"")</f>
        <v>309</v>
      </c>
      <c r="AH318" t="s">
        <v>608</v>
      </c>
      <c r="AI318" s="66">
        <v>1</v>
      </c>
      <c r="AJ318" s="66">
        <f>IF(LEN(Множество[[#This Row],[Свёртка]])&gt;0,1,-1)</f>
        <v>1</v>
      </c>
      <c r="AK318" s="66" t="s">
        <v>1781</v>
      </c>
      <c r="AL318" s="209">
        <f>IF(LEN(Множество[[#This Row],[Критерии]])&gt;0,1,-1)</f>
        <v>1</v>
      </c>
      <c r="AM318" s="209">
        <f>IF(AND(LEN(Множество[[#This Row],[Свёртка]])&gt;0,LEN(Множество[[#This Row],[Критерии]])&gt;0,LEN(Множество[[#This Row],[Оценки]])&gt;0),1,-1)</f>
        <v>1</v>
      </c>
      <c r="AN318">
        <v>-1.25</v>
      </c>
      <c r="AO318">
        <v>-16.383333333333301</v>
      </c>
      <c r="AP318" s="208"/>
      <c r="AQ318" s="208"/>
      <c r="AR318" s="226"/>
      <c r="AS318" s="225"/>
      <c r="AT318" s="226"/>
      <c r="AU318" s="225"/>
      <c r="AV318" s="225"/>
      <c r="AW318" s="225"/>
      <c r="AX318" s="225"/>
      <c r="AY318" s="225"/>
    </row>
    <row r="319" spans="33:51" x14ac:dyDescent="0.25">
      <c r="AG319" s="66">
        <f>IF(AND(Множество[[#This Row],[Y]]=1),ROW()-ROW(Множество[[#Headers],[№]]),"")</f>
        <v>310</v>
      </c>
      <c r="AH319" t="s">
        <v>608</v>
      </c>
      <c r="AI319" s="66">
        <v>1</v>
      </c>
      <c r="AJ319" s="66">
        <f>IF(LEN(Множество[[#This Row],[Свёртка]])&gt;0,1,-1)</f>
        <v>1</v>
      </c>
      <c r="AK319" s="66" t="s">
        <v>1781</v>
      </c>
      <c r="AL319" s="209">
        <f>IF(LEN(Множество[[#This Row],[Критерии]])&gt;0,1,-1)</f>
        <v>1</v>
      </c>
      <c r="AM319" s="209">
        <f>IF(AND(LEN(Множество[[#This Row],[Свёртка]])&gt;0,LEN(Множество[[#This Row],[Критерии]])&gt;0,LEN(Множество[[#This Row],[Оценки]])&gt;0),1,-1)</f>
        <v>1</v>
      </c>
      <c r="AN319">
        <v>-1.175</v>
      </c>
      <c r="AO319">
        <v>-16.366666666666699</v>
      </c>
      <c r="AP319" s="208"/>
      <c r="AQ319" s="208"/>
      <c r="AR319" s="226"/>
      <c r="AS319" s="225"/>
      <c r="AT319" s="226"/>
      <c r="AU319" s="225"/>
      <c r="AV319" s="225"/>
      <c r="AW319" s="225"/>
      <c r="AX319" s="225"/>
      <c r="AY319" s="225"/>
    </row>
    <row r="320" spans="33:51" x14ac:dyDescent="0.25">
      <c r="AG320" s="66">
        <f>IF(AND(Множество[[#This Row],[Y]]=1),ROW()-ROW(Множество[[#Headers],[№]]),"")</f>
        <v>311</v>
      </c>
      <c r="AH320" t="s">
        <v>608</v>
      </c>
      <c r="AI320" s="66">
        <v>1</v>
      </c>
      <c r="AJ320" s="66">
        <f>IF(LEN(Множество[[#This Row],[Свёртка]])&gt;0,1,-1)</f>
        <v>1</v>
      </c>
      <c r="AK320" s="66" t="s">
        <v>1781</v>
      </c>
      <c r="AL320" s="209">
        <f>IF(LEN(Множество[[#This Row],[Критерии]])&gt;0,1,-1)</f>
        <v>1</v>
      </c>
      <c r="AM320" s="209">
        <f>IF(AND(LEN(Множество[[#This Row],[Свёртка]])&gt;0,LEN(Множество[[#This Row],[Критерии]])&gt;0,LEN(Множество[[#This Row],[Оценки]])&gt;0),1,-1)</f>
        <v>1</v>
      </c>
      <c r="AN320">
        <v>-3.5</v>
      </c>
      <c r="AO320">
        <v>-10.866666666666699</v>
      </c>
      <c r="AP320" s="208"/>
      <c r="AQ320" s="208"/>
      <c r="AR320" s="226"/>
      <c r="AS320" s="225"/>
      <c r="AT320" s="226"/>
      <c r="AU320" s="225"/>
      <c r="AV320" s="225"/>
      <c r="AW320" s="225"/>
      <c r="AX320" s="225"/>
      <c r="AY320" s="225"/>
    </row>
    <row r="321" spans="33:51" x14ac:dyDescent="0.25">
      <c r="AG321" s="66">
        <f>IF(AND(Множество[[#This Row],[Y]]=1),ROW()-ROW(Множество[[#Headers],[№]]),"")</f>
        <v>312</v>
      </c>
      <c r="AH321" t="s">
        <v>608</v>
      </c>
      <c r="AI321" s="66">
        <v>1</v>
      </c>
      <c r="AJ321" s="66">
        <f>IF(LEN(Множество[[#This Row],[Свёртка]])&gt;0,1,-1)</f>
        <v>1</v>
      </c>
      <c r="AK321" s="66" t="s">
        <v>1781</v>
      </c>
      <c r="AL321" s="209">
        <f>IF(LEN(Множество[[#This Row],[Критерии]])&gt;0,1,-1)</f>
        <v>1</v>
      </c>
      <c r="AM321" s="209">
        <f>IF(AND(LEN(Множество[[#This Row],[Свёртка]])&gt;0,LEN(Множество[[#This Row],[Критерии]])&gt;0,LEN(Множество[[#This Row],[Оценки]])&gt;0),1,-1)</f>
        <v>1</v>
      </c>
      <c r="AN321">
        <v>-1.325</v>
      </c>
      <c r="AO321">
        <v>-16.399999999999999</v>
      </c>
      <c r="AP321" s="208"/>
      <c r="AQ321" s="208"/>
      <c r="AR321" s="226"/>
      <c r="AS321" s="225"/>
      <c r="AT321" s="226"/>
      <c r="AU321" s="225"/>
      <c r="AV321" s="225"/>
      <c r="AW321" s="225"/>
      <c r="AX321" s="225"/>
      <c r="AY321" s="225"/>
    </row>
    <row r="322" spans="33:51" x14ac:dyDescent="0.25">
      <c r="AG322" s="66">
        <f>IF(AND(Множество[[#This Row],[Y]]=1),ROW()-ROW(Множество[[#Headers],[№]]),"")</f>
        <v>313</v>
      </c>
      <c r="AH322" t="s">
        <v>608</v>
      </c>
      <c r="AI322" s="66">
        <v>1</v>
      </c>
      <c r="AJ322" s="66">
        <f>IF(LEN(Множество[[#This Row],[Свёртка]])&gt;0,1,-1)</f>
        <v>1</v>
      </c>
      <c r="AK322" s="66" t="s">
        <v>1781</v>
      </c>
      <c r="AL322" s="209">
        <f>IF(LEN(Множество[[#This Row],[Критерии]])&gt;0,1,-1)</f>
        <v>1</v>
      </c>
      <c r="AM322" s="209">
        <f>IF(AND(LEN(Множество[[#This Row],[Свёртка]])&gt;0,LEN(Множество[[#This Row],[Критерии]])&gt;0,LEN(Множество[[#This Row],[Оценки]])&gt;0),1,-1)</f>
        <v>1</v>
      </c>
      <c r="AN322">
        <v>-1.4</v>
      </c>
      <c r="AO322">
        <v>-16.399999999999999</v>
      </c>
      <c r="AP322" s="208"/>
      <c r="AQ322" s="208"/>
      <c r="AR322" s="226"/>
      <c r="AS322" s="225"/>
      <c r="AT322" s="226"/>
      <c r="AU322" s="225"/>
      <c r="AV322" s="225"/>
      <c r="AW322" s="225"/>
      <c r="AX322" s="225"/>
      <c r="AY322" s="225"/>
    </row>
    <row r="323" spans="33:51" x14ac:dyDescent="0.25">
      <c r="AG323" s="66">
        <f>IF(AND(Множество[[#This Row],[Y]]=1),ROW()-ROW(Множество[[#Headers],[№]]),"")</f>
        <v>314</v>
      </c>
      <c r="AH323" t="s">
        <v>608</v>
      </c>
      <c r="AI323" s="66">
        <v>1</v>
      </c>
      <c r="AJ323" s="66">
        <f>IF(LEN(Множество[[#This Row],[Свёртка]])&gt;0,1,-1)</f>
        <v>1</v>
      </c>
      <c r="AK323" s="66" t="s">
        <v>1781</v>
      </c>
      <c r="AL323" s="209">
        <f>IF(LEN(Множество[[#This Row],[Критерии]])&gt;0,1,-1)</f>
        <v>1</v>
      </c>
      <c r="AM323" s="209">
        <f>IF(AND(LEN(Множество[[#This Row],[Свёртка]])&gt;0,LEN(Множество[[#This Row],[Критерии]])&gt;0,LEN(Множество[[#This Row],[Оценки]])&gt;0),1,-1)</f>
        <v>1</v>
      </c>
      <c r="AN323">
        <v>-3.5750000000000002</v>
      </c>
      <c r="AO323">
        <v>-10.8333333333333</v>
      </c>
      <c r="AP323" s="208"/>
      <c r="AQ323" s="208"/>
      <c r="AR323" s="226"/>
      <c r="AS323" s="225"/>
      <c r="AT323" s="226"/>
      <c r="AU323" s="225"/>
      <c r="AV323" s="225"/>
      <c r="AW323" s="225"/>
      <c r="AX323" s="225"/>
      <c r="AY323" s="225"/>
    </row>
    <row r="324" spans="33:51" x14ac:dyDescent="0.25">
      <c r="AG324" s="66">
        <f>IF(AND(Множество[[#This Row],[Y]]=1),ROW()-ROW(Множество[[#Headers],[№]]),"")</f>
        <v>315</v>
      </c>
      <c r="AH324" t="s">
        <v>608</v>
      </c>
      <c r="AI324" s="66">
        <v>1</v>
      </c>
      <c r="AJ324" s="66">
        <f>IF(LEN(Множество[[#This Row],[Свёртка]])&gt;0,1,-1)</f>
        <v>1</v>
      </c>
      <c r="AK324" s="66" t="s">
        <v>1781</v>
      </c>
      <c r="AL324" s="209">
        <f>IF(LEN(Множество[[#This Row],[Критерии]])&gt;0,1,-1)</f>
        <v>1</v>
      </c>
      <c r="AM324" s="209">
        <f>IF(AND(LEN(Множество[[#This Row],[Свёртка]])&gt;0,LEN(Множество[[#This Row],[Критерии]])&gt;0,LEN(Множество[[#This Row],[Оценки]])&gt;0),1,-1)</f>
        <v>1</v>
      </c>
      <c r="AN324">
        <v>-1.4750000000000001</v>
      </c>
      <c r="AO324">
        <v>-16.4166666666667</v>
      </c>
      <c r="AP324" s="208"/>
      <c r="AQ324" s="208"/>
      <c r="AR324" s="226"/>
      <c r="AS324" s="225"/>
      <c r="AT324" s="226"/>
      <c r="AU324" s="225"/>
      <c r="AV324" s="225"/>
      <c r="AW324" s="225"/>
      <c r="AX324" s="225"/>
      <c r="AY324" s="225"/>
    </row>
    <row r="325" spans="33:51" x14ac:dyDescent="0.25">
      <c r="AG325" s="66">
        <f>IF(AND(Множество[[#This Row],[Y]]=1),ROW()-ROW(Множество[[#Headers],[№]]),"")</f>
        <v>316</v>
      </c>
      <c r="AH325" t="s">
        <v>608</v>
      </c>
      <c r="AI325" s="66">
        <v>1</v>
      </c>
      <c r="AJ325" s="66">
        <f>IF(LEN(Множество[[#This Row],[Свёртка]])&gt;0,1,-1)</f>
        <v>1</v>
      </c>
      <c r="AK325" s="66" t="s">
        <v>1781</v>
      </c>
      <c r="AL325" s="209">
        <f>IF(LEN(Множество[[#This Row],[Критерии]])&gt;0,1,-1)</f>
        <v>1</v>
      </c>
      <c r="AM325" s="209">
        <f>IF(AND(LEN(Множество[[#This Row],[Свёртка]])&gt;0,LEN(Множество[[#This Row],[Критерии]])&gt;0,LEN(Множество[[#This Row],[Оценки]])&gt;0),1,-1)</f>
        <v>1</v>
      </c>
      <c r="AN325">
        <v>-1.625</v>
      </c>
      <c r="AO325">
        <v>-16.45</v>
      </c>
      <c r="AP325" s="208"/>
      <c r="AQ325" s="208"/>
      <c r="AR325" s="226"/>
      <c r="AS325" s="225"/>
      <c r="AT325" s="226"/>
      <c r="AU325" s="225"/>
      <c r="AV325" s="225"/>
      <c r="AW325" s="225"/>
      <c r="AX325" s="225"/>
      <c r="AY325" s="225"/>
    </row>
    <row r="326" spans="33:51" x14ac:dyDescent="0.25">
      <c r="AG326" s="66">
        <f>IF(AND(Множество[[#This Row],[Y]]=1),ROW()-ROW(Множество[[#Headers],[№]]),"")</f>
        <v>317</v>
      </c>
      <c r="AH326" t="s">
        <v>608</v>
      </c>
      <c r="AI326" s="66">
        <v>1</v>
      </c>
      <c r="AJ326" s="66">
        <f>IF(LEN(Множество[[#This Row],[Свёртка]])&gt;0,1,-1)</f>
        <v>1</v>
      </c>
      <c r="AK326" s="66" t="s">
        <v>1781</v>
      </c>
      <c r="AL326" s="209">
        <f>IF(LEN(Множество[[#This Row],[Критерии]])&gt;0,1,-1)</f>
        <v>1</v>
      </c>
      <c r="AM326" s="209">
        <f>IF(AND(LEN(Множество[[#This Row],[Свёртка]])&gt;0,LEN(Множество[[#This Row],[Критерии]])&gt;0,LEN(Множество[[#This Row],[Оценки]])&gt;0),1,-1)</f>
        <v>1</v>
      </c>
      <c r="AN326">
        <v>-1.55</v>
      </c>
      <c r="AO326">
        <v>-16.433333333333302</v>
      </c>
      <c r="AP326" s="208"/>
      <c r="AQ326" s="208"/>
      <c r="AR326" s="226"/>
      <c r="AS326" s="225"/>
      <c r="AT326" s="226"/>
      <c r="AU326" s="225"/>
      <c r="AV326" s="225"/>
      <c r="AW326" s="225"/>
      <c r="AX326" s="225"/>
      <c r="AY326" s="225"/>
    </row>
    <row r="327" spans="33:51" x14ac:dyDescent="0.25">
      <c r="AG327" s="66">
        <f>IF(AND(Множество[[#This Row],[Y]]=1),ROW()-ROW(Множество[[#Headers],[№]]),"")</f>
        <v>318</v>
      </c>
      <c r="AH327" t="s">
        <v>608</v>
      </c>
      <c r="AI327" s="66">
        <v>1</v>
      </c>
      <c r="AJ327" s="66">
        <f>IF(LEN(Множество[[#This Row],[Свёртка]])&gt;0,1,-1)</f>
        <v>1</v>
      </c>
      <c r="AK327" s="66" t="s">
        <v>1781</v>
      </c>
      <c r="AL327" s="209">
        <f>IF(LEN(Множество[[#This Row],[Критерии]])&gt;0,1,-1)</f>
        <v>1</v>
      </c>
      <c r="AM327" s="209">
        <f>IF(AND(LEN(Множество[[#This Row],[Свёртка]])&gt;0,LEN(Множество[[#This Row],[Критерии]])&gt;0,LEN(Множество[[#This Row],[Оценки]])&gt;0),1,-1)</f>
        <v>1</v>
      </c>
      <c r="AN327">
        <v>-1.7749999999999999</v>
      </c>
      <c r="AO327">
        <v>-16.466666666666701</v>
      </c>
      <c r="AP327" s="208"/>
      <c r="AQ327" s="208"/>
      <c r="AR327" s="226"/>
      <c r="AS327" s="225"/>
      <c r="AT327" s="226"/>
      <c r="AU327" s="225"/>
      <c r="AV327" s="225"/>
      <c r="AW327" s="225"/>
      <c r="AX327" s="225"/>
      <c r="AY327" s="225"/>
    </row>
    <row r="328" spans="33:51" x14ac:dyDescent="0.25">
      <c r="AG328" s="66">
        <f>IF(AND(Множество[[#This Row],[Y]]=1),ROW()-ROW(Множество[[#Headers],[№]]),"")</f>
        <v>319</v>
      </c>
      <c r="AH328" t="s">
        <v>608</v>
      </c>
      <c r="AI328" s="66">
        <v>1</v>
      </c>
      <c r="AJ328" s="66">
        <f>IF(LEN(Множество[[#This Row],[Свёртка]])&gt;0,1,-1)</f>
        <v>1</v>
      </c>
      <c r="AK328" s="66" t="s">
        <v>1781</v>
      </c>
      <c r="AL328" s="209">
        <f>IF(LEN(Множество[[#This Row],[Критерии]])&gt;0,1,-1)</f>
        <v>1</v>
      </c>
      <c r="AM328" s="209">
        <f>IF(AND(LEN(Множество[[#This Row],[Свёртка]])&gt;0,LEN(Множество[[#This Row],[Критерии]])&gt;0,LEN(Множество[[#This Row],[Оценки]])&gt;0),1,-1)</f>
        <v>1</v>
      </c>
      <c r="AN328">
        <v>-1.85</v>
      </c>
      <c r="AO328">
        <v>-16.483333333333299</v>
      </c>
      <c r="AP328" s="208"/>
      <c r="AQ328" s="208"/>
      <c r="AR328" s="226"/>
      <c r="AS328" s="225"/>
      <c r="AT328" s="226"/>
      <c r="AU328" s="225"/>
      <c r="AV328" s="225"/>
      <c r="AW328" s="225"/>
      <c r="AX328" s="225"/>
      <c r="AY328" s="225"/>
    </row>
    <row r="329" spans="33:51" x14ac:dyDescent="0.25">
      <c r="AG329" s="66">
        <f>IF(AND(Множество[[#This Row],[Y]]=1),ROW()-ROW(Множество[[#Headers],[№]]),"")</f>
        <v>320</v>
      </c>
      <c r="AH329" t="s">
        <v>608</v>
      </c>
      <c r="AI329" s="66">
        <v>1</v>
      </c>
      <c r="AJ329" s="66">
        <f>IF(LEN(Множество[[#This Row],[Свёртка]])&gt;0,1,-1)</f>
        <v>1</v>
      </c>
      <c r="AK329" s="66" t="s">
        <v>1781</v>
      </c>
      <c r="AL329" s="209">
        <f>IF(LEN(Множество[[#This Row],[Критерии]])&gt;0,1,-1)</f>
        <v>1</v>
      </c>
      <c r="AM329" s="209">
        <f>IF(AND(LEN(Множество[[#This Row],[Свёртка]])&gt;0,LEN(Множество[[#This Row],[Критерии]])&gt;0,LEN(Множество[[#This Row],[Оценки]])&gt;0),1,-1)</f>
        <v>1</v>
      </c>
      <c r="AN329">
        <v>-1.925</v>
      </c>
      <c r="AO329">
        <v>-16.5</v>
      </c>
      <c r="AP329" s="208"/>
      <c r="AQ329" s="208"/>
      <c r="AR329" s="226"/>
      <c r="AS329" s="225"/>
      <c r="AT329" s="226"/>
      <c r="AU329" s="225"/>
      <c r="AV329" s="225"/>
      <c r="AW329" s="225"/>
      <c r="AX329" s="225"/>
      <c r="AY329" s="225"/>
    </row>
    <row r="330" spans="33:51" x14ac:dyDescent="0.25">
      <c r="AG330" s="66">
        <f>IF(AND(Множество[[#This Row],[Y]]=1),ROW()-ROW(Множество[[#Headers],[№]]),"")</f>
        <v>321</v>
      </c>
      <c r="AH330" t="s">
        <v>608</v>
      </c>
      <c r="AI330" s="66">
        <v>1</v>
      </c>
      <c r="AJ330" s="66">
        <f>IF(LEN(Множество[[#This Row],[Свёртка]])&gt;0,1,-1)</f>
        <v>1</v>
      </c>
      <c r="AK330" s="66" t="s">
        <v>1781</v>
      </c>
      <c r="AL330" s="209">
        <f>IF(LEN(Множество[[#This Row],[Критерии]])&gt;0,1,-1)</f>
        <v>1</v>
      </c>
      <c r="AM330" s="209">
        <f>IF(AND(LEN(Множество[[#This Row],[Свёртка]])&gt;0,LEN(Множество[[#This Row],[Критерии]])&gt;0,LEN(Множество[[#This Row],[Оценки]])&gt;0),1,-1)</f>
        <v>1</v>
      </c>
      <c r="AN330">
        <v>-2</v>
      </c>
      <c r="AO330">
        <v>-16.516666666666701</v>
      </c>
      <c r="AP330" s="208"/>
      <c r="AQ330" s="208"/>
      <c r="AR330" s="226"/>
      <c r="AS330" s="225"/>
      <c r="AT330" s="226"/>
      <c r="AU330" s="225"/>
      <c r="AV330" s="225"/>
      <c r="AW330" s="225"/>
      <c r="AX330" s="225"/>
      <c r="AY330" s="225"/>
    </row>
    <row r="331" spans="33:51" x14ac:dyDescent="0.25">
      <c r="AG331" s="66">
        <f>IF(AND(Множество[[#This Row],[Y]]=1),ROW()-ROW(Множество[[#Headers],[№]]),"")</f>
        <v>322</v>
      </c>
      <c r="AH331" t="s">
        <v>608</v>
      </c>
      <c r="AI331" s="66">
        <v>1</v>
      </c>
      <c r="AJ331" s="66">
        <f>IF(LEN(Множество[[#This Row],[Свёртка]])&gt;0,1,-1)</f>
        <v>1</v>
      </c>
      <c r="AK331" s="66" t="s">
        <v>1781</v>
      </c>
      <c r="AL331" s="209">
        <f>IF(LEN(Множество[[#This Row],[Критерии]])&gt;0,1,-1)</f>
        <v>1</v>
      </c>
      <c r="AM331" s="209">
        <f>IF(AND(LEN(Множество[[#This Row],[Свёртка]])&gt;0,LEN(Множество[[#This Row],[Критерии]])&gt;0,LEN(Множество[[#This Row],[Оценки]])&gt;0),1,-1)</f>
        <v>1</v>
      </c>
      <c r="AN331">
        <v>-2.0750000000000002</v>
      </c>
      <c r="AO331">
        <v>-16.516666666666701</v>
      </c>
      <c r="AP331" s="208"/>
      <c r="AQ331" s="208"/>
      <c r="AR331" s="226"/>
      <c r="AS331" s="225"/>
      <c r="AT331" s="226"/>
      <c r="AU331" s="225"/>
      <c r="AV331" s="225"/>
      <c r="AW331" s="225"/>
      <c r="AX331" s="225"/>
      <c r="AY331" s="225"/>
    </row>
    <row r="332" spans="33:51" x14ac:dyDescent="0.25">
      <c r="AG332" s="66">
        <f>IF(AND(Множество[[#This Row],[Y]]=1),ROW()-ROW(Множество[[#Headers],[№]]),"")</f>
        <v>323</v>
      </c>
      <c r="AH332" t="s">
        <v>608</v>
      </c>
      <c r="AI332" s="66">
        <v>1</v>
      </c>
      <c r="AJ332" s="66">
        <f>IF(LEN(Множество[[#This Row],[Свёртка]])&gt;0,1,-1)</f>
        <v>1</v>
      </c>
      <c r="AK332" s="66" t="s">
        <v>1781</v>
      </c>
      <c r="AL332" s="209">
        <f>IF(LEN(Множество[[#This Row],[Критерии]])&gt;0,1,-1)</f>
        <v>1</v>
      </c>
      <c r="AM332" s="209">
        <f>IF(AND(LEN(Множество[[#This Row],[Свёртка]])&gt;0,LEN(Множество[[#This Row],[Критерии]])&gt;0,LEN(Множество[[#This Row],[Оценки]])&gt;0),1,-1)</f>
        <v>1</v>
      </c>
      <c r="AN332">
        <v>-2.15</v>
      </c>
      <c r="AO332">
        <v>-16.533333333333299</v>
      </c>
      <c r="AP332" s="208"/>
      <c r="AQ332" s="208"/>
      <c r="AR332" s="226"/>
      <c r="AS332" s="225"/>
      <c r="AT332" s="226"/>
      <c r="AU332" s="225"/>
      <c r="AV332" s="225"/>
      <c r="AW332" s="225"/>
      <c r="AX332" s="225"/>
      <c r="AY332" s="225"/>
    </row>
    <row r="333" spans="33:51" x14ac:dyDescent="0.25">
      <c r="AG333" s="66">
        <f>IF(AND(Множество[[#This Row],[Y]]=1),ROW()-ROW(Множество[[#Headers],[№]]),"")</f>
        <v>324</v>
      </c>
      <c r="AH333" t="s">
        <v>608</v>
      </c>
      <c r="AI333" s="66">
        <v>1</v>
      </c>
      <c r="AJ333" s="66">
        <f>IF(LEN(Множество[[#This Row],[Свёртка]])&gt;0,1,-1)</f>
        <v>1</v>
      </c>
      <c r="AK333" s="66" t="s">
        <v>1781</v>
      </c>
      <c r="AL333" s="209">
        <f>IF(LEN(Множество[[#This Row],[Критерии]])&gt;0,1,-1)</f>
        <v>1</v>
      </c>
      <c r="AM333" s="209">
        <f>IF(AND(LEN(Множество[[#This Row],[Свёртка]])&gt;0,LEN(Множество[[#This Row],[Критерии]])&gt;0,LEN(Множество[[#This Row],[Оценки]])&gt;0),1,-1)</f>
        <v>1</v>
      </c>
      <c r="AN333">
        <v>-2.2999999999999998</v>
      </c>
      <c r="AO333">
        <v>-16.566666666666698</v>
      </c>
      <c r="AP333" s="208"/>
      <c r="AQ333" s="208"/>
      <c r="AR333" s="226"/>
      <c r="AS333" s="225"/>
      <c r="AT333" s="226"/>
      <c r="AU333" s="225"/>
      <c r="AV333" s="225"/>
      <c r="AW333" s="225"/>
      <c r="AX333" s="225"/>
      <c r="AY333" s="225"/>
    </row>
    <row r="334" spans="33:51" x14ac:dyDescent="0.25">
      <c r="AG334" s="66">
        <f>IF(AND(Множество[[#This Row],[Y]]=1),ROW()-ROW(Множество[[#Headers],[№]]),"")</f>
        <v>325</v>
      </c>
      <c r="AH334" t="s">
        <v>608</v>
      </c>
      <c r="AI334" s="66">
        <v>1</v>
      </c>
      <c r="AJ334" s="66">
        <f>IF(LEN(Множество[[#This Row],[Свёртка]])&gt;0,1,-1)</f>
        <v>1</v>
      </c>
      <c r="AK334" s="66" t="s">
        <v>1781</v>
      </c>
      <c r="AL334" s="209">
        <f>IF(LEN(Множество[[#This Row],[Критерии]])&gt;0,1,-1)</f>
        <v>1</v>
      </c>
      <c r="AM334" s="209">
        <f>IF(AND(LEN(Множество[[#This Row],[Свёртка]])&gt;0,LEN(Множество[[#This Row],[Критерии]])&gt;0,LEN(Множество[[#This Row],[Оценки]])&gt;0),1,-1)</f>
        <v>1</v>
      </c>
      <c r="AN334">
        <v>-2.2250000000000001</v>
      </c>
      <c r="AO334">
        <v>-16.55</v>
      </c>
      <c r="AP334" s="208"/>
      <c r="AQ334" s="208"/>
      <c r="AR334" s="226"/>
      <c r="AS334" s="225"/>
      <c r="AT334" s="226"/>
      <c r="AU334" s="225"/>
      <c r="AV334" s="225"/>
      <c r="AW334" s="225"/>
      <c r="AX334" s="225"/>
      <c r="AY334" s="225"/>
    </row>
    <row r="335" spans="33:51" x14ac:dyDescent="0.25">
      <c r="AG335" s="66">
        <f>IF(AND(Множество[[#This Row],[Y]]=1),ROW()-ROW(Множество[[#Headers],[№]]),"")</f>
        <v>326</v>
      </c>
      <c r="AH335" t="s">
        <v>608</v>
      </c>
      <c r="AI335" s="66">
        <v>1</v>
      </c>
      <c r="AJ335" s="66">
        <f>IF(LEN(Множество[[#This Row],[Свёртка]])&gt;0,1,-1)</f>
        <v>1</v>
      </c>
      <c r="AK335" s="66" t="s">
        <v>1781</v>
      </c>
      <c r="AL335" s="209">
        <f>IF(LEN(Множество[[#This Row],[Критерии]])&gt;0,1,-1)</f>
        <v>1</v>
      </c>
      <c r="AM335" s="209">
        <f>IF(AND(LEN(Множество[[#This Row],[Свёртка]])&gt;0,LEN(Множество[[#This Row],[Критерии]])&gt;0,LEN(Множество[[#This Row],[Оценки]])&gt;0),1,-1)</f>
        <v>1</v>
      </c>
      <c r="AN335">
        <v>-2.4500000000000002</v>
      </c>
      <c r="AO335">
        <v>-16.5833333333333</v>
      </c>
      <c r="AP335" s="208"/>
      <c r="AQ335" s="208"/>
      <c r="AR335" s="226"/>
      <c r="AS335" s="225"/>
      <c r="AT335" s="226"/>
      <c r="AU335" s="225"/>
      <c r="AV335" s="225"/>
      <c r="AW335" s="225"/>
      <c r="AX335" s="225"/>
      <c r="AY335" s="225"/>
    </row>
    <row r="336" spans="33:51" x14ac:dyDescent="0.25">
      <c r="AG336" s="66">
        <f>IF(AND(Множество[[#This Row],[Y]]=1),ROW()-ROW(Множество[[#Headers],[№]]),"")</f>
        <v>327</v>
      </c>
      <c r="AH336" t="s">
        <v>608</v>
      </c>
      <c r="AI336" s="66">
        <v>1</v>
      </c>
      <c r="AJ336" s="66">
        <f>IF(LEN(Множество[[#This Row],[Свёртка]])&gt;0,1,-1)</f>
        <v>1</v>
      </c>
      <c r="AK336" s="66" t="s">
        <v>1781</v>
      </c>
      <c r="AL336" s="209">
        <f>IF(LEN(Множество[[#This Row],[Критерии]])&gt;0,1,-1)</f>
        <v>1</v>
      </c>
      <c r="AM336" s="209">
        <f>IF(AND(LEN(Множество[[#This Row],[Свёртка]])&gt;0,LEN(Множество[[#This Row],[Критерии]])&gt;0,LEN(Множество[[#This Row],[Оценки]])&gt;0),1,-1)</f>
        <v>1</v>
      </c>
      <c r="AN336">
        <v>-2.5249999999999999</v>
      </c>
      <c r="AO336">
        <v>-16.600000000000001</v>
      </c>
      <c r="AP336" s="208"/>
      <c r="AQ336" s="208"/>
      <c r="AR336" s="226"/>
      <c r="AS336" s="225"/>
      <c r="AT336" s="226"/>
      <c r="AU336" s="225"/>
      <c r="AV336" s="225"/>
      <c r="AW336" s="225"/>
      <c r="AX336" s="225"/>
      <c r="AY336" s="225"/>
    </row>
    <row r="337" spans="33:51" x14ac:dyDescent="0.25">
      <c r="AG337" s="66">
        <f>IF(AND(Множество[[#This Row],[Y]]=1),ROW()-ROW(Множество[[#Headers],[№]]),"")</f>
        <v>328</v>
      </c>
      <c r="AH337" t="s">
        <v>608</v>
      </c>
      <c r="AI337" s="66">
        <v>1</v>
      </c>
      <c r="AJ337" s="66">
        <f>IF(LEN(Множество[[#This Row],[Свёртка]])&gt;0,1,-1)</f>
        <v>1</v>
      </c>
      <c r="AK337" s="66" t="s">
        <v>1781</v>
      </c>
      <c r="AL337" s="209">
        <f>IF(LEN(Множество[[#This Row],[Критерии]])&gt;0,1,-1)</f>
        <v>1</v>
      </c>
      <c r="AM337" s="209">
        <f>IF(AND(LEN(Множество[[#This Row],[Свёртка]])&gt;0,LEN(Множество[[#This Row],[Критерии]])&gt;0,LEN(Множество[[#This Row],[Оценки]])&gt;0),1,-1)</f>
        <v>1</v>
      </c>
      <c r="AN337">
        <v>-2.6749999999999998</v>
      </c>
      <c r="AO337">
        <v>-16.633333333333301</v>
      </c>
      <c r="AP337" s="208"/>
      <c r="AQ337" s="208"/>
      <c r="AR337" s="226"/>
      <c r="AS337" s="225"/>
      <c r="AT337" s="226"/>
      <c r="AU337" s="225"/>
      <c r="AV337" s="225"/>
      <c r="AW337" s="225"/>
      <c r="AX337" s="225"/>
      <c r="AY337" s="225"/>
    </row>
    <row r="338" spans="33:51" x14ac:dyDescent="0.25">
      <c r="AG338" s="66">
        <f>IF(AND(Множество[[#This Row],[Y]]=1),ROW()-ROW(Множество[[#Headers],[№]]),"")</f>
        <v>329</v>
      </c>
      <c r="AH338" t="s">
        <v>608</v>
      </c>
      <c r="AI338" s="66">
        <v>1</v>
      </c>
      <c r="AJ338" s="66">
        <f>IF(LEN(Множество[[#This Row],[Свёртка]])&gt;0,1,-1)</f>
        <v>1</v>
      </c>
      <c r="AK338" s="66" t="s">
        <v>1781</v>
      </c>
      <c r="AL338" s="209">
        <f>IF(LEN(Множество[[#This Row],[Критерии]])&gt;0,1,-1)</f>
        <v>1</v>
      </c>
      <c r="AM338" s="209">
        <f>IF(AND(LEN(Множество[[#This Row],[Свёртка]])&gt;0,LEN(Множество[[#This Row],[Критерии]])&gt;0,LEN(Множество[[#This Row],[Оценки]])&gt;0),1,-1)</f>
        <v>1</v>
      </c>
      <c r="AN338">
        <v>-2.6</v>
      </c>
      <c r="AO338">
        <v>-16.616666666666699</v>
      </c>
      <c r="AP338" s="208"/>
      <c r="AQ338" s="208"/>
      <c r="AR338" s="226"/>
      <c r="AS338" s="225"/>
      <c r="AT338" s="226"/>
      <c r="AU338" s="225"/>
      <c r="AV338" s="225"/>
      <c r="AW338" s="225"/>
      <c r="AX338" s="225"/>
      <c r="AY338" s="225"/>
    </row>
    <row r="339" spans="33:51" x14ac:dyDescent="0.25">
      <c r="AG339" s="66">
        <f>IF(AND(Множество[[#This Row],[Y]]=1),ROW()-ROW(Множество[[#Headers],[№]]),"")</f>
        <v>330</v>
      </c>
      <c r="AH339" t="s">
        <v>608</v>
      </c>
      <c r="AI339" s="66">
        <v>1</v>
      </c>
      <c r="AJ339" s="66">
        <f>IF(LEN(Множество[[#This Row],[Свёртка]])&gt;0,1,-1)</f>
        <v>1</v>
      </c>
      <c r="AK339" s="66" t="s">
        <v>1781</v>
      </c>
      <c r="AL339" s="209">
        <f>IF(LEN(Множество[[#This Row],[Критерии]])&gt;0,1,-1)</f>
        <v>1</v>
      </c>
      <c r="AM339" s="209">
        <f>IF(AND(LEN(Множество[[#This Row],[Свёртка]])&gt;0,LEN(Множество[[#This Row],[Критерии]])&gt;0,LEN(Множество[[#This Row],[Оценки]])&gt;0),1,-1)</f>
        <v>1</v>
      </c>
      <c r="AN339">
        <v>-2.8250000000000002</v>
      </c>
      <c r="AO339">
        <v>-16.649999999999999</v>
      </c>
      <c r="AP339" s="208"/>
      <c r="AQ339" s="208"/>
      <c r="AR339" s="226"/>
      <c r="AS339" s="225"/>
      <c r="AT339" s="226"/>
      <c r="AU339" s="225"/>
      <c r="AV339" s="225"/>
      <c r="AW339" s="225"/>
      <c r="AX339" s="225"/>
      <c r="AY339" s="225"/>
    </row>
    <row r="340" spans="33:51" x14ac:dyDescent="0.25">
      <c r="AG340" s="66">
        <f>IF(AND(Множество[[#This Row],[Y]]=1),ROW()-ROW(Множество[[#Headers],[№]]),"")</f>
        <v>331</v>
      </c>
      <c r="AH340" t="s">
        <v>608</v>
      </c>
      <c r="AI340" s="66">
        <v>1</v>
      </c>
      <c r="AJ340" s="66">
        <f>IF(LEN(Множество[[#This Row],[Свёртка]])&gt;0,1,-1)</f>
        <v>1</v>
      </c>
      <c r="AK340" s="66" t="s">
        <v>1781</v>
      </c>
      <c r="AL340" s="209">
        <f>IF(LEN(Множество[[#This Row],[Критерии]])&gt;0,1,-1)</f>
        <v>1</v>
      </c>
      <c r="AM340" s="209">
        <f>IF(AND(LEN(Множество[[#This Row],[Свёртка]])&gt;0,LEN(Множество[[#This Row],[Критерии]])&gt;0,LEN(Множество[[#This Row],[Оценки]])&gt;0),1,-1)</f>
        <v>1</v>
      </c>
      <c r="AN340">
        <v>-2.9</v>
      </c>
      <c r="AO340">
        <v>-16.6666666666667</v>
      </c>
      <c r="AP340" s="208"/>
      <c r="AQ340" s="208"/>
      <c r="AR340" s="226"/>
      <c r="AS340" s="225"/>
      <c r="AT340" s="226"/>
      <c r="AU340" s="225"/>
      <c r="AV340" s="225"/>
      <c r="AW340" s="225"/>
      <c r="AX340" s="225"/>
      <c r="AY340" s="225"/>
    </row>
    <row r="341" spans="33:51" x14ac:dyDescent="0.25">
      <c r="AG341" s="66">
        <f>IF(AND(Множество[[#This Row],[Y]]=1),ROW()-ROW(Множество[[#Headers],[№]]),"")</f>
        <v>332</v>
      </c>
      <c r="AH341" t="s">
        <v>608</v>
      </c>
      <c r="AI341" s="66">
        <v>1</v>
      </c>
      <c r="AJ341" s="66">
        <f>IF(LEN(Множество[[#This Row],[Свёртка]])&gt;0,1,-1)</f>
        <v>1</v>
      </c>
      <c r="AK341" s="66" t="s">
        <v>1781</v>
      </c>
      <c r="AL341" s="209">
        <f>IF(LEN(Множество[[#This Row],[Критерии]])&gt;0,1,-1)</f>
        <v>1</v>
      </c>
      <c r="AM341" s="209">
        <f>IF(AND(LEN(Множество[[#This Row],[Свёртка]])&gt;0,LEN(Множество[[#This Row],[Критерии]])&gt;0,LEN(Множество[[#This Row],[Оценки]])&gt;0),1,-1)</f>
        <v>1</v>
      </c>
      <c r="AN341">
        <v>-2.9750000000000001</v>
      </c>
      <c r="AO341">
        <v>-17.149999999999999</v>
      </c>
      <c r="AP341" s="208"/>
      <c r="AQ341" s="208"/>
      <c r="AR341" s="226"/>
      <c r="AS341" s="225"/>
      <c r="AT341" s="226"/>
      <c r="AU341" s="225"/>
      <c r="AV341" s="225"/>
      <c r="AW341" s="225"/>
      <c r="AX341" s="225"/>
      <c r="AY341" s="225"/>
    </row>
    <row r="342" spans="33:51" x14ac:dyDescent="0.25">
      <c r="AG342" s="66">
        <f>IF(AND(Множество[[#This Row],[Y]]=1),ROW()-ROW(Множество[[#Headers],[№]]),"")</f>
        <v>333</v>
      </c>
      <c r="AH342" t="s">
        <v>608</v>
      </c>
      <c r="AI342" s="66">
        <v>1</v>
      </c>
      <c r="AJ342" s="66">
        <f>IF(LEN(Множество[[#This Row],[Свёртка]])&gt;0,1,-1)</f>
        <v>1</v>
      </c>
      <c r="AK342" s="66" t="s">
        <v>1781</v>
      </c>
      <c r="AL342" s="209">
        <f>IF(LEN(Множество[[#This Row],[Критерии]])&gt;0,1,-1)</f>
        <v>1</v>
      </c>
      <c r="AM342" s="209">
        <f>IF(AND(LEN(Множество[[#This Row],[Свёртка]])&gt;0,LEN(Множество[[#This Row],[Критерии]])&gt;0,LEN(Множество[[#This Row],[Оценки]])&gt;0),1,-1)</f>
        <v>1</v>
      </c>
      <c r="AN342">
        <v>-3.05</v>
      </c>
      <c r="AO342">
        <v>-17.2</v>
      </c>
      <c r="AP342" s="208"/>
      <c r="AQ342" s="208"/>
      <c r="AR342" s="226"/>
      <c r="AS342" s="225"/>
      <c r="AT342" s="226"/>
      <c r="AU342" s="225"/>
      <c r="AV342" s="225"/>
      <c r="AW342" s="225"/>
      <c r="AX342" s="225"/>
      <c r="AY342" s="225"/>
    </row>
    <row r="343" spans="33:51" x14ac:dyDescent="0.25">
      <c r="AG343" s="66">
        <f>IF(AND(Множество[[#This Row],[Y]]=1),ROW()-ROW(Множество[[#Headers],[№]]),"")</f>
        <v>334</v>
      </c>
      <c r="AH343" t="s">
        <v>608</v>
      </c>
      <c r="AI343" s="66">
        <v>1</v>
      </c>
      <c r="AJ343" s="66">
        <f>IF(LEN(Множество[[#This Row],[Свёртка]])&gt;0,1,-1)</f>
        <v>1</v>
      </c>
      <c r="AK343" s="66" t="s">
        <v>1781</v>
      </c>
      <c r="AL343" s="209">
        <f>IF(LEN(Множество[[#This Row],[Критерии]])&gt;0,1,-1)</f>
        <v>1</v>
      </c>
      <c r="AM343" s="209">
        <f>IF(AND(LEN(Множество[[#This Row],[Свёртка]])&gt;0,LEN(Множество[[#This Row],[Критерии]])&gt;0,LEN(Множество[[#This Row],[Оценки]])&gt;0),1,-1)</f>
        <v>1</v>
      </c>
      <c r="AN343">
        <v>-3.125</v>
      </c>
      <c r="AO343">
        <v>-17.25</v>
      </c>
      <c r="AP343" s="208"/>
      <c r="AQ343" s="208"/>
      <c r="AR343" s="226"/>
      <c r="AS343" s="225"/>
      <c r="AT343" s="226"/>
      <c r="AU343" s="225"/>
      <c r="AV343" s="225"/>
      <c r="AW343" s="225"/>
      <c r="AX343" s="225"/>
      <c r="AY343" s="225"/>
    </row>
    <row r="344" spans="33:51" x14ac:dyDescent="0.25">
      <c r="AG344" s="66">
        <f>IF(AND(Множество[[#This Row],[Y]]=1),ROW()-ROW(Множество[[#Headers],[№]]),"")</f>
        <v>335</v>
      </c>
      <c r="AH344" t="s">
        <v>608</v>
      </c>
      <c r="AI344" s="66">
        <v>1</v>
      </c>
      <c r="AJ344" s="66">
        <f>IF(LEN(Множество[[#This Row],[Свёртка]])&gt;0,1,-1)</f>
        <v>1</v>
      </c>
      <c r="AK344" s="66" t="s">
        <v>1781</v>
      </c>
      <c r="AL344" s="209">
        <f>IF(LEN(Множество[[#This Row],[Критерии]])&gt;0,1,-1)</f>
        <v>1</v>
      </c>
      <c r="AM344" s="209">
        <f>IF(AND(LEN(Множество[[#This Row],[Свёртка]])&gt;0,LEN(Множество[[#This Row],[Критерии]])&gt;0,LEN(Множество[[#This Row],[Оценки]])&gt;0),1,-1)</f>
        <v>1</v>
      </c>
      <c r="AN344">
        <v>-3.2</v>
      </c>
      <c r="AO344">
        <v>-17.283333333333299</v>
      </c>
      <c r="AP344" s="208"/>
      <c r="AQ344" s="208"/>
      <c r="AR344" s="226"/>
      <c r="AS344" s="225"/>
      <c r="AT344" s="226"/>
      <c r="AU344" s="225"/>
      <c r="AV344" s="225"/>
      <c r="AW344" s="225"/>
      <c r="AX344" s="225"/>
      <c r="AY344" s="225"/>
    </row>
    <row r="345" spans="33:51" x14ac:dyDescent="0.25">
      <c r="AG345" s="66">
        <f>IF(AND(Множество[[#This Row],[Y]]=1),ROW()-ROW(Множество[[#Headers],[№]]),"")</f>
        <v>336</v>
      </c>
      <c r="AH345" t="s">
        <v>608</v>
      </c>
      <c r="AI345" s="66">
        <v>1</v>
      </c>
      <c r="AJ345" s="66">
        <f>IF(LEN(Множество[[#This Row],[Свёртка]])&gt;0,1,-1)</f>
        <v>1</v>
      </c>
      <c r="AK345" s="66" t="s">
        <v>1781</v>
      </c>
      <c r="AL345" s="209">
        <f>IF(LEN(Множество[[#This Row],[Критерии]])&gt;0,1,-1)</f>
        <v>1</v>
      </c>
      <c r="AM345" s="209">
        <f>IF(AND(LEN(Множество[[#This Row],[Свёртка]])&gt;0,LEN(Множество[[#This Row],[Критерии]])&gt;0,LEN(Множество[[#This Row],[Оценки]])&gt;0),1,-1)</f>
        <v>1</v>
      </c>
      <c r="AN345">
        <v>-3.2749999999999999</v>
      </c>
      <c r="AO345">
        <v>-17.3333333333333</v>
      </c>
      <c r="AP345" s="208"/>
      <c r="AQ345" s="208"/>
      <c r="AR345" s="226"/>
      <c r="AS345" s="225"/>
      <c r="AT345" s="226"/>
      <c r="AU345" s="225"/>
      <c r="AV345" s="225"/>
      <c r="AW345" s="225"/>
      <c r="AX345" s="225"/>
      <c r="AY345" s="225"/>
    </row>
    <row r="346" spans="33:51" x14ac:dyDescent="0.25">
      <c r="AG346" s="66">
        <f>IF(AND(Множество[[#This Row],[Y]]=1),ROW()-ROW(Множество[[#Headers],[№]]),"")</f>
        <v>337</v>
      </c>
      <c r="AH346" t="s">
        <v>608</v>
      </c>
      <c r="AI346" s="66">
        <v>1</v>
      </c>
      <c r="AJ346" s="66">
        <f>IF(LEN(Множество[[#This Row],[Свёртка]])&gt;0,1,-1)</f>
        <v>1</v>
      </c>
      <c r="AK346" s="66" t="s">
        <v>1781</v>
      </c>
      <c r="AL346" s="209">
        <f>IF(LEN(Множество[[#This Row],[Критерии]])&gt;0,1,-1)</f>
        <v>1</v>
      </c>
      <c r="AM346" s="209">
        <f>IF(AND(LEN(Множество[[#This Row],[Свёртка]])&gt;0,LEN(Множество[[#This Row],[Критерии]])&gt;0,LEN(Множество[[#This Row],[Оценки]])&gt;0),1,-1)</f>
        <v>1</v>
      </c>
      <c r="AN346">
        <v>-3.35</v>
      </c>
      <c r="AO346">
        <v>-17.366666666666699</v>
      </c>
      <c r="AP346" s="208"/>
      <c r="AQ346" s="208"/>
      <c r="AR346" s="226"/>
      <c r="AS346" s="225"/>
      <c r="AT346" s="226"/>
      <c r="AU346" s="225"/>
      <c r="AV346" s="225"/>
      <c r="AW346" s="225"/>
      <c r="AX346" s="225"/>
      <c r="AY346" s="225"/>
    </row>
    <row r="347" spans="33:51" x14ac:dyDescent="0.25">
      <c r="AG347" s="66">
        <f>IF(AND(Множество[[#This Row],[Y]]=1),ROW()-ROW(Множество[[#Headers],[№]]),"")</f>
        <v>338</v>
      </c>
      <c r="AH347" t="s">
        <v>608</v>
      </c>
      <c r="AI347" s="66">
        <v>1</v>
      </c>
      <c r="AJ347" s="66">
        <f>IF(LEN(Множество[[#This Row],[Свёртка]])&gt;0,1,-1)</f>
        <v>1</v>
      </c>
      <c r="AK347" s="66" t="s">
        <v>1781</v>
      </c>
      <c r="AL347" s="209">
        <f>IF(LEN(Множество[[#This Row],[Критерии]])&gt;0,1,-1)</f>
        <v>1</v>
      </c>
      <c r="AM347" s="209">
        <f>IF(AND(LEN(Множество[[#This Row],[Свёртка]])&gt;0,LEN(Множество[[#This Row],[Критерии]])&gt;0,LEN(Множество[[#This Row],[Оценки]])&gt;0),1,-1)</f>
        <v>1</v>
      </c>
      <c r="AN347">
        <v>-3.4249999999999998</v>
      </c>
      <c r="AO347">
        <v>-17.4166666666667</v>
      </c>
      <c r="AP347" s="208"/>
      <c r="AQ347" s="208"/>
      <c r="AR347" s="226"/>
      <c r="AS347" s="225"/>
      <c r="AT347" s="226"/>
      <c r="AU347" s="225"/>
      <c r="AV347" s="225"/>
      <c r="AW347" s="225"/>
      <c r="AX347" s="225"/>
      <c r="AY347" s="225"/>
    </row>
    <row r="348" spans="33:51" x14ac:dyDescent="0.25">
      <c r="AG348" s="66">
        <f>IF(AND(Множество[[#This Row],[Y]]=1),ROW()-ROW(Множество[[#Headers],[№]]),"")</f>
        <v>339</v>
      </c>
      <c r="AH348" t="s">
        <v>608</v>
      </c>
      <c r="AI348" s="66">
        <v>1</v>
      </c>
      <c r="AJ348" s="66">
        <f>IF(LEN(Множество[[#This Row],[Свёртка]])&gt;0,1,-1)</f>
        <v>1</v>
      </c>
      <c r="AK348" s="66" t="s">
        <v>1781</v>
      </c>
      <c r="AL348" s="209">
        <f>IF(LEN(Множество[[#This Row],[Критерии]])&gt;0,1,-1)</f>
        <v>1</v>
      </c>
      <c r="AM348" s="209">
        <f>IF(AND(LEN(Множество[[#This Row],[Свёртка]])&gt;0,LEN(Множество[[#This Row],[Критерии]])&gt;0,LEN(Множество[[#This Row],[Оценки]])&gt;0),1,-1)</f>
        <v>1</v>
      </c>
      <c r="AN348">
        <v>-3.5</v>
      </c>
      <c r="AO348">
        <v>-17.466666666666701</v>
      </c>
      <c r="AP348" s="208"/>
      <c r="AQ348" s="208"/>
      <c r="AR348" s="226"/>
      <c r="AS348" s="225"/>
      <c r="AT348" s="226"/>
      <c r="AU348" s="225"/>
      <c r="AV348" s="225"/>
      <c r="AW348" s="225"/>
      <c r="AX348" s="225"/>
      <c r="AY348" s="225"/>
    </row>
    <row r="349" spans="33:51" x14ac:dyDescent="0.25">
      <c r="AG349" s="66">
        <f>IF(AND(Множество[[#This Row],[Y]]=1),ROW()-ROW(Множество[[#Headers],[№]]),"")</f>
        <v>340</v>
      </c>
      <c r="AH349" t="s">
        <v>608</v>
      </c>
      <c r="AI349" s="66">
        <v>1</v>
      </c>
      <c r="AJ349" s="66">
        <f>IF(LEN(Множество[[#This Row],[Свёртка]])&gt;0,1,-1)</f>
        <v>1</v>
      </c>
      <c r="AK349" s="66" t="s">
        <v>1781</v>
      </c>
      <c r="AL349" s="209">
        <f>IF(LEN(Множество[[#This Row],[Критерии]])&gt;0,1,-1)</f>
        <v>1</v>
      </c>
      <c r="AM349" s="209">
        <f>IF(AND(LEN(Множество[[#This Row],[Свёртка]])&gt;0,LEN(Множество[[#This Row],[Критерии]])&gt;0,LEN(Множество[[#This Row],[Оценки]])&gt;0),1,-1)</f>
        <v>1</v>
      </c>
      <c r="AN349">
        <v>-3.5750000000000002</v>
      </c>
      <c r="AO349">
        <v>-17.5</v>
      </c>
      <c r="AP349" s="208"/>
      <c r="AQ349" s="208"/>
      <c r="AR349" s="226"/>
      <c r="AS349" s="225"/>
      <c r="AT349" s="226"/>
      <c r="AU349" s="225"/>
      <c r="AV349" s="225"/>
      <c r="AW349" s="225"/>
      <c r="AX349" s="225"/>
      <c r="AY349" s="225"/>
    </row>
    <row r="350" spans="33:51" x14ac:dyDescent="0.25">
      <c r="AG350" s="66">
        <f>IF(AND(Множество[[#This Row],[Y]]=1),ROW()-ROW(Множество[[#Headers],[№]]),"")</f>
        <v>341</v>
      </c>
      <c r="AH350" t="s">
        <v>608</v>
      </c>
      <c r="AI350" s="66">
        <v>1</v>
      </c>
      <c r="AJ350" s="66">
        <f>IF(LEN(Множество[[#This Row],[Свёртка]])&gt;0,1,-1)</f>
        <v>1</v>
      </c>
      <c r="AK350" s="66" t="s">
        <v>1781</v>
      </c>
      <c r="AL350" s="209">
        <f>IF(LEN(Множество[[#This Row],[Критерии]])&gt;0,1,-1)</f>
        <v>1</v>
      </c>
      <c r="AM350" s="209">
        <f>IF(AND(LEN(Множество[[#This Row],[Свёртка]])&gt;0,LEN(Множество[[#This Row],[Критерии]])&gt;0,LEN(Множество[[#This Row],[Оценки]])&gt;0),1,-1)</f>
        <v>1</v>
      </c>
      <c r="AN350">
        <v>-2.9</v>
      </c>
      <c r="AO350">
        <v>-18.3333333333333</v>
      </c>
      <c r="AP350" s="208"/>
      <c r="AQ350" s="208"/>
      <c r="AR350" s="226"/>
      <c r="AS350" s="225"/>
      <c r="AT350" s="226"/>
      <c r="AU350" s="225"/>
      <c r="AV350" s="225"/>
      <c r="AW350" s="225"/>
      <c r="AX350" s="225"/>
      <c r="AY350" s="225"/>
    </row>
    <row r="351" spans="33:51" x14ac:dyDescent="0.25">
      <c r="AG351" s="66">
        <f>IF(AND(Множество[[#This Row],[Y]]=1),ROW()-ROW(Множество[[#Headers],[№]]),"")</f>
        <v>342</v>
      </c>
      <c r="AH351" t="s">
        <v>608</v>
      </c>
      <c r="AI351" s="66">
        <v>1</v>
      </c>
      <c r="AJ351" s="66">
        <f>IF(LEN(Множество[[#This Row],[Свёртка]])&gt;0,1,-1)</f>
        <v>1</v>
      </c>
      <c r="AK351" s="66" t="s">
        <v>1781</v>
      </c>
      <c r="AL351" s="209">
        <f>IF(LEN(Множество[[#This Row],[Критерии]])&gt;0,1,-1)</f>
        <v>1</v>
      </c>
      <c r="AM351" s="209">
        <f>IF(AND(LEN(Множество[[#This Row],[Свёртка]])&gt;0,LEN(Множество[[#This Row],[Критерии]])&gt;0,LEN(Множество[[#This Row],[Оценки]])&gt;0),1,-1)</f>
        <v>1</v>
      </c>
      <c r="AN351">
        <v>-2.9750000000000001</v>
      </c>
      <c r="AO351">
        <v>-18.816666666666698</v>
      </c>
      <c r="AP351" s="208"/>
      <c r="AQ351" s="208"/>
      <c r="AR351" s="226"/>
      <c r="AS351" s="225"/>
      <c r="AT351" s="226"/>
      <c r="AU351" s="225"/>
      <c r="AV351" s="225"/>
      <c r="AW351" s="225"/>
      <c r="AX351" s="225"/>
      <c r="AY351" s="225"/>
    </row>
    <row r="352" spans="33:51" x14ac:dyDescent="0.25">
      <c r="AG352" s="66">
        <f>IF(AND(Множество[[#This Row],[Y]]=1),ROW()-ROW(Множество[[#Headers],[№]]),"")</f>
        <v>343</v>
      </c>
      <c r="AH352" t="s">
        <v>608</v>
      </c>
      <c r="AI352" s="66">
        <v>1</v>
      </c>
      <c r="AJ352" s="66">
        <f>IF(LEN(Множество[[#This Row],[Свёртка]])&gt;0,1,-1)</f>
        <v>1</v>
      </c>
      <c r="AK352" s="66" t="s">
        <v>1781</v>
      </c>
      <c r="AL352" s="209">
        <f>IF(LEN(Множество[[#This Row],[Критерии]])&gt;0,1,-1)</f>
        <v>1</v>
      </c>
      <c r="AM352" s="209">
        <f>IF(AND(LEN(Множество[[#This Row],[Свёртка]])&gt;0,LEN(Множество[[#This Row],[Критерии]])&gt;0,LEN(Множество[[#This Row],[Оценки]])&gt;0),1,-1)</f>
        <v>1</v>
      </c>
      <c r="AN352">
        <v>-3.05</v>
      </c>
      <c r="AO352">
        <v>-18.866666666666699</v>
      </c>
      <c r="AP352" s="208"/>
      <c r="AQ352" s="208"/>
      <c r="AR352" s="226"/>
      <c r="AS352" s="225"/>
      <c r="AT352" s="226"/>
      <c r="AU352" s="225"/>
      <c r="AV352" s="225"/>
      <c r="AW352" s="225"/>
      <c r="AX352" s="225"/>
      <c r="AY352" s="225"/>
    </row>
    <row r="353" spans="33:51" x14ac:dyDescent="0.25">
      <c r="AG353" s="66">
        <f>IF(AND(Множество[[#This Row],[Y]]=1),ROW()-ROW(Множество[[#Headers],[№]]),"")</f>
        <v>344</v>
      </c>
      <c r="AH353" t="s">
        <v>608</v>
      </c>
      <c r="AI353" s="66">
        <v>1</v>
      </c>
      <c r="AJ353" s="66">
        <f>IF(LEN(Множество[[#This Row],[Свёртка]])&gt;0,1,-1)</f>
        <v>1</v>
      </c>
      <c r="AK353" s="66" t="s">
        <v>1781</v>
      </c>
      <c r="AL353" s="209">
        <f>IF(LEN(Множество[[#This Row],[Критерии]])&gt;0,1,-1)</f>
        <v>1</v>
      </c>
      <c r="AM353" s="209">
        <f>IF(AND(LEN(Множество[[#This Row],[Свёртка]])&gt;0,LEN(Множество[[#This Row],[Критерии]])&gt;0,LEN(Множество[[#This Row],[Оценки]])&gt;0),1,-1)</f>
        <v>1</v>
      </c>
      <c r="AN353">
        <v>-3.125</v>
      </c>
      <c r="AO353">
        <v>-18.9166666666667</v>
      </c>
      <c r="AP353" s="208"/>
      <c r="AQ353" s="208"/>
      <c r="AR353" s="226"/>
      <c r="AS353" s="225"/>
      <c r="AT353" s="226"/>
      <c r="AU353" s="225"/>
      <c r="AV353" s="225"/>
      <c r="AW353" s="225"/>
      <c r="AX353" s="225"/>
      <c r="AY353" s="225"/>
    </row>
    <row r="354" spans="33:51" x14ac:dyDescent="0.25">
      <c r="AG354" s="66">
        <f>IF(AND(Множество[[#This Row],[Y]]=1),ROW()-ROW(Множество[[#Headers],[№]]),"")</f>
        <v>345</v>
      </c>
      <c r="AH354" t="s">
        <v>608</v>
      </c>
      <c r="AI354" s="66">
        <v>1</v>
      </c>
      <c r="AJ354" s="66">
        <f>IF(LEN(Множество[[#This Row],[Свёртка]])&gt;0,1,-1)</f>
        <v>1</v>
      </c>
      <c r="AK354" s="66" t="s">
        <v>1781</v>
      </c>
      <c r="AL354" s="209">
        <f>IF(LEN(Множество[[#This Row],[Критерии]])&gt;0,1,-1)</f>
        <v>1</v>
      </c>
      <c r="AM354" s="209">
        <f>IF(AND(LEN(Множество[[#This Row],[Свёртка]])&gt;0,LEN(Множество[[#This Row],[Критерии]])&gt;0,LEN(Множество[[#This Row],[Оценки]])&gt;0),1,-1)</f>
        <v>1</v>
      </c>
      <c r="AN354">
        <v>-3.2</v>
      </c>
      <c r="AO354">
        <v>-18.95</v>
      </c>
      <c r="AP354" s="208"/>
      <c r="AQ354" s="208"/>
      <c r="AR354" s="226"/>
      <c r="AS354" s="225"/>
      <c r="AT354" s="226"/>
      <c r="AU354" s="225"/>
      <c r="AV354" s="225"/>
      <c r="AW354" s="225"/>
      <c r="AX354" s="225"/>
      <c r="AY354" s="225"/>
    </row>
    <row r="355" spans="33:51" x14ac:dyDescent="0.25">
      <c r="AG355" s="66">
        <f>IF(AND(Множество[[#This Row],[Y]]=1),ROW()-ROW(Множество[[#Headers],[№]]),"")</f>
        <v>346</v>
      </c>
      <c r="AH355" t="s">
        <v>608</v>
      </c>
      <c r="AI355" s="66">
        <v>1</v>
      </c>
      <c r="AJ355" s="66">
        <f>IF(LEN(Множество[[#This Row],[Свёртка]])&gt;0,1,-1)</f>
        <v>1</v>
      </c>
      <c r="AK355" s="66" t="s">
        <v>1781</v>
      </c>
      <c r="AL355" s="209">
        <f>IF(LEN(Множество[[#This Row],[Критерии]])&gt;0,1,-1)</f>
        <v>1</v>
      </c>
      <c r="AM355" s="209">
        <f>IF(AND(LEN(Множество[[#This Row],[Свёртка]])&gt;0,LEN(Множество[[#This Row],[Критерии]])&gt;0,LEN(Множество[[#This Row],[Оценки]])&gt;0),1,-1)</f>
        <v>1</v>
      </c>
      <c r="AN355">
        <v>-3.2749999999999999</v>
      </c>
      <c r="AO355">
        <v>-19</v>
      </c>
      <c r="AP355" s="208"/>
      <c r="AQ355" s="208"/>
      <c r="AR355" s="226"/>
      <c r="AS355" s="225"/>
      <c r="AT355" s="226"/>
      <c r="AU355" s="225"/>
      <c r="AV355" s="225"/>
      <c r="AW355" s="225"/>
      <c r="AX355" s="225"/>
      <c r="AY355" s="225"/>
    </row>
    <row r="356" spans="33:51" x14ac:dyDescent="0.25">
      <c r="AG356" s="66">
        <f>IF(AND(Множество[[#This Row],[Y]]=1),ROW()-ROW(Множество[[#Headers],[№]]),"")</f>
        <v>347</v>
      </c>
      <c r="AH356" t="s">
        <v>608</v>
      </c>
      <c r="AI356" s="66">
        <v>1</v>
      </c>
      <c r="AJ356" s="66">
        <f>IF(LEN(Множество[[#This Row],[Свёртка]])&gt;0,1,-1)</f>
        <v>1</v>
      </c>
      <c r="AK356" s="66" t="s">
        <v>1781</v>
      </c>
      <c r="AL356" s="209">
        <f>IF(LEN(Множество[[#This Row],[Критерии]])&gt;0,1,-1)</f>
        <v>1</v>
      </c>
      <c r="AM356" s="209">
        <f>IF(AND(LEN(Множество[[#This Row],[Свёртка]])&gt;0,LEN(Множество[[#This Row],[Критерии]])&gt;0,LEN(Множество[[#This Row],[Оценки]])&gt;0),1,-1)</f>
        <v>1</v>
      </c>
      <c r="AN356">
        <v>-3.35</v>
      </c>
      <c r="AO356">
        <v>-19.033333333333299</v>
      </c>
      <c r="AP356" s="208"/>
      <c r="AQ356" s="208"/>
      <c r="AR356" s="226"/>
      <c r="AS356" s="225"/>
      <c r="AT356" s="226"/>
      <c r="AU356" s="225"/>
      <c r="AV356" s="225"/>
      <c r="AW356" s="225"/>
      <c r="AX356" s="225"/>
      <c r="AY356" s="225"/>
    </row>
    <row r="357" spans="33:51" x14ac:dyDescent="0.25">
      <c r="AG357" s="66">
        <f>IF(AND(Множество[[#This Row],[Y]]=1),ROW()-ROW(Множество[[#Headers],[№]]),"")</f>
        <v>348</v>
      </c>
      <c r="AH357" t="s">
        <v>608</v>
      </c>
      <c r="AI357" s="66">
        <v>1</v>
      </c>
      <c r="AJ357" s="66">
        <f>IF(LEN(Множество[[#This Row],[Свёртка]])&gt;0,1,-1)</f>
        <v>1</v>
      </c>
      <c r="AK357" s="66" t="s">
        <v>1781</v>
      </c>
      <c r="AL357" s="209">
        <f>IF(LEN(Множество[[#This Row],[Критерии]])&gt;0,1,-1)</f>
        <v>1</v>
      </c>
      <c r="AM357" s="209">
        <f>IF(AND(LEN(Множество[[#This Row],[Свёртка]])&gt;0,LEN(Множество[[#This Row],[Критерии]])&gt;0,LEN(Множество[[#This Row],[Оценки]])&gt;0),1,-1)</f>
        <v>1</v>
      </c>
      <c r="AN357">
        <v>-3.4249999999999998</v>
      </c>
      <c r="AO357">
        <v>-19.0833333333333</v>
      </c>
      <c r="AP357" s="208"/>
      <c r="AQ357" s="208"/>
      <c r="AR357" s="226"/>
      <c r="AS357" s="225"/>
      <c r="AT357" s="226"/>
      <c r="AU357" s="225"/>
      <c r="AV357" s="225"/>
      <c r="AW357" s="225"/>
      <c r="AX357" s="225"/>
      <c r="AY357" s="225"/>
    </row>
    <row r="358" spans="33:51" x14ac:dyDescent="0.25">
      <c r="AG358" s="66">
        <f>IF(AND(Множество[[#This Row],[Y]]=1),ROW()-ROW(Множество[[#Headers],[№]]),"")</f>
        <v>349</v>
      </c>
      <c r="AH358" t="s">
        <v>608</v>
      </c>
      <c r="AI358" s="66">
        <v>1</v>
      </c>
      <c r="AJ358" s="66">
        <f>IF(LEN(Множество[[#This Row],[Свёртка]])&gt;0,1,-1)</f>
        <v>1</v>
      </c>
      <c r="AK358" s="66" t="s">
        <v>1781</v>
      </c>
      <c r="AL358" s="209">
        <f>IF(LEN(Множество[[#This Row],[Критерии]])&gt;0,1,-1)</f>
        <v>1</v>
      </c>
      <c r="AM358" s="209">
        <f>IF(AND(LEN(Множество[[#This Row],[Свёртка]])&gt;0,LEN(Множество[[#This Row],[Критерии]])&gt;0,LEN(Множество[[#This Row],[Оценки]])&gt;0),1,-1)</f>
        <v>1</v>
      </c>
      <c r="AN358">
        <v>-3.5</v>
      </c>
      <c r="AO358">
        <v>-19.133333333333301</v>
      </c>
      <c r="AP358" s="208"/>
      <c r="AQ358" s="208"/>
      <c r="AR358" s="226"/>
      <c r="AS358" s="225"/>
      <c r="AT358" s="226"/>
      <c r="AU358" s="225"/>
      <c r="AV358" s="225"/>
      <c r="AW358" s="225"/>
      <c r="AX358" s="225"/>
      <c r="AY358" s="225"/>
    </row>
    <row r="359" spans="33:51" x14ac:dyDescent="0.25">
      <c r="AG359" s="66" t="str">
        <f>IF(AND(Множество[[#This Row],[Y]]=1),ROW()-ROW(Множество[[#Headers],[№]]),"")</f>
        <v/>
      </c>
      <c r="AI359" s="66">
        <v>1</v>
      </c>
      <c r="AJ359" s="66">
        <f>IF(LEN(Множество[[#This Row],[Свёртка]])&gt;0,1,-1)</f>
        <v>1</v>
      </c>
      <c r="AK359" s="66" t="s">
        <v>1781</v>
      </c>
      <c r="AL359" s="209">
        <f>IF(LEN(Множество[[#This Row],[Критерии]])&gt;0,1,-1)</f>
        <v>1</v>
      </c>
      <c r="AM359" s="209">
        <f>IF(AND(LEN(Множество[[#This Row],[Свёртка]])&gt;0,LEN(Множество[[#This Row],[Критерии]])&gt;0,LEN(Множество[[#This Row],[Оценки]])&gt;0),1,-1)</f>
        <v>-1</v>
      </c>
      <c r="AP359" s="208"/>
      <c r="AQ359" s="208"/>
      <c r="AR359" s="226"/>
      <c r="AS359" s="225"/>
      <c r="AT359" s="226"/>
      <c r="AU359" s="225"/>
      <c r="AV359" s="225"/>
      <c r="AW359" s="225"/>
      <c r="AX359" s="225"/>
      <c r="AY359" s="225"/>
    </row>
    <row r="360" spans="33:51" x14ac:dyDescent="0.25">
      <c r="AG360" s="66" t="str">
        <f>IF(AND(Множество[[#This Row],[Y]]=1),ROW()-ROW(Множество[[#Headers],[№]]),"")</f>
        <v/>
      </c>
      <c r="AI360" s="66">
        <v>1</v>
      </c>
      <c r="AJ360" s="66">
        <f>IF(LEN(Множество[[#This Row],[Свёртка]])&gt;0,1,-1)</f>
        <v>1</v>
      </c>
      <c r="AK360" s="66" t="s">
        <v>1781</v>
      </c>
      <c r="AL360" s="209">
        <f>IF(LEN(Множество[[#This Row],[Критерии]])&gt;0,1,-1)</f>
        <v>1</v>
      </c>
      <c r="AM360" s="209">
        <f>IF(AND(LEN(Множество[[#This Row],[Свёртка]])&gt;0,LEN(Множество[[#This Row],[Критерии]])&gt;0,LEN(Множество[[#This Row],[Оценки]])&gt;0),1,-1)</f>
        <v>-1</v>
      </c>
      <c r="AP360" s="208"/>
      <c r="AQ360" s="208"/>
      <c r="AR360" s="226"/>
      <c r="AS360" s="225"/>
      <c r="AT360" s="226"/>
      <c r="AU360" s="225"/>
      <c r="AV360" s="225"/>
      <c r="AW360" s="225"/>
      <c r="AX360" s="225"/>
      <c r="AY360" s="225"/>
    </row>
    <row r="361" spans="33:51" x14ac:dyDescent="0.25">
      <c r="AG361" s="66" t="str">
        <f>IF(AND(Множество[[#This Row],[Y]]=1),ROW()-ROW(Множество[[#Headers],[№]]),"")</f>
        <v/>
      </c>
      <c r="AI361" s="66">
        <v>1</v>
      </c>
      <c r="AJ361" s="66">
        <f>IF(LEN(Множество[[#This Row],[Свёртка]])&gt;0,1,-1)</f>
        <v>1</v>
      </c>
      <c r="AK361" s="66" t="s">
        <v>1781</v>
      </c>
      <c r="AL361" s="209">
        <f>IF(LEN(Множество[[#This Row],[Критерии]])&gt;0,1,-1)</f>
        <v>1</v>
      </c>
      <c r="AM361" s="209">
        <f>IF(AND(LEN(Множество[[#This Row],[Свёртка]])&gt;0,LEN(Множество[[#This Row],[Критерии]])&gt;0,LEN(Множество[[#This Row],[Оценки]])&gt;0),1,-1)</f>
        <v>-1</v>
      </c>
      <c r="AN361" s="208"/>
      <c r="AO361" s="208"/>
      <c r="AP361" s="208"/>
      <c r="AQ361" s="208"/>
      <c r="AR361" s="226"/>
      <c r="AS361" s="225"/>
      <c r="AT361" s="226"/>
      <c r="AU361" s="225"/>
      <c r="AV361" s="225"/>
      <c r="AW361" s="225"/>
      <c r="AX361" s="225"/>
      <c r="AY361" s="225"/>
    </row>
    <row r="362" spans="33:51" x14ac:dyDescent="0.25">
      <c r="AG362" s="66" t="str">
        <f>IF(AND(Множество[[#This Row],[Y]]=1),ROW()-ROW(Множество[[#Headers],[№]]),"")</f>
        <v/>
      </c>
      <c r="AI362" s="66">
        <v>1</v>
      </c>
      <c r="AJ362" s="66">
        <f>IF(LEN(Множество[[#This Row],[Свёртка]])&gt;0,1,-1)</f>
        <v>1</v>
      </c>
      <c r="AK362" s="66" t="s">
        <v>1781</v>
      </c>
      <c r="AL362" s="209">
        <f>IF(LEN(Множество[[#This Row],[Критерии]])&gt;0,1,-1)</f>
        <v>1</v>
      </c>
      <c r="AM362" s="209">
        <f>IF(AND(LEN(Множество[[#This Row],[Свёртка]])&gt;0,LEN(Множество[[#This Row],[Критерии]])&gt;0,LEN(Множество[[#This Row],[Оценки]])&gt;0),1,-1)</f>
        <v>-1</v>
      </c>
      <c r="AN362" s="208"/>
      <c r="AO362" s="208"/>
      <c r="AP362" s="208"/>
      <c r="AQ362" s="208"/>
      <c r="AR362" s="226"/>
      <c r="AS362" s="225"/>
      <c r="AT362" s="226"/>
      <c r="AU362" s="225"/>
      <c r="AV362" s="225"/>
      <c r="AW362" s="225"/>
      <c r="AX362" s="225"/>
      <c r="AY362" s="225"/>
    </row>
    <row r="363" spans="33:51" x14ac:dyDescent="0.25">
      <c r="AG363" s="66" t="str">
        <f>IF(AND(Множество[[#This Row],[Y]]=1),ROW()-ROW(Множество[[#Headers],[№]]),"")</f>
        <v/>
      </c>
      <c r="AI363" s="66">
        <v>1</v>
      </c>
      <c r="AJ363" s="66">
        <f>IF(LEN(Множество[[#This Row],[Свёртка]])&gt;0,1,-1)</f>
        <v>1</v>
      </c>
      <c r="AK363" s="66" t="s">
        <v>1781</v>
      </c>
      <c r="AL363" s="209">
        <f>IF(LEN(Множество[[#This Row],[Критерии]])&gt;0,1,-1)</f>
        <v>1</v>
      </c>
      <c r="AM363" s="209">
        <f>IF(AND(LEN(Множество[[#This Row],[Свёртка]])&gt;0,LEN(Множество[[#This Row],[Критерии]])&gt;0,LEN(Множество[[#This Row],[Оценки]])&gt;0),1,-1)</f>
        <v>-1</v>
      </c>
      <c r="AN363" s="208"/>
      <c r="AO363" s="208"/>
      <c r="AP363" s="208"/>
      <c r="AQ363" s="208"/>
      <c r="AR363" s="226"/>
      <c r="AS363" s="225"/>
      <c r="AT363" s="226"/>
      <c r="AU363" s="225"/>
      <c r="AV363" s="225"/>
      <c r="AW363" s="225"/>
      <c r="AX363" s="225"/>
      <c r="AY363" s="225"/>
    </row>
    <row r="364" spans="33:51" x14ac:dyDescent="0.25">
      <c r="AG364" s="66" t="str">
        <f>IF(AND(Множество[[#This Row],[Y]]=1),ROW()-ROW(Множество[[#Headers],[№]]),"")</f>
        <v/>
      </c>
      <c r="AI364" s="66">
        <v>1</v>
      </c>
      <c r="AJ364" s="66">
        <f>IF(LEN(Множество[[#This Row],[Свёртка]])&gt;0,1,-1)</f>
        <v>1</v>
      </c>
      <c r="AK364" s="66" t="s">
        <v>1781</v>
      </c>
      <c r="AL364" s="209">
        <f>IF(LEN(Множество[[#This Row],[Критерии]])&gt;0,1,-1)</f>
        <v>1</v>
      </c>
      <c r="AM364" s="209">
        <f>IF(AND(LEN(Множество[[#This Row],[Свёртка]])&gt;0,LEN(Множество[[#This Row],[Критерии]])&gt;0,LEN(Множество[[#This Row],[Оценки]])&gt;0),1,-1)</f>
        <v>-1</v>
      </c>
      <c r="AN364" s="208"/>
      <c r="AO364" s="208"/>
      <c r="AP364" s="208"/>
      <c r="AQ364" s="208"/>
      <c r="AR364" s="226"/>
      <c r="AS364" s="225"/>
      <c r="AT364" s="226"/>
      <c r="AU364" s="225"/>
      <c r="AV364" s="225"/>
      <c r="AW364" s="225"/>
      <c r="AX364" s="225"/>
      <c r="AY364" s="225"/>
    </row>
    <row r="365" spans="33:51" x14ac:dyDescent="0.25">
      <c r="AG365" s="66" t="str">
        <f>IF(AND(Множество[[#This Row],[Y]]=1),ROW()-ROW(Множество[[#Headers],[№]]),"")</f>
        <v/>
      </c>
      <c r="AI365" s="66">
        <v>1</v>
      </c>
      <c r="AJ365" s="66">
        <f>IF(LEN(Множество[[#This Row],[Свёртка]])&gt;0,1,-1)</f>
        <v>1</v>
      </c>
      <c r="AK365" s="66" t="s">
        <v>1781</v>
      </c>
      <c r="AL365" s="209">
        <f>IF(LEN(Множество[[#This Row],[Критерии]])&gt;0,1,-1)</f>
        <v>1</v>
      </c>
      <c r="AM365" s="209">
        <f>IF(AND(LEN(Множество[[#This Row],[Свёртка]])&gt;0,LEN(Множество[[#This Row],[Критерии]])&gt;0,LEN(Множество[[#This Row],[Оценки]])&gt;0),1,-1)</f>
        <v>-1</v>
      </c>
      <c r="AN365" s="208"/>
      <c r="AO365" s="208"/>
      <c r="AP365" s="208"/>
      <c r="AQ365" s="208"/>
      <c r="AR365" s="226"/>
      <c r="AS365" s="225"/>
      <c r="AT365" s="226"/>
      <c r="AU365" s="225"/>
      <c r="AV365" s="225"/>
      <c r="AW365" s="225"/>
      <c r="AX365" s="225"/>
      <c r="AY365" s="225"/>
    </row>
    <row r="366" spans="33:51" x14ac:dyDescent="0.25">
      <c r="AG366" s="66" t="str">
        <f>IF(AND(Множество[[#This Row],[Y]]=1),ROW()-ROW(Множество[[#Headers],[№]]),"")</f>
        <v/>
      </c>
      <c r="AI366" s="66">
        <v>1</v>
      </c>
      <c r="AJ366" s="66">
        <f>IF(LEN(Множество[[#This Row],[Свёртка]])&gt;0,1,-1)</f>
        <v>1</v>
      </c>
      <c r="AK366" s="66" t="s">
        <v>1781</v>
      </c>
      <c r="AL366" s="209">
        <f>IF(LEN(Множество[[#This Row],[Критерии]])&gt;0,1,-1)</f>
        <v>1</v>
      </c>
      <c r="AM366" s="209">
        <f>IF(AND(LEN(Множество[[#This Row],[Свёртка]])&gt;0,LEN(Множество[[#This Row],[Критерии]])&gt;0,LEN(Множество[[#This Row],[Оценки]])&gt;0),1,-1)</f>
        <v>-1</v>
      </c>
      <c r="AN366" s="208"/>
      <c r="AO366" s="208"/>
      <c r="AP366" s="208"/>
      <c r="AQ366" s="208"/>
      <c r="AR366" s="226"/>
      <c r="AS366" s="225"/>
      <c r="AT366" s="226"/>
      <c r="AU366" s="225"/>
      <c r="AV366" s="225"/>
      <c r="AW366" s="225"/>
      <c r="AX366" s="225"/>
      <c r="AY366" s="225"/>
    </row>
    <row r="367" spans="33:51" x14ac:dyDescent="0.25">
      <c r="AG367" s="66" t="str">
        <f>IF(AND(Множество[[#This Row],[Y]]=1),ROW()-ROW(Множество[[#Headers],[№]]),"")</f>
        <v/>
      </c>
      <c r="AI367" s="66">
        <v>1</v>
      </c>
      <c r="AJ367" s="66">
        <f>IF(LEN(Множество[[#This Row],[Свёртка]])&gt;0,1,-1)</f>
        <v>1</v>
      </c>
      <c r="AK367" s="66" t="s">
        <v>1781</v>
      </c>
      <c r="AL367" s="209">
        <f>IF(LEN(Множество[[#This Row],[Критерии]])&gt;0,1,-1)</f>
        <v>1</v>
      </c>
      <c r="AM367" s="209">
        <f>IF(AND(LEN(Множество[[#This Row],[Свёртка]])&gt;0,LEN(Множество[[#This Row],[Критерии]])&gt;0,LEN(Множество[[#This Row],[Оценки]])&gt;0),1,-1)</f>
        <v>-1</v>
      </c>
      <c r="AN367" s="208"/>
      <c r="AO367" s="208"/>
      <c r="AP367" s="208"/>
      <c r="AQ367" s="208"/>
      <c r="AR367" s="226"/>
      <c r="AS367" s="225"/>
      <c r="AT367" s="226"/>
      <c r="AU367" s="225"/>
      <c r="AV367" s="225"/>
      <c r="AW367" s="225"/>
      <c r="AX367" s="225"/>
      <c r="AY367" s="225"/>
    </row>
    <row r="368" spans="33:51" x14ac:dyDescent="0.25">
      <c r="AG368" s="66" t="str">
        <f>IF(AND(Множество[[#This Row],[Y]]=1),ROW()-ROW(Множество[[#Headers],[№]]),"")</f>
        <v/>
      </c>
      <c r="AI368" s="66">
        <v>1</v>
      </c>
      <c r="AJ368" s="66">
        <f>IF(LEN(Множество[[#This Row],[Свёртка]])&gt;0,1,-1)</f>
        <v>1</v>
      </c>
      <c r="AK368" s="66" t="s">
        <v>1781</v>
      </c>
      <c r="AL368" s="209">
        <f>IF(LEN(Множество[[#This Row],[Критерии]])&gt;0,1,-1)</f>
        <v>1</v>
      </c>
      <c r="AM368" s="209">
        <f>IF(AND(LEN(Множество[[#This Row],[Свёртка]])&gt;0,LEN(Множество[[#This Row],[Критерии]])&gt;0,LEN(Множество[[#This Row],[Оценки]])&gt;0),1,-1)</f>
        <v>-1</v>
      </c>
      <c r="AN368" s="208"/>
      <c r="AO368" s="208"/>
      <c r="AP368" s="208"/>
      <c r="AQ368" s="208"/>
      <c r="AR368" s="226"/>
      <c r="AS368" s="225"/>
      <c r="AT368" s="226"/>
      <c r="AU368" s="225"/>
      <c r="AV368" s="225"/>
      <c r="AW368" s="225"/>
      <c r="AX368" s="225"/>
      <c r="AY368" s="225"/>
    </row>
    <row r="369" spans="33:51" x14ac:dyDescent="0.25">
      <c r="AG369" s="66" t="str">
        <f>IF(AND(Множество[[#This Row],[Y]]=1),ROW()-ROW(Множество[[#Headers],[№]]),"")</f>
        <v/>
      </c>
      <c r="AI369" s="66">
        <v>1</v>
      </c>
      <c r="AJ369" s="66">
        <f>IF(LEN(Множество[[#This Row],[Свёртка]])&gt;0,1,-1)</f>
        <v>1</v>
      </c>
      <c r="AK369" s="66" t="s">
        <v>1781</v>
      </c>
      <c r="AL369" s="209">
        <f>IF(LEN(Множество[[#This Row],[Критерии]])&gt;0,1,-1)</f>
        <v>1</v>
      </c>
      <c r="AM369" s="209">
        <f>IF(AND(LEN(Множество[[#This Row],[Свёртка]])&gt;0,LEN(Множество[[#This Row],[Критерии]])&gt;0,LEN(Множество[[#This Row],[Оценки]])&gt;0),1,-1)</f>
        <v>-1</v>
      </c>
      <c r="AN369" s="208"/>
      <c r="AO369" s="208"/>
      <c r="AP369" s="208"/>
      <c r="AQ369" s="208"/>
      <c r="AR369" s="226"/>
      <c r="AS369" s="225"/>
      <c r="AT369" s="226"/>
      <c r="AU369" s="225"/>
      <c r="AV369" s="225"/>
      <c r="AW369" s="225"/>
      <c r="AX369" s="225"/>
      <c r="AY369" s="225"/>
    </row>
    <row r="370" spans="33:51" x14ac:dyDescent="0.25">
      <c r="AG370" s="66" t="str">
        <f>IF(AND(Множество[[#This Row],[Y]]=1),ROW()-ROW(Множество[[#Headers],[№]]),"")</f>
        <v/>
      </c>
      <c r="AI370" s="66">
        <v>1</v>
      </c>
      <c r="AJ370" s="66">
        <f>IF(LEN(Множество[[#This Row],[Свёртка]])&gt;0,1,-1)</f>
        <v>1</v>
      </c>
      <c r="AK370" s="66" t="s">
        <v>1781</v>
      </c>
      <c r="AL370" s="209">
        <f>IF(LEN(Множество[[#This Row],[Критерии]])&gt;0,1,-1)</f>
        <v>1</v>
      </c>
      <c r="AM370" s="209">
        <f>IF(AND(LEN(Множество[[#This Row],[Свёртка]])&gt;0,LEN(Множество[[#This Row],[Критерии]])&gt;0,LEN(Множество[[#This Row],[Оценки]])&gt;0),1,-1)</f>
        <v>-1</v>
      </c>
      <c r="AN370" s="208"/>
      <c r="AO370" s="208"/>
      <c r="AP370" s="208"/>
      <c r="AQ370" s="208"/>
      <c r="AR370" s="226"/>
      <c r="AS370" s="225"/>
      <c r="AT370" s="226"/>
      <c r="AU370" s="225"/>
      <c r="AV370" s="225"/>
      <c r="AW370" s="225"/>
      <c r="AX370" s="225"/>
      <c r="AY370" s="225"/>
    </row>
    <row r="371" spans="33:51" x14ac:dyDescent="0.25">
      <c r="AG371" s="66" t="str">
        <f>IF(AND(Множество[[#This Row],[Y]]=1),ROW()-ROW(Множество[[#Headers],[№]]),"")</f>
        <v/>
      </c>
      <c r="AI371" s="66">
        <v>1</v>
      </c>
      <c r="AJ371" s="66">
        <f>IF(LEN(Множество[[#This Row],[Свёртка]])&gt;0,1,-1)</f>
        <v>1</v>
      </c>
      <c r="AK371" s="66" t="s">
        <v>1781</v>
      </c>
      <c r="AL371" s="209">
        <f>IF(LEN(Множество[[#This Row],[Критерии]])&gt;0,1,-1)</f>
        <v>1</v>
      </c>
      <c r="AM371" s="209">
        <f>IF(AND(LEN(Множество[[#This Row],[Свёртка]])&gt;0,LEN(Множество[[#This Row],[Критерии]])&gt;0,LEN(Множество[[#This Row],[Оценки]])&gt;0),1,-1)</f>
        <v>-1</v>
      </c>
      <c r="AN371" s="208"/>
      <c r="AO371" s="208"/>
      <c r="AP371" s="208"/>
      <c r="AQ371" s="208"/>
      <c r="AR371" s="226"/>
      <c r="AS371" s="225"/>
      <c r="AT371" s="226"/>
      <c r="AU371" s="225"/>
      <c r="AV371" s="225"/>
      <c r="AW371" s="225"/>
      <c r="AX371" s="225"/>
      <c r="AY371" s="225"/>
    </row>
    <row r="372" spans="33:51" x14ac:dyDescent="0.25">
      <c r="AG372" s="66" t="str">
        <f>IF(AND(Множество[[#This Row],[Y]]=1),ROW()-ROW(Множество[[#Headers],[№]]),"")</f>
        <v/>
      </c>
      <c r="AI372" s="66">
        <v>1</v>
      </c>
      <c r="AJ372" s="66">
        <f>IF(LEN(Множество[[#This Row],[Свёртка]])&gt;0,1,-1)</f>
        <v>1</v>
      </c>
      <c r="AK372" s="66" t="s">
        <v>1781</v>
      </c>
      <c r="AL372" s="209">
        <f>IF(LEN(Множество[[#This Row],[Критерии]])&gt;0,1,-1)</f>
        <v>1</v>
      </c>
      <c r="AM372" s="209">
        <f>IF(AND(LEN(Множество[[#This Row],[Свёртка]])&gt;0,LEN(Множество[[#This Row],[Критерии]])&gt;0,LEN(Множество[[#This Row],[Оценки]])&gt;0),1,-1)</f>
        <v>-1</v>
      </c>
      <c r="AN372" s="208"/>
      <c r="AO372" s="208"/>
      <c r="AP372" s="208"/>
      <c r="AQ372" s="208"/>
      <c r="AR372" s="226"/>
      <c r="AS372" s="225"/>
      <c r="AT372" s="226"/>
      <c r="AU372" s="225"/>
      <c r="AV372" s="225"/>
      <c r="AW372" s="225"/>
      <c r="AX372" s="225"/>
      <c r="AY372" s="225"/>
    </row>
    <row r="373" spans="33:51" x14ac:dyDescent="0.25">
      <c r="AG373" s="66" t="str">
        <f>IF(AND(Множество[[#This Row],[Y]]=1),ROW()-ROW(Множество[[#Headers],[№]]),"")</f>
        <v/>
      </c>
      <c r="AI373" s="66">
        <v>1</v>
      </c>
      <c r="AJ373" s="66">
        <f>IF(LEN(Множество[[#This Row],[Свёртка]])&gt;0,1,-1)</f>
        <v>1</v>
      </c>
      <c r="AK373" s="66" t="s">
        <v>1781</v>
      </c>
      <c r="AL373" s="209">
        <f>IF(LEN(Множество[[#This Row],[Критерии]])&gt;0,1,-1)</f>
        <v>1</v>
      </c>
      <c r="AM373" s="209">
        <f>IF(AND(LEN(Множество[[#This Row],[Свёртка]])&gt;0,LEN(Множество[[#This Row],[Критерии]])&gt;0,LEN(Множество[[#This Row],[Оценки]])&gt;0),1,-1)</f>
        <v>-1</v>
      </c>
      <c r="AN373" s="208"/>
      <c r="AO373" s="208"/>
      <c r="AP373" s="208"/>
      <c r="AQ373" s="208"/>
      <c r="AR373" s="226"/>
      <c r="AS373" s="225"/>
      <c r="AT373" s="226"/>
      <c r="AU373" s="225"/>
      <c r="AV373" s="225"/>
      <c r="AW373" s="225"/>
      <c r="AX373" s="225"/>
      <c r="AY373" s="225"/>
    </row>
    <row r="374" spans="33:51" x14ac:dyDescent="0.25">
      <c r="AG374" s="66" t="str">
        <f>IF(AND(Множество[[#This Row],[Y]]=1),ROW()-ROW(Множество[[#Headers],[№]]),"")</f>
        <v/>
      </c>
      <c r="AI374" s="66">
        <v>1</v>
      </c>
      <c r="AJ374" s="66">
        <f>IF(LEN(Множество[[#This Row],[Свёртка]])&gt;0,1,-1)</f>
        <v>1</v>
      </c>
      <c r="AK374" s="66" t="s">
        <v>1781</v>
      </c>
      <c r="AL374" s="209">
        <f>IF(LEN(Множество[[#This Row],[Критерии]])&gt;0,1,-1)</f>
        <v>1</v>
      </c>
      <c r="AM374" s="209">
        <f>IF(AND(LEN(Множество[[#This Row],[Свёртка]])&gt;0,LEN(Множество[[#This Row],[Критерии]])&gt;0,LEN(Множество[[#This Row],[Оценки]])&gt;0),1,-1)</f>
        <v>-1</v>
      </c>
      <c r="AN374" s="208"/>
      <c r="AO374" s="208"/>
      <c r="AP374" s="208"/>
      <c r="AQ374" s="208"/>
      <c r="AR374" s="226"/>
      <c r="AS374" s="225"/>
      <c r="AT374" s="226"/>
      <c r="AU374" s="225"/>
      <c r="AV374" s="225"/>
      <c r="AW374" s="225"/>
      <c r="AX374" s="225"/>
      <c r="AY374" s="225"/>
    </row>
    <row r="375" spans="33:51" x14ac:dyDescent="0.25">
      <c r="AG375" s="66" t="str">
        <f>IF(AND(Множество[[#This Row],[Y]]=1),ROW()-ROW(Множество[[#Headers],[№]]),"")</f>
        <v/>
      </c>
      <c r="AI375" s="66">
        <v>1</v>
      </c>
      <c r="AJ375" s="66">
        <f>IF(LEN(Множество[[#This Row],[Свёртка]])&gt;0,1,-1)</f>
        <v>1</v>
      </c>
      <c r="AK375" s="66" t="s">
        <v>1781</v>
      </c>
      <c r="AL375" s="209">
        <f>IF(LEN(Множество[[#This Row],[Критерии]])&gt;0,1,-1)</f>
        <v>1</v>
      </c>
      <c r="AM375" s="209">
        <f>IF(AND(LEN(Множество[[#This Row],[Свёртка]])&gt;0,LEN(Множество[[#This Row],[Критерии]])&gt;0,LEN(Множество[[#This Row],[Оценки]])&gt;0),1,-1)</f>
        <v>-1</v>
      </c>
      <c r="AN375" s="208"/>
      <c r="AO375" s="208"/>
      <c r="AP375" s="208"/>
      <c r="AQ375" s="208"/>
      <c r="AR375" s="226"/>
      <c r="AS375" s="225"/>
      <c r="AT375" s="226"/>
      <c r="AU375" s="225"/>
      <c r="AV375" s="225"/>
      <c r="AW375" s="225"/>
      <c r="AX375" s="225"/>
      <c r="AY375" s="225"/>
    </row>
    <row r="376" spans="33:51" x14ac:dyDescent="0.25">
      <c r="AG376" s="66" t="str">
        <f>IF(AND(Множество[[#This Row],[Y]]=1),ROW()-ROW(Множество[[#Headers],[№]]),"")</f>
        <v/>
      </c>
      <c r="AI376" s="66">
        <v>1</v>
      </c>
      <c r="AJ376" s="66">
        <f>IF(LEN(Множество[[#This Row],[Свёртка]])&gt;0,1,-1)</f>
        <v>1</v>
      </c>
      <c r="AK376" s="66" t="s">
        <v>1781</v>
      </c>
      <c r="AL376" s="209">
        <f>IF(LEN(Множество[[#This Row],[Критерии]])&gt;0,1,-1)</f>
        <v>1</v>
      </c>
      <c r="AM376" s="209">
        <f>IF(AND(LEN(Множество[[#This Row],[Свёртка]])&gt;0,LEN(Множество[[#This Row],[Критерии]])&gt;0,LEN(Множество[[#This Row],[Оценки]])&gt;0),1,-1)</f>
        <v>-1</v>
      </c>
      <c r="AN376" s="208"/>
      <c r="AO376" s="208"/>
      <c r="AP376" s="208"/>
      <c r="AQ376" s="208"/>
      <c r="AR376" s="226"/>
      <c r="AS376" s="225"/>
      <c r="AT376" s="226"/>
      <c r="AU376" s="225"/>
      <c r="AV376" s="225"/>
      <c r="AW376" s="225"/>
      <c r="AX376" s="225"/>
      <c r="AY376" s="225"/>
    </row>
    <row r="377" spans="33:51" x14ac:dyDescent="0.25">
      <c r="AG377" s="66" t="str">
        <f>IF(AND(Множество[[#This Row],[Y]]=1),ROW()-ROW(Множество[[#Headers],[№]]),"")</f>
        <v/>
      </c>
      <c r="AI377" s="66">
        <v>1</v>
      </c>
      <c r="AJ377" s="66">
        <f>IF(LEN(Множество[[#This Row],[Свёртка]])&gt;0,1,-1)</f>
        <v>1</v>
      </c>
      <c r="AK377" s="66" t="s">
        <v>1781</v>
      </c>
      <c r="AL377" s="209">
        <f>IF(LEN(Множество[[#This Row],[Критерии]])&gt;0,1,-1)</f>
        <v>1</v>
      </c>
      <c r="AM377" s="209">
        <f>IF(AND(LEN(Множество[[#This Row],[Свёртка]])&gt;0,LEN(Множество[[#This Row],[Критерии]])&gt;0,LEN(Множество[[#This Row],[Оценки]])&gt;0),1,-1)</f>
        <v>-1</v>
      </c>
      <c r="AN377" s="208"/>
      <c r="AO377" s="208"/>
      <c r="AP377" s="208"/>
      <c r="AQ377" s="208"/>
      <c r="AR377" s="226"/>
      <c r="AS377" s="225"/>
      <c r="AT377" s="226"/>
      <c r="AU377" s="225"/>
      <c r="AV377" s="225"/>
      <c r="AW377" s="225"/>
      <c r="AX377" s="225"/>
      <c r="AY377" s="225"/>
    </row>
    <row r="378" spans="33:51" x14ac:dyDescent="0.25">
      <c r="AG378" s="66" t="str">
        <f>IF(AND(Множество[[#This Row],[Y]]=1),ROW()-ROW(Множество[[#Headers],[№]]),"")</f>
        <v/>
      </c>
      <c r="AI378" s="66">
        <v>1</v>
      </c>
      <c r="AJ378" s="66">
        <f>IF(LEN(Множество[[#This Row],[Свёртка]])&gt;0,1,-1)</f>
        <v>1</v>
      </c>
      <c r="AK378" s="66" t="s">
        <v>1781</v>
      </c>
      <c r="AL378" s="209">
        <f>IF(LEN(Множество[[#This Row],[Критерии]])&gt;0,1,-1)</f>
        <v>1</v>
      </c>
      <c r="AM378" s="209">
        <f>IF(AND(LEN(Множество[[#This Row],[Свёртка]])&gt;0,LEN(Множество[[#This Row],[Критерии]])&gt;0,LEN(Множество[[#This Row],[Оценки]])&gt;0),1,-1)</f>
        <v>-1</v>
      </c>
      <c r="AN378" s="208"/>
      <c r="AO378" s="208"/>
      <c r="AP378" s="208"/>
      <c r="AQ378" s="208"/>
      <c r="AR378" s="226"/>
      <c r="AS378" s="225"/>
      <c r="AT378" s="226"/>
      <c r="AU378" s="225"/>
      <c r="AV378" s="225"/>
      <c r="AW378" s="225"/>
      <c r="AX378" s="225"/>
      <c r="AY378" s="225"/>
    </row>
    <row r="379" spans="33:51" x14ac:dyDescent="0.25">
      <c r="AG379" s="66" t="str">
        <f>IF(AND(Множество[[#This Row],[Y]]=1),ROW()-ROW(Множество[[#Headers],[№]]),"")</f>
        <v/>
      </c>
      <c r="AI379" s="66">
        <v>1</v>
      </c>
      <c r="AJ379" s="66">
        <f>IF(LEN(Множество[[#This Row],[Свёртка]])&gt;0,1,-1)</f>
        <v>1</v>
      </c>
      <c r="AK379" s="66" t="s">
        <v>1781</v>
      </c>
      <c r="AL379" s="209">
        <f>IF(LEN(Множество[[#This Row],[Критерии]])&gt;0,1,-1)</f>
        <v>1</v>
      </c>
      <c r="AM379" s="209">
        <f>IF(AND(LEN(Множество[[#This Row],[Свёртка]])&gt;0,LEN(Множество[[#This Row],[Критерии]])&gt;0,LEN(Множество[[#This Row],[Оценки]])&gt;0),1,-1)</f>
        <v>-1</v>
      </c>
      <c r="AN379" s="208"/>
      <c r="AO379" s="208"/>
      <c r="AP379" s="208"/>
      <c r="AQ379" s="208"/>
      <c r="AR379" s="226"/>
      <c r="AS379" s="225"/>
      <c r="AT379" s="226"/>
      <c r="AU379" s="225"/>
      <c r="AV379" s="225"/>
      <c r="AW379" s="225"/>
      <c r="AX379" s="225"/>
      <c r="AY379" s="225"/>
    </row>
    <row r="380" spans="33:51" x14ac:dyDescent="0.25">
      <c r="AG380" s="66" t="str">
        <f>IF(AND(Множество[[#This Row],[Y]]=1),ROW()-ROW(Множество[[#Headers],[№]]),"")</f>
        <v/>
      </c>
      <c r="AI380" s="66">
        <v>1</v>
      </c>
      <c r="AJ380" s="66">
        <f>IF(LEN(Множество[[#This Row],[Свёртка]])&gt;0,1,-1)</f>
        <v>1</v>
      </c>
      <c r="AK380" s="66" t="s">
        <v>1781</v>
      </c>
      <c r="AL380" s="209">
        <f>IF(LEN(Множество[[#This Row],[Критерии]])&gt;0,1,-1)</f>
        <v>1</v>
      </c>
      <c r="AM380" s="209">
        <f>IF(AND(LEN(Множество[[#This Row],[Свёртка]])&gt;0,LEN(Множество[[#This Row],[Критерии]])&gt;0,LEN(Множество[[#This Row],[Оценки]])&gt;0),1,-1)</f>
        <v>-1</v>
      </c>
      <c r="AN380" s="208"/>
      <c r="AO380" s="208"/>
      <c r="AP380" s="208"/>
      <c r="AQ380" s="208"/>
      <c r="AR380" s="226"/>
      <c r="AS380" s="225"/>
      <c r="AT380" s="226"/>
      <c r="AU380" s="225"/>
      <c r="AV380" s="225"/>
      <c r="AW380" s="225"/>
      <c r="AX380" s="225"/>
      <c r="AY380" s="225"/>
    </row>
    <row r="381" spans="33:51" x14ac:dyDescent="0.25">
      <c r="AG381" s="66" t="str">
        <f>IF(AND(Множество[[#This Row],[Y]]=1),ROW()-ROW(Множество[[#Headers],[№]]),"")</f>
        <v/>
      </c>
      <c r="AI381" s="66">
        <v>1</v>
      </c>
      <c r="AJ381" s="66">
        <f>IF(LEN(Множество[[#This Row],[Свёртка]])&gt;0,1,-1)</f>
        <v>1</v>
      </c>
      <c r="AK381" s="66" t="s">
        <v>1781</v>
      </c>
      <c r="AL381" s="209">
        <f>IF(LEN(Множество[[#This Row],[Критерии]])&gt;0,1,-1)</f>
        <v>1</v>
      </c>
      <c r="AM381" s="209">
        <f>IF(AND(LEN(Множество[[#This Row],[Свёртка]])&gt;0,LEN(Множество[[#This Row],[Критерии]])&gt;0,LEN(Множество[[#This Row],[Оценки]])&gt;0),1,-1)</f>
        <v>-1</v>
      </c>
      <c r="AN381" s="208"/>
      <c r="AO381" s="208"/>
      <c r="AP381" s="208"/>
      <c r="AQ381" s="208"/>
      <c r="AR381" s="226"/>
      <c r="AS381" s="225"/>
      <c r="AT381" s="226"/>
      <c r="AU381" s="225"/>
      <c r="AV381" s="225"/>
      <c r="AW381" s="225"/>
      <c r="AX381" s="225"/>
      <c r="AY381" s="225"/>
    </row>
    <row r="382" spans="33:51" x14ac:dyDescent="0.25">
      <c r="AG382" s="66" t="str">
        <f>IF(AND(Множество[[#This Row],[Y]]=1),ROW()-ROW(Множество[[#Headers],[№]]),"")</f>
        <v/>
      </c>
      <c r="AI382" s="66">
        <v>1</v>
      </c>
      <c r="AJ382" s="66">
        <f>IF(LEN(Множество[[#This Row],[Свёртка]])&gt;0,1,-1)</f>
        <v>1</v>
      </c>
      <c r="AK382" s="66" t="s">
        <v>1781</v>
      </c>
      <c r="AL382" s="209">
        <f>IF(LEN(Множество[[#This Row],[Критерии]])&gt;0,1,-1)</f>
        <v>1</v>
      </c>
      <c r="AM382" s="209">
        <f>IF(AND(LEN(Множество[[#This Row],[Свёртка]])&gt;0,LEN(Множество[[#This Row],[Критерии]])&gt;0,LEN(Множество[[#This Row],[Оценки]])&gt;0),1,-1)</f>
        <v>-1</v>
      </c>
      <c r="AN382" s="208"/>
      <c r="AO382" s="208"/>
      <c r="AP382" s="208"/>
      <c r="AQ382" s="208"/>
      <c r="AR382" s="226"/>
      <c r="AS382" s="225"/>
      <c r="AT382" s="226"/>
      <c r="AU382" s="225"/>
      <c r="AV382" s="225"/>
      <c r="AW382" s="225"/>
      <c r="AX382" s="225"/>
      <c r="AY382" s="225"/>
    </row>
    <row r="383" spans="33:51" x14ac:dyDescent="0.25">
      <c r="AG383" s="66" t="str">
        <f>IF(AND(Множество[[#This Row],[Y]]=1),ROW()-ROW(Множество[[#Headers],[№]]),"")</f>
        <v/>
      </c>
      <c r="AI383" s="66">
        <v>1</v>
      </c>
      <c r="AJ383" s="66">
        <f>IF(LEN(Множество[[#This Row],[Свёртка]])&gt;0,1,-1)</f>
        <v>1</v>
      </c>
      <c r="AK383" s="66" t="s">
        <v>1781</v>
      </c>
      <c r="AL383" s="209">
        <f>IF(LEN(Множество[[#This Row],[Критерии]])&gt;0,1,-1)</f>
        <v>1</v>
      </c>
      <c r="AM383" s="209">
        <f>IF(AND(LEN(Множество[[#This Row],[Свёртка]])&gt;0,LEN(Множество[[#This Row],[Критерии]])&gt;0,LEN(Множество[[#This Row],[Оценки]])&gt;0),1,-1)</f>
        <v>-1</v>
      </c>
      <c r="AN383" s="208"/>
      <c r="AO383" s="208"/>
      <c r="AP383" s="208"/>
      <c r="AQ383" s="208"/>
      <c r="AR383" s="226"/>
      <c r="AS383" s="225"/>
      <c r="AT383" s="226"/>
      <c r="AU383" s="225"/>
      <c r="AV383" s="225"/>
      <c r="AW383" s="225"/>
      <c r="AX383" s="225"/>
      <c r="AY383" s="225"/>
    </row>
    <row r="384" spans="33:51" x14ac:dyDescent="0.25">
      <c r="AG384" s="66" t="str">
        <f>IF(AND(Множество[[#This Row],[Y]]=1),ROW()-ROW(Множество[[#Headers],[№]]),"")</f>
        <v/>
      </c>
      <c r="AI384" s="66">
        <v>1</v>
      </c>
      <c r="AJ384" s="66">
        <f>IF(LEN(Множество[[#This Row],[Свёртка]])&gt;0,1,-1)</f>
        <v>1</v>
      </c>
      <c r="AK384" s="66" t="s">
        <v>1781</v>
      </c>
      <c r="AL384" s="209">
        <f>IF(LEN(Множество[[#This Row],[Критерии]])&gt;0,1,-1)</f>
        <v>1</v>
      </c>
      <c r="AM384" s="209">
        <f>IF(AND(LEN(Множество[[#This Row],[Свёртка]])&gt;0,LEN(Множество[[#This Row],[Критерии]])&gt;0,LEN(Множество[[#This Row],[Оценки]])&gt;0),1,-1)</f>
        <v>-1</v>
      </c>
      <c r="AN384" s="208"/>
      <c r="AO384" s="208"/>
      <c r="AP384" s="208"/>
      <c r="AQ384" s="208"/>
      <c r="AR384" s="226"/>
      <c r="AS384" s="225"/>
      <c r="AT384" s="226"/>
      <c r="AU384" s="225"/>
      <c r="AV384" s="225"/>
      <c r="AW384" s="225"/>
      <c r="AX384" s="225"/>
      <c r="AY384" s="225"/>
    </row>
    <row r="385" spans="33:51" x14ac:dyDescent="0.25">
      <c r="AG385" s="66" t="str">
        <f>IF(AND(Множество[[#This Row],[Y]]=1),ROW()-ROW(Множество[[#Headers],[№]]),"")</f>
        <v/>
      </c>
      <c r="AI385" s="66">
        <v>1</v>
      </c>
      <c r="AJ385" s="66">
        <f>IF(LEN(Множество[[#This Row],[Свёртка]])&gt;0,1,-1)</f>
        <v>1</v>
      </c>
      <c r="AK385" s="66" t="s">
        <v>1781</v>
      </c>
      <c r="AL385" s="209">
        <f>IF(LEN(Множество[[#This Row],[Критерии]])&gt;0,1,-1)</f>
        <v>1</v>
      </c>
      <c r="AM385" s="209">
        <f>IF(AND(LEN(Множество[[#This Row],[Свёртка]])&gt;0,LEN(Множество[[#This Row],[Критерии]])&gt;0,LEN(Множество[[#This Row],[Оценки]])&gt;0),1,-1)</f>
        <v>-1</v>
      </c>
      <c r="AN385" s="208"/>
      <c r="AO385" s="208"/>
      <c r="AP385" s="208"/>
      <c r="AQ385" s="208"/>
      <c r="AR385" s="226"/>
      <c r="AS385" s="225"/>
      <c r="AT385" s="226"/>
      <c r="AU385" s="225"/>
      <c r="AV385" s="225"/>
      <c r="AW385" s="225"/>
      <c r="AX385" s="225"/>
      <c r="AY385" s="225"/>
    </row>
    <row r="386" spans="33:51" x14ac:dyDescent="0.25">
      <c r="AG386" s="66" t="str">
        <f>IF(AND(Множество[[#This Row],[Y]]=1),ROW()-ROW(Множество[[#Headers],[№]]),"")</f>
        <v/>
      </c>
      <c r="AI386" s="66">
        <v>1</v>
      </c>
      <c r="AJ386" s="66">
        <f>IF(LEN(Множество[[#This Row],[Свёртка]])&gt;0,1,-1)</f>
        <v>1</v>
      </c>
      <c r="AK386" s="66" t="s">
        <v>1781</v>
      </c>
      <c r="AL386" s="209">
        <f>IF(LEN(Множество[[#This Row],[Критерии]])&gt;0,1,-1)</f>
        <v>1</v>
      </c>
      <c r="AM386" s="209">
        <f>IF(AND(LEN(Множество[[#This Row],[Свёртка]])&gt;0,LEN(Множество[[#This Row],[Критерии]])&gt;0,LEN(Множество[[#This Row],[Оценки]])&gt;0),1,-1)</f>
        <v>-1</v>
      </c>
      <c r="AN386" s="208"/>
      <c r="AO386" s="208"/>
      <c r="AP386" s="208"/>
      <c r="AQ386" s="208"/>
      <c r="AR386" s="226"/>
      <c r="AS386" s="225"/>
      <c r="AT386" s="226"/>
      <c r="AU386" s="225"/>
      <c r="AV386" s="225"/>
      <c r="AW386" s="225"/>
      <c r="AX386" s="225"/>
      <c r="AY386" s="225"/>
    </row>
    <row r="387" spans="33:51" x14ac:dyDescent="0.25">
      <c r="AG387" s="66" t="str">
        <f>IF(AND(Множество[[#This Row],[Y]]=1),ROW()-ROW(Множество[[#Headers],[№]]),"")</f>
        <v/>
      </c>
      <c r="AI387" s="66">
        <v>1</v>
      </c>
      <c r="AJ387" s="66">
        <f>IF(LEN(Множество[[#This Row],[Свёртка]])&gt;0,1,-1)</f>
        <v>1</v>
      </c>
      <c r="AK387" s="66" t="s">
        <v>1781</v>
      </c>
      <c r="AL387" s="209">
        <f>IF(LEN(Множество[[#This Row],[Критерии]])&gt;0,1,-1)</f>
        <v>1</v>
      </c>
      <c r="AM387" s="209">
        <f>IF(AND(LEN(Множество[[#This Row],[Свёртка]])&gt;0,LEN(Множество[[#This Row],[Критерии]])&gt;0,LEN(Множество[[#This Row],[Оценки]])&gt;0),1,-1)</f>
        <v>-1</v>
      </c>
      <c r="AN387" s="208"/>
      <c r="AO387" s="208"/>
      <c r="AP387" s="208"/>
      <c r="AQ387" s="208"/>
      <c r="AR387" s="226"/>
      <c r="AS387" s="225"/>
      <c r="AT387" s="226"/>
      <c r="AU387" s="225"/>
      <c r="AV387" s="225"/>
      <c r="AW387" s="225"/>
      <c r="AX387" s="225"/>
      <c r="AY387" s="225"/>
    </row>
    <row r="388" spans="33:51" x14ac:dyDescent="0.25">
      <c r="AG388" s="66" t="str">
        <f>IF(AND(Множество[[#This Row],[Y]]=1),ROW()-ROW(Множество[[#Headers],[№]]),"")</f>
        <v/>
      </c>
      <c r="AI388" s="66">
        <v>1</v>
      </c>
      <c r="AJ388" s="66">
        <f>IF(LEN(Множество[[#This Row],[Свёртка]])&gt;0,1,-1)</f>
        <v>1</v>
      </c>
      <c r="AK388" s="66" t="s">
        <v>1781</v>
      </c>
      <c r="AL388" s="209">
        <f>IF(LEN(Множество[[#This Row],[Критерии]])&gt;0,1,-1)</f>
        <v>1</v>
      </c>
      <c r="AM388" s="209">
        <f>IF(AND(LEN(Множество[[#This Row],[Свёртка]])&gt;0,LEN(Множество[[#This Row],[Критерии]])&gt;0,LEN(Множество[[#This Row],[Оценки]])&gt;0),1,-1)</f>
        <v>-1</v>
      </c>
      <c r="AN388" s="208"/>
      <c r="AO388" s="208"/>
      <c r="AP388" s="208"/>
      <c r="AQ388" s="208"/>
      <c r="AR388" s="226"/>
      <c r="AS388" s="225"/>
      <c r="AT388" s="226"/>
      <c r="AU388" s="225"/>
      <c r="AV388" s="225"/>
      <c r="AW388" s="225"/>
      <c r="AX388" s="225"/>
      <c r="AY388" s="225"/>
    </row>
    <row r="389" spans="33:51" x14ac:dyDescent="0.25">
      <c r="AG389" s="66" t="str">
        <f>IF(AND(Множество[[#This Row],[Y]]=1),ROW()-ROW(Множество[[#Headers],[№]]),"")</f>
        <v/>
      </c>
      <c r="AI389" s="66">
        <v>1</v>
      </c>
      <c r="AJ389" s="66">
        <f>IF(LEN(Множество[[#This Row],[Свёртка]])&gt;0,1,-1)</f>
        <v>1</v>
      </c>
      <c r="AK389" s="66" t="s">
        <v>1781</v>
      </c>
      <c r="AL389" s="209">
        <f>IF(LEN(Множество[[#This Row],[Критерии]])&gt;0,1,-1)</f>
        <v>1</v>
      </c>
      <c r="AM389" s="209">
        <f>IF(AND(LEN(Множество[[#This Row],[Свёртка]])&gt;0,LEN(Множество[[#This Row],[Критерии]])&gt;0,LEN(Множество[[#This Row],[Оценки]])&gt;0),1,-1)</f>
        <v>-1</v>
      </c>
      <c r="AN389" s="208"/>
      <c r="AO389" s="208"/>
      <c r="AP389" s="208"/>
      <c r="AQ389" s="208"/>
      <c r="AR389" s="226"/>
      <c r="AS389" s="225"/>
      <c r="AT389" s="226"/>
      <c r="AU389" s="225"/>
      <c r="AV389" s="225"/>
      <c r="AW389" s="225"/>
      <c r="AX389" s="225"/>
      <c r="AY389" s="225"/>
    </row>
    <row r="390" spans="33:51" x14ac:dyDescent="0.25">
      <c r="AG390" s="66" t="str">
        <f>IF(AND(Множество[[#This Row],[Y]]=1),ROW()-ROW(Множество[[#Headers],[№]]),"")</f>
        <v/>
      </c>
      <c r="AI390" s="66">
        <v>1</v>
      </c>
      <c r="AJ390" s="66">
        <f>IF(LEN(Множество[[#This Row],[Свёртка]])&gt;0,1,-1)</f>
        <v>1</v>
      </c>
      <c r="AK390" s="66" t="s">
        <v>1781</v>
      </c>
      <c r="AL390" s="209">
        <f>IF(LEN(Множество[[#This Row],[Критерии]])&gt;0,1,-1)</f>
        <v>1</v>
      </c>
      <c r="AM390" s="209">
        <f>IF(AND(LEN(Множество[[#This Row],[Свёртка]])&gt;0,LEN(Множество[[#This Row],[Критерии]])&gt;0,LEN(Множество[[#This Row],[Оценки]])&gt;0),1,-1)</f>
        <v>-1</v>
      </c>
      <c r="AN390" s="208"/>
      <c r="AO390" s="208"/>
      <c r="AP390" s="208"/>
      <c r="AQ390" s="208"/>
      <c r="AR390" s="226"/>
      <c r="AS390" s="225"/>
      <c r="AT390" s="226"/>
      <c r="AU390" s="225"/>
      <c r="AV390" s="225"/>
      <c r="AW390" s="225"/>
      <c r="AX390" s="225"/>
      <c r="AY390" s="225"/>
    </row>
    <row r="391" spans="33:51" x14ac:dyDescent="0.25">
      <c r="AG391" s="66" t="str">
        <f>IF(AND(Множество[[#This Row],[Y]]=1),ROW()-ROW(Множество[[#Headers],[№]]),"")</f>
        <v/>
      </c>
      <c r="AI391" s="66">
        <v>1</v>
      </c>
      <c r="AJ391" s="66">
        <f>IF(LEN(Множество[[#This Row],[Свёртка]])&gt;0,1,-1)</f>
        <v>1</v>
      </c>
      <c r="AK391" s="66" t="s">
        <v>1781</v>
      </c>
      <c r="AL391" s="209">
        <f>IF(LEN(Множество[[#This Row],[Критерии]])&gt;0,1,-1)</f>
        <v>1</v>
      </c>
      <c r="AM391" s="209">
        <f>IF(AND(LEN(Множество[[#This Row],[Свёртка]])&gt;0,LEN(Множество[[#This Row],[Критерии]])&gt;0,LEN(Множество[[#This Row],[Оценки]])&gt;0),1,-1)</f>
        <v>-1</v>
      </c>
      <c r="AN391" s="208"/>
      <c r="AO391" s="208"/>
      <c r="AP391" s="208"/>
      <c r="AQ391" s="208"/>
      <c r="AR391" s="226"/>
      <c r="AS391" s="225"/>
      <c r="AT391" s="226"/>
      <c r="AU391" s="225"/>
      <c r="AV391" s="225"/>
      <c r="AW391" s="225"/>
      <c r="AX391" s="225"/>
      <c r="AY391" s="225"/>
    </row>
    <row r="392" spans="33:51" x14ac:dyDescent="0.25">
      <c r="AG392" s="66" t="str">
        <f>IF(AND(Множество[[#This Row],[Y]]=1),ROW()-ROW(Множество[[#Headers],[№]]),"")</f>
        <v/>
      </c>
      <c r="AI392" s="66">
        <v>1</v>
      </c>
      <c r="AJ392" s="66">
        <f>IF(LEN(Множество[[#This Row],[Свёртка]])&gt;0,1,-1)</f>
        <v>1</v>
      </c>
      <c r="AK392" s="66" t="s">
        <v>1781</v>
      </c>
      <c r="AL392" s="209">
        <f>IF(LEN(Множество[[#This Row],[Критерии]])&gt;0,1,-1)</f>
        <v>1</v>
      </c>
      <c r="AM392" s="209">
        <f>IF(AND(LEN(Множество[[#This Row],[Свёртка]])&gt;0,LEN(Множество[[#This Row],[Критерии]])&gt;0,LEN(Множество[[#This Row],[Оценки]])&gt;0),1,-1)</f>
        <v>-1</v>
      </c>
      <c r="AN392" s="208"/>
      <c r="AO392" s="208"/>
      <c r="AP392" s="208"/>
      <c r="AQ392" s="208"/>
      <c r="AR392" s="226"/>
      <c r="AS392" s="225"/>
      <c r="AT392" s="226"/>
      <c r="AU392" s="225"/>
      <c r="AV392" s="225"/>
      <c r="AW392" s="225"/>
      <c r="AX392" s="225"/>
      <c r="AY392" s="225"/>
    </row>
    <row r="393" spans="33:51" x14ac:dyDescent="0.25">
      <c r="AG393" s="66" t="str">
        <f>IF(AND(Множество[[#This Row],[Y]]=1),ROW()-ROW(Множество[[#Headers],[№]]),"")</f>
        <v/>
      </c>
      <c r="AI393" s="66">
        <v>1</v>
      </c>
      <c r="AJ393" s="66">
        <f>IF(LEN(Множество[[#This Row],[Свёртка]])&gt;0,1,-1)</f>
        <v>1</v>
      </c>
      <c r="AK393" s="66" t="s">
        <v>1781</v>
      </c>
      <c r="AL393" s="209">
        <f>IF(LEN(Множество[[#This Row],[Критерии]])&gt;0,1,-1)</f>
        <v>1</v>
      </c>
      <c r="AM393" s="209">
        <f>IF(AND(LEN(Множество[[#This Row],[Свёртка]])&gt;0,LEN(Множество[[#This Row],[Критерии]])&gt;0,LEN(Множество[[#This Row],[Оценки]])&gt;0),1,-1)</f>
        <v>-1</v>
      </c>
      <c r="AN393" s="208"/>
      <c r="AO393" s="208"/>
      <c r="AP393" s="208"/>
      <c r="AQ393" s="208"/>
      <c r="AR393" s="226"/>
      <c r="AS393" s="225"/>
      <c r="AT393" s="226"/>
      <c r="AU393" s="225"/>
      <c r="AV393" s="225"/>
      <c r="AW393" s="225"/>
      <c r="AX393" s="225"/>
      <c r="AY393" s="225"/>
    </row>
    <row r="394" spans="33:51" x14ac:dyDescent="0.25">
      <c r="AG394" s="66" t="str">
        <f>IF(AND(Множество[[#This Row],[Y]]=1),ROW()-ROW(Множество[[#Headers],[№]]),"")</f>
        <v/>
      </c>
      <c r="AI394" s="66">
        <v>1</v>
      </c>
      <c r="AJ394" s="66">
        <f>IF(LEN(Множество[[#This Row],[Свёртка]])&gt;0,1,-1)</f>
        <v>1</v>
      </c>
      <c r="AK394" s="66" t="s">
        <v>1781</v>
      </c>
      <c r="AL394" s="209">
        <f>IF(LEN(Множество[[#This Row],[Критерии]])&gt;0,1,-1)</f>
        <v>1</v>
      </c>
      <c r="AM394" s="209">
        <f>IF(AND(LEN(Множество[[#This Row],[Свёртка]])&gt;0,LEN(Множество[[#This Row],[Критерии]])&gt;0,LEN(Множество[[#This Row],[Оценки]])&gt;0),1,-1)</f>
        <v>-1</v>
      </c>
      <c r="AN394" s="208"/>
      <c r="AO394" s="208"/>
      <c r="AP394" s="208"/>
      <c r="AQ394" s="208"/>
      <c r="AR394" s="226"/>
      <c r="AS394" s="225"/>
      <c r="AT394" s="226"/>
      <c r="AU394" s="225"/>
      <c r="AV394" s="225"/>
      <c r="AW394" s="225"/>
      <c r="AX394" s="225"/>
      <c r="AY394" s="225"/>
    </row>
    <row r="395" spans="33:51" x14ac:dyDescent="0.25">
      <c r="AG395" s="66" t="str">
        <f>IF(AND(Множество[[#This Row],[Y]]=1),ROW()-ROW(Множество[[#Headers],[№]]),"")</f>
        <v/>
      </c>
      <c r="AI395" s="66">
        <v>1</v>
      </c>
      <c r="AJ395" s="66">
        <f>IF(LEN(Множество[[#This Row],[Свёртка]])&gt;0,1,-1)</f>
        <v>1</v>
      </c>
      <c r="AK395" s="66" t="s">
        <v>1781</v>
      </c>
      <c r="AL395" s="209">
        <f>IF(LEN(Множество[[#This Row],[Критерии]])&gt;0,1,-1)</f>
        <v>1</v>
      </c>
      <c r="AM395" s="209">
        <f>IF(AND(LEN(Множество[[#This Row],[Свёртка]])&gt;0,LEN(Множество[[#This Row],[Критерии]])&gt;0,LEN(Множество[[#This Row],[Оценки]])&gt;0),1,-1)</f>
        <v>-1</v>
      </c>
      <c r="AN395" s="208"/>
      <c r="AO395" s="208"/>
      <c r="AP395" s="208"/>
      <c r="AQ395" s="208"/>
      <c r="AR395" s="226"/>
      <c r="AS395" s="225"/>
      <c r="AT395" s="226"/>
      <c r="AU395" s="225"/>
      <c r="AV395" s="225"/>
      <c r="AW395" s="225"/>
      <c r="AX395" s="225"/>
      <c r="AY395" s="225"/>
    </row>
    <row r="396" spans="33:51" x14ac:dyDescent="0.25">
      <c r="AG396" s="66" t="str">
        <f>IF(AND(Множество[[#This Row],[Y]]=1),ROW()-ROW(Множество[[#Headers],[№]]),"")</f>
        <v/>
      </c>
      <c r="AI396" s="66">
        <v>1</v>
      </c>
      <c r="AJ396" s="66">
        <f>IF(LEN(Множество[[#This Row],[Свёртка]])&gt;0,1,-1)</f>
        <v>1</v>
      </c>
      <c r="AK396" s="66" t="s">
        <v>1781</v>
      </c>
      <c r="AL396" s="209">
        <f>IF(LEN(Множество[[#This Row],[Критерии]])&gt;0,1,-1)</f>
        <v>1</v>
      </c>
      <c r="AM396" s="209">
        <f>IF(AND(LEN(Множество[[#This Row],[Свёртка]])&gt;0,LEN(Множество[[#This Row],[Критерии]])&gt;0,LEN(Множество[[#This Row],[Оценки]])&gt;0),1,-1)</f>
        <v>-1</v>
      </c>
      <c r="AN396" s="208"/>
      <c r="AO396" s="208"/>
      <c r="AP396" s="208"/>
      <c r="AQ396" s="208"/>
      <c r="AR396" s="226"/>
      <c r="AS396" s="225"/>
      <c r="AT396" s="226"/>
      <c r="AU396" s="225"/>
      <c r="AV396" s="225"/>
      <c r="AW396" s="225"/>
      <c r="AX396" s="225"/>
      <c r="AY396" s="225"/>
    </row>
    <row r="397" spans="33:51" x14ac:dyDescent="0.25">
      <c r="AG397" s="66" t="str">
        <f>IF(AND(Множество[[#This Row],[Y]]=1),ROW()-ROW(Множество[[#Headers],[№]]),"")</f>
        <v/>
      </c>
      <c r="AI397" s="66">
        <v>1</v>
      </c>
      <c r="AJ397" s="66">
        <f>IF(LEN(Множество[[#This Row],[Свёртка]])&gt;0,1,-1)</f>
        <v>1</v>
      </c>
      <c r="AK397" s="66" t="s">
        <v>1781</v>
      </c>
      <c r="AL397" s="209">
        <f>IF(LEN(Множество[[#This Row],[Критерии]])&gt;0,1,-1)</f>
        <v>1</v>
      </c>
      <c r="AM397" s="209">
        <f>IF(AND(LEN(Множество[[#This Row],[Свёртка]])&gt;0,LEN(Множество[[#This Row],[Критерии]])&gt;0,LEN(Множество[[#This Row],[Оценки]])&gt;0),1,-1)</f>
        <v>-1</v>
      </c>
      <c r="AN397" s="208"/>
      <c r="AO397" s="208"/>
      <c r="AP397" s="208"/>
      <c r="AQ397" s="208"/>
      <c r="AR397" s="226"/>
      <c r="AS397" s="225"/>
      <c r="AT397" s="226"/>
      <c r="AU397" s="225"/>
      <c r="AV397" s="225"/>
      <c r="AW397" s="225"/>
      <c r="AX397" s="225"/>
      <c r="AY397" s="225"/>
    </row>
    <row r="398" spans="33:51" x14ac:dyDescent="0.25">
      <c r="AG398" s="66" t="str">
        <f>IF(AND(Множество[[#This Row],[Y]]=1),ROW()-ROW(Множество[[#Headers],[№]]),"")</f>
        <v/>
      </c>
      <c r="AI398" s="66">
        <v>1</v>
      </c>
      <c r="AJ398" s="66">
        <f>IF(LEN(Множество[[#This Row],[Свёртка]])&gt;0,1,-1)</f>
        <v>1</v>
      </c>
      <c r="AK398" s="66" t="s">
        <v>1781</v>
      </c>
      <c r="AL398" s="209">
        <f>IF(LEN(Множество[[#This Row],[Критерии]])&gt;0,1,-1)</f>
        <v>1</v>
      </c>
      <c r="AM398" s="209">
        <f>IF(AND(LEN(Множество[[#This Row],[Свёртка]])&gt;0,LEN(Множество[[#This Row],[Критерии]])&gt;0,LEN(Множество[[#This Row],[Оценки]])&gt;0),1,-1)</f>
        <v>-1</v>
      </c>
      <c r="AN398" s="208"/>
      <c r="AO398" s="208"/>
      <c r="AP398" s="208"/>
      <c r="AQ398" s="208"/>
      <c r="AR398" s="226"/>
      <c r="AS398" s="225"/>
      <c r="AT398" s="226"/>
      <c r="AU398" s="225"/>
      <c r="AV398" s="225"/>
      <c r="AW398" s="225"/>
      <c r="AX398" s="225"/>
      <c r="AY398" s="225"/>
    </row>
    <row r="399" spans="33:51" x14ac:dyDescent="0.25">
      <c r="AG399" s="66" t="str">
        <f>IF(AND(Множество[[#This Row],[Y]]=1),ROW()-ROW(Множество[[#Headers],[№]]),"")</f>
        <v/>
      </c>
      <c r="AI399" s="66">
        <v>1</v>
      </c>
      <c r="AJ399" s="66">
        <f>IF(LEN(Множество[[#This Row],[Свёртка]])&gt;0,1,-1)</f>
        <v>1</v>
      </c>
      <c r="AK399" s="66" t="s">
        <v>1781</v>
      </c>
      <c r="AL399" s="209">
        <f>IF(LEN(Множество[[#This Row],[Критерии]])&gt;0,1,-1)</f>
        <v>1</v>
      </c>
      <c r="AM399" s="209">
        <f>IF(AND(LEN(Множество[[#This Row],[Свёртка]])&gt;0,LEN(Множество[[#This Row],[Критерии]])&gt;0,LEN(Множество[[#This Row],[Оценки]])&gt;0),1,-1)</f>
        <v>-1</v>
      </c>
      <c r="AN399" s="208"/>
      <c r="AO399" s="208"/>
      <c r="AP399" s="208"/>
      <c r="AQ399" s="208"/>
      <c r="AR399" s="226"/>
      <c r="AS399" s="225"/>
      <c r="AT399" s="226"/>
      <c r="AU399" s="225"/>
      <c r="AV399" s="225"/>
      <c r="AW399" s="225"/>
      <c r="AX399" s="225"/>
      <c r="AY399" s="225"/>
    </row>
    <row r="400" spans="33:51" x14ac:dyDescent="0.25">
      <c r="AG400" s="66" t="str">
        <f>IF(AND(Множество[[#This Row],[Y]]=1),ROW()-ROW(Множество[[#Headers],[№]]),"")</f>
        <v/>
      </c>
      <c r="AI400" s="66">
        <v>1</v>
      </c>
      <c r="AJ400" s="66">
        <f>IF(LEN(Множество[[#This Row],[Свёртка]])&gt;0,1,-1)</f>
        <v>1</v>
      </c>
      <c r="AK400" s="66" t="s">
        <v>1781</v>
      </c>
      <c r="AL400" s="209">
        <f>IF(LEN(Множество[[#This Row],[Критерии]])&gt;0,1,-1)</f>
        <v>1</v>
      </c>
      <c r="AM400" s="209">
        <f>IF(AND(LEN(Множество[[#This Row],[Свёртка]])&gt;0,LEN(Множество[[#This Row],[Критерии]])&gt;0,LEN(Множество[[#This Row],[Оценки]])&gt;0),1,-1)</f>
        <v>-1</v>
      </c>
      <c r="AN400" s="208"/>
      <c r="AO400" s="208"/>
      <c r="AP400" s="208"/>
      <c r="AQ400" s="208"/>
      <c r="AR400" s="226"/>
      <c r="AS400" s="225"/>
      <c r="AT400" s="226"/>
      <c r="AU400" s="225"/>
      <c r="AV400" s="225"/>
      <c r="AW400" s="225"/>
      <c r="AX400" s="225"/>
      <c r="AY400" s="225"/>
    </row>
    <row r="401" spans="33:51" x14ac:dyDescent="0.25">
      <c r="AG401" s="66" t="str">
        <f>IF(AND(Множество[[#This Row],[Y]]=1),ROW()-ROW(Множество[[#Headers],[№]]),"")</f>
        <v/>
      </c>
      <c r="AI401" s="66">
        <v>1</v>
      </c>
      <c r="AJ401" s="66">
        <f>IF(LEN(Множество[[#This Row],[Свёртка]])&gt;0,1,-1)</f>
        <v>1</v>
      </c>
      <c r="AK401" s="66" t="s">
        <v>1781</v>
      </c>
      <c r="AL401" s="209">
        <f>IF(LEN(Множество[[#This Row],[Критерии]])&gt;0,1,-1)</f>
        <v>1</v>
      </c>
      <c r="AM401" s="209">
        <f>IF(AND(LEN(Множество[[#This Row],[Свёртка]])&gt;0,LEN(Множество[[#This Row],[Критерии]])&gt;0,LEN(Множество[[#This Row],[Оценки]])&gt;0),1,-1)</f>
        <v>-1</v>
      </c>
      <c r="AN401" s="208"/>
      <c r="AO401" s="208"/>
      <c r="AP401" s="208"/>
      <c r="AQ401" s="208"/>
      <c r="AR401" s="226"/>
      <c r="AS401" s="225"/>
      <c r="AT401" s="226"/>
      <c r="AU401" s="225"/>
      <c r="AV401" s="225"/>
      <c r="AW401" s="225"/>
      <c r="AX401" s="225"/>
      <c r="AY401" s="225"/>
    </row>
    <row r="402" spans="33:51" x14ac:dyDescent="0.25">
      <c r="AG402" s="66" t="str">
        <f>IF(AND(Множество[[#This Row],[Y]]=1),ROW()-ROW(Множество[[#Headers],[№]]),"")</f>
        <v/>
      </c>
      <c r="AI402" s="66">
        <v>1</v>
      </c>
      <c r="AJ402" s="66">
        <f>IF(LEN(Множество[[#This Row],[Свёртка]])&gt;0,1,-1)</f>
        <v>1</v>
      </c>
      <c r="AK402" s="66" t="s">
        <v>1781</v>
      </c>
      <c r="AL402" s="209">
        <f>IF(LEN(Множество[[#This Row],[Критерии]])&gt;0,1,-1)</f>
        <v>1</v>
      </c>
      <c r="AM402" s="209">
        <f>IF(AND(LEN(Множество[[#This Row],[Свёртка]])&gt;0,LEN(Множество[[#This Row],[Критерии]])&gt;0,LEN(Множество[[#This Row],[Оценки]])&gt;0),1,-1)</f>
        <v>-1</v>
      </c>
      <c r="AN402" s="208"/>
      <c r="AO402" s="208"/>
      <c r="AP402" s="208"/>
      <c r="AQ402" s="208"/>
      <c r="AR402" s="226"/>
      <c r="AS402" s="225"/>
      <c r="AT402" s="226"/>
      <c r="AU402" s="225"/>
      <c r="AV402" s="225"/>
      <c r="AW402" s="225"/>
      <c r="AX402" s="225"/>
      <c r="AY402" s="225"/>
    </row>
    <row r="403" spans="33:51" x14ac:dyDescent="0.25">
      <c r="AG403" s="66" t="str">
        <f>IF(AND(Множество[[#This Row],[Y]]=1),ROW()-ROW(Множество[[#Headers],[№]]),"")</f>
        <v/>
      </c>
      <c r="AI403" s="66">
        <v>1</v>
      </c>
      <c r="AJ403" s="66">
        <f>IF(LEN(Множество[[#This Row],[Свёртка]])&gt;0,1,-1)</f>
        <v>1</v>
      </c>
      <c r="AK403" s="66" t="s">
        <v>1781</v>
      </c>
      <c r="AL403" s="209">
        <f>IF(LEN(Множество[[#This Row],[Критерии]])&gt;0,1,-1)</f>
        <v>1</v>
      </c>
      <c r="AM403" s="209">
        <f>IF(AND(LEN(Множество[[#This Row],[Свёртка]])&gt;0,LEN(Множество[[#This Row],[Критерии]])&gt;0,LEN(Множество[[#This Row],[Оценки]])&gt;0),1,-1)</f>
        <v>-1</v>
      </c>
      <c r="AN403" s="208"/>
      <c r="AO403" s="208"/>
      <c r="AP403" s="208"/>
      <c r="AQ403" s="208"/>
      <c r="AR403" s="226"/>
      <c r="AS403" s="225"/>
      <c r="AT403" s="226"/>
      <c r="AU403" s="225"/>
      <c r="AV403" s="225"/>
      <c r="AW403" s="225"/>
      <c r="AX403" s="225"/>
      <c r="AY403" s="225"/>
    </row>
    <row r="404" spans="33:51" x14ac:dyDescent="0.25">
      <c r="AG404" s="66" t="str">
        <f>IF(AND(Множество[[#This Row],[Y]]=1),ROW()-ROW(Множество[[#Headers],[№]]),"")</f>
        <v/>
      </c>
      <c r="AI404" s="66">
        <v>1</v>
      </c>
      <c r="AJ404" s="66">
        <f>IF(LEN(Множество[[#This Row],[Свёртка]])&gt;0,1,-1)</f>
        <v>1</v>
      </c>
      <c r="AK404" s="66" t="s">
        <v>1781</v>
      </c>
      <c r="AL404" s="209">
        <f>IF(LEN(Множество[[#This Row],[Критерии]])&gt;0,1,-1)</f>
        <v>1</v>
      </c>
      <c r="AM404" s="209">
        <f>IF(AND(LEN(Множество[[#This Row],[Свёртка]])&gt;0,LEN(Множество[[#This Row],[Критерии]])&gt;0,LEN(Множество[[#This Row],[Оценки]])&gt;0),1,-1)</f>
        <v>-1</v>
      </c>
      <c r="AN404" s="208"/>
      <c r="AO404" s="208"/>
      <c r="AP404" s="208"/>
      <c r="AQ404" s="208"/>
      <c r="AR404" s="226"/>
      <c r="AS404" s="225"/>
      <c r="AT404" s="226"/>
      <c r="AU404" s="225"/>
      <c r="AV404" s="225"/>
      <c r="AW404" s="225"/>
      <c r="AX404" s="225"/>
      <c r="AY404" s="225"/>
    </row>
    <row r="405" spans="33:51" x14ac:dyDescent="0.25">
      <c r="AG405" s="66" t="str">
        <f>IF(AND(Множество[[#This Row],[Y]]=1),ROW()-ROW(Множество[[#Headers],[№]]),"")</f>
        <v/>
      </c>
      <c r="AI405" s="66">
        <v>1</v>
      </c>
      <c r="AJ405" s="66">
        <f>IF(LEN(Множество[[#This Row],[Свёртка]])&gt;0,1,-1)</f>
        <v>1</v>
      </c>
      <c r="AK405" s="66" t="s">
        <v>1781</v>
      </c>
      <c r="AL405" s="209">
        <f>IF(LEN(Множество[[#This Row],[Критерии]])&gt;0,1,-1)</f>
        <v>1</v>
      </c>
      <c r="AM405" s="209">
        <f>IF(AND(LEN(Множество[[#This Row],[Свёртка]])&gt;0,LEN(Множество[[#This Row],[Критерии]])&gt;0,LEN(Множество[[#This Row],[Оценки]])&gt;0),1,-1)</f>
        <v>-1</v>
      </c>
      <c r="AN405" s="208"/>
      <c r="AO405" s="208"/>
      <c r="AP405" s="208"/>
      <c r="AQ405" s="208"/>
      <c r="AR405" s="226"/>
      <c r="AS405" s="225"/>
      <c r="AT405" s="226"/>
      <c r="AU405" s="225"/>
      <c r="AV405" s="225"/>
      <c r="AW405" s="225"/>
      <c r="AX405" s="225"/>
      <c r="AY405" s="225"/>
    </row>
    <row r="406" spans="33:51" x14ac:dyDescent="0.25">
      <c r="AG406" s="66" t="str">
        <f>IF(AND(Множество[[#This Row],[Y]]=1),ROW()-ROW(Множество[[#Headers],[№]]),"")</f>
        <v/>
      </c>
      <c r="AI406" s="66">
        <v>1</v>
      </c>
      <c r="AJ406" s="66">
        <f>IF(LEN(Множество[[#This Row],[Свёртка]])&gt;0,1,-1)</f>
        <v>1</v>
      </c>
      <c r="AK406" s="66" t="s">
        <v>1781</v>
      </c>
      <c r="AL406" s="209">
        <f>IF(LEN(Множество[[#This Row],[Критерии]])&gt;0,1,-1)</f>
        <v>1</v>
      </c>
      <c r="AM406" s="209">
        <f>IF(AND(LEN(Множество[[#This Row],[Свёртка]])&gt;0,LEN(Множество[[#This Row],[Критерии]])&gt;0,LEN(Множество[[#This Row],[Оценки]])&gt;0),1,-1)</f>
        <v>-1</v>
      </c>
      <c r="AN406" s="208"/>
      <c r="AO406" s="208"/>
      <c r="AP406" s="208"/>
      <c r="AQ406" s="208"/>
      <c r="AR406" s="226"/>
      <c r="AS406" s="225"/>
      <c r="AT406" s="226"/>
      <c r="AU406" s="225"/>
      <c r="AV406" s="225"/>
      <c r="AW406" s="225"/>
      <c r="AX406" s="225"/>
      <c r="AY406" s="225"/>
    </row>
    <row r="407" spans="33:51" x14ac:dyDescent="0.25">
      <c r="AG407" s="66" t="str">
        <f>IF(AND(Множество[[#This Row],[Y]]=1),ROW()-ROW(Множество[[#Headers],[№]]),"")</f>
        <v/>
      </c>
      <c r="AI407" s="66">
        <v>1</v>
      </c>
      <c r="AJ407" s="66">
        <f>IF(LEN(Множество[[#This Row],[Свёртка]])&gt;0,1,-1)</f>
        <v>1</v>
      </c>
      <c r="AK407" s="66" t="s">
        <v>1781</v>
      </c>
      <c r="AL407" s="209">
        <f>IF(LEN(Множество[[#This Row],[Критерии]])&gt;0,1,-1)</f>
        <v>1</v>
      </c>
      <c r="AM407" s="209">
        <f>IF(AND(LEN(Множество[[#This Row],[Свёртка]])&gt;0,LEN(Множество[[#This Row],[Критерии]])&gt;0,LEN(Множество[[#This Row],[Оценки]])&gt;0),1,-1)</f>
        <v>-1</v>
      </c>
      <c r="AN407" s="208"/>
      <c r="AO407" s="208"/>
      <c r="AP407" s="208"/>
      <c r="AQ407" s="208"/>
      <c r="AR407" s="226"/>
      <c r="AS407" s="225"/>
      <c r="AT407" s="226"/>
      <c r="AU407" s="225"/>
      <c r="AV407" s="225"/>
      <c r="AW407" s="225"/>
      <c r="AX407" s="225"/>
      <c r="AY407" s="225"/>
    </row>
    <row r="408" spans="33:51" x14ac:dyDescent="0.25">
      <c r="AG408" s="66" t="str">
        <f>IF(AND(Множество[[#This Row],[Y]]=1),ROW()-ROW(Множество[[#Headers],[№]]),"")</f>
        <v/>
      </c>
      <c r="AI408" s="66">
        <v>1</v>
      </c>
      <c r="AJ408" s="66">
        <f>IF(LEN(Множество[[#This Row],[Свёртка]])&gt;0,1,-1)</f>
        <v>1</v>
      </c>
      <c r="AK408" s="66" t="s">
        <v>1781</v>
      </c>
      <c r="AL408" s="209">
        <f>IF(LEN(Множество[[#This Row],[Критерии]])&gt;0,1,-1)</f>
        <v>1</v>
      </c>
      <c r="AM408" s="209">
        <f>IF(AND(LEN(Множество[[#This Row],[Свёртка]])&gt;0,LEN(Множество[[#This Row],[Критерии]])&gt;0,LEN(Множество[[#This Row],[Оценки]])&gt;0),1,-1)</f>
        <v>-1</v>
      </c>
      <c r="AN408" s="208"/>
      <c r="AO408" s="208"/>
      <c r="AP408" s="208"/>
      <c r="AQ408" s="208"/>
      <c r="AR408" s="226"/>
      <c r="AS408" s="225"/>
      <c r="AT408" s="226"/>
      <c r="AU408" s="225"/>
      <c r="AV408" s="225"/>
      <c r="AW408" s="225"/>
      <c r="AX408" s="225"/>
      <c r="AY408" s="225"/>
    </row>
    <row r="409" spans="33:51" x14ac:dyDescent="0.25">
      <c r="AG409" s="66" t="str">
        <f>IF(AND(Множество[[#This Row],[Y]]=1),ROW()-ROW(Множество[[#Headers],[№]]),"")</f>
        <v/>
      </c>
      <c r="AI409" s="66">
        <v>1</v>
      </c>
      <c r="AJ409" s="66">
        <f>IF(LEN(Множество[[#This Row],[Свёртка]])&gt;0,1,-1)</f>
        <v>1</v>
      </c>
      <c r="AK409" s="66" t="s">
        <v>1781</v>
      </c>
      <c r="AL409" s="209">
        <f>IF(LEN(Множество[[#This Row],[Критерии]])&gt;0,1,-1)</f>
        <v>1</v>
      </c>
      <c r="AM409" s="209">
        <f>IF(AND(LEN(Множество[[#This Row],[Свёртка]])&gt;0,LEN(Множество[[#This Row],[Критерии]])&gt;0,LEN(Множество[[#This Row],[Оценки]])&gt;0),1,-1)</f>
        <v>-1</v>
      </c>
      <c r="AN409" s="208"/>
      <c r="AO409" s="208"/>
      <c r="AP409" s="208"/>
      <c r="AQ409" s="208"/>
      <c r="AR409" s="226"/>
      <c r="AS409" s="225"/>
      <c r="AT409" s="226"/>
      <c r="AU409" s="225"/>
      <c r="AV409" s="225"/>
      <c r="AW409" s="225"/>
      <c r="AX409" s="225"/>
      <c r="AY409" s="225"/>
    </row>
    <row r="410" spans="33:51" x14ac:dyDescent="0.25">
      <c r="AG410" s="66" t="str">
        <f>IF(AND(Множество[[#This Row],[Y]]=1),ROW()-ROW(Множество[[#Headers],[№]]),"")</f>
        <v/>
      </c>
      <c r="AI410" s="66">
        <v>1</v>
      </c>
      <c r="AJ410" s="66">
        <f>IF(LEN(Множество[[#This Row],[Свёртка]])&gt;0,1,-1)</f>
        <v>1</v>
      </c>
      <c r="AK410" s="66" t="s">
        <v>1781</v>
      </c>
      <c r="AL410" s="209">
        <f>IF(LEN(Множество[[#This Row],[Критерии]])&gt;0,1,-1)</f>
        <v>1</v>
      </c>
      <c r="AM410" s="209">
        <f>IF(AND(LEN(Множество[[#This Row],[Свёртка]])&gt;0,LEN(Множество[[#This Row],[Критерии]])&gt;0,LEN(Множество[[#This Row],[Оценки]])&gt;0),1,-1)</f>
        <v>-1</v>
      </c>
      <c r="AN410" s="208"/>
      <c r="AO410" s="208"/>
      <c r="AP410" s="208"/>
      <c r="AQ410" s="208"/>
      <c r="AR410" s="226"/>
      <c r="AS410" s="225"/>
      <c r="AT410" s="226"/>
      <c r="AU410" s="225"/>
      <c r="AV410" s="225"/>
      <c r="AW410" s="225"/>
      <c r="AX410" s="225"/>
      <c r="AY410" s="225"/>
    </row>
    <row r="411" spans="33:51" x14ac:dyDescent="0.25">
      <c r="AG411" s="66" t="str">
        <f>IF(AND(Множество[[#This Row],[Y]]=1),ROW()-ROW(Множество[[#Headers],[№]]),"")</f>
        <v/>
      </c>
      <c r="AI411" s="66">
        <v>1</v>
      </c>
      <c r="AJ411" s="66">
        <f>IF(LEN(Множество[[#This Row],[Свёртка]])&gt;0,1,-1)</f>
        <v>1</v>
      </c>
      <c r="AK411" s="66" t="s">
        <v>1781</v>
      </c>
      <c r="AL411" s="209">
        <f>IF(LEN(Множество[[#This Row],[Критерии]])&gt;0,1,-1)</f>
        <v>1</v>
      </c>
      <c r="AM411" s="209">
        <f>IF(AND(LEN(Множество[[#This Row],[Свёртка]])&gt;0,LEN(Множество[[#This Row],[Критерии]])&gt;0,LEN(Множество[[#This Row],[Оценки]])&gt;0),1,-1)</f>
        <v>-1</v>
      </c>
      <c r="AN411" s="208"/>
      <c r="AO411" s="208"/>
      <c r="AP411" s="208"/>
      <c r="AQ411" s="208"/>
      <c r="AR411" s="226"/>
      <c r="AS411" s="225"/>
      <c r="AT411" s="226"/>
      <c r="AU411" s="225"/>
      <c r="AV411" s="225"/>
      <c r="AW411" s="225"/>
      <c r="AX411" s="225"/>
      <c r="AY411" s="225"/>
    </row>
    <row r="412" spans="33:51" x14ac:dyDescent="0.25">
      <c r="AG412" s="66" t="str">
        <f>IF(AND(Множество[[#This Row],[Y]]=1),ROW()-ROW(Множество[[#Headers],[№]]),"")</f>
        <v/>
      </c>
      <c r="AI412" s="66">
        <v>1</v>
      </c>
      <c r="AJ412" s="66">
        <f>IF(LEN(Множество[[#This Row],[Свёртка]])&gt;0,1,-1)</f>
        <v>1</v>
      </c>
      <c r="AK412" s="66" t="s">
        <v>1781</v>
      </c>
      <c r="AL412" s="209">
        <f>IF(LEN(Множество[[#This Row],[Критерии]])&gt;0,1,-1)</f>
        <v>1</v>
      </c>
      <c r="AM412" s="209">
        <f>IF(AND(LEN(Множество[[#This Row],[Свёртка]])&gt;0,LEN(Множество[[#This Row],[Критерии]])&gt;0,LEN(Множество[[#This Row],[Оценки]])&gt;0),1,-1)</f>
        <v>-1</v>
      </c>
      <c r="AN412" s="208"/>
      <c r="AO412" s="208"/>
      <c r="AP412" s="208"/>
      <c r="AQ412" s="208"/>
      <c r="AR412" s="226"/>
      <c r="AS412" s="225"/>
      <c r="AT412" s="226"/>
      <c r="AU412" s="225"/>
      <c r="AV412" s="225"/>
      <c r="AW412" s="225"/>
      <c r="AX412" s="225"/>
      <c r="AY412" s="225"/>
    </row>
    <row r="413" spans="33:51" x14ac:dyDescent="0.25">
      <c r="AG413" s="66" t="str">
        <f>IF(AND(Множество[[#This Row],[Y]]=1),ROW()-ROW(Множество[[#Headers],[№]]),"")</f>
        <v/>
      </c>
      <c r="AI413" s="66">
        <v>1</v>
      </c>
      <c r="AJ413" s="66">
        <f>IF(LEN(Множество[[#This Row],[Свёртка]])&gt;0,1,-1)</f>
        <v>1</v>
      </c>
      <c r="AK413" s="66" t="s">
        <v>1781</v>
      </c>
      <c r="AL413" s="209">
        <f>IF(LEN(Множество[[#This Row],[Критерии]])&gt;0,1,-1)</f>
        <v>1</v>
      </c>
      <c r="AM413" s="209">
        <f>IF(AND(LEN(Множество[[#This Row],[Свёртка]])&gt;0,LEN(Множество[[#This Row],[Критерии]])&gt;0,LEN(Множество[[#This Row],[Оценки]])&gt;0),1,-1)</f>
        <v>-1</v>
      </c>
      <c r="AN413" s="208"/>
      <c r="AO413" s="208"/>
      <c r="AP413" s="208"/>
      <c r="AQ413" s="208"/>
      <c r="AR413" s="226"/>
      <c r="AS413" s="225"/>
      <c r="AT413" s="226"/>
      <c r="AU413" s="225"/>
      <c r="AV413" s="225"/>
      <c r="AW413" s="225"/>
      <c r="AX413" s="225"/>
      <c r="AY413" s="225"/>
    </row>
    <row r="414" spans="33:51" x14ac:dyDescent="0.25">
      <c r="AG414" s="66" t="str">
        <f>IF(AND(Множество[[#This Row],[Y]]=1),ROW()-ROW(Множество[[#Headers],[№]]),"")</f>
        <v/>
      </c>
      <c r="AI414" s="66">
        <v>1</v>
      </c>
      <c r="AJ414" s="66">
        <f>IF(LEN(Множество[[#This Row],[Свёртка]])&gt;0,1,-1)</f>
        <v>1</v>
      </c>
      <c r="AK414" s="66" t="s">
        <v>1781</v>
      </c>
      <c r="AL414" s="209">
        <f>IF(LEN(Множество[[#This Row],[Критерии]])&gt;0,1,-1)</f>
        <v>1</v>
      </c>
      <c r="AM414" s="209">
        <f>IF(AND(LEN(Множество[[#This Row],[Свёртка]])&gt;0,LEN(Множество[[#This Row],[Критерии]])&gt;0,LEN(Множество[[#This Row],[Оценки]])&gt;0),1,-1)</f>
        <v>-1</v>
      </c>
      <c r="AN414" s="208"/>
      <c r="AO414" s="208"/>
      <c r="AP414" s="208"/>
      <c r="AQ414" s="208"/>
      <c r="AR414" s="226"/>
      <c r="AS414" s="225"/>
      <c r="AT414" s="226"/>
      <c r="AU414" s="225"/>
      <c r="AV414" s="225"/>
      <c r="AW414" s="225"/>
      <c r="AX414" s="225"/>
      <c r="AY414" s="225"/>
    </row>
    <row r="415" spans="33:51" x14ac:dyDescent="0.25">
      <c r="AG415" s="66" t="str">
        <f>IF(AND(Множество[[#This Row],[Y]]=1),ROW()-ROW(Множество[[#Headers],[№]]),"")</f>
        <v/>
      </c>
      <c r="AI415" s="66">
        <v>1</v>
      </c>
      <c r="AJ415" s="66">
        <f>IF(LEN(Множество[[#This Row],[Свёртка]])&gt;0,1,-1)</f>
        <v>1</v>
      </c>
      <c r="AK415" s="66" t="s">
        <v>1781</v>
      </c>
      <c r="AL415" s="209">
        <f>IF(LEN(Множество[[#This Row],[Критерии]])&gt;0,1,-1)</f>
        <v>1</v>
      </c>
      <c r="AM415" s="209">
        <f>IF(AND(LEN(Множество[[#This Row],[Свёртка]])&gt;0,LEN(Множество[[#This Row],[Критерии]])&gt;0,LEN(Множество[[#This Row],[Оценки]])&gt;0),1,-1)</f>
        <v>-1</v>
      </c>
      <c r="AN415" s="208"/>
      <c r="AO415" s="208"/>
      <c r="AP415" s="208"/>
      <c r="AQ415" s="208"/>
      <c r="AR415" s="226"/>
      <c r="AS415" s="225"/>
      <c r="AT415" s="226"/>
      <c r="AU415" s="225"/>
      <c r="AV415" s="225"/>
      <c r="AW415" s="225"/>
      <c r="AX415" s="225"/>
      <c r="AY415" s="225"/>
    </row>
    <row r="416" spans="33:51" x14ac:dyDescent="0.25">
      <c r="AG416" s="66" t="str">
        <f>IF(AND(Множество[[#This Row],[Y]]=1),ROW()-ROW(Множество[[#Headers],[№]]),"")</f>
        <v/>
      </c>
      <c r="AI416" s="66">
        <v>1</v>
      </c>
      <c r="AJ416" s="66">
        <f>IF(LEN(Множество[[#This Row],[Свёртка]])&gt;0,1,-1)</f>
        <v>1</v>
      </c>
      <c r="AK416" s="66" t="s">
        <v>1781</v>
      </c>
      <c r="AL416" s="209">
        <f>IF(LEN(Множество[[#This Row],[Критерии]])&gt;0,1,-1)</f>
        <v>1</v>
      </c>
      <c r="AM416" s="209">
        <f>IF(AND(LEN(Множество[[#This Row],[Свёртка]])&gt;0,LEN(Множество[[#This Row],[Критерии]])&gt;0,LEN(Множество[[#This Row],[Оценки]])&gt;0),1,-1)</f>
        <v>-1</v>
      </c>
      <c r="AN416" s="208"/>
      <c r="AO416" s="208"/>
      <c r="AP416" s="208"/>
      <c r="AQ416" s="208"/>
      <c r="AR416" s="226"/>
      <c r="AS416" s="225"/>
      <c r="AT416" s="226"/>
      <c r="AU416" s="225"/>
      <c r="AV416" s="225"/>
      <c r="AW416" s="225"/>
      <c r="AX416" s="225"/>
      <c r="AY416" s="225"/>
    </row>
    <row r="417" spans="33:51" x14ac:dyDescent="0.25">
      <c r="AG417" s="66" t="str">
        <f>IF(AND(Множество[[#This Row],[Y]]=1),ROW()-ROW(Множество[[#Headers],[№]]),"")</f>
        <v/>
      </c>
      <c r="AI417" s="66">
        <v>1</v>
      </c>
      <c r="AJ417" s="66">
        <f>IF(LEN(Множество[[#This Row],[Свёртка]])&gt;0,1,-1)</f>
        <v>1</v>
      </c>
      <c r="AK417" s="66" t="s">
        <v>1781</v>
      </c>
      <c r="AL417" s="209">
        <f>IF(LEN(Множество[[#This Row],[Критерии]])&gt;0,1,-1)</f>
        <v>1</v>
      </c>
      <c r="AM417" s="209">
        <f>IF(AND(LEN(Множество[[#This Row],[Свёртка]])&gt;0,LEN(Множество[[#This Row],[Критерии]])&gt;0,LEN(Множество[[#This Row],[Оценки]])&gt;0),1,-1)</f>
        <v>-1</v>
      </c>
      <c r="AN417" s="208"/>
      <c r="AO417" s="208"/>
      <c r="AP417" s="208"/>
      <c r="AQ417" s="208"/>
      <c r="AR417" s="226"/>
      <c r="AS417" s="225"/>
      <c r="AT417" s="226"/>
      <c r="AU417" s="225"/>
      <c r="AV417" s="225"/>
      <c r="AW417" s="225"/>
      <c r="AX417" s="225"/>
      <c r="AY417" s="225"/>
    </row>
    <row r="418" spans="33:51" x14ac:dyDescent="0.25">
      <c r="AG418" s="66" t="str">
        <f>IF(AND(Множество[[#This Row],[Y]]=1),ROW()-ROW(Множество[[#Headers],[№]]),"")</f>
        <v/>
      </c>
      <c r="AI418" s="66">
        <v>1</v>
      </c>
      <c r="AJ418" s="66">
        <f>IF(LEN(Множество[[#This Row],[Свёртка]])&gt;0,1,-1)</f>
        <v>1</v>
      </c>
      <c r="AK418" s="66" t="s">
        <v>1781</v>
      </c>
      <c r="AL418" s="209">
        <f>IF(LEN(Множество[[#This Row],[Критерии]])&gt;0,1,-1)</f>
        <v>1</v>
      </c>
      <c r="AM418" s="209">
        <f>IF(AND(LEN(Множество[[#This Row],[Свёртка]])&gt;0,LEN(Множество[[#This Row],[Критерии]])&gt;0,LEN(Множество[[#This Row],[Оценки]])&gt;0),1,-1)</f>
        <v>-1</v>
      </c>
      <c r="AN418" s="208"/>
      <c r="AO418" s="208"/>
      <c r="AP418" s="208"/>
      <c r="AQ418" s="208"/>
      <c r="AR418" s="226"/>
      <c r="AS418" s="225"/>
      <c r="AT418" s="226"/>
      <c r="AU418" s="225"/>
      <c r="AV418" s="225"/>
      <c r="AW418" s="225"/>
      <c r="AX418" s="225"/>
      <c r="AY418" s="225"/>
    </row>
    <row r="419" spans="33:51" x14ac:dyDescent="0.25">
      <c r="AG419" s="66" t="str">
        <f>IF(AND(Множество[[#This Row],[Y]]=1),ROW()-ROW(Множество[[#Headers],[№]]),"")</f>
        <v/>
      </c>
      <c r="AI419" s="66">
        <v>1</v>
      </c>
      <c r="AJ419" s="66">
        <f>IF(LEN(Множество[[#This Row],[Свёртка]])&gt;0,1,-1)</f>
        <v>1</v>
      </c>
      <c r="AK419" s="66" t="s">
        <v>1781</v>
      </c>
      <c r="AL419" s="209">
        <f>IF(LEN(Множество[[#This Row],[Критерии]])&gt;0,1,-1)</f>
        <v>1</v>
      </c>
      <c r="AM419" s="209">
        <f>IF(AND(LEN(Множество[[#This Row],[Свёртка]])&gt;0,LEN(Множество[[#This Row],[Критерии]])&gt;0,LEN(Множество[[#This Row],[Оценки]])&gt;0),1,-1)</f>
        <v>-1</v>
      </c>
      <c r="AN419" s="208"/>
      <c r="AO419" s="208"/>
      <c r="AP419" s="208"/>
      <c r="AQ419" s="208"/>
      <c r="AR419" s="226"/>
      <c r="AS419" s="225"/>
      <c r="AT419" s="226"/>
      <c r="AU419" s="225"/>
      <c r="AV419" s="225"/>
      <c r="AW419" s="225"/>
      <c r="AX419" s="225"/>
      <c r="AY419" s="225"/>
    </row>
    <row r="420" spans="33:51" x14ac:dyDescent="0.25">
      <c r="AG420" s="66" t="str">
        <f>IF(AND(Множество[[#This Row],[Y]]=1),ROW()-ROW(Множество[[#Headers],[№]]),"")</f>
        <v/>
      </c>
      <c r="AI420" s="66">
        <v>1</v>
      </c>
      <c r="AJ420" s="66">
        <f>IF(LEN(Множество[[#This Row],[Свёртка]])&gt;0,1,-1)</f>
        <v>1</v>
      </c>
      <c r="AK420" s="66" t="s">
        <v>1781</v>
      </c>
      <c r="AL420" s="209">
        <f>IF(LEN(Множество[[#This Row],[Критерии]])&gt;0,1,-1)</f>
        <v>1</v>
      </c>
      <c r="AM420" s="209">
        <f>IF(AND(LEN(Множество[[#This Row],[Свёртка]])&gt;0,LEN(Множество[[#This Row],[Критерии]])&gt;0,LEN(Множество[[#This Row],[Оценки]])&gt;0),1,-1)</f>
        <v>-1</v>
      </c>
      <c r="AN420" s="208"/>
      <c r="AO420" s="208"/>
      <c r="AP420" s="208"/>
      <c r="AQ420" s="208"/>
      <c r="AR420" s="226"/>
      <c r="AS420" s="225"/>
      <c r="AT420" s="226"/>
      <c r="AU420" s="225"/>
      <c r="AV420" s="225"/>
      <c r="AW420" s="225"/>
      <c r="AX420" s="225"/>
      <c r="AY420" s="225"/>
    </row>
    <row r="421" spans="33:51" x14ac:dyDescent="0.25">
      <c r="AG421" s="66" t="str">
        <f>IF(AND(Множество[[#This Row],[Y]]=1),ROW()-ROW(Множество[[#Headers],[№]]),"")</f>
        <v/>
      </c>
      <c r="AI421" s="66">
        <v>1</v>
      </c>
      <c r="AJ421" s="66">
        <f>IF(LEN(Множество[[#This Row],[Свёртка]])&gt;0,1,-1)</f>
        <v>1</v>
      </c>
      <c r="AK421" s="66" t="s">
        <v>1781</v>
      </c>
      <c r="AL421" s="209">
        <f>IF(LEN(Множество[[#This Row],[Критерии]])&gt;0,1,-1)</f>
        <v>1</v>
      </c>
      <c r="AM421" s="209">
        <f>IF(AND(LEN(Множество[[#This Row],[Свёртка]])&gt;0,LEN(Множество[[#This Row],[Критерии]])&gt;0,LEN(Множество[[#This Row],[Оценки]])&gt;0),1,-1)</f>
        <v>-1</v>
      </c>
      <c r="AN421" s="208"/>
      <c r="AO421" s="208"/>
      <c r="AP421" s="208"/>
      <c r="AQ421" s="208"/>
      <c r="AR421" s="226"/>
      <c r="AS421" s="225"/>
      <c r="AT421" s="226"/>
      <c r="AU421" s="225"/>
      <c r="AV421" s="225"/>
      <c r="AW421" s="225"/>
      <c r="AX421" s="225"/>
      <c r="AY421" s="225"/>
    </row>
    <row r="422" spans="33:51" x14ac:dyDescent="0.25">
      <c r="AG422" s="66" t="str">
        <f>IF(AND(Множество[[#This Row],[Y]]=1),ROW()-ROW(Множество[[#Headers],[№]]),"")</f>
        <v/>
      </c>
      <c r="AI422" s="66">
        <v>1</v>
      </c>
      <c r="AJ422" s="66">
        <f>IF(LEN(Множество[[#This Row],[Свёртка]])&gt;0,1,-1)</f>
        <v>1</v>
      </c>
      <c r="AK422" s="66" t="s">
        <v>1781</v>
      </c>
      <c r="AL422" s="209">
        <f>IF(LEN(Множество[[#This Row],[Критерии]])&gt;0,1,-1)</f>
        <v>1</v>
      </c>
      <c r="AM422" s="209">
        <f>IF(AND(LEN(Множество[[#This Row],[Свёртка]])&gt;0,LEN(Множество[[#This Row],[Критерии]])&gt;0,LEN(Множество[[#This Row],[Оценки]])&gt;0),1,-1)</f>
        <v>-1</v>
      </c>
      <c r="AN422" s="208"/>
      <c r="AO422" s="208"/>
      <c r="AP422" s="208"/>
      <c r="AQ422" s="208"/>
      <c r="AR422" s="226"/>
      <c r="AS422" s="225"/>
      <c r="AT422" s="226"/>
      <c r="AU422" s="225"/>
      <c r="AV422" s="225"/>
      <c r="AW422" s="225"/>
      <c r="AX422" s="225"/>
      <c r="AY422" s="225"/>
    </row>
    <row r="423" spans="33:51" x14ac:dyDescent="0.25">
      <c r="AG423" s="66" t="str">
        <f>IF(AND(Множество[[#This Row],[Y]]=1),ROW()-ROW(Множество[[#Headers],[№]]),"")</f>
        <v/>
      </c>
      <c r="AI423" s="66">
        <v>1</v>
      </c>
      <c r="AJ423" s="66">
        <f>IF(LEN(Множество[[#This Row],[Свёртка]])&gt;0,1,-1)</f>
        <v>1</v>
      </c>
      <c r="AK423" s="66" t="s">
        <v>1781</v>
      </c>
      <c r="AL423" s="209">
        <f>IF(LEN(Множество[[#This Row],[Критерии]])&gt;0,1,-1)</f>
        <v>1</v>
      </c>
      <c r="AM423" s="209">
        <f>IF(AND(LEN(Множество[[#This Row],[Свёртка]])&gt;0,LEN(Множество[[#This Row],[Критерии]])&gt;0,LEN(Множество[[#This Row],[Оценки]])&gt;0),1,-1)</f>
        <v>-1</v>
      </c>
      <c r="AN423" s="208"/>
      <c r="AO423" s="208"/>
      <c r="AP423" s="208"/>
      <c r="AQ423" s="208"/>
      <c r="AR423" s="226"/>
      <c r="AS423" s="225"/>
      <c r="AT423" s="226"/>
      <c r="AU423" s="225"/>
      <c r="AV423" s="225"/>
      <c r="AW423" s="225"/>
      <c r="AX423" s="225"/>
      <c r="AY423" s="225"/>
    </row>
    <row r="424" spans="33:51" x14ac:dyDescent="0.25">
      <c r="AG424" s="66" t="str">
        <f>IF(AND(Множество[[#This Row],[Y]]=1),ROW()-ROW(Множество[[#Headers],[№]]),"")</f>
        <v/>
      </c>
      <c r="AI424" s="66">
        <v>1</v>
      </c>
      <c r="AJ424" s="66">
        <f>IF(LEN(Множество[[#This Row],[Свёртка]])&gt;0,1,-1)</f>
        <v>1</v>
      </c>
      <c r="AK424" s="66" t="s">
        <v>1781</v>
      </c>
      <c r="AL424" s="209">
        <f>IF(LEN(Множество[[#This Row],[Критерии]])&gt;0,1,-1)</f>
        <v>1</v>
      </c>
      <c r="AM424" s="209">
        <f>IF(AND(LEN(Множество[[#This Row],[Свёртка]])&gt;0,LEN(Множество[[#This Row],[Критерии]])&gt;0,LEN(Множество[[#This Row],[Оценки]])&gt;0),1,-1)</f>
        <v>-1</v>
      </c>
      <c r="AN424" s="208"/>
      <c r="AO424" s="208"/>
      <c r="AP424" s="208"/>
      <c r="AQ424" s="208"/>
      <c r="AR424" s="226"/>
      <c r="AS424" s="225"/>
      <c r="AT424" s="226"/>
      <c r="AU424" s="225"/>
      <c r="AV424" s="225"/>
      <c r="AW424" s="225"/>
      <c r="AX424" s="225"/>
      <c r="AY424" s="225"/>
    </row>
    <row r="425" spans="33:51" x14ac:dyDescent="0.25">
      <c r="AG425" s="66" t="str">
        <f>IF(AND(Множество[[#This Row],[Y]]=1),ROW()-ROW(Множество[[#Headers],[№]]),"")</f>
        <v/>
      </c>
      <c r="AI425" s="66">
        <v>1</v>
      </c>
      <c r="AJ425" s="66">
        <f>IF(LEN(Множество[[#This Row],[Свёртка]])&gt;0,1,-1)</f>
        <v>1</v>
      </c>
      <c r="AK425" s="66" t="s">
        <v>1781</v>
      </c>
      <c r="AL425" s="209">
        <f>IF(LEN(Множество[[#This Row],[Критерии]])&gt;0,1,-1)</f>
        <v>1</v>
      </c>
      <c r="AM425" s="209">
        <f>IF(AND(LEN(Множество[[#This Row],[Свёртка]])&gt;0,LEN(Множество[[#This Row],[Критерии]])&gt;0,LEN(Множество[[#This Row],[Оценки]])&gt;0),1,-1)</f>
        <v>-1</v>
      </c>
      <c r="AN425" s="208"/>
      <c r="AO425" s="208"/>
      <c r="AP425" s="208"/>
      <c r="AQ425" s="208"/>
      <c r="AR425" s="226"/>
      <c r="AS425" s="225"/>
      <c r="AT425" s="226"/>
      <c r="AU425" s="225"/>
      <c r="AV425" s="225"/>
      <c r="AW425" s="225"/>
      <c r="AX425" s="225"/>
      <c r="AY425" s="225"/>
    </row>
    <row r="426" spans="33:51" x14ac:dyDescent="0.25">
      <c r="AG426" s="66" t="str">
        <f>IF(AND(Множество[[#This Row],[Y]]=1),ROW()-ROW(Множество[[#Headers],[№]]),"")</f>
        <v/>
      </c>
      <c r="AI426" s="66">
        <v>1</v>
      </c>
      <c r="AJ426" s="66">
        <f>IF(LEN(Множество[[#This Row],[Свёртка]])&gt;0,1,-1)</f>
        <v>1</v>
      </c>
      <c r="AK426" s="66" t="s">
        <v>1781</v>
      </c>
      <c r="AL426" s="209">
        <f>IF(LEN(Множество[[#This Row],[Критерии]])&gt;0,1,-1)</f>
        <v>1</v>
      </c>
      <c r="AM426" s="209">
        <f>IF(AND(LEN(Множество[[#This Row],[Свёртка]])&gt;0,LEN(Множество[[#This Row],[Критерии]])&gt;0,LEN(Множество[[#This Row],[Оценки]])&gt;0),1,-1)</f>
        <v>-1</v>
      </c>
      <c r="AN426" s="208"/>
      <c r="AO426" s="208"/>
      <c r="AP426" s="208"/>
      <c r="AQ426" s="208"/>
      <c r="AR426" s="226"/>
      <c r="AS426" s="225"/>
      <c r="AT426" s="226"/>
      <c r="AU426" s="225"/>
      <c r="AV426" s="225"/>
      <c r="AW426" s="225"/>
      <c r="AX426" s="225"/>
      <c r="AY426" s="225"/>
    </row>
    <row r="427" spans="33:51" x14ac:dyDescent="0.25">
      <c r="AG427" s="66" t="str">
        <f>IF(AND(Множество[[#This Row],[Y]]=1),ROW()-ROW(Множество[[#Headers],[№]]),"")</f>
        <v/>
      </c>
      <c r="AI427" s="66">
        <v>1</v>
      </c>
      <c r="AJ427" s="66">
        <f>IF(LEN(Множество[[#This Row],[Свёртка]])&gt;0,1,-1)</f>
        <v>1</v>
      </c>
      <c r="AK427" s="66" t="s">
        <v>1781</v>
      </c>
      <c r="AL427" s="209">
        <f>IF(LEN(Множество[[#This Row],[Критерии]])&gt;0,1,-1)</f>
        <v>1</v>
      </c>
      <c r="AM427" s="209">
        <f>IF(AND(LEN(Множество[[#This Row],[Свёртка]])&gt;0,LEN(Множество[[#This Row],[Критерии]])&gt;0,LEN(Множество[[#This Row],[Оценки]])&gt;0),1,-1)</f>
        <v>-1</v>
      </c>
      <c r="AN427" s="208"/>
      <c r="AO427" s="208"/>
      <c r="AP427" s="208"/>
      <c r="AQ427" s="208"/>
      <c r="AR427" s="226"/>
      <c r="AS427" s="225"/>
      <c r="AT427" s="226"/>
      <c r="AU427" s="225"/>
      <c r="AV427" s="225"/>
      <c r="AW427" s="225"/>
      <c r="AX427" s="225"/>
      <c r="AY427" s="225"/>
    </row>
    <row r="428" spans="33:51" x14ac:dyDescent="0.25">
      <c r="AG428" s="66" t="str">
        <f>IF(AND(Множество[[#This Row],[Y]]=1),ROW()-ROW(Множество[[#Headers],[№]]),"")</f>
        <v/>
      </c>
      <c r="AI428" s="66">
        <v>1</v>
      </c>
      <c r="AJ428" s="66">
        <f>IF(LEN(Множество[[#This Row],[Свёртка]])&gt;0,1,-1)</f>
        <v>1</v>
      </c>
      <c r="AK428" s="66" t="s">
        <v>1781</v>
      </c>
      <c r="AL428" s="209">
        <f>IF(LEN(Множество[[#This Row],[Критерии]])&gt;0,1,-1)</f>
        <v>1</v>
      </c>
      <c r="AM428" s="209">
        <f>IF(AND(LEN(Множество[[#This Row],[Свёртка]])&gt;0,LEN(Множество[[#This Row],[Критерии]])&gt;0,LEN(Множество[[#This Row],[Оценки]])&gt;0),1,-1)</f>
        <v>-1</v>
      </c>
      <c r="AN428" s="208"/>
      <c r="AO428" s="208"/>
      <c r="AP428" s="208"/>
      <c r="AQ428" s="208"/>
      <c r="AR428" s="226"/>
      <c r="AS428" s="225"/>
      <c r="AT428" s="226"/>
      <c r="AU428" s="225"/>
      <c r="AV428" s="225"/>
      <c r="AW428" s="225"/>
      <c r="AX428" s="225"/>
      <c r="AY428" s="225"/>
    </row>
    <row r="429" spans="33:51" x14ac:dyDescent="0.25">
      <c r="AG429" s="66" t="str">
        <f>IF(AND(Множество[[#This Row],[Y]]=1),ROW()-ROW(Множество[[#Headers],[№]]),"")</f>
        <v/>
      </c>
      <c r="AI429" s="66">
        <v>1</v>
      </c>
      <c r="AJ429" s="66">
        <f>IF(LEN(Множество[[#This Row],[Свёртка]])&gt;0,1,-1)</f>
        <v>1</v>
      </c>
      <c r="AK429" s="66" t="s">
        <v>1781</v>
      </c>
      <c r="AL429" s="209">
        <f>IF(LEN(Множество[[#This Row],[Критерии]])&gt;0,1,-1)</f>
        <v>1</v>
      </c>
      <c r="AM429" s="209">
        <f>IF(AND(LEN(Множество[[#This Row],[Свёртка]])&gt;0,LEN(Множество[[#This Row],[Критерии]])&gt;0,LEN(Множество[[#This Row],[Оценки]])&gt;0),1,-1)</f>
        <v>-1</v>
      </c>
      <c r="AN429" s="208"/>
      <c r="AO429" s="208"/>
      <c r="AP429" s="208"/>
      <c r="AQ429" s="208"/>
      <c r="AR429" s="226"/>
      <c r="AS429" s="225"/>
      <c r="AT429" s="226"/>
      <c r="AU429" s="225"/>
      <c r="AV429" s="225"/>
      <c r="AW429" s="225"/>
      <c r="AX429" s="225"/>
      <c r="AY429" s="225"/>
    </row>
    <row r="430" spans="33:51" x14ac:dyDescent="0.25">
      <c r="AG430" s="66" t="str">
        <f>IF(AND(Множество[[#This Row],[Y]]=1),ROW()-ROW(Множество[[#Headers],[№]]),"")</f>
        <v/>
      </c>
      <c r="AI430" s="66">
        <v>1</v>
      </c>
      <c r="AJ430" s="66">
        <f>IF(LEN(Множество[[#This Row],[Свёртка]])&gt;0,1,-1)</f>
        <v>1</v>
      </c>
      <c r="AK430" s="66" t="s">
        <v>1781</v>
      </c>
      <c r="AL430" s="209">
        <f>IF(LEN(Множество[[#This Row],[Критерии]])&gt;0,1,-1)</f>
        <v>1</v>
      </c>
      <c r="AM430" s="209">
        <f>IF(AND(LEN(Множество[[#This Row],[Свёртка]])&gt;0,LEN(Множество[[#This Row],[Критерии]])&gt;0,LEN(Множество[[#This Row],[Оценки]])&gt;0),1,-1)</f>
        <v>-1</v>
      </c>
      <c r="AN430" s="208"/>
      <c r="AO430" s="208"/>
      <c r="AP430" s="208"/>
      <c r="AQ430" s="208"/>
      <c r="AR430" s="226"/>
      <c r="AS430" s="225"/>
      <c r="AT430" s="226"/>
      <c r="AU430" s="225"/>
      <c r="AV430" s="225"/>
      <c r="AW430" s="225"/>
      <c r="AX430" s="225"/>
      <c r="AY430" s="225"/>
    </row>
    <row r="431" spans="33:51" x14ac:dyDescent="0.25">
      <c r="AG431" s="66" t="str">
        <f>IF(AND(Множество[[#This Row],[Y]]=1),ROW()-ROW(Множество[[#Headers],[№]]),"")</f>
        <v/>
      </c>
      <c r="AI431" s="66">
        <v>1</v>
      </c>
      <c r="AJ431" s="66">
        <f>IF(LEN(Множество[[#This Row],[Свёртка]])&gt;0,1,-1)</f>
        <v>1</v>
      </c>
      <c r="AK431" s="66" t="s">
        <v>1781</v>
      </c>
      <c r="AL431" s="209">
        <f>IF(LEN(Множество[[#This Row],[Критерии]])&gt;0,1,-1)</f>
        <v>1</v>
      </c>
      <c r="AM431" s="209">
        <f>IF(AND(LEN(Множество[[#This Row],[Свёртка]])&gt;0,LEN(Множество[[#This Row],[Критерии]])&gt;0,LEN(Множество[[#This Row],[Оценки]])&gt;0),1,-1)</f>
        <v>-1</v>
      </c>
      <c r="AN431" s="208"/>
      <c r="AO431" s="208"/>
      <c r="AP431" s="208"/>
      <c r="AQ431" s="208"/>
      <c r="AR431" s="226"/>
      <c r="AS431" s="225"/>
      <c r="AT431" s="226"/>
      <c r="AU431" s="225"/>
      <c r="AV431" s="225"/>
      <c r="AW431" s="225"/>
      <c r="AX431" s="225"/>
      <c r="AY431" s="225"/>
    </row>
    <row r="432" spans="33:51" x14ac:dyDescent="0.25">
      <c r="AG432" s="66" t="str">
        <f>IF(AND(Множество[[#This Row],[Y]]=1),ROW()-ROW(Множество[[#Headers],[№]]),"")</f>
        <v/>
      </c>
      <c r="AI432" s="66">
        <v>1</v>
      </c>
      <c r="AJ432" s="66">
        <f>IF(LEN(Множество[[#This Row],[Свёртка]])&gt;0,1,-1)</f>
        <v>1</v>
      </c>
      <c r="AK432" s="66" t="s">
        <v>1781</v>
      </c>
      <c r="AL432" s="209">
        <f>IF(LEN(Множество[[#This Row],[Критерии]])&gt;0,1,-1)</f>
        <v>1</v>
      </c>
      <c r="AM432" s="209">
        <f>IF(AND(LEN(Множество[[#This Row],[Свёртка]])&gt;0,LEN(Множество[[#This Row],[Критерии]])&gt;0,LEN(Множество[[#This Row],[Оценки]])&gt;0),1,-1)</f>
        <v>-1</v>
      </c>
      <c r="AN432" s="208"/>
      <c r="AO432" s="208"/>
      <c r="AP432" s="208"/>
      <c r="AQ432" s="208"/>
      <c r="AR432" s="226"/>
      <c r="AS432" s="225"/>
      <c r="AT432" s="226"/>
      <c r="AU432" s="225"/>
      <c r="AV432" s="225"/>
      <c r="AW432" s="225"/>
      <c r="AX432" s="225"/>
      <c r="AY432" s="225"/>
    </row>
    <row r="433" spans="33:51" x14ac:dyDescent="0.25">
      <c r="AG433" s="66" t="str">
        <f>IF(AND(Множество[[#This Row],[Y]]=1),ROW()-ROW(Множество[[#Headers],[№]]),"")</f>
        <v/>
      </c>
      <c r="AI433" s="66">
        <v>1</v>
      </c>
      <c r="AJ433" s="66">
        <f>IF(LEN(Множество[[#This Row],[Свёртка]])&gt;0,1,-1)</f>
        <v>1</v>
      </c>
      <c r="AK433" s="66" t="s">
        <v>1781</v>
      </c>
      <c r="AL433" s="209">
        <f>IF(LEN(Множество[[#This Row],[Критерии]])&gt;0,1,-1)</f>
        <v>1</v>
      </c>
      <c r="AM433" s="209">
        <f>IF(AND(LEN(Множество[[#This Row],[Свёртка]])&gt;0,LEN(Множество[[#This Row],[Критерии]])&gt;0,LEN(Множество[[#This Row],[Оценки]])&gt;0),1,-1)</f>
        <v>-1</v>
      </c>
      <c r="AN433" s="208"/>
      <c r="AO433" s="208"/>
      <c r="AP433" s="208"/>
      <c r="AQ433" s="208"/>
      <c r="AR433" s="226"/>
      <c r="AS433" s="225"/>
      <c r="AT433" s="226"/>
      <c r="AU433" s="225"/>
      <c r="AV433" s="225"/>
      <c r="AW433" s="225"/>
      <c r="AX433" s="225"/>
      <c r="AY433" s="225"/>
    </row>
    <row r="434" spans="33:51" x14ac:dyDescent="0.25">
      <c r="AG434" s="66" t="str">
        <f>IF(AND(Множество[[#This Row],[Y]]=1),ROW()-ROW(Множество[[#Headers],[№]]),"")</f>
        <v/>
      </c>
      <c r="AI434" s="66">
        <v>1</v>
      </c>
      <c r="AJ434" s="66">
        <f>IF(LEN(Множество[[#This Row],[Свёртка]])&gt;0,1,-1)</f>
        <v>1</v>
      </c>
      <c r="AK434" s="66" t="s">
        <v>1781</v>
      </c>
      <c r="AL434" s="209">
        <f>IF(LEN(Множество[[#This Row],[Критерии]])&gt;0,1,-1)</f>
        <v>1</v>
      </c>
      <c r="AM434" s="209">
        <f>IF(AND(LEN(Множество[[#This Row],[Свёртка]])&gt;0,LEN(Множество[[#This Row],[Критерии]])&gt;0,LEN(Множество[[#This Row],[Оценки]])&gt;0),1,-1)</f>
        <v>-1</v>
      </c>
      <c r="AN434" s="208"/>
      <c r="AO434" s="208"/>
      <c r="AP434" s="208"/>
      <c r="AQ434" s="208"/>
      <c r="AR434" s="226"/>
      <c r="AS434" s="225"/>
      <c r="AT434" s="226"/>
      <c r="AU434" s="225"/>
      <c r="AV434" s="225"/>
      <c r="AW434" s="225"/>
      <c r="AX434" s="225"/>
      <c r="AY434" s="225"/>
    </row>
    <row r="435" spans="33:51" x14ac:dyDescent="0.25">
      <c r="AG435" s="66" t="str">
        <f>IF(AND(Множество[[#This Row],[Y]]=1),ROW()-ROW(Множество[[#Headers],[№]]),"")</f>
        <v/>
      </c>
      <c r="AI435" s="66">
        <v>1</v>
      </c>
      <c r="AJ435" s="66">
        <f>IF(LEN(Множество[[#This Row],[Свёртка]])&gt;0,1,-1)</f>
        <v>1</v>
      </c>
      <c r="AK435" s="66" t="s">
        <v>1781</v>
      </c>
      <c r="AL435" s="209">
        <f>IF(LEN(Множество[[#This Row],[Критерии]])&gt;0,1,-1)</f>
        <v>1</v>
      </c>
      <c r="AM435" s="209">
        <f>IF(AND(LEN(Множество[[#This Row],[Свёртка]])&gt;0,LEN(Множество[[#This Row],[Критерии]])&gt;0,LEN(Множество[[#This Row],[Оценки]])&gt;0),1,-1)</f>
        <v>-1</v>
      </c>
      <c r="AN435" s="208"/>
      <c r="AO435" s="208"/>
      <c r="AP435" s="208"/>
      <c r="AQ435" s="208"/>
      <c r="AR435" s="226"/>
      <c r="AS435" s="225"/>
      <c r="AT435" s="226"/>
      <c r="AU435" s="225"/>
      <c r="AV435" s="225"/>
      <c r="AW435" s="225"/>
      <c r="AX435" s="225"/>
      <c r="AY435" s="225"/>
    </row>
    <row r="436" spans="33:51" x14ac:dyDescent="0.25">
      <c r="AG436" s="66" t="str">
        <f>IF(AND(Множество[[#This Row],[Y]]=1),ROW()-ROW(Множество[[#Headers],[№]]),"")</f>
        <v/>
      </c>
      <c r="AI436" s="66">
        <v>1</v>
      </c>
      <c r="AJ436" s="66">
        <f>IF(LEN(Множество[[#This Row],[Свёртка]])&gt;0,1,-1)</f>
        <v>1</v>
      </c>
      <c r="AK436" s="66" t="s">
        <v>1781</v>
      </c>
      <c r="AL436" s="209">
        <f>IF(LEN(Множество[[#This Row],[Критерии]])&gt;0,1,-1)</f>
        <v>1</v>
      </c>
      <c r="AM436" s="209">
        <f>IF(AND(LEN(Множество[[#This Row],[Свёртка]])&gt;0,LEN(Множество[[#This Row],[Критерии]])&gt;0,LEN(Множество[[#This Row],[Оценки]])&gt;0),1,-1)</f>
        <v>-1</v>
      </c>
      <c r="AN436" s="208"/>
      <c r="AO436" s="208"/>
      <c r="AP436" s="208"/>
      <c r="AQ436" s="208"/>
      <c r="AR436" s="226"/>
      <c r="AS436" s="225"/>
      <c r="AT436" s="226"/>
      <c r="AU436" s="225"/>
      <c r="AV436" s="225"/>
      <c r="AW436" s="225"/>
      <c r="AX436" s="225"/>
      <c r="AY436" s="225"/>
    </row>
    <row r="437" spans="33:51" x14ac:dyDescent="0.25">
      <c r="AG437" s="66" t="str">
        <f>IF(AND(Множество[[#This Row],[Y]]=1),ROW()-ROW(Множество[[#Headers],[№]]),"")</f>
        <v/>
      </c>
      <c r="AI437" s="66">
        <v>1</v>
      </c>
      <c r="AJ437" s="66">
        <f>IF(LEN(Множество[[#This Row],[Свёртка]])&gt;0,1,-1)</f>
        <v>1</v>
      </c>
      <c r="AK437" s="66" t="s">
        <v>1781</v>
      </c>
      <c r="AL437" s="209">
        <f>IF(LEN(Множество[[#This Row],[Критерии]])&gt;0,1,-1)</f>
        <v>1</v>
      </c>
      <c r="AM437" s="209">
        <f>IF(AND(LEN(Множество[[#This Row],[Свёртка]])&gt;0,LEN(Множество[[#This Row],[Критерии]])&gt;0,LEN(Множество[[#This Row],[Оценки]])&gt;0),1,-1)</f>
        <v>-1</v>
      </c>
      <c r="AN437" s="208"/>
      <c r="AO437" s="208"/>
      <c r="AP437" s="208"/>
      <c r="AQ437" s="208"/>
      <c r="AR437" s="226"/>
      <c r="AS437" s="225"/>
      <c r="AT437" s="226"/>
      <c r="AU437" s="225"/>
      <c r="AV437" s="225"/>
      <c r="AW437" s="225"/>
      <c r="AX437" s="225"/>
      <c r="AY437" s="225"/>
    </row>
    <row r="438" spans="33:51" x14ac:dyDescent="0.25">
      <c r="AG438" s="66" t="str">
        <f>IF(AND(Множество[[#This Row],[Y]]=1),ROW()-ROW(Множество[[#Headers],[№]]),"")</f>
        <v/>
      </c>
      <c r="AI438" s="66">
        <v>1</v>
      </c>
      <c r="AJ438" s="66">
        <f>IF(LEN(Множество[[#This Row],[Свёртка]])&gt;0,1,-1)</f>
        <v>1</v>
      </c>
      <c r="AK438" s="66" t="s">
        <v>1781</v>
      </c>
      <c r="AL438" s="209">
        <f>IF(LEN(Множество[[#This Row],[Критерии]])&gt;0,1,-1)</f>
        <v>1</v>
      </c>
      <c r="AM438" s="209">
        <f>IF(AND(LEN(Множество[[#This Row],[Свёртка]])&gt;0,LEN(Множество[[#This Row],[Критерии]])&gt;0,LEN(Множество[[#This Row],[Оценки]])&gt;0),1,-1)</f>
        <v>-1</v>
      </c>
      <c r="AN438" s="208"/>
      <c r="AO438" s="208"/>
      <c r="AP438" s="208"/>
      <c r="AQ438" s="208"/>
      <c r="AR438" s="226"/>
      <c r="AS438" s="225"/>
      <c r="AT438" s="226"/>
      <c r="AU438" s="225"/>
      <c r="AV438" s="225"/>
      <c r="AW438" s="225"/>
      <c r="AX438" s="225"/>
      <c r="AY438" s="225"/>
    </row>
    <row r="439" spans="33:51" x14ac:dyDescent="0.25">
      <c r="AG439" s="66" t="str">
        <f>IF(AND(Множество[[#This Row],[Y]]=1),ROW()-ROW(Множество[[#Headers],[№]]),"")</f>
        <v/>
      </c>
      <c r="AI439" s="66">
        <v>1</v>
      </c>
      <c r="AJ439" s="66">
        <f>IF(LEN(Множество[[#This Row],[Свёртка]])&gt;0,1,-1)</f>
        <v>1</v>
      </c>
      <c r="AK439" s="66" t="s">
        <v>1781</v>
      </c>
      <c r="AL439" s="209">
        <f>IF(LEN(Множество[[#This Row],[Критерии]])&gt;0,1,-1)</f>
        <v>1</v>
      </c>
      <c r="AM439" s="209">
        <f>IF(AND(LEN(Множество[[#This Row],[Свёртка]])&gt;0,LEN(Множество[[#This Row],[Критерии]])&gt;0,LEN(Множество[[#This Row],[Оценки]])&gt;0),1,-1)</f>
        <v>-1</v>
      </c>
      <c r="AN439" s="208"/>
      <c r="AO439" s="208"/>
      <c r="AP439" s="208"/>
      <c r="AQ439" s="208"/>
      <c r="AR439" s="226"/>
      <c r="AS439" s="225"/>
      <c r="AT439" s="226"/>
      <c r="AU439" s="225"/>
      <c r="AV439" s="225"/>
      <c r="AW439" s="225"/>
      <c r="AX439" s="225"/>
      <c r="AY439" s="225"/>
    </row>
    <row r="440" spans="33:51" x14ac:dyDescent="0.25">
      <c r="AG440" s="66" t="str">
        <f>IF(AND(Множество[[#This Row],[Y]]=1),ROW()-ROW(Множество[[#Headers],[№]]),"")</f>
        <v/>
      </c>
      <c r="AI440" s="66">
        <v>1</v>
      </c>
      <c r="AJ440" s="66">
        <f>IF(LEN(Множество[[#This Row],[Свёртка]])&gt;0,1,-1)</f>
        <v>1</v>
      </c>
      <c r="AK440" s="66" t="s">
        <v>1781</v>
      </c>
      <c r="AL440" s="209">
        <f>IF(LEN(Множество[[#This Row],[Критерии]])&gt;0,1,-1)</f>
        <v>1</v>
      </c>
      <c r="AM440" s="209">
        <f>IF(AND(LEN(Множество[[#This Row],[Свёртка]])&gt;0,LEN(Множество[[#This Row],[Критерии]])&gt;0,LEN(Множество[[#This Row],[Оценки]])&gt;0),1,-1)</f>
        <v>-1</v>
      </c>
      <c r="AN440" s="208"/>
      <c r="AO440" s="208"/>
      <c r="AP440" s="208"/>
      <c r="AQ440" s="208"/>
      <c r="AR440" s="226"/>
      <c r="AS440" s="225"/>
      <c r="AT440" s="226"/>
      <c r="AU440" s="225"/>
      <c r="AV440" s="225"/>
      <c r="AW440" s="225"/>
      <c r="AX440" s="225"/>
      <c r="AY440" s="225"/>
    </row>
    <row r="441" spans="33:51" x14ac:dyDescent="0.25">
      <c r="AG441" s="66" t="str">
        <f>IF(AND(Множество[[#This Row],[Y]]=1),ROW()-ROW(Множество[[#Headers],[№]]),"")</f>
        <v/>
      </c>
      <c r="AI441" s="66">
        <v>1</v>
      </c>
      <c r="AJ441" s="66">
        <f>IF(LEN(Множество[[#This Row],[Свёртка]])&gt;0,1,-1)</f>
        <v>1</v>
      </c>
      <c r="AK441" s="66" t="s">
        <v>1781</v>
      </c>
      <c r="AL441" s="209">
        <f>IF(LEN(Множество[[#This Row],[Критерии]])&gt;0,1,-1)</f>
        <v>1</v>
      </c>
      <c r="AM441" s="209">
        <f>IF(AND(LEN(Множество[[#This Row],[Свёртка]])&gt;0,LEN(Множество[[#This Row],[Критерии]])&gt;0,LEN(Множество[[#This Row],[Оценки]])&gt;0),1,-1)</f>
        <v>-1</v>
      </c>
      <c r="AN441" s="208"/>
      <c r="AO441" s="208"/>
      <c r="AP441" s="208"/>
      <c r="AQ441" s="208"/>
      <c r="AR441" s="226"/>
      <c r="AS441" s="225"/>
      <c r="AT441" s="226"/>
      <c r="AU441" s="225"/>
      <c r="AV441" s="225"/>
      <c r="AW441" s="225"/>
      <c r="AX441" s="225"/>
      <c r="AY441" s="225"/>
    </row>
    <row r="442" spans="33:51" x14ac:dyDescent="0.25">
      <c r="AG442" s="66" t="str">
        <f>IF(AND(Множество[[#This Row],[Y]]=1),ROW()-ROW(Множество[[#Headers],[№]]),"")</f>
        <v/>
      </c>
      <c r="AI442" s="66">
        <v>1</v>
      </c>
      <c r="AJ442" s="66">
        <f>IF(LEN(Множество[[#This Row],[Свёртка]])&gt;0,1,-1)</f>
        <v>1</v>
      </c>
      <c r="AK442" s="66" t="s">
        <v>1781</v>
      </c>
      <c r="AL442" s="209">
        <f>IF(LEN(Множество[[#This Row],[Критерии]])&gt;0,1,-1)</f>
        <v>1</v>
      </c>
      <c r="AM442" s="209">
        <f>IF(AND(LEN(Множество[[#This Row],[Свёртка]])&gt;0,LEN(Множество[[#This Row],[Критерии]])&gt;0,LEN(Множество[[#This Row],[Оценки]])&gt;0),1,-1)</f>
        <v>-1</v>
      </c>
      <c r="AN442" s="208"/>
      <c r="AO442" s="208"/>
      <c r="AP442" s="208"/>
      <c r="AQ442" s="208"/>
      <c r="AR442" s="226"/>
      <c r="AS442" s="225"/>
      <c r="AT442" s="226"/>
      <c r="AU442" s="225"/>
      <c r="AV442" s="225"/>
      <c r="AW442" s="225"/>
      <c r="AX442" s="225"/>
      <c r="AY442" s="225"/>
    </row>
    <row r="443" spans="33:51" x14ac:dyDescent="0.25">
      <c r="AG443" s="66" t="str">
        <f>IF(AND(Множество[[#This Row],[Y]]=1),ROW()-ROW(Множество[[#Headers],[№]]),"")</f>
        <v/>
      </c>
      <c r="AI443" s="66">
        <v>1</v>
      </c>
      <c r="AJ443" s="66">
        <f>IF(LEN(Множество[[#This Row],[Свёртка]])&gt;0,1,-1)</f>
        <v>1</v>
      </c>
      <c r="AK443" s="66" t="s">
        <v>1781</v>
      </c>
      <c r="AL443" s="209">
        <f>IF(LEN(Множество[[#This Row],[Критерии]])&gt;0,1,-1)</f>
        <v>1</v>
      </c>
      <c r="AM443" s="209">
        <f>IF(AND(LEN(Множество[[#This Row],[Свёртка]])&gt;0,LEN(Множество[[#This Row],[Критерии]])&gt;0,LEN(Множество[[#This Row],[Оценки]])&gt;0),1,-1)</f>
        <v>-1</v>
      </c>
      <c r="AN443" s="208"/>
      <c r="AO443" s="208"/>
      <c r="AP443" s="208"/>
      <c r="AQ443" s="208"/>
      <c r="AR443" s="226"/>
      <c r="AS443" s="225"/>
      <c r="AT443" s="226"/>
      <c r="AU443" s="225"/>
      <c r="AV443" s="225"/>
      <c r="AW443" s="225"/>
      <c r="AX443" s="225"/>
      <c r="AY443" s="225"/>
    </row>
    <row r="444" spans="33:51" x14ac:dyDescent="0.25">
      <c r="AG444" s="66" t="str">
        <f>IF(AND(Множество[[#This Row],[Y]]=1),ROW()-ROW(Множество[[#Headers],[№]]),"")</f>
        <v/>
      </c>
      <c r="AI444" s="66">
        <v>1</v>
      </c>
      <c r="AJ444" s="66">
        <f>IF(LEN(Множество[[#This Row],[Свёртка]])&gt;0,1,-1)</f>
        <v>1</v>
      </c>
      <c r="AK444" s="66" t="s">
        <v>1781</v>
      </c>
      <c r="AL444" s="209">
        <f>IF(LEN(Множество[[#This Row],[Критерии]])&gt;0,1,-1)</f>
        <v>1</v>
      </c>
      <c r="AM444" s="209">
        <f>IF(AND(LEN(Множество[[#This Row],[Свёртка]])&gt;0,LEN(Множество[[#This Row],[Критерии]])&gt;0,LEN(Множество[[#This Row],[Оценки]])&gt;0),1,-1)</f>
        <v>-1</v>
      </c>
      <c r="AN444" s="208"/>
      <c r="AO444" s="208"/>
      <c r="AP444" s="208"/>
      <c r="AQ444" s="208"/>
      <c r="AR444" s="226"/>
      <c r="AS444" s="225"/>
      <c r="AT444" s="226"/>
      <c r="AU444" s="225"/>
      <c r="AV444" s="225"/>
      <c r="AW444" s="225"/>
      <c r="AX444" s="225"/>
      <c r="AY444" s="225"/>
    </row>
    <row r="445" spans="33:51" x14ac:dyDescent="0.25">
      <c r="AG445" s="66" t="str">
        <f>IF(AND(Множество[[#This Row],[Y]]=1),ROW()-ROW(Множество[[#Headers],[№]]),"")</f>
        <v/>
      </c>
      <c r="AI445" s="66">
        <v>1</v>
      </c>
      <c r="AJ445" s="66">
        <f>IF(LEN(Множество[[#This Row],[Свёртка]])&gt;0,1,-1)</f>
        <v>1</v>
      </c>
      <c r="AK445" s="66" t="s">
        <v>1781</v>
      </c>
      <c r="AL445" s="209">
        <f>IF(LEN(Множество[[#This Row],[Критерии]])&gt;0,1,-1)</f>
        <v>1</v>
      </c>
      <c r="AM445" s="209">
        <f>IF(AND(LEN(Множество[[#This Row],[Свёртка]])&gt;0,LEN(Множество[[#This Row],[Критерии]])&gt;0,LEN(Множество[[#This Row],[Оценки]])&gt;0),1,-1)</f>
        <v>-1</v>
      </c>
      <c r="AN445" s="208"/>
      <c r="AO445" s="208"/>
      <c r="AP445" s="208"/>
      <c r="AQ445" s="208"/>
      <c r="AR445" s="226"/>
      <c r="AS445" s="225"/>
      <c r="AT445" s="226"/>
      <c r="AU445" s="225"/>
      <c r="AV445" s="225"/>
      <c r="AW445" s="225"/>
      <c r="AX445" s="225"/>
      <c r="AY445" s="225"/>
    </row>
    <row r="446" spans="33:51" x14ac:dyDescent="0.25">
      <c r="AG446" s="66" t="str">
        <f>IF(AND(Множество[[#This Row],[Y]]=1),ROW()-ROW(Множество[[#Headers],[№]]),"")</f>
        <v/>
      </c>
      <c r="AI446" s="66">
        <v>1</v>
      </c>
      <c r="AJ446" s="66">
        <f>IF(LEN(Множество[[#This Row],[Свёртка]])&gt;0,1,-1)</f>
        <v>1</v>
      </c>
      <c r="AK446" s="66" t="s">
        <v>1781</v>
      </c>
      <c r="AL446" s="209">
        <f>IF(LEN(Множество[[#This Row],[Критерии]])&gt;0,1,-1)</f>
        <v>1</v>
      </c>
      <c r="AM446" s="209">
        <f>IF(AND(LEN(Множество[[#This Row],[Свёртка]])&gt;0,LEN(Множество[[#This Row],[Критерии]])&gt;0,LEN(Множество[[#This Row],[Оценки]])&gt;0),1,-1)</f>
        <v>-1</v>
      </c>
      <c r="AN446" s="208"/>
      <c r="AO446" s="208"/>
      <c r="AP446" s="208"/>
      <c r="AQ446" s="208"/>
      <c r="AR446" s="226"/>
      <c r="AS446" s="225"/>
      <c r="AT446" s="226"/>
      <c r="AU446" s="225"/>
      <c r="AV446" s="225"/>
      <c r="AW446" s="225"/>
      <c r="AX446" s="225"/>
      <c r="AY446" s="225"/>
    </row>
    <row r="447" spans="33:51" x14ac:dyDescent="0.25">
      <c r="AG447" s="66" t="str">
        <f>IF(AND(Множество[[#This Row],[Y]]=1),ROW()-ROW(Множество[[#Headers],[№]]),"")</f>
        <v/>
      </c>
      <c r="AI447" s="66">
        <v>1</v>
      </c>
      <c r="AJ447" s="66">
        <f>IF(LEN(Множество[[#This Row],[Свёртка]])&gt;0,1,-1)</f>
        <v>1</v>
      </c>
      <c r="AK447" s="66" t="s">
        <v>1781</v>
      </c>
      <c r="AL447" s="209">
        <f>IF(LEN(Множество[[#This Row],[Критерии]])&gt;0,1,-1)</f>
        <v>1</v>
      </c>
      <c r="AM447" s="209">
        <f>IF(AND(LEN(Множество[[#This Row],[Свёртка]])&gt;0,LEN(Множество[[#This Row],[Критерии]])&gt;0,LEN(Множество[[#This Row],[Оценки]])&gt;0),1,-1)</f>
        <v>-1</v>
      </c>
      <c r="AN447" s="208"/>
      <c r="AO447" s="208"/>
      <c r="AP447" s="208"/>
      <c r="AQ447" s="208"/>
      <c r="AR447" s="226"/>
      <c r="AS447" s="225"/>
      <c r="AT447" s="226"/>
      <c r="AU447" s="225"/>
      <c r="AV447" s="225"/>
      <c r="AW447" s="225"/>
      <c r="AX447" s="225"/>
      <c r="AY447" s="225"/>
    </row>
    <row r="448" spans="33:51" x14ac:dyDescent="0.25">
      <c r="AG448" s="66" t="str">
        <f>IF(AND(Множество[[#This Row],[Y]]=1),ROW()-ROW(Множество[[#Headers],[№]]),"")</f>
        <v/>
      </c>
      <c r="AI448" s="66">
        <v>1</v>
      </c>
      <c r="AJ448" s="66">
        <f>IF(LEN(Множество[[#This Row],[Свёртка]])&gt;0,1,-1)</f>
        <v>1</v>
      </c>
      <c r="AK448" s="66" t="s">
        <v>1781</v>
      </c>
      <c r="AL448" s="209">
        <f>IF(LEN(Множество[[#This Row],[Критерии]])&gt;0,1,-1)</f>
        <v>1</v>
      </c>
      <c r="AM448" s="209">
        <f>IF(AND(LEN(Множество[[#This Row],[Свёртка]])&gt;0,LEN(Множество[[#This Row],[Критерии]])&gt;0,LEN(Множество[[#This Row],[Оценки]])&gt;0),1,-1)</f>
        <v>-1</v>
      </c>
      <c r="AN448" s="208"/>
      <c r="AO448" s="208"/>
      <c r="AP448" s="208"/>
      <c r="AQ448" s="208"/>
      <c r="AR448" s="226"/>
      <c r="AS448" s="225"/>
      <c r="AT448" s="226"/>
      <c r="AU448" s="225"/>
      <c r="AV448" s="225"/>
      <c r="AW448" s="225"/>
      <c r="AX448" s="225"/>
      <c r="AY448" s="225"/>
    </row>
    <row r="449" spans="33:51" x14ac:dyDescent="0.25">
      <c r="AG449" s="66" t="str">
        <f>IF(AND(Множество[[#This Row],[Y]]=1),ROW()-ROW(Множество[[#Headers],[№]]),"")</f>
        <v/>
      </c>
      <c r="AI449" s="66">
        <v>1</v>
      </c>
      <c r="AJ449" s="66">
        <f>IF(LEN(Множество[[#This Row],[Свёртка]])&gt;0,1,-1)</f>
        <v>1</v>
      </c>
      <c r="AK449" s="66" t="s">
        <v>1781</v>
      </c>
      <c r="AL449" s="209">
        <f>IF(LEN(Множество[[#This Row],[Критерии]])&gt;0,1,-1)</f>
        <v>1</v>
      </c>
      <c r="AM449" s="209">
        <f>IF(AND(LEN(Множество[[#This Row],[Свёртка]])&gt;0,LEN(Множество[[#This Row],[Критерии]])&gt;0,LEN(Множество[[#This Row],[Оценки]])&gt;0),1,-1)</f>
        <v>-1</v>
      </c>
      <c r="AN449" s="208"/>
      <c r="AO449" s="208"/>
      <c r="AP449" s="208"/>
      <c r="AQ449" s="208"/>
      <c r="AR449" s="226"/>
      <c r="AS449" s="225"/>
      <c r="AT449" s="226"/>
      <c r="AU449" s="225"/>
      <c r="AV449" s="225"/>
      <c r="AW449" s="225"/>
      <c r="AX449" s="225"/>
      <c r="AY449" s="225"/>
    </row>
    <row r="450" spans="33:51" x14ac:dyDescent="0.25">
      <c r="AG450" s="66" t="str">
        <f>IF(AND(Множество[[#This Row],[Y]]=1),ROW()-ROW(Множество[[#Headers],[№]]),"")</f>
        <v/>
      </c>
      <c r="AI450" s="66">
        <v>1</v>
      </c>
      <c r="AJ450" s="66">
        <f>IF(LEN(Множество[[#This Row],[Свёртка]])&gt;0,1,-1)</f>
        <v>1</v>
      </c>
      <c r="AK450" s="66" t="s">
        <v>1781</v>
      </c>
      <c r="AL450" s="209">
        <f>IF(LEN(Множество[[#This Row],[Критерии]])&gt;0,1,-1)</f>
        <v>1</v>
      </c>
      <c r="AM450" s="209">
        <f>IF(AND(LEN(Множество[[#This Row],[Свёртка]])&gt;0,LEN(Множество[[#This Row],[Критерии]])&gt;0,LEN(Множество[[#This Row],[Оценки]])&gt;0),1,-1)</f>
        <v>-1</v>
      </c>
      <c r="AN450" s="208"/>
      <c r="AO450" s="208"/>
      <c r="AP450" s="208"/>
      <c r="AQ450" s="208"/>
      <c r="AR450" s="226"/>
      <c r="AS450" s="225"/>
      <c r="AT450" s="226"/>
      <c r="AU450" s="225"/>
      <c r="AV450" s="225"/>
      <c r="AW450" s="225"/>
      <c r="AX450" s="225"/>
      <c r="AY450" s="225"/>
    </row>
    <row r="451" spans="33:51" x14ac:dyDescent="0.25">
      <c r="AG451" s="66" t="str">
        <f>IF(AND(Множество[[#This Row],[Y]]=1),ROW()-ROW(Множество[[#Headers],[№]]),"")</f>
        <v/>
      </c>
      <c r="AI451" s="66">
        <v>1</v>
      </c>
      <c r="AJ451" s="66">
        <f>IF(LEN(Множество[[#This Row],[Свёртка]])&gt;0,1,-1)</f>
        <v>1</v>
      </c>
      <c r="AK451" s="66" t="s">
        <v>1781</v>
      </c>
      <c r="AL451" s="209">
        <f>IF(LEN(Множество[[#This Row],[Критерии]])&gt;0,1,-1)</f>
        <v>1</v>
      </c>
      <c r="AM451" s="209">
        <f>IF(AND(LEN(Множество[[#This Row],[Свёртка]])&gt;0,LEN(Множество[[#This Row],[Критерии]])&gt;0,LEN(Множество[[#This Row],[Оценки]])&gt;0),1,-1)</f>
        <v>-1</v>
      </c>
      <c r="AN451" s="208"/>
      <c r="AO451" s="208"/>
      <c r="AP451" s="208"/>
      <c r="AQ451" s="208"/>
      <c r="AR451" s="226"/>
      <c r="AS451" s="225"/>
      <c r="AT451" s="226"/>
      <c r="AU451" s="225"/>
      <c r="AV451" s="225"/>
      <c r="AW451" s="225"/>
      <c r="AX451" s="225"/>
      <c r="AY451" s="225"/>
    </row>
    <row r="452" spans="33:51" x14ac:dyDescent="0.25">
      <c r="AG452" s="66" t="str">
        <f>IF(AND(Множество[[#This Row],[Y]]=1),ROW()-ROW(Множество[[#Headers],[№]]),"")</f>
        <v/>
      </c>
      <c r="AI452" s="66">
        <v>1</v>
      </c>
      <c r="AJ452" s="66">
        <f>IF(LEN(Множество[[#This Row],[Свёртка]])&gt;0,1,-1)</f>
        <v>1</v>
      </c>
      <c r="AK452" s="66" t="s">
        <v>1781</v>
      </c>
      <c r="AL452" s="209">
        <f>IF(LEN(Множество[[#This Row],[Критерии]])&gt;0,1,-1)</f>
        <v>1</v>
      </c>
      <c r="AM452" s="209">
        <f>IF(AND(LEN(Множество[[#This Row],[Свёртка]])&gt;0,LEN(Множество[[#This Row],[Критерии]])&gt;0,LEN(Множество[[#This Row],[Оценки]])&gt;0),1,-1)</f>
        <v>-1</v>
      </c>
      <c r="AN452" s="208"/>
      <c r="AO452" s="208"/>
      <c r="AP452" s="208"/>
      <c r="AQ452" s="208"/>
      <c r="AR452" s="226"/>
      <c r="AS452" s="225"/>
      <c r="AT452" s="226"/>
      <c r="AU452" s="225"/>
      <c r="AV452" s="225"/>
      <c r="AW452" s="225"/>
      <c r="AX452" s="225"/>
      <c r="AY452" s="225"/>
    </row>
    <row r="453" spans="33:51" x14ac:dyDescent="0.25">
      <c r="AG453" s="66" t="str">
        <f>IF(AND(Множество[[#This Row],[Y]]=1),ROW()-ROW(Множество[[#Headers],[№]]),"")</f>
        <v/>
      </c>
      <c r="AI453" s="66">
        <v>1</v>
      </c>
      <c r="AJ453" s="66">
        <f>IF(LEN(Множество[[#This Row],[Свёртка]])&gt;0,1,-1)</f>
        <v>1</v>
      </c>
      <c r="AK453" s="66" t="s">
        <v>1781</v>
      </c>
      <c r="AL453" s="209">
        <f>IF(LEN(Множество[[#This Row],[Критерии]])&gt;0,1,-1)</f>
        <v>1</v>
      </c>
      <c r="AM453" s="209">
        <f>IF(AND(LEN(Множество[[#This Row],[Свёртка]])&gt;0,LEN(Множество[[#This Row],[Критерии]])&gt;0,LEN(Множество[[#This Row],[Оценки]])&gt;0),1,-1)</f>
        <v>-1</v>
      </c>
      <c r="AN453" s="208"/>
      <c r="AO453" s="208"/>
      <c r="AP453" s="208"/>
      <c r="AQ453" s="208"/>
      <c r="AR453" s="226"/>
      <c r="AS453" s="225"/>
      <c r="AT453" s="226"/>
      <c r="AU453" s="225"/>
      <c r="AV453" s="225"/>
      <c r="AW453" s="225"/>
      <c r="AX453" s="225"/>
      <c r="AY453" s="225"/>
    </row>
    <row r="454" spans="33:51" x14ac:dyDescent="0.25">
      <c r="AG454" s="66" t="str">
        <f>IF(AND(Множество[[#This Row],[Y]]=1),ROW()-ROW(Множество[[#Headers],[№]]),"")</f>
        <v/>
      </c>
      <c r="AI454" s="66">
        <v>1</v>
      </c>
      <c r="AJ454" s="66">
        <f>IF(LEN(Множество[[#This Row],[Свёртка]])&gt;0,1,-1)</f>
        <v>1</v>
      </c>
      <c r="AK454" s="66" t="s">
        <v>1781</v>
      </c>
      <c r="AL454" s="209">
        <f>IF(LEN(Множество[[#This Row],[Критерии]])&gt;0,1,-1)</f>
        <v>1</v>
      </c>
      <c r="AM454" s="209">
        <f>IF(AND(LEN(Множество[[#This Row],[Свёртка]])&gt;0,LEN(Множество[[#This Row],[Критерии]])&gt;0,LEN(Множество[[#This Row],[Оценки]])&gt;0),1,-1)</f>
        <v>-1</v>
      </c>
      <c r="AN454" s="208"/>
      <c r="AO454" s="208"/>
      <c r="AP454" s="208"/>
      <c r="AQ454" s="208"/>
      <c r="AR454" s="226"/>
      <c r="AS454" s="225"/>
      <c r="AT454" s="226"/>
      <c r="AU454" s="225"/>
      <c r="AV454" s="225"/>
      <c r="AW454" s="225"/>
      <c r="AX454" s="225"/>
      <c r="AY454" s="225"/>
    </row>
    <row r="455" spans="33:51" x14ac:dyDescent="0.25">
      <c r="AG455" s="66" t="str">
        <f>IF(AND(Множество[[#This Row],[Y]]=1),ROW()-ROW(Множество[[#Headers],[№]]),"")</f>
        <v/>
      </c>
      <c r="AI455" s="66">
        <v>1</v>
      </c>
      <c r="AJ455" s="66">
        <f>IF(LEN(Множество[[#This Row],[Свёртка]])&gt;0,1,-1)</f>
        <v>1</v>
      </c>
      <c r="AK455" s="66" t="s">
        <v>1781</v>
      </c>
      <c r="AL455" s="209">
        <f>IF(LEN(Множество[[#This Row],[Критерии]])&gt;0,1,-1)</f>
        <v>1</v>
      </c>
      <c r="AM455" s="209">
        <f>IF(AND(LEN(Множество[[#This Row],[Свёртка]])&gt;0,LEN(Множество[[#This Row],[Критерии]])&gt;0,LEN(Множество[[#This Row],[Оценки]])&gt;0),1,-1)</f>
        <v>-1</v>
      </c>
      <c r="AN455" s="208"/>
      <c r="AO455" s="208"/>
      <c r="AP455" s="208"/>
      <c r="AQ455" s="208"/>
      <c r="AR455" s="226"/>
      <c r="AS455" s="225"/>
      <c r="AT455" s="226"/>
      <c r="AU455" s="225"/>
      <c r="AV455" s="225"/>
      <c r="AW455" s="225"/>
      <c r="AX455" s="225"/>
      <c r="AY455" s="225"/>
    </row>
    <row r="456" spans="33:51" x14ac:dyDescent="0.25">
      <c r="AG456" s="66" t="str">
        <f>IF(AND(Множество[[#This Row],[Y]]=1),ROW()-ROW(Множество[[#Headers],[№]]),"")</f>
        <v/>
      </c>
      <c r="AI456" s="66">
        <v>1</v>
      </c>
      <c r="AJ456" s="66">
        <f>IF(LEN(Множество[[#This Row],[Свёртка]])&gt;0,1,-1)</f>
        <v>1</v>
      </c>
      <c r="AK456" s="66" t="s">
        <v>1781</v>
      </c>
      <c r="AL456" s="209">
        <f>IF(LEN(Множество[[#This Row],[Критерии]])&gt;0,1,-1)</f>
        <v>1</v>
      </c>
      <c r="AM456" s="209">
        <f>IF(AND(LEN(Множество[[#This Row],[Свёртка]])&gt;0,LEN(Множество[[#This Row],[Критерии]])&gt;0,LEN(Множество[[#This Row],[Оценки]])&gt;0),1,-1)</f>
        <v>-1</v>
      </c>
      <c r="AN456" s="208"/>
      <c r="AO456" s="208"/>
      <c r="AP456" s="208"/>
      <c r="AQ456" s="208"/>
      <c r="AR456" s="226"/>
      <c r="AS456" s="225"/>
      <c r="AT456" s="226"/>
      <c r="AU456" s="225"/>
      <c r="AV456" s="225"/>
      <c r="AW456" s="225"/>
      <c r="AX456" s="225"/>
      <c r="AY456" s="225"/>
    </row>
    <row r="457" spans="33:51" x14ac:dyDescent="0.25">
      <c r="AG457" s="66" t="str">
        <f>IF(AND(Множество[[#This Row],[Y]]=1),ROW()-ROW(Множество[[#Headers],[№]]),"")</f>
        <v/>
      </c>
      <c r="AI457" s="66">
        <v>1</v>
      </c>
      <c r="AJ457" s="66">
        <f>IF(LEN(Множество[[#This Row],[Свёртка]])&gt;0,1,-1)</f>
        <v>1</v>
      </c>
      <c r="AK457" s="66" t="s">
        <v>1781</v>
      </c>
      <c r="AL457" s="209">
        <f>IF(LEN(Множество[[#This Row],[Критерии]])&gt;0,1,-1)</f>
        <v>1</v>
      </c>
      <c r="AM457" s="209">
        <f>IF(AND(LEN(Множество[[#This Row],[Свёртка]])&gt;0,LEN(Множество[[#This Row],[Критерии]])&gt;0,LEN(Множество[[#This Row],[Оценки]])&gt;0),1,-1)</f>
        <v>-1</v>
      </c>
      <c r="AN457" s="208"/>
      <c r="AO457" s="208"/>
      <c r="AP457" s="208"/>
      <c r="AQ457" s="208"/>
      <c r="AR457" s="226"/>
      <c r="AS457" s="225"/>
      <c r="AT457" s="226"/>
      <c r="AU457" s="225"/>
      <c r="AV457" s="225"/>
      <c r="AW457" s="225"/>
      <c r="AX457" s="225"/>
      <c r="AY457" s="225"/>
    </row>
    <row r="458" spans="33:51" x14ac:dyDescent="0.25">
      <c r="AG458" s="66" t="str">
        <f>IF(AND(Множество[[#This Row],[Y]]=1),ROW()-ROW(Множество[[#Headers],[№]]),"")</f>
        <v/>
      </c>
      <c r="AI458" s="66">
        <v>1</v>
      </c>
      <c r="AJ458" s="66">
        <f>IF(LEN(Множество[[#This Row],[Свёртка]])&gt;0,1,-1)</f>
        <v>1</v>
      </c>
      <c r="AK458" s="66" t="s">
        <v>1781</v>
      </c>
      <c r="AL458" s="209">
        <f>IF(LEN(Множество[[#This Row],[Критерии]])&gt;0,1,-1)</f>
        <v>1</v>
      </c>
      <c r="AM458" s="209">
        <f>IF(AND(LEN(Множество[[#This Row],[Свёртка]])&gt;0,LEN(Множество[[#This Row],[Критерии]])&gt;0,LEN(Множество[[#This Row],[Оценки]])&gt;0),1,-1)</f>
        <v>-1</v>
      </c>
      <c r="AN458" s="208"/>
      <c r="AO458" s="208"/>
      <c r="AP458" s="208"/>
      <c r="AQ458" s="208"/>
      <c r="AR458" s="226"/>
      <c r="AS458" s="225"/>
      <c r="AT458" s="226"/>
      <c r="AU458" s="225"/>
      <c r="AV458" s="225"/>
      <c r="AW458" s="225"/>
      <c r="AX458" s="225"/>
      <c r="AY458" s="225"/>
    </row>
    <row r="459" spans="33:51" x14ac:dyDescent="0.25">
      <c r="AG459" s="66" t="str">
        <f>IF(AND(Множество[[#This Row],[Y]]=1),ROW()-ROW(Множество[[#Headers],[№]]),"")</f>
        <v/>
      </c>
      <c r="AI459" s="66">
        <v>1</v>
      </c>
      <c r="AJ459" s="66">
        <f>IF(LEN(Множество[[#This Row],[Свёртка]])&gt;0,1,-1)</f>
        <v>1</v>
      </c>
      <c r="AK459" s="66" t="s">
        <v>1781</v>
      </c>
      <c r="AL459" s="209">
        <f>IF(LEN(Множество[[#This Row],[Критерии]])&gt;0,1,-1)</f>
        <v>1</v>
      </c>
      <c r="AM459" s="209">
        <f>IF(AND(LEN(Множество[[#This Row],[Свёртка]])&gt;0,LEN(Множество[[#This Row],[Критерии]])&gt;0,LEN(Множество[[#This Row],[Оценки]])&gt;0),1,-1)</f>
        <v>-1</v>
      </c>
      <c r="AN459" s="208"/>
      <c r="AO459" s="208"/>
      <c r="AP459" s="208"/>
      <c r="AQ459" s="208"/>
      <c r="AR459" s="226"/>
      <c r="AS459" s="225"/>
      <c r="AT459" s="226"/>
      <c r="AU459" s="225"/>
      <c r="AV459" s="225"/>
      <c r="AW459" s="225"/>
      <c r="AX459" s="225"/>
      <c r="AY459" s="225"/>
    </row>
    <row r="460" spans="33:51" x14ac:dyDescent="0.25">
      <c r="AG460" s="66" t="str">
        <f>IF(AND(Множество[[#This Row],[Y]]=1),ROW()-ROW(Множество[[#Headers],[№]]),"")</f>
        <v/>
      </c>
      <c r="AI460" s="66">
        <v>1</v>
      </c>
      <c r="AJ460" s="66">
        <f>IF(LEN(Множество[[#This Row],[Свёртка]])&gt;0,1,-1)</f>
        <v>1</v>
      </c>
      <c r="AK460" s="66" t="s">
        <v>1781</v>
      </c>
      <c r="AL460" s="209">
        <f>IF(LEN(Множество[[#This Row],[Критерии]])&gt;0,1,-1)</f>
        <v>1</v>
      </c>
      <c r="AM460" s="209">
        <f>IF(AND(LEN(Множество[[#This Row],[Свёртка]])&gt;0,LEN(Множество[[#This Row],[Критерии]])&gt;0,LEN(Множество[[#This Row],[Оценки]])&gt;0),1,-1)</f>
        <v>-1</v>
      </c>
      <c r="AN460" s="208"/>
      <c r="AO460" s="208"/>
      <c r="AP460" s="208"/>
      <c r="AQ460" s="208"/>
      <c r="AR460" s="226"/>
      <c r="AS460" s="225"/>
      <c r="AT460" s="226"/>
      <c r="AU460" s="225"/>
      <c r="AV460" s="225"/>
      <c r="AW460" s="225"/>
      <c r="AX460" s="225"/>
      <c r="AY460" s="225"/>
    </row>
    <row r="461" spans="33:51" x14ac:dyDescent="0.25">
      <c r="AG461" s="66" t="str">
        <f>IF(AND(Множество[[#This Row],[Y]]=1),ROW()-ROW(Множество[[#Headers],[№]]),"")</f>
        <v/>
      </c>
      <c r="AI461" s="66">
        <v>1</v>
      </c>
      <c r="AJ461" s="66">
        <f>IF(LEN(Множество[[#This Row],[Свёртка]])&gt;0,1,-1)</f>
        <v>1</v>
      </c>
      <c r="AK461" s="66" t="s">
        <v>1781</v>
      </c>
      <c r="AL461" s="209">
        <f>IF(LEN(Множество[[#This Row],[Критерии]])&gt;0,1,-1)</f>
        <v>1</v>
      </c>
      <c r="AM461" s="209">
        <f>IF(AND(LEN(Множество[[#This Row],[Свёртка]])&gt;0,LEN(Множество[[#This Row],[Критерии]])&gt;0,LEN(Множество[[#This Row],[Оценки]])&gt;0),1,-1)</f>
        <v>-1</v>
      </c>
      <c r="AN461" s="208"/>
      <c r="AO461" s="208"/>
      <c r="AP461" s="208"/>
      <c r="AQ461" s="208"/>
      <c r="AR461" s="226"/>
      <c r="AS461" s="225"/>
      <c r="AT461" s="226"/>
      <c r="AU461" s="225"/>
      <c r="AV461" s="225"/>
      <c r="AW461" s="225"/>
      <c r="AX461" s="225"/>
      <c r="AY461" s="225"/>
    </row>
    <row r="462" spans="33:51" x14ac:dyDescent="0.25">
      <c r="AG462" s="66" t="str">
        <f>IF(AND(Множество[[#This Row],[Y]]=1),ROW()-ROW(Множество[[#Headers],[№]]),"")</f>
        <v/>
      </c>
      <c r="AI462" s="66">
        <v>1</v>
      </c>
      <c r="AJ462" s="66">
        <f>IF(LEN(Множество[[#This Row],[Свёртка]])&gt;0,1,-1)</f>
        <v>1</v>
      </c>
      <c r="AK462" s="66" t="s">
        <v>1781</v>
      </c>
      <c r="AL462" s="209">
        <f>IF(LEN(Множество[[#This Row],[Критерии]])&gt;0,1,-1)</f>
        <v>1</v>
      </c>
      <c r="AM462" s="209">
        <f>IF(AND(LEN(Множество[[#This Row],[Свёртка]])&gt;0,LEN(Множество[[#This Row],[Критерии]])&gt;0,LEN(Множество[[#This Row],[Оценки]])&gt;0),1,-1)</f>
        <v>-1</v>
      </c>
      <c r="AN462" s="208"/>
      <c r="AO462" s="208"/>
      <c r="AP462" s="208"/>
      <c r="AQ462" s="208"/>
      <c r="AR462" s="226"/>
      <c r="AS462" s="225"/>
      <c r="AT462" s="226"/>
      <c r="AU462" s="225"/>
      <c r="AV462" s="225"/>
      <c r="AW462" s="225"/>
      <c r="AX462" s="225"/>
      <c r="AY462" s="225"/>
    </row>
    <row r="463" spans="33:51" x14ac:dyDescent="0.25">
      <c r="AG463" s="66" t="str">
        <f>IF(AND(Множество[[#This Row],[Y]]=1),ROW()-ROW(Множество[[#Headers],[№]]),"")</f>
        <v/>
      </c>
      <c r="AI463" s="66">
        <v>1</v>
      </c>
      <c r="AJ463" s="66">
        <f>IF(LEN(Множество[[#This Row],[Свёртка]])&gt;0,1,-1)</f>
        <v>1</v>
      </c>
      <c r="AK463" s="66" t="s">
        <v>1781</v>
      </c>
      <c r="AL463" s="209">
        <f>IF(LEN(Множество[[#This Row],[Критерии]])&gt;0,1,-1)</f>
        <v>1</v>
      </c>
      <c r="AM463" s="209">
        <f>IF(AND(LEN(Множество[[#This Row],[Свёртка]])&gt;0,LEN(Множество[[#This Row],[Критерии]])&gt;0,LEN(Множество[[#This Row],[Оценки]])&gt;0),1,-1)</f>
        <v>-1</v>
      </c>
      <c r="AN463" s="208"/>
      <c r="AO463" s="208"/>
      <c r="AP463" s="208"/>
      <c r="AQ463" s="208"/>
      <c r="AR463" s="226"/>
      <c r="AS463" s="225"/>
      <c r="AT463" s="226"/>
      <c r="AU463" s="225"/>
      <c r="AV463" s="225"/>
      <c r="AW463" s="225"/>
      <c r="AX463" s="225"/>
      <c r="AY463" s="225"/>
    </row>
    <row r="464" spans="33:51" x14ac:dyDescent="0.25">
      <c r="AG464" s="66" t="str">
        <f>IF(AND(Множество[[#This Row],[Y]]=1),ROW()-ROW(Множество[[#Headers],[№]]),"")</f>
        <v/>
      </c>
      <c r="AI464" s="66">
        <v>1</v>
      </c>
      <c r="AJ464" s="66">
        <f>IF(LEN(Множество[[#This Row],[Свёртка]])&gt;0,1,-1)</f>
        <v>1</v>
      </c>
      <c r="AK464" s="66" t="s">
        <v>1781</v>
      </c>
      <c r="AL464" s="209">
        <f>IF(LEN(Множество[[#This Row],[Критерии]])&gt;0,1,-1)</f>
        <v>1</v>
      </c>
      <c r="AM464" s="209">
        <f>IF(AND(LEN(Множество[[#This Row],[Свёртка]])&gt;0,LEN(Множество[[#This Row],[Критерии]])&gt;0,LEN(Множество[[#This Row],[Оценки]])&gt;0),1,-1)</f>
        <v>-1</v>
      </c>
      <c r="AN464" s="208"/>
      <c r="AO464" s="208"/>
      <c r="AP464" s="208"/>
      <c r="AQ464" s="208"/>
      <c r="AR464" s="226"/>
      <c r="AS464" s="225"/>
      <c r="AT464" s="226"/>
      <c r="AU464" s="225"/>
      <c r="AV464" s="225"/>
      <c r="AW464" s="225"/>
      <c r="AX464" s="225"/>
      <c r="AY464" s="225"/>
    </row>
    <row r="465" spans="33:51" x14ac:dyDescent="0.25">
      <c r="AG465" s="66" t="str">
        <f>IF(AND(Множество[[#This Row],[Y]]=1),ROW()-ROW(Множество[[#Headers],[№]]),"")</f>
        <v/>
      </c>
      <c r="AI465" s="66">
        <v>1</v>
      </c>
      <c r="AJ465" s="66">
        <f>IF(LEN(Множество[[#This Row],[Свёртка]])&gt;0,1,-1)</f>
        <v>1</v>
      </c>
      <c r="AK465" s="66" t="s">
        <v>1781</v>
      </c>
      <c r="AL465" s="209">
        <f>IF(LEN(Множество[[#This Row],[Критерии]])&gt;0,1,-1)</f>
        <v>1</v>
      </c>
      <c r="AM465" s="209">
        <f>IF(AND(LEN(Множество[[#This Row],[Свёртка]])&gt;0,LEN(Множество[[#This Row],[Критерии]])&gt;0,LEN(Множество[[#This Row],[Оценки]])&gt;0),1,-1)</f>
        <v>-1</v>
      </c>
      <c r="AN465" s="208"/>
      <c r="AO465" s="208"/>
      <c r="AP465" s="208"/>
      <c r="AQ465" s="208"/>
      <c r="AR465" s="226"/>
      <c r="AS465" s="225"/>
      <c r="AT465" s="226"/>
      <c r="AU465" s="225"/>
      <c r="AV465" s="225"/>
      <c r="AW465" s="225"/>
      <c r="AX465" s="225"/>
      <c r="AY465" s="225"/>
    </row>
    <row r="466" spans="33:51" x14ac:dyDescent="0.25">
      <c r="AG466" s="66" t="str">
        <f>IF(AND(Множество[[#This Row],[Y]]=1),ROW()-ROW(Множество[[#Headers],[№]]),"")</f>
        <v/>
      </c>
      <c r="AI466" s="66">
        <v>1</v>
      </c>
      <c r="AJ466" s="66">
        <f>IF(LEN(Множество[[#This Row],[Свёртка]])&gt;0,1,-1)</f>
        <v>1</v>
      </c>
      <c r="AK466" s="66" t="s">
        <v>1781</v>
      </c>
      <c r="AL466" s="209">
        <f>IF(LEN(Множество[[#This Row],[Критерии]])&gt;0,1,-1)</f>
        <v>1</v>
      </c>
      <c r="AM466" s="209">
        <f>IF(AND(LEN(Множество[[#This Row],[Свёртка]])&gt;0,LEN(Множество[[#This Row],[Критерии]])&gt;0,LEN(Множество[[#This Row],[Оценки]])&gt;0),1,-1)</f>
        <v>-1</v>
      </c>
      <c r="AN466" s="208"/>
      <c r="AO466" s="208"/>
      <c r="AP466" s="208"/>
      <c r="AQ466" s="208"/>
      <c r="AR466" s="226"/>
      <c r="AS466" s="225"/>
      <c r="AT466" s="226"/>
      <c r="AU466" s="225"/>
      <c r="AV466" s="225"/>
      <c r="AW466" s="225"/>
      <c r="AX466" s="225"/>
      <c r="AY466" s="225"/>
    </row>
    <row r="467" spans="33:51" x14ac:dyDescent="0.25">
      <c r="AG467" s="66" t="str">
        <f>IF(AND(Множество[[#This Row],[Y]]=1),ROW()-ROW(Множество[[#Headers],[№]]),"")</f>
        <v/>
      </c>
      <c r="AI467" s="66">
        <v>1</v>
      </c>
      <c r="AJ467" s="66">
        <f>IF(LEN(Множество[[#This Row],[Свёртка]])&gt;0,1,-1)</f>
        <v>1</v>
      </c>
      <c r="AK467" s="66" t="s">
        <v>1781</v>
      </c>
      <c r="AL467" s="209">
        <f>IF(LEN(Множество[[#This Row],[Критерии]])&gt;0,1,-1)</f>
        <v>1</v>
      </c>
      <c r="AM467" s="209">
        <f>IF(AND(LEN(Множество[[#This Row],[Свёртка]])&gt;0,LEN(Множество[[#This Row],[Критерии]])&gt;0,LEN(Множество[[#This Row],[Оценки]])&gt;0),1,-1)</f>
        <v>-1</v>
      </c>
      <c r="AN467" s="208"/>
      <c r="AO467" s="208"/>
      <c r="AP467" s="208"/>
      <c r="AQ467" s="208"/>
      <c r="AR467" s="226"/>
      <c r="AS467" s="225"/>
      <c r="AT467" s="226"/>
      <c r="AU467" s="225"/>
      <c r="AV467" s="225"/>
      <c r="AW467" s="225"/>
      <c r="AX467" s="225"/>
      <c r="AY467" s="225"/>
    </row>
    <row r="468" spans="33:51" x14ac:dyDescent="0.25">
      <c r="AG468" s="66" t="str">
        <f>IF(AND(Множество[[#This Row],[Y]]=1),ROW()-ROW(Множество[[#Headers],[№]]),"")</f>
        <v/>
      </c>
      <c r="AI468" s="66">
        <v>1</v>
      </c>
      <c r="AJ468" s="66">
        <f>IF(LEN(Множество[[#This Row],[Свёртка]])&gt;0,1,-1)</f>
        <v>1</v>
      </c>
      <c r="AK468" s="66" t="s">
        <v>1781</v>
      </c>
      <c r="AL468" s="209">
        <f>IF(LEN(Множество[[#This Row],[Критерии]])&gt;0,1,-1)</f>
        <v>1</v>
      </c>
      <c r="AM468" s="209">
        <f>IF(AND(LEN(Множество[[#This Row],[Свёртка]])&gt;0,LEN(Множество[[#This Row],[Критерии]])&gt;0,LEN(Множество[[#This Row],[Оценки]])&gt;0),1,-1)</f>
        <v>-1</v>
      </c>
      <c r="AN468" s="208"/>
      <c r="AO468" s="208"/>
      <c r="AP468" s="208"/>
      <c r="AQ468" s="208"/>
      <c r="AR468" s="226"/>
      <c r="AS468" s="225"/>
      <c r="AT468" s="226"/>
      <c r="AU468" s="225"/>
      <c r="AV468" s="225"/>
      <c r="AW468" s="225"/>
      <c r="AX468" s="225"/>
      <c r="AY468" s="225"/>
    </row>
    <row r="469" spans="33:51" x14ac:dyDescent="0.25">
      <c r="AG469" s="66" t="str">
        <f>IF(AND(Множество[[#This Row],[Y]]=1),ROW()-ROW(Множество[[#Headers],[№]]),"")</f>
        <v/>
      </c>
      <c r="AI469" s="66">
        <v>1</v>
      </c>
      <c r="AJ469" s="66">
        <f>IF(LEN(Множество[[#This Row],[Свёртка]])&gt;0,1,-1)</f>
        <v>1</v>
      </c>
      <c r="AK469" s="66" t="s">
        <v>1781</v>
      </c>
      <c r="AL469" s="209">
        <f>IF(LEN(Множество[[#This Row],[Критерии]])&gt;0,1,-1)</f>
        <v>1</v>
      </c>
      <c r="AM469" s="209">
        <f>IF(AND(LEN(Множество[[#This Row],[Свёртка]])&gt;0,LEN(Множество[[#This Row],[Критерии]])&gt;0,LEN(Множество[[#This Row],[Оценки]])&gt;0),1,-1)</f>
        <v>-1</v>
      </c>
      <c r="AN469" s="208"/>
      <c r="AO469" s="208"/>
      <c r="AP469" s="208"/>
      <c r="AQ469" s="208"/>
      <c r="AR469" s="226"/>
      <c r="AS469" s="225"/>
      <c r="AT469" s="226"/>
      <c r="AU469" s="225"/>
      <c r="AV469" s="225"/>
      <c r="AW469" s="225"/>
      <c r="AX469" s="225"/>
      <c r="AY469" s="225"/>
    </row>
    <row r="470" spans="33:51" x14ac:dyDescent="0.25">
      <c r="AG470" s="66" t="str">
        <f>IF(AND(Множество[[#This Row],[Y]]=1),ROW()-ROW(Множество[[#Headers],[№]]),"")</f>
        <v/>
      </c>
      <c r="AI470" s="66">
        <v>1</v>
      </c>
      <c r="AJ470" s="66">
        <f>IF(LEN(Множество[[#This Row],[Свёртка]])&gt;0,1,-1)</f>
        <v>1</v>
      </c>
      <c r="AK470" s="66" t="s">
        <v>1781</v>
      </c>
      <c r="AL470" s="209">
        <f>IF(LEN(Множество[[#This Row],[Критерии]])&gt;0,1,-1)</f>
        <v>1</v>
      </c>
      <c r="AM470" s="209">
        <f>IF(AND(LEN(Множество[[#This Row],[Свёртка]])&gt;0,LEN(Множество[[#This Row],[Критерии]])&gt;0,LEN(Множество[[#This Row],[Оценки]])&gt;0),1,-1)</f>
        <v>-1</v>
      </c>
      <c r="AN470" s="208"/>
      <c r="AO470" s="208"/>
      <c r="AP470" s="208"/>
      <c r="AQ470" s="208"/>
      <c r="AR470" s="226"/>
      <c r="AS470" s="225"/>
      <c r="AT470" s="226"/>
      <c r="AU470" s="225"/>
      <c r="AV470" s="225"/>
      <c r="AW470" s="225"/>
      <c r="AX470" s="225"/>
      <c r="AY470" s="225"/>
    </row>
    <row r="471" spans="33:51" x14ac:dyDescent="0.25">
      <c r="AG471" s="66" t="str">
        <f>IF(AND(Множество[[#This Row],[Y]]=1),ROW()-ROW(Множество[[#Headers],[№]]),"")</f>
        <v/>
      </c>
      <c r="AI471" s="66">
        <v>1</v>
      </c>
      <c r="AJ471" s="66">
        <f>IF(LEN(Множество[[#This Row],[Свёртка]])&gt;0,1,-1)</f>
        <v>1</v>
      </c>
      <c r="AK471" s="66" t="s">
        <v>1781</v>
      </c>
      <c r="AL471" s="209">
        <f>IF(LEN(Множество[[#This Row],[Критерии]])&gt;0,1,-1)</f>
        <v>1</v>
      </c>
      <c r="AM471" s="209">
        <f>IF(AND(LEN(Множество[[#This Row],[Свёртка]])&gt;0,LEN(Множество[[#This Row],[Критерии]])&gt;0,LEN(Множество[[#This Row],[Оценки]])&gt;0),1,-1)</f>
        <v>-1</v>
      </c>
      <c r="AN471" s="208"/>
      <c r="AO471" s="208"/>
      <c r="AP471" s="208"/>
      <c r="AQ471" s="208"/>
      <c r="AR471" s="226"/>
      <c r="AS471" s="225"/>
      <c r="AT471" s="226"/>
      <c r="AU471" s="225"/>
      <c r="AV471" s="225"/>
      <c r="AW471" s="225"/>
      <c r="AX471" s="225"/>
      <c r="AY471" s="225"/>
    </row>
    <row r="472" spans="33:51" x14ac:dyDescent="0.25">
      <c r="AG472" s="66" t="str">
        <f>IF(AND(Множество[[#This Row],[Y]]=1),ROW()-ROW(Множество[[#Headers],[№]]),"")</f>
        <v/>
      </c>
      <c r="AI472" s="66">
        <v>1</v>
      </c>
      <c r="AJ472" s="66">
        <f>IF(LEN(Множество[[#This Row],[Свёртка]])&gt;0,1,-1)</f>
        <v>1</v>
      </c>
      <c r="AK472" s="66" t="s">
        <v>1781</v>
      </c>
      <c r="AL472" s="209">
        <f>IF(LEN(Множество[[#This Row],[Критерии]])&gt;0,1,-1)</f>
        <v>1</v>
      </c>
      <c r="AM472" s="209">
        <f>IF(AND(LEN(Множество[[#This Row],[Свёртка]])&gt;0,LEN(Множество[[#This Row],[Критерии]])&gt;0,LEN(Множество[[#This Row],[Оценки]])&gt;0),1,-1)</f>
        <v>-1</v>
      </c>
      <c r="AN472" s="208"/>
      <c r="AO472" s="208"/>
      <c r="AP472" s="208"/>
      <c r="AQ472" s="208"/>
      <c r="AR472" s="226"/>
      <c r="AS472" s="225"/>
      <c r="AT472" s="226"/>
      <c r="AU472" s="225"/>
      <c r="AV472" s="225"/>
      <c r="AW472" s="225"/>
      <c r="AX472" s="225"/>
      <c r="AY472" s="225"/>
    </row>
    <row r="473" spans="33:51" x14ac:dyDescent="0.25">
      <c r="AG473" s="66" t="str">
        <f>IF(AND(Множество[[#This Row],[Y]]=1),ROW()-ROW(Множество[[#Headers],[№]]),"")</f>
        <v/>
      </c>
      <c r="AI473" s="66">
        <v>1</v>
      </c>
      <c r="AJ473" s="66">
        <f>IF(LEN(Множество[[#This Row],[Свёртка]])&gt;0,1,-1)</f>
        <v>1</v>
      </c>
      <c r="AK473" s="66" t="s">
        <v>1781</v>
      </c>
      <c r="AL473" s="209">
        <f>IF(LEN(Множество[[#This Row],[Критерии]])&gt;0,1,-1)</f>
        <v>1</v>
      </c>
      <c r="AM473" s="209">
        <f>IF(AND(LEN(Множество[[#This Row],[Свёртка]])&gt;0,LEN(Множество[[#This Row],[Критерии]])&gt;0,LEN(Множество[[#This Row],[Оценки]])&gt;0),1,-1)</f>
        <v>-1</v>
      </c>
      <c r="AN473" s="208"/>
      <c r="AO473" s="208"/>
      <c r="AP473" s="208"/>
      <c r="AQ473" s="208"/>
      <c r="AR473" s="226"/>
      <c r="AS473" s="225"/>
      <c r="AT473" s="226"/>
      <c r="AU473" s="225"/>
      <c r="AV473" s="225"/>
      <c r="AW473" s="225"/>
      <c r="AX473" s="225"/>
      <c r="AY473" s="225"/>
    </row>
    <row r="474" spans="33:51" x14ac:dyDescent="0.25">
      <c r="AG474" s="66" t="str">
        <f>IF(AND(Множество[[#This Row],[Y]]=1),ROW()-ROW(Множество[[#Headers],[№]]),"")</f>
        <v/>
      </c>
      <c r="AI474" s="66">
        <v>1</v>
      </c>
      <c r="AJ474" s="66">
        <f>IF(LEN(Множество[[#This Row],[Свёртка]])&gt;0,1,-1)</f>
        <v>1</v>
      </c>
      <c r="AK474" s="66" t="s">
        <v>1781</v>
      </c>
      <c r="AL474" s="209">
        <f>IF(LEN(Множество[[#This Row],[Критерии]])&gt;0,1,-1)</f>
        <v>1</v>
      </c>
      <c r="AM474" s="209">
        <f>IF(AND(LEN(Множество[[#This Row],[Свёртка]])&gt;0,LEN(Множество[[#This Row],[Критерии]])&gt;0,LEN(Множество[[#This Row],[Оценки]])&gt;0),1,-1)</f>
        <v>-1</v>
      </c>
      <c r="AN474" s="208"/>
      <c r="AO474" s="208"/>
      <c r="AP474" s="208"/>
      <c r="AQ474" s="208"/>
      <c r="AR474" s="226"/>
      <c r="AS474" s="225"/>
      <c r="AT474" s="226"/>
      <c r="AU474" s="225"/>
      <c r="AV474" s="225"/>
      <c r="AW474" s="225"/>
      <c r="AX474" s="225"/>
      <c r="AY474" s="225"/>
    </row>
    <row r="475" spans="33:51" x14ac:dyDescent="0.25">
      <c r="AG475" s="66" t="str">
        <f>IF(AND(Множество[[#This Row],[Y]]=1),ROW()-ROW(Множество[[#Headers],[№]]),"")</f>
        <v/>
      </c>
      <c r="AI475" s="66">
        <v>1</v>
      </c>
      <c r="AJ475" s="66">
        <f>IF(LEN(Множество[[#This Row],[Свёртка]])&gt;0,1,-1)</f>
        <v>1</v>
      </c>
      <c r="AK475" s="66" t="s">
        <v>1781</v>
      </c>
      <c r="AL475" s="209">
        <f>IF(LEN(Множество[[#This Row],[Критерии]])&gt;0,1,-1)</f>
        <v>1</v>
      </c>
      <c r="AM475" s="209">
        <f>IF(AND(LEN(Множество[[#This Row],[Свёртка]])&gt;0,LEN(Множество[[#This Row],[Критерии]])&gt;0,LEN(Множество[[#This Row],[Оценки]])&gt;0),1,-1)</f>
        <v>-1</v>
      </c>
      <c r="AN475" s="208"/>
      <c r="AO475" s="208"/>
      <c r="AP475" s="208"/>
      <c r="AQ475" s="208"/>
      <c r="AR475" s="226"/>
      <c r="AS475" s="225"/>
      <c r="AT475" s="226"/>
      <c r="AU475" s="225"/>
      <c r="AV475" s="225"/>
      <c r="AW475" s="225"/>
      <c r="AX475" s="225"/>
      <c r="AY475" s="225"/>
    </row>
    <row r="476" spans="33:51" x14ac:dyDescent="0.25">
      <c r="AG476" s="66" t="str">
        <f>IF(AND(Множество[[#This Row],[Y]]=1),ROW()-ROW(Множество[[#Headers],[№]]),"")</f>
        <v/>
      </c>
      <c r="AI476" s="66">
        <v>1</v>
      </c>
      <c r="AJ476" s="66">
        <f>IF(LEN(Множество[[#This Row],[Свёртка]])&gt;0,1,-1)</f>
        <v>1</v>
      </c>
      <c r="AK476" s="66" t="s">
        <v>1781</v>
      </c>
      <c r="AL476" s="209">
        <f>IF(LEN(Множество[[#This Row],[Критерии]])&gt;0,1,-1)</f>
        <v>1</v>
      </c>
      <c r="AM476" s="209">
        <f>IF(AND(LEN(Множество[[#This Row],[Свёртка]])&gt;0,LEN(Множество[[#This Row],[Критерии]])&gt;0,LEN(Множество[[#This Row],[Оценки]])&gt;0),1,-1)</f>
        <v>-1</v>
      </c>
      <c r="AN476" s="208"/>
      <c r="AO476" s="208"/>
      <c r="AP476" s="208"/>
      <c r="AQ476" s="208"/>
      <c r="AR476" s="226"/>
      <c r="AS476" s="225"/>
      <c r="AT476" s="226"/>
      <c r="AU476" s="225"/>
      <c r="AV476" s="225"/>
      <c r="AW476" s="225"/>
      <c r="AX476" s="225"/>
      <c r="AY476" s="225"/>
    </row>
    <row r="477" spans="33:51" x14ac:dyDescent="0.25">
      <c r="AG477" s="66" t="str">
        <f>IF(AND(Множество[[#This Row],[Y]]=1),ROW()-ROW(Множество[[#Headers],[№]]),"")</f>
        <v/>
      </c>
      <c r="AI477" s="66">
        <v>1</v>
      </c>
      <c r="AJ477" s="66">
        <f>IF(LEN(Множество[[#This Row],[Свёртка]])&gt;0,1,-1)</f>
        <v>1</v>
      </c>
      <c r="AK477" s="66" t="s">
        <v>1781</v>
      </c>
      <c r="AL477" s="209">
        <f>IF(LEN(Множество[[#This Row],[Критерии]])&gt;0,1,-1)</f>
        <v>1</v>
      </c>
      <c r="AM477" s="209">
        <f>IF(AND(LEN(Множество[[#This Row],[Свёртка]])&gt;0,LEN(Множество[[#This Row],[Критерии]])&gt;0,LEN(Множество[[#This Row],[Оценки]])&gt;0),1,-1)</f>
        <v>-1</v>
      </c>
      <c r="AN477" s="208"/>
      <c r="AO477" s="208"/>
      <c r="AP477" s="208"/>
      <c r="AQ477" s="208"/>
      <c r="AR477" s="226"/>
      <c r="AS477" s="225"/>
      <c r="AT477" s="226"/>
      <c r="AU477" s="225"/>
      <c r="AV477" s="225"/>
      <c r="AW477" s="225"/>
      <c r="AX477" s="225"/>
      <c r="AY477" s="225"/>
    </row>
    <row r="478" spans="33:51" x14ac:dyDescent="0.25">
      <c r="AG478" s="66" t="str">
        <f>IF(AND(Множество[[#This Row],[Y]]=1),ROW()-ROW(Множество[[#Headers],[№]]),"")</f>
        <v/>
      </c>
      <c r="AI478" s="66">
        <v>1</v>
      </c>
      <c r="AJ478" s="66">
        <f>IF(LEN(Множество[[#This Row],[Свёртка]])&gt;0,1,-1)</f>
        <v>1</v>
      </c>
      <c r="AK478" s="66" t="s">
        <v>1781</v>
      </c>
      <c r="AL478" s="209">
        <f>IF(LEN(Множество[[#This Row],[Критерии]])&gt;0,1,-1)</f>
        <v>1</v>
      </c>
      <c r="AM478" s="209">
        <f>IF(AND(LEN(Множество[[#This Row],[Свёртка]])&gt;0,LEN(Множество[[#This Row],[Критерии]])&gt;0,LEN(Множество[[#This Row],[Оценки]])&gt;0),1,-1)</f>
        <v>-1</v>
      </c>
      <c r="AN478" s="208"/>
      <c r="AO478" s="208"/>
      <c r="AP478" s="208"/>
      <c r="AQ478" s="208"/>
      <c r="AR478" s="226"/>
      <c r="AS478" s="225"/>
      <c r="AT478" s="226"/>
      <c r="AU478" s="225"/>
      <c r="AV478" s="225"/>
      <c r="AW478" s="225"/>
      <c r="AX478" s="225"/>
      <c r="AY478" s="225"/>
    </row>
    <row r="479" spans="33:51" x14ac:dyDescent="0.25">
      <c r="AG479" s="66" t="str">
        <f>IF(AND(Множество[[#This Row],[Y]]=1),ROW()-ROW(Множество[[#Headers],[№]]),"")</f>
        <v/>
      </c>
      <c r="AI479" s="66">
        <v>1</v>
      </c>
      <c r="AJ479" s="66">
        <f>IF(LEN(Множество[[#This Row],[Свёртка]])&gt;0,1,-1)</f>
        <v>1</v>
      </c>
      <c r="AK479" s="66" t="s">
        <v>1781</v>
      </c>
      <c r="AL479" s="209">
        <f>IF(LEN(Множество[[#This Row],[Критерии]])&gt;0,1,-1)</f>
        <v>1</v>
      </c>
      <c r="AM479" s="209">
        <f>IF(AND(LEN(Множество[[#This Row],[Свёртка]])&gt;0,LEN(Множество[[#This Row],[Критерии]])&gt;0,LEN(Множество[[#This Row],[Оценки]])&gt;0),1,-1)</f>
        <v>-1</v>
      </c>
      <c r="AN479" s="208"/>
      <c r="AO479" s="208"/>
      <c r="AP479" s="208"/>
      <c r="AQ479" s="208"/>
      <c r="AR479" s="226"/>
      <c r="AS479" s="225"/>
      <c r="AT479" s="226"/>
      <c r="AU479" s="225"/>
      <c r="AV479" s="225"/>
      <c r="AW479" s="225"/>
      <c r="AX479" s="225"/>
      <c r="AY479" s="225"/>
    </row>
    <row r="480" spans="33:51" x14ac:dyDescent="0.25">
      <c r="AG480" s="66" t="str">
        <f>IF(AND(Множество[[#This Row],[Y]]=1),ROW()-ROW(Множество[[#Headers],[№]]),"")</f>
        <v/>
      </c>
      <c r="AI480" s="66">
        <v>1</v>
      </c>
      <c r="AJ480" s="66">
        <f>IF(LEN(Множество[[#This Row],[Свёртка]])&gt;0,1,-1)</f>
        <v>1</v>
      </c>
      <c r="AK480" s="66" t="s">
        <v>1781</v>
      </c>
      <c r="AL480" s="209">
        <f>IF(LEN(Множество[[#This Row],[Критерии]])&gt;0,1,-1)</f>
        <v>1</v>
      </c>
      <c r="AM480" s="209">
        <f>IF(AND(LEN(Множество[[#This Row],[Свёртка]])&gt;0,LEN(Множество[[#This Row],[Критерии]])&gt;0,LEN(Множество[[#This Row],[Оценки]])&gt;0),1,-1)</f>
        <v>-1</v>
      </c>
      <c r="AN480" s="208"/>
      <c r="AO480" s="208"/>
      <c r="AP480" s="208"/>
      <c r="AQ480" s="208"/>
      <c r="AR480" s="226"/>
      <c r="AS480" s="225"/>
      <c r="AT480" s="226"/>
      <c r="AU480" s="225"/>
      <c r="AV480" s="225"/>
      <c r="AW480" s="225"/>
      <c r="AX480" s="225"/>
      <c r="AY480" s="225"/>
    </row>
    <row r="481" spans="33:51" x14ac:dyDescent="0.25">
      <c r="AG481" s="66" t="str">
        <f>IF(AND(Множество[[#This Row],[Y]]=1),ROW()-ROW(Множество[[#Headers],[№]]),"")</f>
        <v/>
      </c>
      <c r="AI481" s="66">
        <v>1</v>
      </c>
      <c r="AJ481" s="66">
        <f>IF(LEN(Множество[[#This Row],[Свёртка]])&gt;0,1,-1)</f>
        <v>1</v>
      </c>
      <c r="AK481" s="66" t="s">
        <v>1781</v>
      </c>
      <c r="AL481" s="209">
        <f>IF(LEN(Множество[[#This Row],[Критерии]])&gt;0,1,-1)</f>
        <v>1</v>
      </c>
      <c r="AM481" s="209">
        <f>IF(AND(LEN(Множество[[#This Row],[Свёртка]])&gt;0,LEN(Множество[[#This Row],[Критерии]])&gt;0,LEN(Множество[[#This Row],[Оценки]])&gt;0),1,-1)</f>
        <v>-1</v>
      </c>
      <c r="AN481" s="208"/>
      <c r="AO481" s="208"/>
      <c r="AP481" s="208"/>
      <c r="AQ481" s="208"/>
      <c r="AR481" s="226"/>
      <c r="AS481" s="225"/>
      <c r="AT481" s="226"/>
      <c r="AU481" s="225"/>
      <c r="AV481" s="225"/>
      <c r="AW481" s="225"/>
      <c r="AX481" s="225"/>
      <c r="AY481" s="225"/>
    </row>
    <row r="482" spans="33:51" x14ac:dyDescent="0.25">
      <c r="AG482" s="66" t="str">
        <f>IF(AND(Множество[[#This Row],[Y]]=1),ROW()-ROW(Множество[[#Headers],[№]]),"")</f>
        <v/>
      </c>
      <c r="AI482" s="66">
        <v>1</v>
      </c>
      <c r="AJ482" s="66">
        <f>IF(LEN(Множество[[#This Row],[Свёртка]])&gt;0,1,-1)</f>
        <v>1</v>
      </c>
      <c r="AK482" s="66" t="s">
        <v>1781</v>
      </c>
      <c r="AL482" s="209">
        <f>IF(LEN(Множество[[#This Row],[Критерии]])&gt;0,1,-1)</f>
        <v>1</v>
      </c>
      <c r="AM482" s="209">
        <f>IF(AND(LEN(Множество[[#This Row],[Свёртка]])&gt;0,LEN(Множество[[#This Row],[Критерии]])&gt;0,LEN(Множество[[#This Row],[Оценки]])&gt;0),1,-1)</f>
        <v>-1</v>
      </c>
      <c r="AN482" s="208"/>
      <c r="AO482" s="208"/>
      <c r="AP482" s="208"/>
      <c r="AQ482" s="208"/>
      <c r="AR482" s="226"/>
      <c r="AS482" s="225"/>
      <c r="AT482" s="226"/>
      <c r="AU482" s="225"/>
      <c r="AV482" s="225"/>
      <c r="AW482" s="225"/>
      <c r="AX482" s="225"/>
      <c r="AY482" s="225"/>
    </row>
    <row r="483" spans="33:51" x14ac:dyDescent="0.25">
      <c r="AG483" s="66" t="str">
        <f>IF(AND(Множество[[#This Row],[Y]]=1),ROW()-ROW(Множество[[#Headers],[№]]),"")</f>
        <v/>
      </c>
      <c r="AI483" s="66">
        <v>1</v>
      </c>
      <c r="AJ483" s="66">
        <f>IF(LEN(Множество[[#This Row],[Свёртка]])&gt;0,1,-1)</f>
        <v>1</v>
      </c>
      <c r="AK483" s="66" t="s">
        <v>1781</v>
      </c>
      <c r="AL483" s="209">
        <f>IF(LEN(Множество[[#This Row],[Критерии]])&gt;0,1,-1)</f>
        <v>1</v>
      </c>
      <c r="AM483" s="209">
        <f>IF(AND(LEN(Множество[[#This Row],[Свёртка]])&gt;0,LEN(Множество[[#This Row],[Критерии]])&gt;0,LEN(Множество[[#This Row],[Оценки]])&gt;0),1,-1)</f>
        <v>-1</v>
      </c>
      <c r="AN483" s="208"/>
      <c r="AO483" s="208"/>
      <c r="AP483" s="208"/>
      <c r="AQ483" s="208"/>
      <c r="AR483" s="226"/>
      <c r="AS483" s="225"/>
      <c r="AT483" s="226"/>
      <c r="AU483" s="225"/>
      <c r="AV483" s="225"/>
      <c r="AW483" s="225"/>
      <c r="AX483" s="225"/>
      <c r="AY483" s="225"/>
    </row>
    <row r="484" spans="33:51" x14ac:dyDescent="0.25">
      <c r="AG484" s="66" t="str">
        <f>IF(AND(Множество[[#This Row],[Y]]=1),ROW()-ROW(Множество[[#Headers],[№]]),"")</f>
        <v/>
      </c>
      <c r="AI484" s="66">
        <v>1</v>
      </c>
      <c r="AJ484" s="66">
        <f>IF(LEN(Множество[[#This Row],[Свёртка]])&gt;0,1,-1)</f>
        <v>1</v>
      </c>
      <c r="AK484" s="66" t="s">
        <v>1781</v>
      </c>
      <c r="AL484" s="209">
        <f>IF(LEN(Множество[[#This Row],[Критерии]])&gt;0,1,-1)</f>
        <v>1</v>
      </c>
      <c r="AM484" s="209">
        <f>IF(AND(LEN(Множество[[#This Row],[Свёртка]])&gt;0,LEN(Множество[[#This Row],[Критерии]])&gt;0,LEN(Множество[[#This Row],[Оценки]])&gt;0),1,-1)</f>
        <v>-1</v>
      </c>
      <c r="AN484" s="208"/>
      <c r="AO484" s="208"/>
      <c r="AP484" s="208"/>
      <c r="AQ484" s="208"/>
      <c r="AR484" s="226"/>
      <c r="AS484" s="225"/>
      <c r="AT484" s="226"/>
      <c r="AU484" s="225"/>
      <c r="AV484" s="225"/>
      <c r="AW484" s="225"/>
      <c r="AX484" s="225"/>
      <c r="AY484" s="225"/>
    </row>
    <row r="485" spans="33:51" x14ac:dyDescent="0.25">
      <c r="AG485" s="66" t="str">
        <f>IF(AND(Множество[[#This Row],[Y]]=1),ROW()-ROW(Множество[[#Headers],[№]]),"")</f>
        <v/>
      </c>
      <c r="AI485" s="66">
        <v>1</v>
      </c>
      <c r="AJ485" s="66">
        <f>IF(LEN(Множество[[#This Row],[Свёртка]])&gt;0,1,-1)</f>
        <v>1</v>
      </c>
      <c r="AK485" s="66" t="s">
        <v>1781</v>
      </c>
      <c r="AL485" s="209">
        <f>IF(LEN(Множество[[#This Row],[Критерии]])&gt;0,1,-1)</f>
        <v>1</v>
      </c>
      <c r="AM485" s="209">
        <f>IF(AND(LEN(Множество[[#This Row],[Свёртка]])&gt;0,LEN(Множество[[#This Row],[Критерии]])&gt;0,LEN(Множество[[#This Row],[Оценки]])&gt;0),1,-1)</f>
        <v>-1</v>
      </c>
      <c r="AN485" s="208"/>
      <c r="AO485" s="208"/>
      <c r="AP485" s="208"/>
      <c r="AQ485" s="208"/>
      <c r="AR485" s="226"/>
      <c r="AS485" s="225"/>
      <c r="AT485" s="226"/>
      <c r="AU485" s="225"/>
      <c r="AV485" s="225"/>
      <c r="AW485" s="225"/>
      <c r="AX485" s="225"/>
      <c r="AY485" s="225"/>
    </row>
    <row r="486" spans="33:51" x14ac:dyDescent="0.25">
      <c r="AG486" s="66" t="str">
        <f>IF(AND(Множество[[#This Row],[Y]]=1),ROW()-ROW(Множество[[#Headers],[№]]),"")</f>
        <v/>
      </c>
      <c r="AI486" s="66">
        <v>1</v>
      </c>
      <c r="AJ486" s="66">
        <f>IF(LEN(Множество[[#This Row],[Свёртка]])&gt;0,1,-1)</f>
        <v>1</v>
      </c>
      <c r="AK486" s="66" t="s">
        <v>1781</v>
      </c>
      <c r="AL486" s="209">
        <f>IF(LEN(Множество[[#This Row],[Критерии]])&gt;0,1,-1)</f>
        <v>1</v>
      </c>
      <c r="AM486" s="209">
        <f>IF(AND(LEN(Множество[[#This Row],[Свёртка]])&gt;0,LEN(Множество[[#This Row],[Критерии]])&gt;0,LEN(Множество[[#This Row],[Оценки]])&gt;0),1,-1)</f>
        <v>-1</v>
      </c>
      <c r="AN486" s="208"/>
      <c r="AO486" s="208"/>
      <c r="AP486" s="208"/>
      <c r="AQ486" s="208"/>
      <c r="AR486" s="226"/>
      <c r="AS486" s="225"/>
      <c r="AT486" s="226"/>
      <c r="AU486" s="225"/>
      <c r="AV486" s="225"/>
      <c r="AW486" s="225"/>
      <c r="AX486" s="225"/>
      <c r="AY486" s="225"/>
    </row>
    <row r="487" spans="33:51" x14ac:dyDescent="0.25">
      <c r="AG487" s="66" t="str">
        <f>IF(AND(Множество[[#This Row],[Y]]=1),ROW()-ROW(Множество[[#Headers],[№]]),"")</f>
        <v/>
      </c>
      <c r="AI487" s="66">
        <v>1</v>
      </c>
      <c r="AJ487" s="66">
        <f>IF(LEN(Множество[[#This Row],[Свёртка]])&gt;0,1,-1)</f>
        <v>1</v>
      </c>
      <c r="AK487" s="66" t="s">
        <v>1781</v>
      </c>
      <c r="AL487" s="209">
        <f>IF(LEN(Множество[[#This Row],[Критерии]])&gt;0,1,-1)</f>
        <v>1</v>
      </c>
      <c r="AM487" s="209">
        <f>IF(AND(LEN(Множество[[#This Row],[Свёртка]])&gt;0,LEN(Множество[[#This Row],[Критерии]])&gt;0,LEN(Множество[[#This Row],[Оценки]])&gt;0),1,-1)</f>
        <v>-1</v>
      </c>
      <c r="AN487" s="208"/>
      <c r="AO487" s="208"/>
      <c r="AP487" s="208"/>
      <c r="AQ487" s="208"/>
      <c r="AR487" s="226"/>
      <c r="AS487" s="225"/>
      <c r="AT487" s="226"/>
      <c r="AU487" s="225"/>
      <c r="AV487" s="225"/>
      <c r="AW487" s="225"/>
      <c r="AX487" s="225"/>
      <c r="AY487" s="225"/>
    </row>
    <row r="488" spans="33:51" x14ac:dyDescent="0.25">
      <c r="AG488" s="66" t="str">
        <f>IF(AND(Множество[[#This Row],[Y]]=1),ROW()-ROW(Множество[[#Headers],[№]]),"")</f>
        <v/>
      </c>
      <c r="AI488" s="66">
        <v>1</v>
      </c>
      <c r="AJ488" s="66">
        <f>IF(LEN(Множество[[#This Row],[Свёртка]])&gt;0,1,-1)</f>
        <v>1</v>
      </c>
      <c r="AK488" s="66" t="s">
        <v>1781</v>
      </c>
      <c r="AL488" s="209">
        <f>IF(LEN(Множество[[#This Row],[Критерии]])&gt;0,1,-1)</f>
        <v>1</v>
      </c>
      <c r="AM488" s="209">
        <f>IF(AND(LEN(Множество[[#This Row],[Свёртка]])&gt;0,LEN(Множество[[#This Row],[Критерии]])&gt;0,LEN(Множество[[#This Row],[Оценки]])&gt;0),1,-1)</f>
        <v>-1</v>
      </c>
      <c r="AN488" s="208"/>
      <c r="AO488" s="208"/>
      <c r="AP488" s="208"/>
      <c r="AQ488" s="208"/>
      <c r="AR488" s="226"/>
      <c r="AS488" s="225"/>
      <c r="AT488" s="226"/>
      <c r="AU488" s="225"/>
      <c r="AV488" s="225"/>
      <c r="AW488" s="225"/>
      <c r="AX488" s="225"/>
      <c r="AY488" s="225"/>
    </row>
    <row r="489" spans="33:51" x14ac:dyDescent="0.25">
      <c r="AG489" s="66" t="str">
        <f>IF(AND(Множество[[#This Row],[Y]]=1),ROW()-ROW(Множество[[#Headers],[№]]),"")</f>
        <v/>
      </c>
      <c r="AI489" s="66">
        <v>1</v>
      </c>
      <c r="AJ489" s="66">
        <f>IF(LEN(Множество[[#This Row],[Свёртка]])&gt;0,1,-1)</f>
        <v>1</v>
      </c>
      <c r="AK489" s="66" t="s">
        <v>1781</v>
      </c>
      <c r="AL489" s="209">
        <f>IF(LEN(Множество[[#This Row],[Критерии]])&gt;0,1,-1)</f>
        <v>1</v>
      </c>
      <c r="AM489" s="209">
        <f>IF(AND(LEN(Множество[[#This Row],[Свёртка]])&gt;0,LEN(Множество[[#This Row],[Критерии]])&gt;0,LEN(Множество[[#This Row],[Оценки]])&gt;0),1,-1)</f>
        <v>-1</v>
      </c>
      <c r="AN489" s="208"/>
      <c r="AO489" s="208"/>
      <c r="AP489" s="208"/>
      <c r="AQ489" s="208"/>
      <c r="AR489" s="226"/>
      <c r="AS489" s="225"/>
      <c r="AT489" s="226"/>
      <c r="AU489" s="225"/>
      <c r="AV489" s="225"/>
      <c r="AW489" s="225"/>
      <c r="AX489" s="225"/>
      <c r="AY489" s="225"/>
    </row>
    <row r="490" spans="33:51" x14ac:dyDescent="0.25">
      <c r="AG490" s="66" t="str">
        <f>IF(AND(Множество[[#This Row],[Y]]=1),ROW()-ROW(Множество[[#Headers],[№]]),"")</f>
        <v/>
      </c>
      <c r="AI490" s="66">
        <v>1</v>
      </c>
      <c r="AJ490" s="66">
        <f>IF(LEN(Множество[[#This Row],[Свёртка]])&gt;0,1,-1)</f>
        <v>1</v>
      </c>
      <c r="AK490" s="66" t="s">
        <v>1781</v>
      </c>
      <c r="AL490" s="209">
        <f>IF(LEN(Множество[[#This Row],[Критерии]])&gt;0,1,-1)</f>
        <v>1</v>
      </c>
      <c r="AM490" s="209">
        <f>IF(AND(LEN(Множество[[#This Row],[Свёртка]])&gt;0,LEN(Множество[[#This Row],[Критерии]])&gt;0,LEN(Множество[[#This Row],[Оценки]])&gt;0),1,-1)</f>
        <v>-1</v>
      </c>
      <c r="AN490" s="208"/>
      <c r="AO490" s="208"/>
      <c r="AP490" s="208"/>
      <c r="AQ490" s="208"/>
      <c r="AR490" s="226"/>
      <c r="AS490" s="225"/>
      <c r="AT490" s="226"/>
      <c r="AU490" s="225"/>
      <c r="AV490" s="225"/>
      <c r="AW490" s="225"/>
      <c r="AX490" s="225"/>
      <c r="AY490" s="225"/>
    </row>
    <row r="491" spans="33:51" x14ac:dyDescent="0.25">
      <c r="AG491" s="66" t="str">
        <f>IF(AND(Множество[[#This Row],[Y]]=1),ROW()-ROW(Множество[[#Headers],[№]]),"")</f>
        <v/>
      </c>
      <c r="AI491" s="66">
        <v>1</v>
      </c>
      <c r="AJ491" s="66">
        <f>IF(LEN(Множество[[#This Row],[Свёртка]])&gt;0,1,-1)</f>
        <v>1</v>
      </c>
      <c r="AK491" s="66" t="s">
        <v>1781</v>
      </c>
      <c r="AL491" s="209">
        <f>IF(LEN(Множество[[#This Row],[Критерии]])&gt;0,1,-1)</f>
        <v>1</v>
      </c>
      <c r="AM491" s="209">
        <f>IF(AND(LEN(Множество[[#This Row],[Свёртка]])&gt;0,LEN(Множество[[#This Row],[Критерии]])&gt;0,LEN(Множество[[#This Row],[Оценки]])&gt;0),1,-1)</f>
        <v>-1</v>
      </c>
      <c r="AN491" s="208"/>
      <c r="AO491" s="208"/>
      <c r="AP491" s="208"/>
      <c r="AQ491" s="208"/>
      <c r="AR491" s="226"/>
      <c r="AS491" s="225"/>
      <c r="AT491" s="226"/>
      <c r="AU491" s="225"/>
      <c r="AV491" s="225"/>
      <c r="AW491" s="225"/>
      <c r="AX491" s="225"/>
      <c r="AY491" s="225"/>
    </row>
    <row r="492" spans="33:51" x14ac:dyDescent="0.25">
      <c r="AG492" s="66" t="str">
        <f>IF(AND(Множество[[#This Row],[Y]]=1),ROW()-ROW(Множество[[#Headers],[№]]),"")</f>
        <v/>
      </c>
      <c r="AI492" s="66">
        <v>1</v>
      </c>
      <c r="AJ492" s="66">
        <f>IF(LEN(Множество[[#This Row],[Свёртка]])&gt;0,1,-1)</f>
        <v>1</v>
      </c>
      <c r="AK492" s="66" t="s">
        <v>1781</v>
      </c>
      <c r="AL492" s="209">
        <f>IF(LEN(Множество[[#This Row],[Критерии]])&gt;0,1,-1)</f>
        <v>1</v>
      </c>
      <c r="AM492" s="209">
        <f>IF(AND(LEN(Множество[[#This Row],[Свёртка]])&gt;0,LEN(Множество[[#This Row],[Критерии]])&gt;0,LEN(Множество[[#This Row],[Оценки]])&gt;0),1,-1)</f>
        <v>-1</v>
      </c>
      <c r="AN492" s="208"/>
      <c r="AO492" s="208"/>
      <c r="AP492" s="208"/>
      <c r="AQ492" s="208"/>
      <c r="AR492" s="226"/>
      <c r="AS492" s="225"/>
      <c r="AT492" s="226"/>
      <c r="AU492" s="225"/>
      <c r="AV492" s="225"/>
      <c r="AW492" s="225"/>
      <c r="AX492" s="225"/>
      <c r="AY492" s="225"/>
    </row>
    <row r="493" spans="33:51" x14ac:dyDescent="0.25">
      <c r="AG493" s="66" t="str">
        <f>IF(AND(Множество[[#This Row],[Y]]=1),ROW()-ROW(Множество[[#Headers],[№]]),"")</f>
        <v/>
      </c>
      <c r="AI493" s="66">
        <v>1</v>
      </c>
      <c r="AJ493" s="66">
        <f>IF(LEN(Множество[[#This Row],[Свёртка]])&gt;0,1,-1)</f>
        <v>1</v>
      </c>
      <c r="AK493" s="66" t="s">
        <v>1781</v>
      </c>
      <c r="AL493" s="209">
        <f>IF(LEN(Множество[[#This Row],[Критерии]])&gt;0,1,-1)</f>
        <v>1</v>
      </c>
      <c r="AM493" s="209">
        <f>IF(AND(LEN(Множество[[#This Row],[Свёртка]])&gt;0,LEN(Множество[[#This Row],[Критерии]])&gt;0,LEN(Множество[[#This Row],[Оценки]])&gt;0),1,-1)</f>
        <v>-1</v>
      </c>
      <c r="AN493" s="208"/>
      <c r="AO493" s="208"/>
      <c r="AP493" s="208"/>
      <c r="AQ493" s="208"/>
      <c r="AR493" s="226"/>
      <c r="AS493" s="225"/>
      <c r="AT493" s="226"/>
      <c r="AU493" s="225"/>
      <c r="AV493" s="225"/>
      <c r="AW493" s="225"/>
      <c r="AX493" s="225"/>
      <c r="AY493" s="225"/>
    </row>
    <row r="494" spans="33:51" x14ac:dyDescent="0.25">
      <c r="AG494" s="66" t="str">
        <f>IF(AND(Множество[[#This Row],[Y]]=1),ROW()-ROW(Множество[[#Headers],[№]]),"")</f>
        <v/>
      </c>
      <c r="AI494" s="66">
        <v>1</v>
      </c>
      <c r="AJ494" s="66">
        <f>IF(LEN(Множество[[#This Row],[Свёртка]])&gt;0,1,-1)</f>
        <v>1</v>
      </c>
      <c r="AK494" s="66" t="s">
        <v>1781</v>
      </c>
      <c r="AL494" s="209">
        <f>IF(LEN(Множество[[#This Row],[Критерии]])&gt;0,1,-1)</f>
        <v>1</v>
      </c>
      <c r="AM494" s="209">
        <f>IF(AND(LEN(Множество[[#This Row],[Свёртка]])&gt;0,LEN(Множество[[#This Row],[Критерии]])&gt;0,LEN(Множество[[#This Row],[Оценки]])&gt;0),1,-1)</f>
        <v>-1</v>
      </c>
      <c r="AN494" s="208"/>
      <c r="AO494" s="208"/>
      <c r="AP494" s="208"/>
      <c r="AQ494" s="208"/>
      <c r="AR494" s="226"/>
      <c r="AS494" s="225"/>
      <c r="AT494" s="226"/>
      <c r="AU494" s="225"/>
      <c r="AV494" s="225"/>
      <c r="AW494" s="225"/>
      <c r="AX494" s="225"/>
      <c r="AY494" s="225"/>
    </row>
    <row r="495" spans="33:51" x14ac:dyDescent="0.25">
      <c r="AG495" s="66" t="str">
        <f>IF(AND(Множество[[#This Row],[Y]]=1),ROW()-ROW(Множество[[#Headers],[№]]),"")</f>
        <v/>
      </c>
      <c r="AI495" s="66">
        <v>1</v>
      </c>
      <c r="AJ495" s="66">
        <f>IF(LEN(Множество[[#This Row],[Свёртка]])&gt;0,1,-1)</f>
        <v>1</v>
      </c>
      <c r="AK495" s="66" t="s">
        <v>1781</v>
      </c>
      <c r="AL495" s="209">
        <f>IF(LEN(Множество[[#This Row],[Критерии]])&gt;0,1,-1)</f>
        <v>1</v>
      </c>
      <c r="AM495" s="209">
        <f>IF(AND(LEN(Множество[[#This Row],[Свёртка]])&gt;0,LEN(Множество[[#This Row],[Критерии]])&gt;0,LEN(Множество[[#This Row],[Оценки]])&gt;0),1,-1)</f>
        <v>-1</v>
      </c>
      <c r="AN495" s="208"/>
      <c r="AO495" s="208"/>
      <c r="AP495" s="208"/>
      <c r="AQ495" s="208"/>
      <c r="AR495" s="226"/>
      <c r="AS495" s="225"/>
      <c r="AT495" s="226"/>
      <c r="AU495" s="225"/>
      <c r="AV495" s="225"/>
      <c r="AW495" s="225"/>
      <c r="AX495" s="225"/>
      <c r="AY495" s="225"/>
    </row>
    <row r="496" spans="33:51" x14ac:dyDescent="0.25">
      <c r="AG496" s="66" t="str">
        <f>IF(AND(Множество[[#This Row],[Y]]=1),ROW()-ROW(Множество[[#Headers],[№]]),"")</f>
        <v/>
      </c>
      <c r="AI496" s="66">
        <v>1</v>
      </c>
      <c r="AJ496" s="66">
        <f>IF(LEN(Множество[[#This Row],[Свёртка]])&gt;0,1,-1)</f>
        <v>1</v>
      </c>
      <c r="AK496" s="66" t="s">
        <v>1781</v>
      </c>
      <c r="AL496" s="209">
        <f>IF(LEN(Множество[[#This Row],[Критерии]])&gt;0,1,-1)</f>
        <v>1</v>
      </c>
      <c r="AM496" s="209">
        <f>IF(AND(LEN(Множество[[#This Row],[Свёртка]])&gt;0,LEN(Множество[[#This Row],[Критерии]])&gt;0,LEN(Множество[[#This Row],[Оценки]])&gt;0),1,-1)</f>
        <v>-1</v>
      </c>
      <c r="AN496" s="208"/>
      <c r="AO496" s="208"/>
      <c r="AP496" s="208"/>
      <c r="AQ496" s="208"/>
      <c r="AR496" s="226"/>
      <c r="AS496" s="225"/>
      <c r="AT496" s="226"/>
      <c r="AU496" s="225"/>
      <c r="AV496" s="225"/>
      <c r="AW496" s="225"/>
      <c r="AX496" s="225"/>
      <c r="AY496" s="225"/>
    </row>
    <row r="497" spans="33:51" x14ac:dyDescent="0.25">
      <c r="AG497" s="66" t="str">
        <f>IF(AND(Множество[[#This Row],[Y]]=1),ROW()-ROW(Множество[[#Headers],[№]]),"")</f>
        <v/>
      </c>
      <c r="AI497" s="66">
        <v>1</v>
      </c>
      <c r="AJ497" s="66">
        <f>IF(LEN(Множество[[#This Row],[Свёртка]])&gt;0,1,-1)</f>
        <v>1</v>
      </c>
      <c r="AK497" s="66" t="s">
        <v>1781</v>
      </c>
      <c r="AL497" s="209">
        <f>IF(LEN(Множество[[#This Row],[Критерии]])&gt;0,1,-1)</f>
        <v>1</v>
      </c>
      <c r="AM497" s="209">
        <f>IF(AND(LEN(Множество[[#This Row],[Свёртка]])&gt;0,LEN(Множество[[#This Row],[Критерии]])&gt;0,LEN(Множество[[#This Row],[Оценки]])&gt;0),1,-1)</f>
        <v>-1</v>
      </c>
      <c r="AN497" s="208"/>
      <c r="AO497" s="208"/>
      <c r="AP497" s="208"/>
      <c r="AQ497" s="208"/>
      <c r="AR497" s="226"/>
      <c r="AS497" s="225"/>
      <c r="AT497" s="226"/>
      <c r="AU497" s="225"/>
      <c r="AV497" s="225"/>
      <c r="AW497" s="225"/>
      <c r="AX497" s="225"/>
      <c r="AY497" s="225"/>
    </row>
    <row r="498" spans="33:51" x14ac:dyDescent="0.25">
      <c r="AG498" s="66" t="str">
        <f>IF(AND(Множество[[#This Row],[Y]]=1),ROW()-ROW(Множество[[#Headers],[№]]),"")</f>
        <v/>
      </c>
      <c r="AI498" s="66">
        <v>1</v>
      </c>
      <c r="AJ498" s="66">
        <f>IF(LEN(Множество[[#This Row],[Свёртка]])&gt;0,1,-1)</f>
        <v>1</v>
      </c>
      <c r="AK498" s="66" t="s">
        <v>1781</v>
      </c>
      <c r="AL498" s="209">
        <f>IF(LEN(Множество[[#This Row],[Критерии]])&gt;0,1,-1)</f>
        <v>1</v>
      </c>
      <c r="AM498" s="209">
        <f>IF(AND(LEN(Множество[[#This Row],[Свёртка]])&gt;0,LEN(Множество[[#This Row],[Критерии]])&gt;0,LEN(Множество[[#This Row],[Оценки]])&gt;0),1,-1)</f>
        <v>-1</v>
      </c>
      <c r="AN498" s="208"/>
      <c r="AO498" s="208"/>
      <c r="AP498" s="208"/>
      <c r="AQ498" s="208"/>
      <c r="AR498" s="226"/>
      <c r="AS498" s="225"/>
      <c r="AT498" s="226"/>
      <c r="AU498" s="225"/>
      <c r="AV498" s="225"/>
      <c r="AW498" s="225"/>
      <c r="AX498" s="225"/>
      <c r="AY498" s="225"/>
    </row>
    <row r="499" spans="33:51" x14ac:dyDescent="0.25">
      <c r="AG499" s="66" t="str">
        <f>IF(AND(Множество[[#This Row],[Y]]=1),ROW()-ROW(Множество[[#Headers],[№]]),"")</f>
        <v/>
      </c>
      <c r="AI499" s="66">
        <v>1</v>
      </c>
      <c r="AJ499" s="66">
        <f>IF(LEN(Множество[[#This Row],[Свёртка]])&gt;0,1,-1)</f>
        <v>1</v>
      </c>
      <c r="AK499" s="66" t="s">
        <v>1781</v>
      </c>
      <c r="AL499" s="209">
        <f>IF(LEN(Множество[[#This Row],[Критерии]])&gt;0,1,-1)</f>
        <v>1</v>
      </c>
      <c r="AM499" s="209">
        <f>IF(AND(LEN(Множество[[#This Row],[Свёртка]])&gt;0,LEN(Множество[[#This Row],[Критерии]])&gt;0,LEN(Множество[[#This Row],[Оценки]])&gt;0),1,-1)</f>
        <v>-1</v>
      </c>
      <c r="AN499" s="208"/>
      <c r="AO499" s="208"/>
      <c r="AP499" s="208"/>
      <c r="AQ499" s="208"/>
      <c r="AR499" s="226"/>
      <c r="AS499" s="225"/>
      <c r="AT499" s="226"/>
      <c r="AU499" s="225"/>
      <c r="AV499" s="225"/>
      <c r="AW499" s="225"/>
      <c r="AX499" s="225"/>
      <c r="AY499" s="225"/>
    </row>
    <row r="500" spans="33:51" x14ac:dyDescent="0.25">
      <c r="AG500" s="66" t="str">
        <f>IF(AND(Множество[[#This Row],[Y]]=1),ROW()-ROW(Множество[[#Headers],[№]]),"")</f>
        <v/>
      </c>
      <c r="AI500" s="66">
        <v>1</v>
      </c>
      <c r="AJ500" s="66">
        <f>IF(LEN(Множество[[#This Row],[Свёртка]])&gt;0,1,-1)</f>
        <v>1</v>
      </c>
      <c r="AK500" s="66" t="s">
        <v>1781</v>
      </c>
      <c r="AL500" s="209">
        <f>IF(LEN(Множество[[#This Row],[Критерии]])&gt;0,1,-1)</f>
        <v>1</v>
      </c>
      <c r="AM500" s="209">
        <f>IF(AND(LEN(Множество[[#This Row],[Свёртка]])&gt;0,LEN(Множество[[#This Row],[Критерии]])&gt;0,LEN(Множество[[#This Row],[Оценки]])&gt;0),1,-1)</f>
        <v>-1</v>
      </c>
      <c r="AN500" s="208"/>
      <c r="AO500" s="208"/>
      <c r="AP500" s="208"/>
      <c r="AQ500" s="208"/>
      <c r="AR500" s="226"/>
      <c r="AS500" s="225"/>
      <c r="AT500" s="226"/>
      <c r="AU500" s="225"/>
      <c r="AV500" s="225"/>
      <c r="AW500" s="225"/>
      <c r="AX500" s="225"/>
      <c r="AY500" s="225"/>
    </row>
    <row r="501" spans="33:51" x14ac:dyDescent="0.25">
      <c r="AG501" s="66" t="str">
        <f>IF(AND(Множество[[#This Row],[Y]]=1),ROW()-ROW(Множество[[#Headers],[№]]),"")</f>
        <v/>
      </c>
      <c r="AI501" s="66">
        <v>1</v>
      </c>
      <c r="AJ501" s="66">
        <f>IF(LEN(Множество[[#This Row],[Свёртка]])&gt;0,1,-1)</f>
        <v>1</v>
      </c>
      <c r="AK501" s="66" t="s">
        <v>1781</v>
      </c>
      <c r="AL501" s="209">
        <f>IF(LEN(Множество[[#This Row],[Критерии]])&gt;0,1,-1)</f>
        <v>1</v>
      </c>
      <c r="AM501" s="209">
        <f>IF(AND(LEN(Множество[[#This Row],[Свёртка]])&gt;0,LEN(Множество[[#This Row],[Критерии]])&gt;0,LEN(Множество[[#This Row],[Оценки]])&gt;0),1,-1)</f>
        <v>-1</v>
      </c>
      <c r="AN501" s="208"/>
      <c r="AO501" s="208"/>
      <c r="AP501" s="208"/>
      <c r="AQ501" s="208"/>
      <c r="AR501" s="226"/>
      <c r="AS501" s="225"/>
      <c r="AT501" s="226"/>
      <c r="AU501" s="225"/>
      <c r="AV501" s="225"/>
      <c r="AW501" s="225"/>
      <c r="AX501" s="225"/>
      <c r="AY501" s="225"/>
    </row>
    <row r="502" spans="33:51" x14ac:dyDescent="0.25">
      <c r="AG502" s="66" t="str">
        <f>IF(AND(Множество[[#This Row],[Y]]=1),ROW()-ROW(Множество[[#Headers],[№]]),"")</f>
        <v/>
      </c>
      <c r="AI502" s="66">
        <v>1</v>
      </c>
      <c r="AJ502" s="66">
        <f>IF(LEN(Множество[[#This Row],[Свёртка]])&gt;0,1,-1)</f>
        <v>1</v>
      </c>
      <c r="AK502" s="66" t="s">
        <v>1781</v>
      </c>
      <c r="AL502" s="209">
        <f>IF(LEN(Множество[[#This Row],[Критерии]])&gt;0,1,-1)</f>
        <v>1</v>
      </c>
      <c r="AM502" s="209">
        <f>IF(AND(LEN(Множество[[#This Row],[Свёртка]])&gt;0,LEN(Множество[[#This Row],[Критерии]])&gt;0,LEN(Множество[[#This Row],[Оценки]])&gt;0),1,-1)</f>
        <v>-1</v>
      </c>
      <c r="AN502" s="208"/>
      <c r="AO502" s="208"/>
      <c r="AP502" s="208"/>
      <c r="AQ502" s="208"/>
      <c r="AR502" s="226"/>
      <c r="AS502" s="225"/>
      <c r="AT502" s="226"/>
      <c r="AU502" s="225"/>
      <c r="AV502" s="225"/>
      <c r="AW502" s="225"/>
      <c r="AX502" s="225"/>
      <c r="AY502" s="225"/>
    </row>
    <row r="503" spans="33:51" x14ac:dyDescent="0.25">
      <c r="AG503" s="66" t="str">
        <f>IF(AND(Множество[[#This Row],[Y]]=1),ROW()-ROW(Множество[[#Headers],[№]]),"")</f>
        <v/>
      </c>
      <c r="AI503" s="66">
        <v>1</v>
      </c>
      <c r="AJ503" s="66">
        <f>IF(LEN(Множество[[#This Row],[Свёртка]])&gt;0,1,-1)</f>
        <v>1</v>
      </c>
      <c r="AK503" s="66" t="s">
        <v>1781</v>
      </c>
      <c r="AL503" s="209">
        <f>IF(LEN(Множество[[#This Row],[Критерии]])&gt;0,1,-1)</f>
        <v>1</v>
      </c>
      <c r="AM503" s="209">
        <f>IF(AND(LEN(Множество[[#This Row],[Свёртка]])&gt;0,LEN(Множество[[#This Row],[Критерии]])&gt;0,LEN(Множество[[#This Row],[Оценки]])&gt;0),1,-1)</f>
        <v>-1</v>
      </c>
      <c r="AN503" s="208"/>
      <c r="AO503" s="208"/>
      <c r="AP503" s="208"/>
      <c r="AQ503" s="208"/>
      <c r="AR503" s="226"/>
      <c r="AS503" s="225"/>
      <c r="AT503" s="226"/>
      <c r="AU503" s="225"/>
      <c r="AV503" s="225"/>
      <c r="AW503" s="225"/>
      <c r="AX503" s="225"/>
      <c r="AY503" s="225"/>
    </row>
    <row r="504" spans="33:51" x14ac:dyDescent="0.25">
      <c r="AG504" s="66" t="str">
        <f>IF(AND(Множество[[#This Row],[Y]]=1),ROW()-ROW(Множество[[#Headers],[№]]),"")</f>
        <v/>
      </c>
      <c r="AI504" s="66">
        <v>1</v>
      </c>
      <c r="AJ504" s="66">
        <f>IF(LEN(Множество[[#This Row],[Свёртка]])&gt;0,1,-1)</f>
        <v>1</v>
      </c>
      <c r="AK504" s="66" t="s">
        <v>1781</v>
      </c>
      <c r="AL504" s="209">
        <f>IF(LEN(Множество[[#This Row],[Критерии]])&gt;0,1,-1)</f>
        <v>1</v>
      </c>
      <c r="AM504" s="209">
        <f>IF(AND(LEN(Множество[[#This Row],[Свёртка]])&gt;0,LEN(Множество[[#This Row],[Критерии]])&gt;0,LEN(Множество[[#This Row],[Оценки]])&gt;0),1,-1)</f>
        <v>-1</v>
      </c>
      <c r="AN504" s="208"/>
      <c r="AO504" s="208"/>
      <c r="AP504" s="208"/>
      <c r="AQ504" s="208"/>
      <c r="AR504" s="226"/>
      <c r="AS504" s="225"/>
      <c r="AT504" s="226"/>
      <c r="AU504" s="225"/>
      <c r="AV504" s="225"/>
      <c r="AW504" s="225"/>
      <c r="AX504" s="225"/>
      <c r="AY504" s="225"/>
    </row>
    <row r="505" spans="33:51" x14ac:dyDescent="0.25">
      <c r="AG505" s="66" t="str">
        <f>IF(AND(Множество[[#This Row],[Y]]=1),ROW()-ROW(Множество[[#Headers],[№]]),"")</f>
        <v/>
      </c>
      <c r="AI505" s="66">
        <v>1</v>
      </c>
      <c r="AJ505" s="66">
        <f>IF(LEN(Множество[[#This Row],[Свёртка]])&gt;0,1,-1)</f>
        <v>1</v>
      </c>
      <c r="AK505" s="66" t="s">
        <v>1781</v>
      </c>
      <c r="AL505" s="209">
        <f>IF(LEN(Множество[[#This Row],[Критерии]])&gt;0,1,-1)</f>
        <v>1</v>
      </c>
      <c r="AM505" s="209">
        <f>IF(AND(LEN(Множество[[#This Row],[Свёртка]])&gt;0,LEN(Множество[[#This Row],[Критерии]])&gt;0,LEN(Множество[[#This Row],[Оценки]])&gt;0),1,-1)</f>
        <v>-1</v>
      </c>
      <c r="AN505" s="208"/>
      <c r="AO505" s="208"/>
      <c r="AP505" s="208"/>
      <c r="AQ505" s="208"/>
      <c r="AR505" s="226"/>
      <c r="AS505" s="225"/>
      <c r="AT505" s="226"/>
      <c r="AU505" s="225"/>
      <c r="AV505" s="225"/>
      <c r="AW505" s="225"/>
      <c r="AX505" s="225"/>
      <c r="AY505" s="225"/>
    </row>
    <row r="506" spans="33:51" x14ac:dyDescent="0.25">
      <c r="AG506" s="66" t="str">
        <f>IF(AND(Множество[[#This Row],[Y]]=1),ROW()-ROW(Множество[[#Headers],[№]]),"")</f>
        <v/>
      </c>
      <c r="AI506" s="66">
        <v>1</v>
      </c>
      <c r="AJ506" s="66">
        <f>IF(LEN(Множество[[#This Row],[Свёртка]])&gt;0,1,-1)</f>
        <v>1</v>
      </c>
      <c r="AK506" s="66" t="s">
        <v>1781</v>
      </c>
      <c r="AL506" s="209">
        <f>IF(LEN(Множество[[#This Row],[Критерии]])&gt;0,1,-1)</f>
        <v>1</v>
      </c>
      <c r="AM506" s="209">
        <f>IF(AND(LEN(Множество[[#This Row],[Свёртка]])&gt;0,LEN(Множество[[#This Row],[Критерии]])&gt;0,LEN(Множество[[#This Row],[Оценки]])&gt;0),1,-1)</f>
        <v>-1</v>
      </c>
      <c r="AN506" s="208"/>
      <c r="AO506" s="208"/>
      <c r="AP506" s="208"/>
      <c r="AQ506" s="208"/>
      <c r="AR506" s="226"/>
      <c r="AS506" s="225"/>
      <c r="AT506" s="226"/>
      <c r="AU506" s="225"/>
      <c r="AV506" s="225"/>
      <c r="AW506" s="225"/>
      <c r="AX506" s="225"/>
      <c r="AY506" s="225"/>
    </row>
    <row r="507" spans="33:51" x14ac:dyDescent="0.25">
      <c r="AG507" s="66" t="str">
        <f>IF(AND(Множество[[#This Row],[Y]]=1),ROW()-ROW(Множество[[#Headers],[№]]),"")</f>
        <v/>
      </c>
      <c r="AI507" s="66">
        <v>1</v>
      </c>
      <c r="AJ507" s="66">
        <f>IF(LEN(Множество[[#This Row],[Свёртка]])&gt;0,1,-1)</f>
        <v>1</v>
      </c>
      <c r="AK507" s="66" t="s">
        <v>1781</v>
      </c>
      <c r="AL507" s="209">
        <f>IF(LEN(Множество[[#This Row],[Критерии]])&gt;0,1,-1)</f>
        <v>1</v>
      </c>
      <c r="AM507" s="209">
        <f>IF(AND(LEN(Множество[[#This Row],[Свёртка]])&gt;0,LEN(Множество[[#This Row],[Критерии]])&gt;0,LEN(Множество[[#This Row],[Оценки]])&gt;0),1,-1)</f>
        <v>-1</v>
      </c>
      <c r="AN507" s="208"/>
      <c r="AO507" s="208"/>
      <c r="AP507" s="208"/>
      <c r="AQ507" s="208"/>
      <c r="AR507" s="226"/>
      <c r="AS507" s="225"/>
      <c r="AT507" s="226"/>
      <c r="AU507" s="225"/>
      <c r="AV507" s="225"/>
      <c r="AW507" s="225"/>
      <c r="AX507" s="225"/>
      <c r="AY507" s="225"/>
    </row>
    <row r="508" spans="33:51" x14ac:dyDescent="0.25">
      <c r="AG508" s="66" t="str">
        <f>IF(AND(Множество[[#This Row],[Y]]=1),ROW()-ROW(Множество[[#Headers],[№]]),"")</f>
        <v/>
      </c>
      <c r="AI508" s="66">
        <v>1</v>
      </c>
      <c r="AJ508" s="66">
        <f>IF(LEN(Множество[[#This Row],[Свёртка]])&gt;0,1,-1)</f>
        <v>1</v>
      </c>
      <c r="AK508" s="66" t="s">
        <v>1781</v>
      </c>
      <c r="AL508" s="209">
        <f>IF(LEN(Множество[[#This Row],[Критерии]])&gt;0,1,-1)</f>
        <v>1</v>
      </c>
      <c r="AM508" s="209">
        <f>IF(AND(LEN(Множество[[#This Row],[Свёртка]])&gt;0,LEN(Множество[[#This Row],[Критерии]])&gt;0,LEN(Множество[[#This Row],[Оценки]])&gt;0),1,-1)</f>
        <v>-1</v>
      </c>
      <c r="AN508" s="208"/>
      <c r="AO508" s="208"/>
      <c r="AP508" s="208"/>
      <c r="AQ508" s="208"/>
      <c r="AR508" s="226"/>
      <c r="AS508" s="225"/>
      <c r="AT508" s="226"/>
      <c r="AU508" s="225"/>
      <c r="AV508" s="225"/>
      <c r="AW508" s="225"/>
      <c r="AX508" s="225"/>
      <c r="AY508" s="225"/>
    </row>
    <row r="509" spans="33:51" x14ac:dyDescent="0.25">
      <c r="AG509" s="66" t="str">
        <f>IF(AND(Множество[[#This Row],[Y]]=1),ROW()-ROW(Множество[[#Headers],[№]]),"")</f>
        <v/>
      </c>
      <c r="AI509" s="66">
        <v>1</v>
      </c>
      <c r="AJ509" s="66">
        <f>IF(LEN(Множество[[#This Row],[Свёртка]])&gt;0,1,-1)</f>
        <v>1</v>
      </c>
      <c r="AK509" s="66" t="s">
        <v>1781</v>
      </c>
      <c r="AL509" s="209">
        <f>IF(LEN(Множество[[#This Row],[Критерии]])&gt;0,1,-1)</f>
        <v>1</v>
      </c>
      <c r="AM509" s="209">
        <f>IF(AND(LEN(Множество[[#This Row],[Свёртка]])&gt;0,LEN(Множество[[#This Row],[Критерии]])&gt;0,LEN(Множество[[#This Row],[Оценки]])&gt;0),1,-1)</f>
        <v>-1</v>
      </c>
      <c r="AN509" s="208"/>
      <c r="AO509" s="208"/>
      <c r="AP509" s="208"/>
      <c r="AQ509" s="208"/>
      <c r="AR509" s="226"/>
      <c r="AS509" s="225"/>
      <c r="AT509" s="226"/>
      <c r="AU509" s="225"/>
      <c r="AV509" s="225"/>
      <c r="AW509" s="225"/>
      <c r="AX509" s="225"/>
      <c r="AY509" s="225"/>
    </row>
    <row r="510" spans="33:51" x14ac:dyDescent="0.25">
      <c r="AG510" s="66" t="str">
        <f>IF(AND(Множество[[#This Row],[Y]]=1),ROW()-ROW(Множество[[#Headers],[№]]),"")</f>
        <v/>
      </c>
      <c r="AI510" s="66">
        <v>1</v>
      </c>
      <c r="AJ510" s="66">
        <f>IF(LEN(Множество[[#This Row],[Свёртка]])&gt;0,1,-1)</f>
        <v>1</v>
      </c>
      <c r="AK510" s="66" t="s">
        <v>1781</v>
      </c>
      <c r="AL510" s="209">
        <f>IF(LEN(Множество[[#This Row],[Критерии]])&gt;0,1,-1)</f>
        <v>1</v>
      </c>
      <c r="AM510" s="209">
        <f>IF(AND(LEN(Множество[[#This Row],[Свёртка]])&gt;0,LEN(Множество[[#This Row],[Критерии]])&gt;0,LEN(Множество[[#This Row],[Оценки]])&gt;0),1,-1)</f>
        <v>-1</v>
      </c>
      <c r="AN510" s="208"/>
      <c r="AO510" s="208"/>
      <c r="AP510" s="208"/>
      <c r="AQ510" s="208"/>
      <c r="AR510" s="226"/>
      <c r="AS510" s="225"/>
      <c r="AT510" s="226"/>
      <c r="AU510" s="225"/>
      <c r="AV510" s="225"/>
      <c r="AW510" s="225"/>
      <c r="AX510" s="225"/>
      <c r="AY510" s="225"/>
    </row>
    <row r="511" spans="33:51" x14ac:dyDescent="0.25">
      <c r="AG511" s="66" t="str">
        <f>IF(AND(Множество[[#This Row],[Y]]=1),ROW()-ROW(Множество[[#Headers],[№]]),"")</f>
        <v/>
      </c>
      <c r="AI511" s="66">
        <v>1</v>
      </c>
      <c r="AJ511" s="66">
        <f>IF(LEN(Множество[[#This Row],[Свёртка]])&gt;0,1,-1)</f>
        <v>1</v>
      </c>
      <c r="AK511" s="66" t="s">
        <v>1781</v>
      </c>
      <c r="AL511" s="209">
        <f>IF(LEN(Множество[[#This Row],[Критерии]])&gt;0,1,-1)</f>
        <v>1</v>
      </c>
      <c r="AM511" s="209">
        <f>IF(AND(LEN(Множество[[#This Row],[Свёртка]])&gt;0,LEN(Множество[[#This Row],[Критерии]])&gt;0,LEN(Множество[[#This Row],[Оценки]])&gt;0),1,-1)</f>
        <v>-1</v>
      </c>
      <c r="AN511" s="208"/>
      <c r="AO511" s="208"/>
      <c r="AP511" s="208"/>
      <c r="AQ511" s="208"/>
      <c r="AR511" s="226"/>
      <c r="AS511" s="225"/>
      <c r="AT511" s="226"/>
      <c r="AU511" s="225"/>
      <c r="AV511" s="225"/>
      <c r="AW511" s="225"/>
      <c r="AX511" s="225"/>
      <c r="AY511" s="225"/>
    </row>
    <row r="512" spans="33:51" x14ac:dyDescent="0.25">
      <c r="AG512" s="66" t="str">
        <f>IF(AND(Множество[[#This Row],[Y]]=1),ROW()-ROW(Множество[[#Headers],[№]]),"")</f>
        <v/>
      </c>
      <c r="AI512" s="66">
        <v>1</v>
      </c>
      <c r="AJ512" s="66">
        <f>IF(LEN(Множество[[#This Row],[Свёртка]])&gt;0,1,-1)</f>
        <v>1</v>
      </c>
      <c r="AK512" s="66" t="s">
        <v>1781</v>
      </c>
      <c r="AL512" s="209">
        <f>IF(LEN(Множество[[#This Row],[Критерии]])&gt;0,1,-1)</f>
        <v>1</v>
      </c>
      <c r="AM512" s="209">
        <f>IF(AND(LEN(Множество[[#This Row],[Свёртка]])&gt;0,LEN(Множество[[#This Row],[Критерии]])&gt;0,LEN(Множество[[#This Row],[Оценки]])&gt;0),1,-1)</f>
        <v>-1</v>
      </c>
      <c r="AN512" s="208"/>
      <c r="AO512" s="208"/>
      <c r="AP512" s="208"/>
      <c r="AQ512" s="208"/>
      <c r="AR512" s="226"/>
      <c r="AS512" s="225"/>
      <c r="AT512" s="226"/>
      <c r="AU512" s="225"/>
      <c r="AV512" s="225"/>
      <c r="AW512" s="225"/>
      <c r="AX512" s="225"/>
      <c r="AY512" s="225"/>
    </row>
    <row r="513" spans="33:51" x14ac:dyDescent="0.25">
      <c r="AG513" s="66" t="str">
        <f>IF(AND(Множество[[#This Row],[Y]]=1),ROW()-ROW(Множество[[#Headers],[№]]),"")</f>
        <v/>
      </c>
      <c r="AI513" s="66">
        <v>1</v>
      </c>
      <c r="AJ513" s="66">
        <f>IF(LEN(Множество[[#This Row],[Свёртка]])&gt;0,1,-1)</f>
        <v>1</v>
      </c>
      <c r="AK513" s="66" t="s">
        <v>1781</v>
      </c>
      <c r="AL513" s="209">
        <f>IF(LEN(Множество[[#This Row],[Критерии]])&gt;0,1,-1)</f>
        <v>1</v>
      </c>
      <c r="AM513" s="209">
        <f>IF(AND(LEN(Множество[[#This Row],[Свёртка]])&gt;0,LEN(Множество[[#This Row],[Критерии]])&gt;0,LEN(Множество[[#This Row],[Оценки]])&gt;0),1,-1)</f>
        <v>-1</v>
      </c>
      <c r="AN513" s="208"/>
      <c r="AO513" s="208"/>
      <c r="AP513" s="208"/>
      <c r="AQ513" s="208"/>
      <c r="AR513" s="226"/>
      <c r="AS513" s="225"/>
      <c r="AT513" s="226"/>
      <c r="AU513" s="225"/>
      <c r="AV513" s="225"/>
      <c r="AW513" s="225"/>
      <c r="AX513" s="225"/>
      <c r="AY513" s="225"/>
    </row>
    <row r="514" spans="33:51" x14ac:dyDescent="0.25">
      <c r="AG514" s="66" t="str">
        <f>IF(AND(Множество[[#This Row],[Y]]=1),ROW()-ROW(Множество[[#Headers],[№]]),"")</f>
        <v/>
      </c>
      <c r="AI514" s="66">
        <v>1</v>
      </c>
      <c r="AJ514" s="66">
        <f>IF(LEN(Множество[[#This Row],[Свёртка]])&gt;0,1,-1)</f>
        <v>1</v>
      </c>
      <c r="AK514" s="66" t="s">
        <v>1781</v>
      </c>
      <c r="AL514" s="209">
        <f>IF(LEN(Множество[[#This Row],[Критерии]])&gt;0,1,-1)</f>
        <v>1</v>
      </c>
      <c r="AM514" s="209">
        <f>IF(AND(LEN(Множество[[#This Row],[Свёртка]])&gt;0,LEN(Множество[[#This Row],[Критерии]])&gt;0,LEN(Множество[[#This Row],[Оценки]])&gt;0),1,-1)</f>
        <v>-1</v>
      </c>
      <c r="AN514" s="208"/>
      <c r="AO514" s="208"/>
      <c r="AP514" s="208"/>
      <c r="AQ514" s="208"/>
      <c r="AR514" s="226"/>
      <c r="AS514" s="225"/>
      <c r="AT514" s="226"/>
      <c r="AU514" s="225"/>
      <c r="AV514" s="225"/>
      <c r="AW514" s="225"/>
      <c r="AX514" s="225"/>
      <c r="AY514" s="225"/>
    </row>
    <row r="515" spans="33:51" x14ac:dyDescent="0.25">
      <c r="AG515" s="66" t="str">
        <f>IF(AND(Множество[[#This Row],[Y]]=1),ROW()-ROW(Множество[[#Headers],[№]]),"")</f>
        <v/>
      </c>
      <c r="AI515" s="66">
        <v>1</v>
      </c>
      <c r="AJ515" s="66">
        <f>IF(LEN(Множество[[#This Row],[Свёртка]])&gt;0,1,-1)</f>
        <v>1</v>
      </c>
      <c r="AK515" s="66" t="s">
        <v>1781</v>
      </c>
      <c r="AL515" s="209">
        <f>IF(LEN(Множество[[#This Row],[Критерии]])&gt;0,1,-1)</f>
        <v>1</v>
      </c>
      <c r="AM515" s="209">
        <f>IF(AND(LEN(Множество[[#This Row],[Свёртка]])&gt;0,LEN(Множество[[#This Row],[Критерии]])&gt;0,LEN(Множество[[#This Row],[Оценки]])&gt;0),1,-1)</f>
        <v>-1</v>
      </c>
      <c r="AN515" s="208"/>
      <c r="AO515" s="208"/>
      <c r="AP515" s="208"/>
      <c r="AQ515" s="208"/>
      <c r="AR515" s="226"/>
      <c r="AS515" s="225"/>
      <c r="AT515" s="226"/>
      <c r="AU515" s="225"/>
      <c r="AV515" s="225"/>
      <c r="AW515" s="225"/>
      <c r="AX515" s="225"/>
      <c r="AY515" s="225"/>
    </row>
    <row r="516" spans="33:51" x14ac:dyDescent="0.25">
      <c r="AG516" s="66" t="str">
        <f>IF(AND(Множество[[#This Row],[Y]]=1),ROW()-ROW(Множество[[#Headers],[№]]),"")</f>
        <v/>
      </c>
      <c r="AI516" s="66">
        <v>1</v>
      </c>
      <c r="AJ516" s="66">
        <f>IF(LEN(Множество[[#This Row],[Свёртка]])&gt;0,1,-1)</f>
        <v>1</v>
      </c>
      <c r="AK516" s="66" t="s">
        <v>1781</v>
      </c>
      <c r="AL516" s="209">
        <f>IF(LEN(Множество[[#This Row],[Критерии]])&gt;0,1,-1)</f>
        <v>1</v>
      </c>
      <c r="AM516" s="209">
        <f>IF(AND(LEN(Множество[[#This Row],[Свёртка]])&gt;0,LEN(Множество[[#This Row],[Критерии]])&gt;0,LEN(Множество[[#This Row],[Оценки]])&gt;0),1,-1)</f>
        <v>-1</v>
      </c>
      <c r="AN516" s="208"/>
      <c r="AO516" s="208"/>
      <c r="AP516" s="208"/>
      <c r="AQ516" s="208"/>
      <c r="AR516" s="226"/>
      <c r="AS516" s="225"/>
      <c r="AT516" s="226"/>
      <c r="AU516" s="225"/>
      <c r="AV516" s="225"/>
      <c r="AW516" s="225"/>
      <c r="AX516" s="225"/>
      <c r="AY516" s="225"/>
    </row>
    <row r="517" spans="33:51" x14ac:dyDescent="0.25">
      <c r="AG517" s="66" t="str">
        <f>IF(AND(Множество[[#This Row],[Y]]=1),ROW()-ROW(Множество[[#Headers],[№]]),"")</f>
        <v/>
      </c>
      <c r="AI517" s="66">
        <v>1</v>
      </c>
      <c r="AJ517" s="66">
        <f>IF(LEN(Множество[[#This Row],[Свёртка]])&gt;0,1,-1)</f>
        <v>1</v>
      </c>
      <c r="AK517" s="66" t="s">
        <v>1781</v>
      </c>
      <c r="AL517" s="209">
        <f>IF(LEN(Множество[[#This Row],[Критерии]])&gt;0,1,-1)</f>
        <v>1</v>
      </c>
      <c r="AM517" s="209">
        <f>IF(AND(LEN(Множество[[#This Row],[Свёртка]])&gt;0,LEN(Множество[[#This Row],[Критерии]])&gt;0,LEN(Множество[[#This Row],[Оценки]])&gt;0),1,-1)</f>
        <v>-1</v>
      </c>
      <c r="AN517" s="208"/>
      <c r="AO517" s="208"/>
      <c r="AP517" s="208"/>
      <c r="AQ517" s="208"/>
      <c r="AR517" s="226"/>
      <c r="AS517" s="225"/>
      <c r="AT517" s="226"/>
      <c r="AU517" s="225"/>
      <c r="AV517" s="225"/>
      <c r="AW517" s="225"/>
      <c r="AX517" s="225"/>
      <c r="AY517" s="225"/>
    </row>
    <row r="518" spans="33:51" x14ac:dyDescent="0.25">
      <c r="AG518" s="66" t="str">
        <f>IF(AND(Множество[[#This Row],[Y]]=1),ROW()-ROW(Множество[[#Headers],[№]]),"")</f>
        <v/>
      </c>
      <c r="AI518" s="66">
        <v>1</v>
      </c>
      <c r="AJ518" s="66">
        <f>IF(LEN(Множество[[#This Row],[Свёртка]])&gt;0,1,-1)</f>
        <v>1</v>
      </c>
      <c r="AK518" s="66" t="s">
        <v>1781</v>
      </c>
      <c r="AL518" s="209">
        <f>IF(LEN(Множество[[#This Row],[Критерии]])&gt;0,1,-1)</f>
        <v>1</v>
      </c>
      <c r="AM518" s="209">
        <f>IF(AND(LEN(Множество[[#This Row],[Свёртка]])&gt;0,LEN(Множество[[#This Row],[Критерии]])&gt;0,LEN(Множество[[#This Row],[Оценки]])&gt;0),1,-1)</f>
        <v>-1</v>
      </c>
      <c r="AN518" s="208"/>
      <c r="AO518" s="208"/>
      <c r="AP518" s="208"/>
      <c r="AQ518" s="208"/>
      <c r="AR518" s="226"/>
      <c r="AS518" s="225"/>
      <c r="AT518" s="226"/>
      <c r="AU518" s="225"/>
      <c r="AV518" s="225"/>
      <c r="AW518" s="225"/>
      <c r="AX518" s="225"/>
      <c r="AY518" s="225"/>
    </row>
    <row r="519" spans="33:51" x14ac:dyDescent="0.25">
      <c r="AG519" s="66" t="str">
        <f>IF(AND(Множество[[#This Row],[Y]]=1),ROW()-ROW(Множество[[#Headers],[№]]),"")</f>
        <v/>
      </c>
      <c r="AI519" s="66">
        <v>1</v>
      </c>
      <c r="AJ519" s="66">
        <f>IF(LEN(Множество[[#This Row],[Свёртка]])&gt;0,1,-1)</f>
        <v>1</v>
      </c>
      <c r="AK519" s="66" t="s">
        <v>1781</v>
      </c>
      <c r="AL519" s="209">
        <f>IF(LEN(Множество[[#This Row],[Критерии]])&gt;0,1,-1)</f>
        <v>1</v>
      </c>
      <c r="AM519" s="209">
        <f>IF(AND(LEN(Множество[[#This Row],[Свёртка]])&gt;0,LEN(Множество[[#This Row],[Критерии]])&gt;0,LEN(Множество[[#This Row],[Оценки]])&gt;0),1,-1)</f>
        <v>-1</v>
      </c>
      <c r="AN519" s="208"/>
      <c r="AO519" s="208"/>
      <c r="AP519" s="208"/>
      <c r="AQ519" s="208"/>
      <c r="AR519" s="226"/>
      <c r="AS519" s="225"/>
      <c r="AT519" s="226"/>
      <c r="AU519" s="225"/>
      <c r="AV519" s="225"/>
      <c r="AW519" s="225"/>
      <c r="AX519" s="225"/>
      <c r="AY519" s="225"/>
    </row>
    <row r="520" spans="33:51" x14ac:dyDescent="0.25">
      <c r="AG520" s="66" t="str">
        <f>IF(AND(Множество[[#This Row],[Y]]=1),ROW()-ROW(Множество[[#Headers],[№]]),"")</f>
        <v/>
      </c>
      <c r="AI520" s="66">
        <v>1</v>
      </c>
      <c r="AJ520" s="66">
        <f>IF(LEN(Множество[[#This Row],[Свёртка]])&gt;0,1,-1)</f>
        <v>1</v>
      </c>
      <c r="AK520" s="66" t="s">
        <v>1781</v>
      </c>
      <c r="AL520" s="209">
        <f>IF(LEN(Множество[[#This Row],[Критерии]])&gt;0,1,-1)</f>
        <v>1</v>
      </c>
      <c r="AM520" s="209">
        <f>IF(AND(LEN(Множество[[#This Row],[Свёртка]])&gt;0,LEN(Множество[[#This Row],[Критерии]])&gt;0,LEN(Множество[[#This Row],[Оценки]])&gt;0),1,-1)</f>
        <v>-1</v>
      </c>
      <c r="AN520" s="208"/>
      <c r="AO520" s="208"/>
      <c r="AP520" s="208"/>
      <c r="AQ520" s="208"/>
      <c r="AR520" s="226"/>
      <c r="AS520" s="225"/>
      <c r="AT520" s="226"/>
      <c r="AU520" s="225"/>
      <c r="AV520" s="225"/>
      <c r="AW520" s="225"/>
      <c r="AX520" s="225"/>
      <c r="AY520" s="225"/>
    </row>
    <row r="521" spans="33:51" x14ac:dyDescent="0.25">
      <c r="AG521" s="66" t="str">
        <f>IF(AND(Множество[[#This Row],[Y]]=1),ROW()-ROW(Множество[[#Headers],[№]]),"")</f>
        <v/>
      </c>
      <c r="AI521" s="66">
        <v>1</v>
      </c>
      <c r="AJ521" s="66">
        <f>IF(LEN(Множество[[#This Row],[Свёртка]])&gt;0,1,-1)</f>
        <v>1</v>
      </c>
      <c r="AK521" s="66" t="s">
        <v>1781</v>
      </c>
      <c r="AL521" s="209">
        <f>IF(LEN(Множество[[#This Row],[Критерии]])&gt;0,1,-1)</f>
        <v>1</v>
      </c>
      <c r="AM521" s="209">
        <f>IF(AND(LEN(Множество[[#This Row],[Свёртка]])&gt;0,LEN(Множество[[#This Row],[Критерии]])&gt;0,LEN(Множество[[#This Row],[Оценки]])&gt;0),1,-1)</f>
        <v>-1</v>
      </c>
      <c r="AN521" s="208"/>
      <c r="AO521" s="208"/>
      <c r="AP521" s="208"/>
      <c r="AQ521" s="208"/>
      <c r="AR521" s="226"/>
      <c r="AS521" s="225"/>
      <c r="AT521" s="226"/>
      <c r="AU521" s="225"/>
      <c r="AV521" s="225"/>
      <c r="AW521" s="225"/>
      <c r="AX521" s="225"/>
      <c r="AY521" s="225"/>
    </row>
    <row r="522" spans="33:51" x14ac:dyDescent="0.25">
      <c r="AG522" s="66" t="str">
        <f>IF(AND(Множество[[#This Row],[Y]]=1),ROW()-ROW(Множество[[#Headers],[№]]),"")</f>
        <v/>
      </c>
      <c r="AI522" s="66">
        <v>1</v>
      </c>
      <c r="AJ522" s="66">
        <f>IF(LEN(Множество[[#This Row],[Свёртка]])&gt;0,1,-1)</f>
        <v>1</v>
      </c>
      <c r="AK522" s="66" t="s">
        <v>1781</v>
      </c>
      <c r="AL522" s="209">
        <f>IF(LEN(Множество[[#This Row],[Критерии]])&gt;0,1,-1)</f>
        <v>1</v>
      </c>
      <c r="AM522" s="209">
        <f>IF(AND(LEN(Множество[[#This Row],[Свёртка]])&gt;0,LEN(Множество[[#This Row],[Критерии]])&gt;0,LEN(Множество[[#This Row],[Оценки]])&gt;0),1,-1)</f>
        <v>-1</v>
      </c>
      <c r="AN522" s="208"/>
      <c r="AO522" s="208"/>
      <c r="AP522" s="208"/>
      <c r="AQ522" s="208"/>
      <c r="AR522" s="226"/>
      <c r="AS522" s="225"/>
      <c r="AT522" s="226"/>
      <c r="AU522" s="225"/>
      <c r="AV522" s="225"/>
      <c r="AW522" s="225"/>
      <c r="AX522" s="225"/>
      <c r="AY522" s="225"/>
    </row>
    <row r="523" spans="33:51" x14ac:dyDescent="0.25">
      <c r="AG523" s="66" t="str">
        <f>IF(AND(Множество[[#This Row],[Y]]=1),ROW()-ROW(Множество[[#Headers],[№]]),"")</f>
        <v/>
      </c>
      <c r="AI523" s="66">
        <v>1</v>
      </c>
      <c r="AJ523" s="66">
        <f>IF(LEN(Множество[[#This Row],[Свёртка]])&gt;0,1,-1)</f>
        <v>1</v>
      </c>
      <c r="AK523" s="66" t="s">
        <v>1781</v>
      </c>
      <c r="AL523" s="209">
        <f>IF(LEN(Множество[[#This Row],[Критерии]])&gt;0,1,-1)</f>
        <v>1</v>
      </c>
      <c r="AM523" s="209">
        <f>IF(AND(LEN(Множество[[#This Row],[Свёртка]])&gt;0,LEN(Множество[[#This Row],[Критерии]])&gt;0,LEN(Множество[[#This Row],[Оценки]])&gt;0),1,-1)</f>
        <v>-1</v>
      </c>
      <c r="AN523" s="208"/>
      <c r="AO523" s="208"/>
      <c r="AP523" s="208"/>
      <c r="AQ523" s="208"/>
      <c r="AR523" s="226"/>
      <c r="AS523" s="225"/>
      <c r="AT523" s="226"/>
      <c r="AU523" s="225"/>
      <c r="AV523" s="225"/>
      <c r="AW523" s="225"/>
      <c r="AX523" s="225"/>
      <c r="AY523" s="225"/>
    </row>
    <row r="524" spans="33:51" x14ac:dyDescent="0.25">
      <c r="AG524" s="66" t="str">
        <f>IF(AND(Множество[[#This Row],[Y]]=1),ROW()-ROW(Множество[[#Headers],[№]]),"")</f>
        <v/>
      </c>
      <c r="AI524" s="66">
        <v>1</v>
      </c>
      <c r="AJ524" s="66">
        <f>IF(LEN(Множество[[#This Row],[Свёртка]])&gt;0,1,-1)</f>
        <v>1</v>
      </c>
      <c r="AK524" s="66" t="s">
        <v>1781</v>
      </c>
      <c r="AL524" s="209">
        <f>IF(LEN(Множество[[#This Row],[Критерии]])&gt;0,1,-1)</f>
        <v>1</v>
      </c>
      <c r="AM524" s="209">
        <f>IF(AND(LEN(Множество[[#This Row],[Свёртка]])&gt;0,LEN(Множество[[#This Row],[Критерии]])&gt;0,LEN(Множество[[#This Row],[Оценки]])&gt;0),1,-1)</f>
        <v>-1</v>
      </c>
      <c r="AN524" s="208"/>
      <c r="AO524" s="208"/>
      <c r="AP524" s="208"/>
      <c r="AQ524" s="208"/>
      <c r="AR524" s="226"/>
      <c r="AS524" s="225"/>
      <c r="AT524" s="226"/>
      <c r="AU524" s="225"/>
      <c r="AV524" s="225"/>
      <c r="AW524" s="225"/>
      <c r="AX524" s="225"/>
      <c r="AY524" s="225"/>
    </row>
    <row r="525" spans="33:51" x14ac:dyDescent="0.25">
      <c r="AG525" s="66" t="str">
        <f>IF(AND(Множество[[#This Row],[Y]]=1),ROW()-ROW(Множество[[#Headers],[№]]),"")</f>
        <v/>
      </c>
      <c r="AI525" s="66">
        <v>1</v>
      </c>
      <c r="AJ525" s="66">
        <f>IF(LEN(Множество[[#This Row],[Свёртка]])&gt;0,1,-1)</f>
        <v>1</v>
      </c>
      <c r="AK525" s="66" t="s">
        <v>1781</v>
      </c>
      <c r="AL525" s="209">
        <f>IF(LEN(Множество[[#This Row],[Критерии]])&gt;0,1,-1)</f>
        <v>1</v>
      </c>
      <c r="AM525" s="209">
        <f>IF(AND(LEN(Множество[[#This Row],[Свёртка]])&gt;0,LEN(Множество[[#This Row],[Критерии]])&gt;0,LEN(Множество[[#This Row],[Оценки]])&gt;0),1,-1)</f>
        <v>-1</v>
      </c>
      <c r="AN525" s="208"/>
      <c r="AO525" s="208"/>
      <c r="AP525" s="208"/>
      <c r="AQ525" s="208"/>
      <c r="AR525" s="226"/>
      <c r="AS525" s="225"/>
      <c r="AT525" s="226"/>
      <c r="AU525" s="225"/>
      <c r="AV525" s="225"/>
      <c r="AW525" s="225"/>
      <c r="AX525" s="225"/>
      <c r="AY525" s="225"/>
    </row>
    <row r="526" spans="33:51" x14ac:dyDescent="0.25">
      <c r="AG526" s="66" t="str">
        <f>IF(AND(Множество[[#This Row],[Y]]=1),ROW()-ROW(Множество[[#Headers],[№]]),"")</f>
        <v/>
      </c>
      <c r="AI526" s="66">
        <v>1</v>
      </c>
      <c r="AJ526" s="66">
        <f>IF(LEN(Множество[[#This Row],[Свёртка]])&gt;0,1,-1)</f>
        <v>1</v>
      </c>
      <c r="AK526" s="66" t="s">
        <v>1781</v>
      </c>
      <c r="AL526" s="209">
        <f>IF(LEN(Множество[[#This Row],[Критерии]])&gt;0,1,-1)</f>
        <v>1</v>
      </c>
      <c r="AM526" s="209">
        <f>IF(AND(LEN(Множество[[#This Row],[Свёртка]])&gt;0,LEN(Множество[[#This Row],[Критерии]])&gt;0,LEN(Множество[[#This Row],[Оценки]])&gt;0),1,-1)</f>
        <v>-1</v>
      </c>
      <c r="AN526" s="208"/>
      <c r="AO526" s="208"/>
      <c r="AP526" s="208"/>
      <c r="AQ526" s="208"/>
      <c r="AR526" s="226"/>
      <c r="AS526" s="225"/>
      <c r="AT526" s="226"/>
      <c r="AU526" s="225"/>
      <c r="AV526" s="225"/>
      <c r="AW526" s="225"/>
      <c r="AX526" s="225"/>
      <c r="AY526" s="225"/>
    </row>
    <row r="527" spans="33:51" x14ac:dyDescent="0.25">
      <c r="AG527" s="66" t="str">
        <f>IF(AND(Множество[[#This Row],[Y]]=1),ROW()-ROW(Множество[[#Headers],[№]]),"")</f>
        <v/>
      </c>
      <c r="AI527" s="66">
        <v>1</v>
      </c>
      <c r="AJ527" s="66">
        <f>IF(LEN(Множество[[#This Row],[Свёртка]])&gt;0,1,-1)</f>
        <v>1</v>
      </c>
      <c r="AK527" s="66" t="s">
        <v>1781</v>
      </c>
      <c r="AL527" s="209">
        <f>IF(LEN(Множество[[#This Row],[Критерии]])&gt;0,1,-1)</f>
        <v>1</v>
      </c>
      <c r="AM527" s="209">
        <f>IF(AND(LEN(Множество[[#This Row],[Свёртка]])&gt;0,LEN(Множество[[#This Row],[Критерии]])&gt;0,LEN(Множество[[#This Row],[Оценки]])&gt;0),1,-1)</f>
        <v>-1</v>
      </c>
      <c r="AN527" s="208"/>
      <c r="AO527" s="208"/>
      <c r="AP527" s="208"/>
      <c r="AQ527" s="208"/>
      <c r="AR527" s="226"/>
      <c r="AS527" s="225"/>
      <c r="AT527" s="226"/>
      <c r="AU527" s="225"/>
      <c r="AV527" s="225"/>
      <c r="AW527" s="225"/>
      <c r="AX527" s="225"/>
      <c r="AY527" s="225"/>
    </row>
    <row r="528" spans="33:51" x14ac:dyDescent="0.25">
      <c r="AG528" s="66" t="str">
        <f>IF(AND(Множество[[#This Row],[Y]]=1),ROW()-ROW(Множество[[#Headers],[№]]),"")</f>
        <v/>
      </c>
      <c r="AI528" s="66">
        <v>1</v>
      </c>
      <c r="AJ528" s="66">
        <f>IF(LEN(Множество[[#This Row],[Свёртка]])&gt;0,1,-1)</f>
        <v>1</v>
      </c>
      <c r="AK528" s="66" t="s">
        <v>1781</v>
      </c>
      <c r="AL528" s="209">
        <f>IF(LEN(Множество[[#This Row],[Критерии]])&gt;0,1,-1)</f>
        <v>1</v>
      </c>
      <c r="AM528" s="209">
        <f>IF(AND(LEN(Множество[[#This Row],[Свёртка]])&gt;0,LEN(Множество[[#This Row],[Критерии]])&gt;0,LEN(Множество[[#This Row],[Оценки]])&gt;0),1,-1)</f>
        <v>-1</v>
      </c>
      <c r="AN528" s="208"/>
      <c r="AO528" s="208"/>
      <c r="AP528" s="208"/>
      <c r="AQ528" s="208"/>
      <c r="AR528" s="226"/>
      <c r="AS528" s="225"/>
      <c r="AT528" s="226"/>
      <c r="AU528" s="225"/>
      <c r="AV528" s="225"/>
      <c r="AW528" s="225"/>
      <c r="AX528" s="225"/>
      <c r="AY528" s="225"/>
    </row>
    <row r="529" spans="33:51" x14ac:dyDescent="0.25">
      <c r="AG529" s="66" t="str">
        <f>IF(AND(Множество[[#This Row],[Y]]=1),ROW()-ROW(Множество[[#Headers],[№]]),"")</f>
        <v/>
      </c>
      <c r="AI529" s="66">
        <v>1</v>
      </c>
      <c r="AJ529" s="66">
        <f>IF(LEN(Множество[[#This Row],[Свёртка]])&gt;0,1,-1)</f>
        <v>1</v>
      </c>
      <c r="AK529" s="66" t="s">
        <v>1781</v>
      </c>
      <c r="AL529" s="209">
        <f>IF(LEN(Множество[[#This Row],[Критерии]])&gt;0,1,-1)</f>
        <v>1</v>
      </c>
      <c r="AM529" s="209">
        <f>IF(AND(LEN(Множество[[#This Row],[Свёртка]])&gt;0,LEN(Множество[[#This Row],[Критерии]])&gt;0,LEN(Множество[[#This Row],[Оценки]])&gt;0),1,-1)</f>
        <v>-1</v>
      </c>
      <c r="AN529" s="208"/>
      <c r="AO529" s="208"/>
      <c r="AP529" s="208"/>
      <c r="AQ529" s="208"/>
      <c r="AR529" s="226"/>
      <c r="AS529" s="225"/>
      <c r="AT529" s="226"/>
      <c r="AU529" s="225"/>
      <c r="AV529" s="225"/>
      <c r="AW529" s="225"/>
      <c r="AX529" s="225"/>
      <c r="AY529" s="225"/>
    </row>
    <row r="530" spans="33:51" x14ac:dyDescent="0.25">
      <c r="AG530" s="66" t="str">
        <f>IF(AND(Множество[[#This Row],[Y]]=1),ROW()-ROW(Множество[[#Headers],[№]]),"")</f>
        <v/>
      </c>
      <c r="AI530" s="66">
        <v>1</v>
      </c>
      <c r="AJ530" s="66">
        <f>IF(LEN(Множество[[#This Row],[Свёртка]])&gt;0,1,-1)</f>
        <v>1</v>
      </c>
      <c r="AK530" s="66" t="s">
        <v>1781</v>
      </c>
      <c r="AL530" s="209">
        <f>IF(LEN(Множество[[#This Row],[Критерии]])&gt;0,1,-1)</f>
        <v>1</v>
      </c>
      <c r="AM530" s="209">
        <f>IF(AND(LEN(Множество[[#This Row],[Свёртка]])&gt;0,LEN(Множество[[#This Row],[Критерии]])&gt;0,LEN(Множество[[#This Row],[Оценки]])&gt;0),1,-1)</f>
        <v>-1</v>
      </c>
      <c r="AN530" s="208"/>
      <c r="AO530" s="208"/>
      <c r="AP530" s="208"/>
      <c r="AQ530" s="208"/>
      <c r="AR530" s="226"/>
      <c r="AS530" s="225"/>
      <c r="AT530" s="226"/>
      <c r="AU530" s="225"/>
      <c r="AV530" s="225"/>
      <c r="AW530" s="225"/>
      <c r="AX530" s="225"/>
      <c r="AY530" s="225"/>
    </row>
    <row r="531" spans="33:51" x14ac:dyDescent="0.25">
      <c r="AG531" s="66" t="str">
        <f>IF(AND(Множество[[#This Row],[Y]]=1),ROW()-ROW(Множество[[#Headers],[№]]),"")</f>
        <v/>
      </c>
      <c r="AI531" s="66">
        <v>1</v>
      </c>
      <c r="AJ531" s="66">
        <f>IF(LEN(Множество[[#This Row],[Свёртка]])&gt;0,1,-1)</f>
        <v>1</v>
      </c>
      <c r="AK531" s="66" t="s">
        <v>1781</v>
      </c>
      <c r="AL531" s="209">
        <f>IF(LEN(Множество[[#This Row],[Критерии]])&gt;0,1,-1)</f>
        <v>1</v>
      </c>
      <c r="AM531" s="209">
        <f>IF(AND(LEN(Множество[[#This Row],[Свёртка]])&gt;0,LEN(Множество[[#This Row],[Критерии]])&gt;0,LEN(Множество[[#This Row],[Оценки]])&gt;0),1,-1)</f>
        <v>-1</v>
      </c>
      <c r="AN531" s="208"/>
      <c r="AO531" s="208"/>
      <c r="AP531" s="208"/>
      <c r="AQ531" s="208"/>
      <c r="AR531" s="226"/>
      <c r="AS531" s="225"/>
      <c r="AT531" s="226"/>
      <c r="AU531" s="225"/>
      <c r="AV531" s="225"/>
      <c r="AW531" s="225"/>
      <c r="AX531" s="225"/>
      <c r="AY531" s="225"/>
    </row>
    <row r="532" spans="33:51" x14ac:dyDescent="0.25">
      <c r="AG532" s="66" t="str">
        <f>IF(AND(Множество[[#This Row],[Y]]=1),ROW()-ROW(Множество[[#Headers],[№]]),"")</f>
        <v/>
      </c>
      <c r="AI532" s="66">
        <v>1</v>
      </c>
      <c r="AJ532" s="66">
        <f>IF(LEN(Множество[[#This Row],[Свёртка]])&gt;0,1,-1)</f>
        <v>1</v>
      </c>
      <c r="AK532" s="66" t="s">
        <v>1781</v>
      </c>
      <c r="AL532" s="209">
        <f>IF(LEN(Множество[[#This Row],[Критерии]])&gt;0,1,-1)</f>
        <v>1</v>
      </c>
      <c r="AM532" s="209">
        <f>IF(AND(LEN(Множество[[#This Row],[Свёртка]])&gt;0,LEN(Множество[[#This Row],[Критерии]])&gt;0,LEN(Множество[[#This Row],[Оценки]])&gt;0),1,-1)</f>
        <v>-1</v>
      </c>
      <c r="AN532" s="208"/>
      <c r="AO532" s="208"/>
      <c r="AP532" s="208"/>
      <c r="AQ532" s="208"/>
      <c r="AR532" s="226"/>
      <c r="AS532" s="225"/>
      <c r="AT532" s="226"/>
      <c r="AU532" s="225"/>
      <c r="AV532" s="225"/>
      <c r="AW532" s="225"/>
      <c r="AX532" s="225"/>
      <c r="AY532" s="225"/>
    </row>
    <row r="533" spans="33:51" x14ac:dyDescent="0.25">
      <c r="AG533" s="66" t="str">
        <f>IF(AND(Множество[[#This Row],[Y]]=1),ROW()-ROW(Множество[[#Headers],[№]]),"")</f>
        <v/>
      </c>
      <c r="AI533" s="66">
        <v>1</v>
      </c>
      <c r="AJ533" s="66">
        <f>IF(LEN(Множество[[#This Row],[Свёртка]])&gt;0,1,-1)</f>
        <v>1</v>
      </c>
      <c r="AK533" s="66" t="s">
        <v>1781</v>
      </c>
      <c r="AL533" s="209">
        <f>IF(LEN(Множество[[#This Row],[Критерии]])&gt;0,1,-1)</f>
        <v>1</v>
      </c>
      <c r="AM533" s="209">
        <f>IF(AND(LEN(Множество[[#This Row],[Свёртка]])&gt;0,LEN(Множество[[#This Row],[Критерии]])&gt;0,LEN(Множество[[#This Row],[Оценки]])&gt;0),1,-1)</f>
        <v>-1</v>
      </c>
      <c r="AN533" s="208"/>
      <c r="AO533" s="208"/>
      <c r="AP533" s="208"/>
      <c r="AQ533" s="208"/>
      <c r="AR533" s="226"/>
      <c r="AS533" s="225"/>
      <c r="AT533" s="226"/>
      <c r="AU533" s="225"/>
      <c r="AV533" s="225"/>
      <c r="AW533" s="225"/>
      <c r="AX533" s="225"/>
      <c r="AY533" s="225"/>
    </row>
    <row r="534" spans="33:51" x14ac:dyDescent="0.25">
      <c r="AG534" s="66" t="str">
        <f>IF(AND(Множество[[#This Row],[Y]]=1),ROW()-ROW(Множество[[#Headers],[№]]),"")</f>
        <v/>
      </c>
      <c r="AI534" s="66">
        <v>1</v>
      </c>
      <c r="AJ534" s="66">
        <f>IF(LEN(Множество[[#This Row],[Свёртка]])&gt;0,1,-1)</f>
        <v>1</v>
      </c>
      <c r="AK534" s="66" t="s">
        <v>1781</v>
      </c>
      <c r="AL534" s="209">
        <f>IF(LEN(Множество[[#This Row],[Критерии]])&gt;0,1,-1)</f>
        <v>1</v>
      </c>
      <c r="AM534" s="209">
        <f>IF(AND(LEN(Множество[[#This Row],[Свёртка]])&gt;0,LEN(Множество[[#This Row],[Критерии]])&gt;0,LEN(Множество[[#This Row],[Оценки]])&gt;0),1,-1)</f>
        <v>-1</v>
      </c>
      <c r="AN534" s="208"/>
      <c r="AO534" s="208"/>
      <c r="AP534" s="208"/>
      <c r="AQ534" s="208"/>
      <c r="AR534" s="226"/>
      <c r="AS534" s="225"/>
      <c r="AT534" s="226"/>
      <c r="AU534" s="225"/>
      <c r="AV534" s="225"/>
      <c r="AW534" s="225"/>
      <c r="AX534" s="225"/>
      <c r="AY534" s="225"/>
    </row>
    <row r="535" spans="33:51" x14ac:dyDescent="0.25">
      <c r="AG535" s="66" t="str">
        <f>IF(AND(Множество[[#This Row],[Y]]=1),ROW()-ROW(Множество[[#Headers],[№]]),"")</f>
        <v/>
      </c>
      <c r="AI535" s="66">
        <v>1</v>
      </c>
      <c r="AJ535" s="66">
        <f>IF(LEN(Множество[[#This Row],[Свёртка]])&gt;0,1,-1)</f>
        <v>1</v>
      </c>
      <c r="AK535" s="66" t="s">
        <v>1781</v>
      </c>
      <c r="AL535" s="209">
        <f>IF(LEN(Множество[[#This Row],[Критерии]])&gt;0,1,-1)</f>
        <v>1</v>
      </c>
      <c r="AM535" s="209">
        <f>IF(AND(LEN(Множество[[#This Row],[Свёртка]])&gt;0,LEN(Множество[[#This Row],[Критерии]])&gt;0,LEN(Множество[[#This Row],[Оценки]])&gt;0),1,-1)</f>
        <v>-1</v>
      </c>
      <c r="AN535" s="208"/>
      <c r="AO535" s="208"/>
      <c r="AP535" s="208"/>
      <c r="AQ535" s="208"/>
      <c r="AR535" s="226"/>
      <c r="AS535" s="225"/>
      <c r="AT535" s="226"/>
      <c r="AU535" s="225"/>
      <c r="AV535" s="225"/>
      <c r="AW535" s="225"/>
      <c r="AX535" s="225"/>
      <c r="AY535" s="225"/>
    </row>
    <row r="536" spans="33:51" x14ac:dyDescent="0.25">
      <c r="AG536" s="66" t="str">
        <f>IF(AND(Множество[[#This Row],[Y]]=1),ROW()-ROW(Множество[[#Headers],[№]]),"")</f>
        <v/>
      </c>
      <c r="AI536" s="66">
        <v>1</v>
      </c>
      <c r="AJ536" s="66">
        <f>IF(LEN(Множество[[#This Row],[Свёртка]])&gt;0,1,-1)</f>
        <v>1</v>
      </c>
      <c r="AK536" s="66" t="s">
        <v>1781</v>
      </c>
      <c r="AL536" s="209">
        <f>IF(LEN(Множество[[#This Row],[Критерии]])&gt;0,1,-1)</f>
        <v>1</v>
      </c>
      <c r="AM536" s="209">
        <f>IF(AND(LEN(Множество[[#This Row],[Свёртка]])&gt;0,LEN(Множество[[#This Row],[Критерии]])&gt;0,LEN(Множество[[#This Row],[Оценки]])&gt;0),1,-1)</f>
        <v>-1</v>
      </c>
      <c r="AN536" s="208"/>
      <c r="AO536" s="208"/>
      <c r="AP536" s="208"/>
      <c r="AQ536" s="208"/>
      <c r="AR536" s="226"/>
      <c r="AS536" s="225"/>
      <c r="AT536" s="226"/>
      <c r="AU536" s="225"/>
      <c r="AV536" s="225"/>
      <c r="AW536" s="225"/>
      <c r="AX536" s="225"/>
      <c r="AY536" s="225"/>
    </row>
    <row r="537" spans="33:51" x14ac:dyDescent="0.25">
      <c r="AG537" s="66" t="str">
        <f>IF(AND(Множество[[#This Row],[Y]]=1),ROW()-ROW(Множество[[#Headers],[№]]),"")</f>
        <v/>
      </c>
      <c r="AI537" s="66">
        <v>1</v>
      </c>
      <c r="AJ537" s="66">
        <f>IF(LEN(Множество[[#This Row],[Свёртка]])&gt;0,1,-1)</f>
        <v>1</v>
      </c>
      <c r="AK537" s="66" t="s">
        <v>1781</v>
      </c>
      <c r="AL537" s="209">
        <f>IF(LEN(Множество[[#This Row],[Критерии]])&gt;0,1,-1)</f>
        <v>1</v>
      </c>
      <c r="AM537" s="209">
        <f>IF(AND(LEN(Множество[[#This Row],[Свёртка]])&gt;0,LEN(Множество[[#This Row],[Критерии]])&gt;0,LEN(Множество[[#This Row],[Оценки]])&gt;0),1,-1)</f>
        <v>-1</v>
      </c>
      <c r="AN537" s="208"/>
      <c r="AO537" s="208"/>
      <c r="AP537" s="208"/>
      <c r="AQ537" s="208"/>
      <c r="AR537" s="226"/>
      <c r="AS537" s="225"/>
      <c r="AT537" s="226"/>
      <c r="AU537" s="225"/>
      <c r="AV537" s="225"/>
      <c r="AW537" s="225"/>
      <c r="AX537" s="225"/>
      <c r="AY537" s="225"/>
    </row>
    <row r="538" spans="33:51" x14ac:dyDescent="0.25">
      <c r="AG538" s="66" t="str">
        <f>IF(AND(Множество[[#This Row],[Y]]=1),ROW()-ROW(Множество[[#Headers],[№]]),"")</f>
        <v/>
      </c>
      <c r="AI538" s="66">
        <v>1</v>
      </c>
      <c r="AJ538" s="66">
        <f>IF(LEN(Множество[[#This Row],[Свёртка]])&gt;0,1,-1)</f>
        <v>1</v>
      </c>
      <c r="AK538" s="66" t="s">
        <v>1781</v>
      </c>
      <c r="AL538" s="209">
        <f>IF(LEN(Множество[[#This Row],[Критерии]])&gt;0,1,-1)</f>
        <v>1</v>
      </c>
      <c r="AM538" s="209">
        <f>IF(AND(LEN(Множество[[#This Row],[Свёртка]])&gt;0,LEN(Множество[[#This Row],[Критерии]])&gt;0,LEN(Множество[[#This Row],[Оценки]])&gt;0),1,-1)</f>
        <v>-1</v>
      </c>
      <c r="AN538" s="208"/>
      <c r="AO538" s="208"/>
      <c r="AP538" s="208"/>
      <c r="AQ538" s="208"/>
      <c r="AR538" s="226"/>
      <c r="AS538" s="225"/>
      <c r="AT538" s="226"/>
      <c r="AU538" s="225"/>
      <c r="AV538" s="225"/>
      <c r="AW538" s="225"/>
      <c r="AX538" s="225"/>
      <c r="AY538" s="225"/>
    </row>
    <row r="539" spans="33:51" x14ac:dyDescent="0.25">
      <c r="AG539" s="66" t="str">
        <f>IF(AND(Множество[[#This Row],[Y]]=1),ROW()-ROW(Множество[[#Headers],[№]]),"")</f>
        <v/>
      </c>
      <c r="AI539" s="66">
        <v>1</v>
      </c>
      <c r="AJ539" s="66">
        <f>IF(LEN(Множество[[#This Row],[Свёртка]])&gt;0,1,-1)</f>
        <v>1</v>
      </c>
      <c r="AK539" s="66" t="s">
        <v>1781</v>
      </c>
      <c r="AL539" s="209">
        <f>IF(LEN(Множество[[#This Row],[Критерии]])&gt;0,1,-1)</f>
        <v>1</v>
      </c>
      <c r="AM539" s="209">
        <f>IF(AND(LEN(Множество[[#This Row],[Свёртка]])&gt;0,LEN(Множество[[#This Row],[Критерии]])&gt;0,LEN(Множество[[#This Row],[Оценки]])&gt;0),1,-1)</f>
        <v>-1</v>
      </c>
      <c r="AN539" s="208"/>
      <c r="AO539" s="208"/>
      <c r="AP539" s="208"/>
      <c r="AQ539" s="208"/>
      <c r="AR539" s="226"/>
      <c r="AS539" s="225"/>
      <c r="AT539" s="226"/>
      <c r="AU539" s="225"/>
      <c r="AV539" s="225"/>
      <c r="AW539" s="225"/>
      <c r="AX539" s="225"/>
      <c r="AY539" s="225"/>
    </row>
    <row r="540" spans="33:51" x14ac:dyDescent="0.25">
      <c r="AG540" s="66" t="str">
        <f>IF(AND(Множество[[#This Row],[Y]]=1),ROW()-ROW(Множество[[#Headers],[№]]),"")</f>
        <v/>
      </c>
      <c r="AI540" s="66">
        <v>1</v>
      </c>
      <c r="AJ540" s="66">
        <f>IF(LEN(Множество[[#This Row],[Свёртка]])&gt;0,1,-1)</f>
        <v>1</v>
      </c>
      <c r="AK540" s="66" t="s">
        <v>1781</v>
      </c>
      <c r="AL540" s="209">
        <f>IF(LEN(Множество[[#This Row],[Критерии]])&gt;0,1,-1)</f>
        <v>1</v>
      </c>
      <c r="AM540" s="209">
        <f>IF(AND(LEN(Множество[[#This Row],[Свёртка]])&gt;0,LEN(Множество[[#This Row],[Критерии]])&gt;0,LEN(Множество[[#This Row],[Оценки]])&gt;0),1,-1)</f>
        <v>-1</v>
      </c>
      <c r="AN540" s="208"/>
      <c r="AO540" s="208"/>
      <c r="AP540" s="208"/>
      <c r="AQ540" s="208"/>
      <c r="AR540" s="226"/>
      <c r="AS540" s="225"/>
      <c r="AT540" s="226"/>
      <c r="AU540" s="225"/>
      <c r="AV540" s="225"/>
      <c r="AW540" s="225"/>
      <c r="AX540" s="225"/>
      <c r="AY540" s="225"/>
    </row>
    <row r="541" spans="33:51" x14ac:dyDescent="0.25">
      <c r="AG541" s="66" t="str">
        <f>IF(AND(Множество[[#This Row],[Y]]=1),ROW()-ROW(Множество[[#Headers],[№]]),"")</f>
        <v/>
      </c>
      <c r="AI541" s="66">
        <v>1</v>
      </c>
      <c r="AJ541" s="66">
        <f>IF(LEN(Множество[[#This Row],[Свёртка]])&gt;0,1,-1)</f>
        <v>1</v>
      </c>
      <c r="AK541" s="66" t="s">
        <v>1781</v>
      </c>
      <c r="AL541" s="209">
        <f>IF(LEN(Множество[[#This Row],[Критерии]])&gt;0,1,-1)</f>
        <v>1</v>
      </c>
      <c r="AM541" s="209">
        <f>IF(AND(LEN(Множество[[#This Row],[Свёртка]])&gt;0,LEN(Множество[[#This Row],[Критерии]])&gt;0,LEN(Множество[[#This Row],[Оценки]])&gt;0),1,-1)</f>
        <v>-1</v>
      </c>
      <c r="AN541" s="208"/>
      <c r="AO541" s="208"/>
      <c r="AP541" s="208"/>
      <c r="AQ541" s="208"/>
      <c r="AR541" s="226"/>
      <c r="AS541" s="225"/>
      <c r="AT541" s="226"/>
      <c r="AU541" s="225"/>
      <c r="AV541" s="225"/>
      <c r="AW541" s="225"/>
      <c r="AX541" s="225"/>
      <c r="AY541" s="225"/>
    </row>
    <row r="542" spans="33:51" x14ac:dyDescent="0.25">
      <c r="AG542" s="66" t="str">
        <f>IF(AND(Множество[[#This Row],[Y]]=1),ROW()-ROW(Множество[[#Headers],[№]]),"")</f>
        <v/>
      </c>
      <c r="AI542" s="66">
        <v>1</v>
      </c>
      <c r="AJ542" s="66">
        <f>IF(LEN(Множество[[#This Row],[Свёртка]])&gt;0,1,-1)</f>
        <v>1</v>
      </c>
      <c r="AK542" s="66" t="s">
        <v>1781</v>
      </c>
      <c r="AL542" s="209">
        <f>IF(LEN(Множество[[#This Row],[Критерии]])&gt;0,1,-1)</f>
        <v>1</v>
      </c>
      <c r="AM542" s="209">
        <f>IF(AND(LEN(Множество[[#This Row],[Свёртка]])&gt;0,LEN(Множество[[#This Row],[Критерии]])&gt;0,LEN(Множество[[#This Row],[Оценки]])&gt;0),1,-1)</f>
        <v>-1</v>
      </c>
      <c r="AN542" s="208"/>
      <c r="AO542" s="208"/>
      <c r="AP542" s="208"/>
      <c r="AQ542" s="208"/>
      <c r="AR542" s="226"/>
      <c r="AS542" s="225"/>
      <c r="AT542" s="226"/>
      <c r="AU542" s="225"/>
      <c r="AV542" s="225"/>
      <c r="AW542" s="225"/>
      <c r="AX542" s="225"/>
      <c r="AY542" s="225"/>
    </row>
    <row r="543" spans="33:51" x14ac:dyDescent="0.25">
      <c r="AG543" s="66" t="str">
        <f>IF(AND(Множество[[#This Row],[Y]]=1),ROW()-ROW(Множество[[#Headers],[№]]),"")</f>
        <v/>
      </c>
      <c r="AI543" s="66">
        <v>1</v>
      </c>
      <c r="AJ543" s="66">
        <f>IF(LEN(Множество[[#This Row],[Свёртка]])&gt;0,1,-1)</f>
        <v>1</v>
      </c>
      <c r="AK543" s="66" t="s">
        <v>1781</v>
      </c>
      <c r="AL543" s="209">
        <f>IF(LEN(Множество[[#This Row],[Критерии]])&gt;0,1,-1)</f>
        <v>1</v>
      </c>
      <c r="AM543" s="209">
        <f>IF(AND(LEN(Множество[[#This Row],[Свёртка]])&gt;0,LEN(Множество[[#This Row],[Критерии]])&gt;0,LEN(Множество[[#This Row],[Оценки]])&gt;0),1,-1)</f>
        <v>-1</v>
      </c>
      <c r="AN543" s="208"/>
      <c r="AO543" s="208"/>
      <c r="AP543" s="208"/>
      <c r="AQ543" s="208"/>
      <c r="AR543" s="226"/>
      <c r="AS543" s="225"/>
      <c r="AT543" s="226"/>
      <c r="AU543" s="225"/>
      <c r="AV543" s="225"/>
      <c r="AW543" s="225"/>
      <c r="AX543" s="225"/>
      <c r="AY543" s="225"/>
    </row>
    <row r="544" spans="33:51" x14ac:dyDescent="0.25">
      <c r="AG544" s="66" t="str">
        <f>IF(AND(Множество[[#This Row],[Y]]=1),ROW()-ROW(Множество[[#Headers],[№]]),"")</f>
        <v/>
      </c>
      <c r="AI544" s="66">
        <v>1</v>
      </c>
      <c r="AJ544" s="66">
        <f>IF(LEN(Множество[[#This Row],[Свёртка]])&gt;0,1,-1)</f>
        <v>1</v>
      </c>
      <c r="AK544" s="66" t="s">
        <v>1781</v>
      </c>
      <c r="AL544" s="209">
        <f>IF(LEN(Множество[[#This Row],[Критерии]])&gt;0,1,-1)</f>
        <v>1</v>
      </c>
      <c r="AM544" s="209">
        <f>IF(AND(LEN(Множество[[#This Row],[Свёртка]])&gt;0,LEN(Множество[[#This Row],[Критерии]])&gt;0,LEN(Множество[[#This Row],[Оценки]])&gt;0),1,-1)</f>
        <v>-1</v>
      </c>
      <c r="AN544" s="208"/>
      <c r="AO544" s="208"/>
      <c r="AP544" s="208"/>
      <c r="AQ544" s="208"/>
      <c r="AR544" s="226"/>
      <c r="AS544" s="225"/>
      <c r="AT544" s="226"/>
      <c r="AU544" s="225"/>
      <c r="AV544" s="225"/>
      <c r="AW544" s="225"/>
      <c r="AX544" s="225"/>
      <c r="AY544" s="225"/>
    </row>
    <row r="545" spans="33:51" x14ac:dyDescent="0.25">
      <c r="AG545" s="66" t="str">
        <f>IF(AND(Множество[[#This Row],[Y]]=1),ROW()-ROW(Множество[[#Headers],[№]]),"")</f>
        <v/>
      </c>
      <c r="AI545" s="66">
        <v>1</v>
      </c>
      <c r="AJ545" s="66">
        <f>IF(LEN(Множество[[#This Row],[Свёртка]])&gt;0,1,-1)</f>
        <v>1</v>
      </c>
      <c r="AK545" s="66" t="s">
        <v>1781</v>
      </c>
      <c r="AL545" s="209">
        <f>IF(LEN(Множество[[#This Row],[Критерии]])&gt;0,1,-1)</f>
        <v>1</v>
      </c>
      <c r="AM545" s="209">
        <f>IF(AND(LEN(Множество[[#This Row],[Свёртка]])&gt;0,LEN(Множество[[#This Row],[Критерии]])&gt;0,LEN(Множество[[#This Row],[Оценки]])&gt;0),1,-1)</f>
        <v>-1</v>
      </c>
      <c r="AN545" s="208"/>
      <c r="AO545" s="208"/>
      <c r="AP545" s="208"/>
      <c r="AQ545" s="208"/>
      <c r="AR545" s="226"/>
      <c r="AS545" s="225"/>
      <c r="AT545" s="226"/>
      <c r="AU545" s="225"/>
      <c r="AV545" s="225"/>
      <c r="AW545" s="225"/>
      <c r="AX545" s="225"/>
      <c r="AY545" s="225"/>
    </row>
    <row r="546" spans="33:51" x14ac:dyDescent="0.25">
      <c r="AG546" s="66" t="str">
        <f>IF(AND(Множество[[#This Row],[Y]]=1),ROW()-ROW(Множество[[#Headers],[№]]),"")</f>
        <v/>
      </c>
      <c r="AI546" s="66">
        <v>1</v>
      </c>
      <c r="AJ546" s="66">
        <f>IF(LEN(Множество[[#This Row],[Свёртка]])&gt;0,1,-1)</f>
        <v>1</v>
      </c>
      <c r="AK546" s="66" t="s">
        <v>1781</v>
      </c>
      <c r="AL546" s="209">
        <f>IF(LEN(Множество[[#This Row],[Критерии]])&gt;0,1,-1)</f>
        <v>1</v>
      </c>
      <c r="AM546" s="209">
        <f>IF(AND(LEN(Множество[[#This Row],[Свёртка]])&gt;0,LEN(Множество[[#This Row],[Критерии]])&gt;0,LEN(Множество[[#This Row],[Оценки]])&gt;0),1,-1)</f>
        <v>-1</v>
      </c>
      <c r="AN546" s="208"/>
      <c r="AO546" s="208"/>
      <c r="AP546" s="208"/>
      <c r="AQ546" s="208"/>
      <c r="AR546" s="226"/>
      <c r="AS546" s="225"/>
      <c r="AT546" s="226"/>
      <c r="AU546" s="225"/>
      <c r="AV546" s="225"/>
      <c r="AW546" s="225"/>
      <c r="AX546" s="225"/>
      <c r="AY546" s="225"/>
    </row>
    <row r="547" spans="33:51" x14ac:dyDescent="0.25">
      <c r="AG547" s="66" t="str">
        <f>IF(AND(Множество[[#This Row],[Y]]=1),ROW()-ROW(Множество[[#Headers],[№]]),"")</f>
        <v/>
      </c>
      <c r="AI547" s="66">
        <v>1</v>
      </c>
      <c r="AJ547" s="66">
        <f>IF(LEN(Множество[[#This Row],[Свёртка]])&gt;0,1,-1)</f>
        <v>1</v>
      </c>
      <c r="AK547" s="66" t="s">
        <v>1781</v>
      </c>
      <c r="AL547" s="209">
        <f>IF(LEN(Множество[[#This Row],[Критерии]])&gt;0,1,-1)</f>
        <v>1</v>
      </c>
      <c r="AM547" s="209">
        <f>IF(AND(LEN(Множество[[#This Row],[Свёртка]])&gt;0,LEN(Множество[[#This Row],[Критерии]])&gt;0,LEN(Множество[[#This Row],[Оценки]])&gt;0),1,-1)</f>
        <v>-1</v>
      </c>
      <c r="AN547" s="208"/>
      <c r="AO547" s="208"/>
      <c r="AP547" s="208"/>
      <c r="AQ547" s="208"/>
      <c r="AR547" s="226"/>
      <c r="AS547" s="225"/>
      <c r="AT547" s="226"/>
      <c r="AU547" s="225"/>
      <c r="AV547" s="225"/>
      <c r="AW547" s="225"/>
      <c r="AX547" s="225"/>
      <c r="AY547" s="225"/>
    </row>
    <row r="548" spans="33:51" x14ac:dyDescent="0.25">
      <c r="AG548" s="66" t="str">
        <f>IF(AND(Множество[[#This Row],[Y]]=1),ROW()-ROW(Множество[[#Headers],[№]]),"")</f>
        <v/>
      </c>
      <c r="AI548" s="66">
        <v>1</v>
      </c>
      <c r="AJ548" s="66">
        <f>IF(LEN(Множество[[#This Row],[Свёртка]])&gt;0,1,-1)</f>
        <v>1</v>
      </c>
      <c r="AK548" s="66" t="s">
        <v>1781</v>
      </c>
      <c r="AL548" s="209">
        <f>IF(LEN(Множество[[#This Row],[Критерии]])&gt;0,1,-1)</f>
        <v>1</v>
      </c>
      <c r="AM548" s="209">
        <f>IF(AND(LEN(Множество[[#This Row],[Свёртка]])&gt;0,LEN(Множество[[#This Row],[Критерии]])&gt;0,LEN(Множество[[#This Row],[Оценки]])&gt;0),1,-1)</f>
        <v>-1</v>
      </c>
      <c r="AN548" s="208"/>
      <c r="AO548" s="208"/>
      <c r="AP548" s="208"/>
      <c r="AQ548" s="208"/>
      <c r="AR548" s="226"/>
      <c r="AS548" s="225"/>
      <c r="AT548" s="226"/>
      <c r="AU548" s="225"/>
      <c r="AV548" s="225"/>
      <c r="AW548" s="225"/>
      <c r="AX548" s="225"/>
      <c r="AY548" s="225"/>
    </row>
    <row r="549" spans="33:51" x14ac:dyDescent="0.25">
      <c r="AG549" s="66" t="str">
        <f>IF(AND(Множество[[#This Row],[Y]]=1),ROW()-ROW(Множество[[#Headers],[№]]),"")</f>
        <v/>
      </c>
      <c r="AI549" s="66">
        <v>1</v>
      </c>
      <c r="AJ549" s="66">
        <f>IF(LEN(Множество[[#This Row],[Свёртка]])&gt;0,1,-1)</f>
        <v>1</v>
      </c>
      <c r="AK549" s="66" t="s">
        <v>1781</v>
      </c>
      <c r="AL549" s="209">
        <f>IF(LEN(Множество[[#This Row],[Критерии]])&gt;0,1,-1)</f>
        <v>1</v>
      </c>
      <c r="AM549" s="209">
        <f>IF(AND(LEN(Множество[[#This Row],[Свёртка]])&gt;0,LEN(Множество[[#This Row],[Критерии]])&gt;0,LEN(Множество[[#This Row],[Оценки]])&gt;0),1,-1)</f>
        <v>-1</v>
      </c>
      <c r="AN549" s="208"/>
      <c r="AO549" s="208"/>
      <c r="AP549" s="208"/>
      <c r="AQ549" s="208"/>
      <c r="AR549" s="226"/>
      <c r="AS549" s="225"/>
      <c r="AT549" s="226"/>
      <c r="AU549" s="225"/>
      <c r="AV549" s="225"/>
      <c r="AW549" s="225"/>
      <c r="AX549" s="225"/>
      <c r="AY549" s="225"/>
    </row>
    <row r="550" spans="33:51" x14ac:dyDescent="0.25">
      <c r="AG550" s="66" t="str">
        <f>IF(AND(Множество[[#This Row],[Y]]=1),ROW()-ROW(Множество[[#Headers],[№]]),"")</f>
        <v/>
      </c>
      <c r="AI550" s="66">
        <v>1</v>
      </c>
      <c r="AJ550" s="66">
        <f>IF(LEN(Множество[[#This Row],[Свёртка]])&gt;0,1,-1)</f>
        <v>1</v>
      </c>
      <c r="AK550" s="66" t="s">
        <v>1781</v>
      </c>
      <c r="AL550" s="209">
        <f>IF(LEN(Множество[[#This Row],[Критерии]])&gt;0,1,-1)</f>
        <v>1</v>
      </c>
      <c r="AM550" s="209">
        <f>IF(AND(LEN(Множество[[#This Row],[Свёртка]])&gt;0,LEN(Множество[[#This Row],[Критерии]])&gt;0,LEN(Множество[[#This Row],[Оценки]])&gt;0),1,-1)</f>
        <v>-1</v>
      </c>
      <c r="AN550" s="208"/>
      <c r="AO550" s="208"/>
      <c r="AP550" s="208"/>
      <c r="AQ550" s="208"/>
      <c r="AR550" s="226"/>
      <c r="AS550" s="225"/>
      <c r="AT550" s="226"/>
      <c r="AU550" s="225"/>
      <c r="AV550" s="225"/>
      <c r="AW550" s="225"/>
      <c r="AX550" s="225"/>
      <c r="AY550" s="225"/>
    </row>
    <row r="551" spans="33:51" x14ac:dyDescent="0.25">
      <c r="AG551" s="66" t="str">
        <f>IF(AND(Множество[[#This Row],[Y]]=1),ROW()-ROW(Множество[[#Headers],[№]]),"")</f>
        <v/>
      </c>
      <c r="AI551" s="66">
        <v>1</v>
      </c>
      <c r="AJ551" s="66">
        <f>IF(LEN(Множество[[#This Row],[Свёртка]])&gt;0,1,-1)</f>
        <v>1</v>
      </c>
      <c r="AK551" s="66" t="s">
        <v>1781</v>
      </c>
      <c r="AL551" s="209">
        <f>IF(LEN(Множество[[#This Row],[Критерии]])&gt;0,1,-1)</f>
        <v>1</v>
      </c>
      <c r="AM551" s="209">
        <f>IF(AND(LEN(Множество[[#This Row],[Свёртка]])&gt;0,LEN(Множество[[#This Row],[Критерии]])&gt;0,LEN(Множество[[#This Row],[Оценки]])&gt;0),1,-1)</f>
        <v>-1</v>
      </c>
      <c r="AN551" s="208"/>
      <c r="AO551" s="208"/>
      <c r="AP551" s="208"/>
      <c r="AQ551" s="208"/>
      <c r="AR551" s="226"/>
      <c r="AS551" s="225"/>
      <c r="AT551" s="226"/>
      <c r="AU551" s="225"/>
      <c r="AV551" s="225"/>
      <c r="AW551" s="225"/>
      <c r="AX551" s="225"/>
      <c r="AY551" s="225"/>
    </row>
    <row r="552" spans="33:51" x14ac:dyDescent="0.25">
      <c r="AG552" s="66" t="str">
        <f>IF(AND(Множество[[#This Row],[Y]]=1),ROW()-ROW(Множество[[#Headers],[№]]),"")</f>
        <v/>
      </c>
      <c r="AI552" s="66">
        <v>1</v>
      </c>
      <c r="AJ552" s="66">
        <f>IF(LEN(Множество[[#This Row],[Свёртка]])&gt;0,1,-1)</f>
        <v>1</v>
      </c>
      <c r="AK552" s="66" t="s">
        <v>1781</v>
      </c>
      <c r="AL552" s="209">
        <f>IF(LEN(Множество[[#This Row],[Критерии]])&gt;0,1,-1)</f>
        <v>1</v>
      </c>
      <c r="AM552" s="209">
        <f>IF(AND(LEN(Множество[[#This Row],[Свёртка]])&gt;0,LEN(Множество[[#This Row],[Критерии]])&gt;0,LEN(Множество[[#This Row],[Оценки]])&gt;0),1,-1)</f>
        <v>-1</v>
      </c>
      <c r="AN552" s="208"/>
      <c r="AO552" s="208"/>
      <c r="AP552" s="208"/>
      <c r="AQ552" s="208"/>
      <c r="AR552" s="226"/>
      <c r="AS552" s="225"/>
      <c r="AT552" s="226"/>
      <c r="AU552" s="225"/>
      <c r="AV552" s="225"/>
      <c r="AW552" s="225"/>
      <c r="AX552" s="225"/>
      <c r="AY552" s="225"/>
    </row>
    <row r="553" spans="33:51" x14ac:dyDescent="0.25">
      <c r="AG553" s="66" t="str">
        <f>IF(AND(Множество[[#This Row],[Y]]=1),ROW()-ROW(Множество[[#Headers],[№]]),"")</f>
        <v/>
      </c>
      <c r="AI553" s="66">
        <v>1</v>
      </c>
      <c r="AJ553" s="66">
        <f>IF(LEN(Множество[[#This Row],[Свёртка]])&gt;0,1,-1)</f>
        <v>1</v>
      </c>
      <c r="AK553" s="66" t="s">
        <v>1781</v>
      </c>
      <c r="AL553" s="209">
        <f>IF(LEN(Множество[[#This Row],[Критерии]])&gt;0,1,-1)</f>
        <v>1</v>
      </c>
      <c r="AM553" s="209">
        <f>IF(AND(LEN(Множество[[#This Row],[Свёртка]])&gt;0,LEN(Множество[[#This Row],[Критерии]])&gt;0,LEN(Множество[[#This Row],[Оценки]])&gt;0),1,-1)</f>
        <v>-1</v>
      </c>
      <c r="AN553" s="208"/>
      <c r="AO553" s="208"/>
      <c r="AP553" s="208"/>
      <c r="AQ553" s="208"/>
      <c r="AR553" s="226"/>
      <c r="AS553" s="225"/>
      <c r="AT553" s="226"/>
      <c r="AU553" s="225"/>
      <c r="AV553" s="225"/>
      <c r="AW553" s="225"/>
      <c r="AX553" s="225"/>
      <c r="AY553" s="225"/>
    </row>
    <row r="554" spans="33:51" x14ac:dyDescent="0.25">
      <c r="AG554" s="66" t="str">
        <f>IF(AND(Множество[[#This Row],[Y]]=1),ROW()-ROW(Множество[[#Headers],[№]]),"")</f>
        <v/>
      </c>
      <c r="AI554" s="66">
        <v>1</v>
      </c>
      <c r="AJ554" s="66">
        <f>IF(LEN(Множество[[#This Row],[Свёртка]])&gt;0,1,-1)</f>
        <v>1</v>
      </c>
      <c r="AK554" s="66" t="s">
        <v>1781</v>
      </c>
      <c r="AL554" s="209">
        <f>IF(LEN(Множество[[#This Row],[Критерии]])&gt;0,1,-1)</f>
        <v>1</v>
      </c>
      <c r="AM554" s="209">
        <f>IF(AND(LEN(Множество[[#This Row],[Свёртка]])&gt;0,LEN(Множество[[#This Row],[Критерии]])&gt;0,LEN(Множество[[#This Row],[Оценки]])&gt;0),1,-1)</f>
        <v>-1</v>
      </c>
      <c r="AN554" s="208"/>
      <c r="AO554" s="208"/>
      <c r="AP554" s="208"/>
      <c r="AQ554" s="208"/>
      <c r="AR554" s="226"/>
      <c r="AS554" s="225"/>
      <c r="AT554" s="226"/>
      <c r="AU554" s="225"/>
      <c r="AV554" s="225"/>
      <c r="AW554" s="225"/>
      <c r="AX554" s="225"/>
      <c r="AY554" s="225"/>
    </row>
    <row r="555" spans="33:51" x14ac:dyDescent="0.25">
      <c r="AG555" s="66" t="str">
        <f>IF(AND(Множество[[#This Row],[Y]]=1),ROW()-ROW(Множество[[#Headers],[№]]),"")</f>
        <v/>
      </c>
      <c r="AI555" s="66">
        <v>1</v>
      </c>
      <c r="AJ555" s="66">
        <f>IF(LEN(Множество[[#This Row],[Свёртка]])&gt;0,1,-1)</f>
        <v>1</v>
      </c>
      <c r="AK555" s="66" t="s">
        <v>1781</v>
      </c>
      <c r="AL555" s="209">
        <f>IF(LEN(Множество[[#This Row],[Критерии]])&gt;0,1,-1)</f>
        <v>1</v>
      </c>
      <c r="AM555" s="209">
        <f>IF(AND(LEN(Множество[[#This Row],[Свёртка]])&gt;0,LEN(Множество[[#This Row],[Критерии]])&gt;0,LEN(Множество[[#This Row],[Оценки]])&gt;0),1,-1)</f>
        <v>-1</v>
      </c>
      <c r="AN555" s="208"/>
      <c r="AO555" s="208"/>
      <c r="AP555" s="208"/>
      <c r="AQ555" s="208"/>
      <c r="AR555" s="226"/>
      <c r="AS555" s="225"/>
      <c r="AT555" s="226"/>
      <c r="AU555" s="225"/>
      <c r="AV555" s="225"/>
      <c r="AW555" s="225"/>
      <c r="AX555" s="225"/>
      <c r="AY555" s="225"/>
    </row>
    <row r="556" spans="33:51" x14ac:dyDescent="0.25">
      <c r="AG556" s="66" t="str">
        <f>IF(AND(Множество[[#This Row],[Y]]=1),ROW()-ROW(Множество[[#Headers],[№]]),"")</f>
        <v/>
      </c>
      <c r="AI556" s="66">
        <v>1</v>
      </c>
      <c r="AJ556" s="66">
        <f>IF(LEN(Множество[[#This Row],[Свёртка]])&gt;0,1,-1)</f>
        <v>1</v>
      </c>
      <c r="AK556" s="66" t="s">
        <v>1781</v>
      </c>
      <c r="AL556" s="209">
        <f>IF(LEN(Множество[[#This Row],[Критерии]])&gt;0,1,-1)</f>
        <v>1</v>
      </c>
      <c r="AM556" s="209">
        <f>IF(AND(LEN(Множество[[#This Row],[Свёртка]])&gt;0,LEN(Множество[[#This Row],[Критерии]])&gt;0,LEN(Множество[[#This Row],[Оценки]])&gt;0),1,-1)</f>
        <v>-1</v>
      </c>
      <c r="AN556" s="208"/>
      <c r="AO556" s="208"/>
      <c r="AP556" s="208"/>
      <c r="AQ556" s="208"/>
      <c r="AR556" s="226"/>
      <c r="AS556" s="225"/>
      <c r="AT556" s="226"/>
      <c r="AU556" s="225"/>
      <c r="AV556" s="225"/>
      <c r="AW556" s="225"/>
      <c r="AX556" s="225"/>
      <c r="AY556" s="225"/>
    </row>
    <row r="557" spans="33:51" x14ac:dyDescent="0.25">
      <c r="AG557" s="66" t="str">
        <f>IF(AND(Множество[[#This Row],[Y]]=1),ROW()-ROW(Множество[[#Headers],[№]]),"")</f>
        <v/>
      </c>
      <c r="AI557" s="66">
        <v>1</v>
      </c>
      <c r="AJ557" s="66">
        <f>IF(LEN(Множество[[#This Row],[Свёртка]])&gt;0,1,-1)</f>
        <v>1</v>
      </c>
      <c r="AK557" s="66" t="s">
        <v>1781</v>
      </c>
      <c r="AL557" s="209">
        <f>IF(LEN(Множество[[#This Row],[Критерии]])&gt;0,1,-1)</f>
        <v>1</v>
      </c>
      <c r="AM557" s="209">
        <f>IF(AND(LEN(Множество[[#This Row],[Свёртка]])&gt;0,LEN(Множество[[#This Row],[Критерии]])&gt;0,LEN(Множество[[#This Row],[Оценки]])&gt;0),1,-1)</f>
        <v>-1</v>
      </c>
      <c r="AN557" s="208"/>
      <c r="AO557" s="208"/>
      <c r="AP557" s="208"/>
      <c r="AQ557" s="208"/>
      <c r="AR557" s="226"/>
      <c r="AS557" s="225"/>
      <c r="AT557" s="226"/>
      <c r="AU557" s="225"/>
      <c r="AV557" s="225"/>
      <c r="AW557" s="225"/>
      <c r="AX557" s="225"/>
      <c r="AY557" s="225"/>
    </row>
    <row r="558" spans="33:51" x14ac:dyDescent="0.25">
      <c r="AG558" s="66" t="str">
        <f>IF(AND(Множество[[#This Row],[Y]]=1),ROW()-ROW(Множество[[#Headers],[№]]),"")</f>
        <v/>
      </c>
      <c r="AI558" s="66">
        <v>1</v>
      </c>
      <c r="AJ558" s="66">
        <f>IF(LEN(Множество[[#This Row],[Свёртка]])&gt;0,1,-1)</f>
        <v>1</v>
      </c>
      <c r="AK558" s="66" t="s">
        <v>1781</v>
      </c>
      <c r="AL558" s="209">
        <f>IF(LEN(Множество[[#This Row],[Критерии]])&gt;0,1,-1)</f>
        <v>1</v>
      </c>
      <c r="AM558" s="209">
        <f>IF(AND(LEN(Множество[[#This Row],[Свёртка]])&gt;0,LEN(Множество[[#This Row],[Критерии]])&gt;0,LEN(Множество[[#This Row],[Оценки]])&gt;0),1,-1)</f>
        <v>-1</v>
      </c>
      <c r="AN558" s="208"/>
      <c r="AO558" s="208"/>
      <c r="AP558" s="208"/>
      <c r="AQ558" s="208"/>
      <c r="AR558" s="226"/>
      <c r="AS558" s="225"/>
      <c r="AT558" s="226"/>
      <c r="AU558" s="225"/>
      <c r="AV558" s="225"/>
      <c r="AW558" s="225"/>
      <c r="AX558" s="225"/>
      <c r="AY558" s="225"/>
    </row>
    <row r="559" spans="33:51" x14ac:dyDescent="0.25">
      <c r="AG559" s="66" t="str">
        <f>IF(AND(Множество[[#This Row],[Y]]=1),ROW()-ROW(Множество[[#Headers],[№]]),"")</f>
        <v/>
      </c>
      <c r="AI559" s="66">
        <v>1</v>
      </c>
      <c r="AJ559" s="66">
        <f>IF(LEN(Множество[[#This Row],[Свёртка]])&gt;0,1,-1)</f>
        <v>1</v>
      </c>
      <c r="AK559" s="66" t="s">
        <v>1781</v>
      </c>
      <c r="AL559" s="209">
        <f>IF(LEN(Множество[[#This Row],[Критерии]])&gt;0,1,-1)</f>
        <v>1</v>
      </c>
      <c r="AM559" s="209">
        <f>IF(AND(LEN(Множество[[#This Row],[Свёртка]])&gt;0,LEN(Множество[[#This Row],[Критерии]])&gt;0,LEN(Множество[[#This Row],[Оценки]])&gt;0),1,-1)</f>
        <v>-1</v>
      </c>
      <c r="AN559" s="208"/>
      <c r="AO559" s="208"/>
      <c r="AP559" s="208"/>
      <c r="AQ559" s="208"/>
      <c r="AR559" s="226"/>
      <c r="AS559" s="225"/>
      <c r="AT559" s="226"/>
      <c r="AU559" s="225"/>
      <c r="AV559" s="225"/>
      <c r="AW559" s="225"/>
      <c r="AX559" s="225"/>
      <c r="AY559" s="225"/>
    </row>
    <row r="560" spans="33:51" x14ac:dyDescent="0.25">
      <c r="AG560" s="66" t="str">
        <f>IF(AND(Множество[[#This Row],[Y]]=1),ROW()-ROW(Множество[[#Headers],[№]]),"")</f>
        <v/>
      </c>
      <c r="AI560" s="66">
        <v>1</v>
      </c>
      <c r="AJ560" s="66">
        <f>IF(LEN(Множество[[#This Row],[Свёртка]])&gt;0,1,-1)</f>
        <v>1</v>
      </c>
      <c r="AK560" s="66" t="s">
        <v>1781</v>
      </c>
      <c r="AL560" s="209">
        <f>IF(LEN(Множество[[#This Row],[Критерии]])&gt;0,1,-1)</f>
        <v>1</v>
      </c>
      <c r="AM560" s="209">
        <f>IF(AND(LEN(Множество[[#This Row],[Свёртка]])&gt;0,LEN(Множество[[#This Row],[Критерии]])&gt;0,LEN(Множество[[#This Row],[Оценки]])&gt;0),1,-1)</f>
        <v>-1</v>
      </c>
      <c r="AN560" s="208"/>
      <c r="AO560" s="208"/>
      <c r="AP560" s="208"/>
      <c r="AQ560" s="208"/>
      <c r="AR560" s="226"/>
      <c r="AS560" s="225"/>
      <c r="AT560" s="226"/>
      <c r="AU560" s="225"/>
      <c r="AV560" s="225"/>
      <c r="AW560" s="225"/>
      <c r="AX560" s="225"/>
      <c r="AY560" s="225"/>
    </row>
    <row r="561" spans="33:51" x14ac:dyDescent="0.25">
      <c r="AG561" s="66" t="str">
        <f>IF(AND(Множество[[#This Row],[Y]]=1),ROW()-ROW(Множество[[#Headers],[№]]),"")</f>
        <v/>
      </c>
      <c r="AI561" s="66">
        <v>1</v>
      </c>
      <c r="AJ561" s="66">
        <f>IF(LEN(Множество[[#This Row],[Свёртка]])&gt;0,1,-1)</f>
        <v>1</v>
      </c>
      <c r="AK561" s="66" t="s">
        <v>1781</v>
      </c>
      <c r="AL561" s="209">
        <f>IF(LEN(Множество[[#This Row],[Критерии]])&gt;0,1,-1)</f>
        <v>1</v>
      </c>
      <c r="AM561" s="209">
        <f>IF(AND(LEN(Множество[[#This Row],[Свёртка]])&gt;0,LEN(Множество[[#This Row],[Критерии]])&gt;0,LEN(Множество[[#This Row],[Оценки]])&gt;0),1,-1)</f>
        <v>-1</v>
      </c>
      <c r="AN561" s="208"/>
      <c r="AO561" s="208"/>
      <c r="AP561" s="208"/>
      <c r="AQ561" s="208"/>
      <c r="AR561" s="226"/>
      <c r="AS561" s="225"/>
      <c r="AT561" s="226"/>
      <c r="AU561" s="225"/>
      <c r="AV561" s="225"/>
      <c r="AW561" s="225"/>
      <c r="AX561" s="225"/>
      <c r="AY561" s="225"/>
    </row>
    <row r="562" spans="33:51" x14ac:dyDescent="0.25">
      <c r="AG562" s="66" t="str">
        <f>IF(AND(Множество[[#This Row],[Y]]=1),ROW()-ROW(Множество[[#Headers],[№]]),"")</f>
        <v/>
      </c>
      <c r="AI562" s="66">
        <v>1</v>
      </c>
      <c r="AJ562" s="66">
        <f>IF(LEN(Множество[[#This Row],[Свёртка]])&gt;0,1,-1)</f>
        <v>1</v>
      </c>
      <c r="AK562" s="66" t="s">
        <v>1781</v>
      </c>
      <c r="AL562" s="209">
        <f>IF(LEN(Множество[[#This Row],[Критерии]])&gt;0,1,-1)</f>
        <v>1</v>
      </c>
      <c r="AM562" s="209">
        <f>IF(AND(LEN(Множество[[#This Row],[Свёртка]])&gt;0,LEN(Множество[[#This Row],[Критерии]])&gt;0,LEN(Множество[[#This Row],[Оценки]])&gt;0),1,-1)</f>
        <v>-1</v>
      </c>
      <c r="AN562" s="208"/>
      <c r="AO562" s="208"/>
      <c r="AP562" s="208"/>
      <c r="AQ562" s="208"/>
      <c r="AR562" s="226"/>
      <c r="AS562" s="225"/>
      <c r="AT562" s="226"/>
      <c r="AU562" s="225"/>
      <c r="AV562" s="225"/>
      <c r="AW562" s="225"/>
      <c r="AX562" s="225"/>
      <c r="AY562" s="225"/>
    </row>
    <row r="563" spans="33:51" x14ac:dyDescent="0.25">
      <c r="AG563" s="66" t="str">
        <f>IF(AND(Множество[[#This Row],[Y]]=1),ROW()-ROW(Множество[[#Headers],[№]]),"")</f>
        <v/>
      </c>
      <c r="AI563" s="66">
        <v>1</v>
      </c>
      <c r="AJ563" s="66">
        <f>IF(LEN(Множество[[#This Row],[Свёртка]])&gt;0,1,-1)</f>
        <v>1</v>
      </c>
      <c r="AK563" s="66" t="s">
        <v>1781</v>
      </c>
      <c r="AL563" s="209">
        <f>IF(LEN(Множество[[#This Row],[Критерии]])&gt;0,1,-1)</f>
        <v>1</v>
      </c>
      <c r="AM563" s="209">
        <f>IF(AND(LEN(Множество[[#This Row],[Свёртка]])&gt;0,LEN(Множество[[#This Row],[Критерии]])&gt;0,LEN(Множество[[#This Row],[Оценки]])&gt;0),1,-1)</f>
        <v>-1</v>
      </c>
      <c r="AN563" s="208"/>
      <c r="AO563" s="208"/>
      <c r="AP563" s="208"/>
      <c r="AQ563" s="208"/>
      <c r="AR563" s="226"/>
      <c r="AS563" s="225"/>
      <c r="AT563" s="226"/>
      <c r="AU563" s="225"/>
      <c r="AV563" s="225"/>
      <c r="AW563" s="225"/>
      <c r="AX563" s="225"/>
      <c r="AY563" s="225"/>
    </row>
    <row r="564" spans="33:51" x14ac:dyDescent="0.25">
      <c r="AG564" s="66" t="str">
        <f>IF(AND(Множество[[#This Row],[Y]]=1),ROW()-ROW(Множество[[#Headers],[№]]),"")</f>
        <v/>
      </c>
      <c r="AI564" s="66">
        <v>1</v>
      </c>
      <c r="AJ564" s="66">
        <f>IF(LEN(Множество[[#This Row],[Свёртка]])&gt;0,1,-1)</f>
        <v>1</v>
      </c>
      <c r="AK564" s="66" t="s">
        <v>1781</v>
      </c>
      <c r="AL564" s="209">
        <f>IF(LEN(Множество[[#This Row],[Критерии]])&gt;0,1,-1)</f>
        <v>1</v>
      </c>
      <c r="AM564" s="209">
        <f>IF(AND(LEN(Множество[[#This Row],[Свёртка]])&gt;0,LEN(Множество[[#This Row],[Критерии]])&gt;0,LEN(Множество[[#This Row],[Оценки]])&gt;0),1,-1)</f>
        <v>-1</v>
      </c>
      <c r="AN564" s="208"/>
      <c r="AO564" s="208"/>
      <c r="AP564" s="208"/>
      <c r="AQ564" s="208"/>
      <c r="AR564" s="226"/>
      <c r="AS564" s="225"/>
      <c r="AT564" s="226"/>
      <c r="AU564" s="225"/>
      <c r="AV564" s="225"/>
      <c r="AW564" s="225"/>
      <c r="AX564" s="225"/>
      <c r="AY564" s="225"/>
    </row>
    <row r="565" spans="33:51" x14ac:dyDescent="0.25">
      <c r="AG565" s="66" t="str">
        <f>IF(AND(Множество[[#This Row],[Y]]=1),ROW()-ROW(Множество[[#Headers],[№]]),"")</f>
        <v/>
      </c>
      <c r="AI565" s="66">
        <v>1</v>
      </c>
      <c r="AJ565" s="66">
        <f>IF(LEN(Множество[[#This Row],[Свёртка]])&gt;0,1,-1)</f>
        <v>1</v>
      </c>
      <c r="AK565" s="66" t="s">
        <v>1781</v>
      </c>
      <c r="AL565" s="209">
        <f>IF(LEN(Множество[[#This Row],[Критерии]])&gt;0,1,-1)</f>
        <v>1</v>
      </c>
      <c r="AM565" s="209">
        <f>IF(AND(LEN(Множество[[#This Row],[Свёртка]])&gt;0,LEN(Множество[[#This Row],[Критерии]])&gt;0,LEN(Множество[[#This Row],[Оценки]])&gt;0),1,-1)</f>
        <v>-1</v>
      </c>
      <c r="AN565" s="208"/>
      <c r="AO565" s="208"/>
      <c r="AP565" s="208"/>
      <c r="AQ565" s="208"/>
      <c r="AR565" s="226"/>
      <c r="AS565" s="225"/>
      <c r="AT565" s="226"/>
      <c r="AU565" s="225"/>
      <c r="AV565" s="225"/>
      <c r="AW565" s="225"/>
      <c r="AX565" s="225"/>
      <c r="AY565" s="225"/>
    </row>
    <row r="566" spans="33:51" x14ac:dyDescent="0.25">
      <c r="AG566" s="66" t="str">
        <f>IF(AND(Множество[[#This Row],[Y]]=1),ROW()-ROW(Множество[[#Headers],[№]]),"")</f>
        <v/>
      </c>
      <c r="AI566" s="66">
        <v>1</v>
      </c>
      <c r="AJ566" s="66">
        <f>IF(LEN(Множество[[#This Row],[Свёртка]])&gt;0,1,-1)</f>
        <v>1</v>
      </c>
      <c r="AK566" s="66" t="s">
        <v>1781</v>
      </c>
      <c r="AL566" s="209">
        <f>IF(LEN(Множество[[#This Row],[Критерии]])&gt;0,1,-1)</f>
        <v>1</v>
      </c>
      <c r="AM566" s="209">
        <f>IF(AND(LEN(Множество[[#This Row],[Свёртка]])&gt;0,LEN(Множество[[#This Row],[Критерии]])&gt;0,LEN(Множество[[#This Row],[Оценки]])&gt;0),1,-1)</f>
        <v>-1</v>
      </c>
      <c r="AN566" s="208"/>
      <c r="AO566" s="208"/>
      <c r="AP566" s="208"/>
      <c r="AQ566" s="208"/>
      <c r="AR566" s="226"/>
      <c r="AS566" s="225"/>
      <c r="AT566" s="226"/>
      <c r="AU566" s="225"/>
      <c r="AV566" s="225"/>
      <c r="AW566" s="225"/>
      <c r="AX566" s="225"/>
      <c r="AY566" s="225"/>
    </row>
    <row r="567" spans="33:51" x14ac:dyDescent="0.25">
      <c r="AG567" s="66" t="str">
        <f>IF(AND(Множество[[#This Row],[Y]]=1),ROW()-ROW(Множество[[#Headers],[№]]),"")</f>
        <v/>
      </c>
      <c r="AI567" s="66">
        <v>1</v>
      </c>
      <c r="AJ567" s="66">
        <f>IF(LEN(Множество[[#This Row],[Свёртка]])&gt;0,1,-1)</f>
        <v>1</v>
      </c>
      <c r="AK567" s="66" t="s">
        <v>1781</v>
      </c>
      <c r="AL567" s="209">
        <f>IF(LEN(Множество[[#This Row],[Критерии]])&gt;0,1,-1)</f>
        <v>1</v>
      </c>
      <c r="AM567" s="209">
        <f>IF(AND(LEN(Множество[[#This Row],[Свёртка]])&gt;0,LEN(Множество[[#This Row],[Критерии]])&gt;0,LEN(Множество[[#This Row],[Оценки]])&gt;0),1,-1)</f>
        <v>-1</v>
      </c>
      <c r="AN567" s="208"/>
      <c r="AO567" s="208"/>
      <c r="AP567" s="208"/>
      <c r="AQ567" s="208"/>
      <c r="AR567" s="226"/>
      <c r="AS567" s="225"/>
      <c r="AT567" s="226"/>
      <c r="AU567" s="225"/>
      <c r="AV567" s="225"/>
      <c r="AW567" s="225"/>
      <c r="AX567" s="225"/>
      <c r="AY567" s="225"/>
    </row>
    <row r="568" spans="33:51" x14ac:dyDescent="0.25">
      <c r="AG568" s="66" t="str">
        <f>IF(AND(Множество[[#This Row],[Y]]=1),ROW()-ROW(Множество[[#Headers],[№]]),"")</f>
        <v/>
      </c>
      <c r="AI568" s="66">
        <v>1</v>
      </c>
      <c r="AJ568" s="66">
        <f>IF(LEN(Множество[[#This Row],[Свёртка]])&gt;0,1,-1)</f>
        <v>1</v>
      </c>
      <c r="AK568" s="66" t="s">
        <v>1781</v>
      </c>
      <c r="AL568" s="209">
        <f>IF(LEN(Множество[[#This Row],[Критерии]])&gt;0,1,-1)</f>
        <v>1</v>
      </c>
      <c r="AM568" s="209">
        <f>IF(AND(LEN(Множество[[#This Row],[Свёртка]])&gt;0,LEN(Множество[[#This Row],[Критерии]])&gt;0,LEN(Множество[[#This Row],[Оценки]])&gt;0),1,-1)</f>
        <v>-1</v>
      </c>
      <c r="AN568" s="208"/>
      <c r="AO568" s="208"/>
      <c r="AP568" s="208"/>
      <c r="AQ568" s="208"/>
      <c r="AR568" s="226"/>
      <c r="AS568" s="225"/>
      <c r="AT568" s="226"/>
      <c r="AU568" s="225"/>
      <c r="AV568" s="225"/>
      <c r="AW568" s="225"/>
      <c r="AX568" s="225"/>
      <c r="AY568" s="225"/>
    </row>
    <row r="569" spans="33:51" x14ac:dyDescent="0.25">
      <c r="AG569" s="66" t="str">
        <f>IF(AND(Множество[[#This Row],[Y]]=1),ROW()-ROW(Множество[[#Headers],[№]]),"")</f>
        <v/>
      </c>
      <c r="AI569" s="66">
        <v>1</v>
      </c>
      <c r="AJ569" s="66">
        <f>IF(LEN(Множество[[#This Row],[Свёртка]])&gt;0,1,-1)</f>
        <v>1</v>
      </c>
      <c r="AK569" s="66" t="s">
        <v>1781</v>
      </c>
      <c r="AL569" s="209">
        <f>IF(LEN(Множество[[#This Row],[Критерии]])&gt;0,1,-1)</f>
        <v>1</v>
      </c>
      <c r="AM569" s="209">
        <f>IF(AND(LEN(Множество[[#This Row],[Свёртка]])&gt;0,LEN(Множество[[#This Row],[Критерии]])&gt;0,LEN(Множество[[#This Row],[Оценки]])&gt;0),1,-1)</f>
        <v>-1</v>
      </c>
      <c r="AN569" s="208"/>
      <c r="AO569" s="208"/>
      <c r="AP569" s="208"/>
      <c r="AQ569" s="208"/>
      <c r="AR569" s="226"/>
      <c r="AS569" s="225"/>
      <c r="AT569" s="226"/>
      <c r="AU569" s="225"/>
      <c r="AV569" s="225"/>
      <c r="AW569" s="225"/>
      <c r="AX569" s="225"/>
      <c r="AY569" s="225"/>
    </row>
    <row r="570" spans="33:51" x14ac:dyDescent="0.25">
      <c r="AG570" s="66" t="str">
        <f>IF(AND(Множество[[#This Row],[Y]]=1),ROW()-ROW(Множество[[#Headers],[№]]),"")</f>
        <v/>
      </c>
      <c r="AI570" s="66">
        <v>1</v>
      </c>
      <c r="AJ570" s="66">
        <f>IF(LEN(Множество[[#This Row],[Свёртка]])&gt;0,1,-1)</f>
        <v>1</v>
      </c>
      <c r="AK570" s="66" t="s">
        <v>1781</v>
      </c>
      <c r="AL570" s="209">
        <f>IF(LEN(Множество[[#This Row],[Критерии]])&gt;0,1,-1)</f>
        <v>1</v>
      </c>
      <c r="AM570" s="209">
        <f>IF(AND(LEN(Множество[[#This Row],[Свёртка]])&gt;0,LEN(Множество[[#This Row],[Критерии]])&gt;0,LEN(Множество[[#This Row],[Оценки]])&gt;0),1,-1)</f>
        <v>-1</v>
      </c>
      <c r="AN570" s="208"/>
      <c r="AO570" s="208"/>
      <c r="AP570" s="208"/>
      <c r="AQ570" s="208"/>
      <c r="AR570" s="226"/>
      <c r="AS570" s="225"/>
      <c r="AT570" s="226"/>
      <c r="AU570" s="225"/>
      <c r="AV570" s="225"/>
      <c r="AW570" s="225"/>
      <c r="AX570" s="225"/>
      <c r="AY570" s="225"/>
    </row>
    <row r="571" spans="33:51" x14ac:dyDescent="0.25">
      <c r="AG571" s="66" t="str">
        <f>IF(AND(Множество[[#This Row],[Y]]=1),ROW()-ROW(Множество[[#Headers],[№]]),"")</f>
        <v/>
      </c>
      <c r="AI571" s="66">
        <v>1</v>
      </c>
      <c r="AJ571" s="66">
        <f>IF(LEN(Множество[[#This Row],[Свёртка]])&gt;0,1,-1)</f>
        <v>1</v>
      </c>
      <c r="AK571" s="66" t="s">
        <v>1781</v>
      </c>
      <c r="AL571" s="209">
        <f>IF(LEN(Множество[[#This Row],[Критерии]])&gt;0,1,-1)</f>
        <v>1</v>
      </c>
      <c r="AM571" s="209">
        <f>IF(AND(LEN(Множество[[#This Row],[Свёртка]])&gt;0,LEN(Множество[[#This Row],[Критерии]])&gt;0,LEN(Множество[[#This Row],[Оценки]])&gt;0),1,-1)</f>
        <v>-1</v>
      </c>
      <c r="AN571" s="208"/>
      <c r="AO571" s="208"/>
      <c r="AP571" s="208"/>
      <c r="AQ571" s="208"/>
      <c r="AR571" s="226"/>
      <c r="AS571" s="225"/>
      <c r="AT571" s="226"/>
      <c r="AU571" s="225"/>
      <c r="AV571" s="225"/>
      <c r="AW571" s="225"/>
      <c r="AX571" s="225"/>
      <c r="AY571" s="225"/>
    </row>
    <row r="572" spans="33:51" x14ac:dyDescent="0.25">
      <c r="AG572" s="66" t="str">
        <f>IF(AND(Множество[[#This Row],[Y]]=1),ROW()-ROW(Множество[[#Headers],[№]]),"")</f>
        <v/>
      </c>
      <c r="AI572" s="66">
        <v>1</v>
      </c>
      <c r="AJ572" s="66">
        <f>IF(LEN(Множество[[#This Row],[Свёртка]])&gt;0,1,-1)</f>
        <v>1</v>
      </c>
      <c r="AK572" s="66" t="s">
        <v>1781</v>
      </c>
      <c r="AL572" s="209">
        <f>IF(LEN(Множество[[#This Row],[Критерии]])&gt;0,1,-1)</f>
        <v>1</v>
      </c>
      <c r="AM572" s="209">
        <f>IF(AND(LEN(Множество[[#This Row],[Свёртка]])&gt;0,LEN(Множество[[#This Row],[Критерии]])&gt;0,LEN(Множество[[#This Row],[Оценки]])&gt;0),1,-1)</f>
        <v>-1</v>
      </c>
      <c r="AN572" s="208"/>
      <c r="AO572" s="208"/>
      <c r="AP572" s="208"/>
      <c r="AQ572" s="208"/>
      <c r="AR572" s="226"/>
      <c r="AS572" s="225"/>
      <c r="AT572" s="226"/>
      <c r="AU572" s="225"/>
      <c r="AV572" s="225"/>
      <c r="AW572" s="225"/>
      <c r="AX572" s="225"/>
      <c r="AY572" s="225"/>
    </row>
    <row r="573" spans="33:51" x14ac:dyDescent="0.25">
      <c r="AG573" s="66" t="str">
        <f>IF(AND(Множество[[#This Row],[Y]]=1),ROW()-ROW(Множество[[#Headers],[№]]),"")</f>
        <v/>
      </c>
      <c r="AI573" s="66">
        <v>1</v>
      </c>
      <c r="AJ573" s="66">
        <f>IF(LEN(Множество[[#This Row],[Свёртка]])&gt;0,1,-1)</f>
        <v>1</v>
      </c>
      <c r="AK573" s="66" t="s">
        <v>1781</v>
      </c>
      <c r="AL573" s="209">
        <f>IF(LEN(Множество[[#This Row],[Критерии]])&gt;0,1,-1)</f>
        <v>1</v>
      </c>
      <c r="AM573" s="209">
        <f>IF(AND(LEN(Множество[[#This Row],[Свёртка]])&gt;0,LEN(Множество[[#This Row],[Критерии]])&gt;0,LEN(Множество[[#This Row],[Оценки]])&gt;0),1,-1)</f>
        <v>-1</v>
      </c>
      <c r="AN573" s="208"/>
      <c r="AO573" s="208"/>
      <c r="AP573" s="208"/>
      <c r="AQ573" s="208"/>
      <c r="AR573" s="226"/>
      <c r="AS573" s="225"/>
      <c r="AT573" s="226"/>
      <c r="AU573" s="225"/>
      <c r="AV573" s="225"/>
      <c r="AW573" s="225"/>
      <c r="AX573" s="225"/>
      <c r="AY573" s="225"/>
    </row>
    <row r="574" spans="33:51" x14ac:dyDescent="0.25">
      <c r="AG574" s="66" t="str">
        <f>IF(AND(Множество[[#This Row],[Y]]=1),ROW()-ROW(Множество[[#Headers],[№]]),"")</f>
        <v/>
      </c>
      <c r="AI574" s="66">
        <v>1</v>
      </c>
      <c r="AJ574" s="66">
        <f>IF(LEN(Множество[[#This Row],[Свёртка]])&gt;0,1,-1)</f>
        <v>1</v>
      </c>
      <c r="AK574" s="66" t="s">
        <v>1781</v>
      </c>
      <c r="AL574" s="209">
        <f>IF(LEN(Множество[[#This Row],[Критерии]])&gt;0,1,-1)</f>
        <v>1</v>
      </c>
      <c r="AM574" s="209">
        <f>IF(AND(LEN(Множество[[#This Row],[Свёртка]])&gt;0,LEN(Множество[[#This Row],[Критерии]])&gt;0,LEN(Множество[[#This Row],[Оценки]])&gt;0),1,-1)</f>
        <v>-1</v>
      </c>
      <c r="AN574" s="208"/>
      <c r="AO574" s="208"/>
      <c r="AP574" s="208"/>
      <c r="AQ574" s="208"/>
      <c r="AR574" s="226"/>
      <c r="AS574" s="225"/>
      <c r="AT574" s="226"/>
      <c r="AU574" s="225"/>
      <c r="AV574" s="225"/>
      <c r="AW574" s="225"/>
      <c r="AX574" s="225"/>
      <c r="AY574" s="225"/>
    </row>
    <row r="575" spans="33:51" x14ac:dyDescent="0.25">
      <c r="AG575" s="66" t="str">
        <f>IF(AND(Множество[[#This Row],[Y]]=1),ROW()-ROW(Множество[[#Headers],[№]]),"")</f>
        <v/>
      </c>
      <c r="AI575" s="66">
        <v>1</v>
      </c>
      <c r="AJ575" s="66">
        <f>IF(LEN(Множество[[#This Row],[Свёртка]])&gt;0,1,-1)</f>
        <v>1</v>
      </c>
      <c r="AK575" s="66" t="s">
        <v>1781</v>
      </c>
      <c r="AL575" s="209">
        <f>IF(LEN(Множество[[#This Row],[Критерии]])&gt;0,1,-1)</f>
        <v>1</v>
      </c>
      <c r="AM575" s="209">
        <f>IF(AND(LEN(Множество[[#This Row],[Свёртка]])&gt;0,LEN(Множество[[#This Row],[Критерии]])&gt;0,LEN(Множество[[#This Row],[Оценки]])&gt;0),1,-1)</f>
        <v>-1</v>
      </c>
      <c r="AN575" s="208"/>
      <c r="AO575" s="208"/>
      <c r="AP575" s="208"/>
      <c r="AQ575" s="208"/>
      <c r="AR575" s="226"/>
      <c r="AS575" s="225"/>
      <c r="AT575" s="226"/>
      <c r="AU575" s="225"/>
      <c r="AV575" s="225"/>
      <c r="AW575" s="225"/>
      <c r="AX575" s="225"/>
      <c r="AY575" s="225"/>
    </row>
    <row r="576" spans="33:51" x14ac:dyDescent="0.25">
      <c r="AG576" s="66" t="str">
        <f>IF(AND(Множество[[#This Row],[Y]]=1),ROW()-ROW(Множество[[#Headers],[№]]),"")</f>
        <v/>
      </c>
      <c r="AI576" s="66">
        <v>1</v>
      </c>
      <c r="AJ576" s="66">
        <f>IF(LEN(Множество[[#This Row],[Свёртка]])&gt;0,1,-1)</f>
        <v>1</v>
      </c>
      <c r="AK576" s="66" t="s">
        <v>1781</v>
      </c>
      <c r="AL576" s="209">
        <f>IF(LEN(Множество[[#This Row],[Критерии]])&gt;0,1,-1)</f>
        <v>1</v>
      </c>
      <c r="AM576" s="209">
        <f>IF(AND(LEN(Множество[[#This Row],[Свёртка]])&gt;0,LEN(Множество[[#This Row],[Критерии]])&gt;0,LEN(Множество[[#This Row],[Оценки]])&gt;0),1,-1)</f>
        <v>-1</v>
      </c>
      <c r="AN576" s="208"/>
      <c r="AO576" s="208"/>
      <c r="AP576" s="208"/>
      <c r="AQ576" s="208"/>
      <c r="AR576" s="226"/>
      <c r="AS576" s="225"/>
      <c r="AT576" s="226"/>
      <c r="AU576" s="225"/>
      <c r="AV576" s="225"/>
      <c r="AW576" s="225"/>
      <c r="AX576" s="225"/>
      <c r="AY576" s="225"/>
    </row>
    <row r="577" spans="33:51" x14ac:dyDescent="0.25">
      <c r="AG577" s="66" t="str">
        <f>IF(AND(Множество[[#This Row],[Y]]=1),ROW()-ROW(Множество[[#Headers],[№]]),"")</f>
        <v/>
      </c>
      <c r="AI577" s="66">
        <v>1</v>
      </c>
      <c r="AJ577" s="66">
        <f>IF(LEN(Множество[[#This Row],[Свёртка]])&gt;0,1,-1)</f>
        <v>1</v>
      </c>
      <c r="AK577" s="66" t="s">
        <v>1781</v>
      </c>
      <c r="AL577" s="209">
        <f>IF(LEN(Множество[[#This Row],[Критерии]])&gt;0,1,-1)</f>
        <v>1</v>
      </c>
      <c r="AM577" s="209">
        <f>IF(AND(LEN(Множество[[#This Row],[Свёртка]])&gt;0,LEN(Множество[[#This Row],[Критерии]])&gt;0,LEN(Множество[[#This Row],[Оценки]])&gt;0),1,-1)</f>
        <v>-1</v>
      </c>
      <c r="AN577" s="208"/>
      <c r="AO577" s="208"/>
      <c r="AP577" s="208"/>
      <c r="AQ577" s="208"/>
      <c r="AR577" s="226"/>
      <c r="AS577" s="225"/>
      <c r="AT577" s="226"/>
      <c r="AU577" s="225"/>
      <c r="AV577" s="225"/>
      <c r="AW577" s="225"/>
      <c r="AX577" s="225"/>
      <c r="AY577" s="225"/>
    </row>
    <row r="578" spans="33:51" x14ac:dyDescent="0.25">
      <c r="AG578" s="66" t="str">
        <f>IF(AND(Множество[[#This Row],[Y]]=1),ROW()-ROW(Множество[[#Headers],[№]]),"")</f>
        <v/>
      </c>
      <c r="AI578" s="66">
        <v>1</v>
      </c>
      <c r="AJ578" s="66">
        <f>IF(LEN(Множество[[#This Row],[Свёртка]])&gt;0,1,-1)</f>
        <v>1</v>
      </c>
      <c r="AK578" s="66" t="s">
        <v>1781</v>
      </c>
      <c r="AL578" s="209">
        <f>IF(LEN(Множество[[#This Row],[Критерии]])&gt;0,1,-1)</f>
        <v>1</v>
      </c>
      <c r="AM578" s="209">
        <f>IF(AND(LEN(Множество[[#This Row],[Свёртка]])&gt;0,LEN(Множество[[#This Row],[Критерии]])&gt;0,LEN(Множество[[#This Row],[Оценки]])&gt;0),1,-1)</f>
        <v>-1</v>
      </c>
      <c r="AN578" s="208"/>
      <c r="AO578" s="208"/>
      <c r="AP578" s="208"/>
      <c r="AQ578" s="208"/>
      <c r="AR578" s="226"/>
      <c r="AS578" s="225"/>
      <c r="AT578" s="226"/>
      <c r="AU578" s="225"/>
      <c r="AV578" s="225"/>
      <c r="AW578" s="225"/>
      <c r="AX578" s="225"/>
      <c r="AY578" s="225"/>
    </row>
    <row r="579" spans="33:51" x14ac:dyDescent="0.25">
      <c r="AG579" s="66" t="str">
        <f>IF(AND(Множество[[#This Row],[Y]]=1),ROW()-ROW(Множество[[#Headers],[№]]),"")</f>
        <v/>
      </c>
      <c r="AI579" s="66">
        <v>1</v>
      </c>
      <c r="AJ579" s="66">
        <f>IF(LEN(Множество[[#This Row],[Свёртка]])&gt;0,1,-1)</f>
        <v>1</v>
      </c>
      <c r="AK579" s="66" t="s">
        <v>1781</v>
      </c>
      <c r="AL579" s="209">
        <f>IF(LEN(Множество[[#This Row],[Критерии]])&gt;0,1,-1)</f>
        <v>1</v>
      </c>
      <c r="AM579" s="209">
        <f>IF(AND(LEN(Множество[[#This Row],[Свёртка]])&gt;0,LEN(Множество[[#This Row],[Критерии]])&gt;0,LEN(Множество[[#This Row],[Оценки]])&gt;0),1,-1)</f>
        <v>-1</v>
      </c>
      <c r="AN579" s="208"/>
      <c r="AO579" s="208"/>
      <c r="AP579" s="208"/>
      <c r="AQ579" s="208"/>
      <c r="AR579" s="226"/>
      <c r="AS579" s="225"/>
      <c r="AT579" s="226"/>
      <c r="AU579" s="225"/>
      <c r="AV579" s="225"/>
      <c r="AW579" s="225"/>
      <c r="AX579" s="225"/>
      <c r="AY579" s="225"/>
    </row>
    <row r="580" spans="33:51" x14ac:dyDescent="0.25">
      <c r="AG580" s="66" t="str">
        <f>IF(AND(Множество[[#This Row],[Y]]=1),ROW()-ROW(Множество[[#Headers],[№]]),"")</f>
        <v/>
      </c>
      <c r="AI580" s="66">
        <v>1</v>
      </c>
      <c r="AJ580" s="66">
        <f>IF(LEN(Множество[[#This Row],[Свёртка]])&gt;0,1,-1)</f>
        <v>1</v>
      </c>
      <c r="AK580" s="66" t="s">
        <v>1781</v>
      </c>
      <c r="AL580" s="209">
        <f>IF(LEN(Множество[[#This Row],[Критерии]])&gt;0,1,-1)</f>
        <v>1</v>
      </c>
      <c r="AM580" s="209">
        <f>IF(AND(LEN(Множество[[#This Row],[Свёртка]])&gt;0,LEN(Множество[[#This Row],[Критерии]])&gt;0,LEN(Множество[[#This Row],[Оценки]])&gt;0),1,-1)</f>
        <v>-1</v>
      </c>
      <c r="AN580" s="208"/>
      <c r="AO580" s="208"/>
      <c r="AP580" s="208"/>
      <c r="AQ580" s="208"/>
      <c r="AR580" s="226"/>
      <c r="AS580" s="225"/>
      <c r="AT580" s="226"/>
      <c r="AU580" s="225"/>
      <c r="AV580" s="225"/>
      <c r="AW580" s="225"/>
      <c r="AX580" s="225"/>
      <c r="AY580" s="225"/>
    </row>
    <row r="581" spans="33:51" x14ac:dyDescent="0.25">
      <c r="AG581" s="66" t="str">
        <f>IF(AND(Множество[[#This Row],[Y]]=1),ROW()-ROW(Множество[[#Headers],[№]]),"")</f>
        <v/>
      </c>
      <c r="AI581" s="66">
        <v>1</v>
      </c>
      <c r="AJ581" s="66">
        <f>IF(LEN(Множество[[#This Row],[Свёртка]])&gt;0,1,-1)</f>
        <v>1</v>
      </c>
      <c r="AK581" s="66" t="s">
        <v>1781</v>
      </c>
      <c r="AL581" s="209">
        <f>IF(LEN(Множество[[#This Row],[Критерии]])&gt;0,1,-1)</f>
        <v>1</v>
      </c>
      <c r="AM581" s="209">
        <f>IF(AND(LEN(Множество[[#This Row],[Свёртка]])&gt;0,LEN(Множество[[#This Row],[Критерии]])&gt;0,LEN(Множество[[#This Row],[Оценки]])&gt;0),1,-1)</f>
        <v>-1</v>
      </c>
      <c r="AN581" s="208"/>
      <c r="AO581" s="208"/>
      <c r="AP581" s="208"/>
      <c r="AQ581" s="208"/>
      <c r="AR581" s="226"/>
      <c r="AS581" s="225"/>
      <c r="AT581" s="226"/>
      <c r="AU581" s="225"/>
      <c r="AV581" s="225"/>
      <c r="AW581" s="225"/>
      <c r="AX581" s="225"/>
      <c r="AY581" s="225"/>
    </row>
    <row r="582" spans="33:51" x14ac:dyDescent="0.25">
      <c r="AG582" s="66" t="str">
        <f>IF(AND(Множество[[#This Row],[Y]]=1),ROW()-ROW(Множество[[#Headers],[№]]),"")</f>
        <v/>
      </c>
      <c r="AI582" s="66">
        <v>1</v>
      </c>
      <c r="AJ582" s="66">
        <f>IF(LEN(Множество[[#This Row],[Свёртка]])&gt;0,1,-1)</f>
        <v>1</v>
      </c>
      <c r="AK582" s="66" t="s">
        <v>1781</v>
      </c>
      <c r="AL582" s="209">
        <f>IF(LEN(Множество[[#This Row],[Критерии]])&gt;0,1,-1)</f>
        <v>1</v>
      </c>
      <c r="AM582" s="209">
        <f>IF(AND(LEN(Множество[[#This Row],[Свёртка]])&gt;0,LEN(Множество[[#This Row],[Критерии]])&gt;0,LEN(Множество[[#This Row],[Оценки]])&gt;0),1,-1)</f>
        <v>-1</v>
      </c>
      <c r="AN582" s="208"/>
      <c r="AO582" s="208"/>
      <c r="AP582" s="208"/>
      <c r="AQ582" s="208"/>
      <c r="AR582" s="226"/>
      <c r="AS582" s="225"/>
      <c r="AT582" s="226"/>
      <c r="AU582" s="225"/>
      <c r="AV582" s="225"/>
      <c r="AW582" s="225"/>
      <c r="AX582" s="225"/>
      <c r="AY582" s="225"/>
    </row>
    <row r="583" spans="33:51" x14ac:dyDescent="0.25">
      <c r="AG583" s="66" t="str">
        <f>IF(AND(Множество[[#This Row],[Y]]=1),ROW()-ROW(Множество[[#Headers],[№]]),"")</f>
        <v/>
      </c>
      <c r="AI583" s="66">
        <v>1</v>
      </c>
      <c r="AJ583" s="66">
        <f>IF(LEN(Множество[[#This Row],[Свёртка]])&gt;0,1,-1)</f>
        <v>1</v>
      </c>
      <c r="AK583" s="66" t="s">
        <v>1781</v>
      </c>
      <c r="AL583" s="209">
        <f>IF(LEN(Множество[[#This Row],[Критерии]])&gt;0,1,-1)</f>
        <v>1</v>
      </c>
      <c r="AM583" s="209">
        <f>IF(AND(LEN(Множество[[#This Row],[Свёртка]])&gt;0,LEN(Множество[[#This Row],[Критерии]])&gt;0,LEN(Множество[[#This Row],[Оценки]])&gt;0),1,-1)</f>
        <v>-1</v>
      </c>
      <c r="AN583" s="208"/>
      <c r="AO583" s="208"/>
      <c r="AP583" s="208"/>
      <c r="AQ583" s="208"/>
      <c r="AR583" s="226"/>
      <c r="AS583" s="225"/>
      <c r="AT583" s="226"/>
      <c r="AU583" s="225"/>
      <c r="AV583" s="225"/>
      <c r="AW583" s="225"/>
      <c r="AX583" s="225"/>
      <c r="AY583" s="225"/>
    </row>
    <row r="584" spans="33:51" x14ac:dyDescent="0.25">
      <c r="AG584" s="66" t="str">
        <f>IF(AND(Множество[[#This Row],[Y]]=1),ROW()-ROW(Множество[[#Headers],[№]]),"")</f>
        <v/>
      </c>
      <c r="AI584" s="66">
        <v>1</v>
      </c>
      <c r="AJ584" s="66">
        <f>IF(LEN(Множество[[#This Row],[Свёртка]])&gt;0,1,-1)</f>
        <v>1</v>
      </c>
      <c r="AK584" s="66" t="s">
        <v>1781</v>
      </c>
      <c r="AL584" s="209">
        <f>IF(LEN(Множество[[#This Row],[Критерии]])&gt;0,1,-1)</f>
        <v>1</v>
      </c>
      <c r="AM584" s="209">
        <f>IF(AND(LEN(Множество[[#This Row],[Свёртка]])&gt;0,LEN(Множество[[#This Row],[Критерии]])&gt;0,LEN(Множество[[#This Row],[Оценки]])&gt;0),1,-1)</f>
        <v>-1</v>
      </c>
      <c r="AN584" s="208"/>
      <c r="AO584" s="208"/>
      <c r="AP584" s="208"/>
      <c r="AQ584" s="208"/>
      <c r="AR584" s="226"/>
      <c r="AS584" s="225"/>
      <c r="AT584" s="226"/>
      <c r="AU584" s="225"/>
      <c r="AV584" s="225"/>
      <c r="AW584" s="225"/>
      <c r="AX584" s="225"/>
      <c r="AY584" s="225"/>
    </row>
    <row r="585" spans="33:51" x14ac:dyDescent="0.25">
      <c r="AG585" s="66" t="str">
        <f>IF(AND(Множество[[#This Row],[Y]]=1),ROW()-ROW(Множество[[#Headers],[№]]),"")</f>
        <v/>
      </c>
      <c r="AI585" s="66">
        <v>1</v>
      </c>
      <c r="AJ585" s="66">
        <f>IF(LEN(Множество[[#This Row],[Свёртка]])&gt;0,1,-1)</f>
        <v>1</v>
      </c>
      <c r="AK585" s="66" t="s">
        <v>1781</v>
      </c>
      <c r="AL585" s="209">
        <f>IF(LEN(Множество[[#This Row],[Критерии]])&gt;0,1,-1)</f>
        <v>1</v>
      </c>
      <c r="AM585" s="209">
        <f>IF(AND(LEN(Множество[[#This Row],[Свёртка]])&gt;0,LEN(Множество[[#This Row],[Критерии]])&gt;0,LEN(Множество[[#This Row],[Оценки]])&gt;0),1,-1)</f>
        <v>-1</v>
      </c>
      <c r="AN585" s="208"/>
      <c r="AO585" s="208"/>
      <c r="AP585" s="208"/>
      <c r="AQ585" s="208"/>
      <c r="AR585" s="226"/>
      <c r="AS585" s="225"/>
      <c r="AT585" s="226"/>
      <c r="AU585" s="225"/>
      <c r="AV585" s="225"/>
      <c r="AW585" s="225"/>
      <c r="AX585" s="225"/>
      <c r="AY585" s="225"/>
    </row>
    <row r="586" spans="33:51" x14ac:dyDescent="0.25">
      <c r="AG586" s="66" t="str">
        <f>IF(AND(Множество[[#This Row],[Y]]=1),ROW()-ROW(Множество[[#Headers],[№]]),"")</f>
        <v/>
      </c>
      <c r="AI586" s="66">
        <v>1</v>
      </c>
      <c r="AJ586" s="66">
        <f>IF(LEN(Множество[[#This Row],[Свёртка]])&gt;0,1,-1)</f>
        <v>1</v>
      </c>
      <c r="AK586" s="66" t="s">
        <v>1781</v>
      </c>
      <c r="AL586" s="209">
        <f>IF(LEN(Множество[[#This Row],[Критерии]])&gt;0,1,-1)</f>
        <v>1</v>
      </c>
      <c r="AM586" s="209">
        <f>IF(AND(LEN(Множество[[#This Row],[Свёртка]])&gt;0,LEN(Множество[[#This Row],[Критерии]])&gt;0,LEN(Множество[[#This Row],[Оценки]])&gt;0),1,-1)</f>
        <v>-1</v>
      </c>
      <c r="AN586" s="208"/>
      <c r="AO586" s="208"/>
      <c r="AP586" s="208"/>
      <c r="AQ586" s="208"/>
      <c r="AR586" s="226"/>
      <c r="AS586" s="225"/>
      <c r="AT586" s="226"/>
      <c r="AU586" s="225"/>
      <c r="AV586" s="225"/>
      <c r="AW586" s="225"/>
      <c r="AX586" s="225"/>
      <c r="AY586" s="225"/>
    </row>
    <row r="587" spans="33:51" x14ac:dyDescent="0.25">
      <c r="AG587" s="66" t="str">
        <f>IF(AND(Множество[[#This Row],[Y]]=1),ROW()-ROW(Множество[[#Headers],[№]]),"")</f>
        <v/>
      </c>
      <c r="AI587" s="66">
        <v>1</v>
      </c>
      <c r="AJ587" s="66">
        <f>IF(LEN(Множество[[#This Row],[Свёртка]])&gt;0,1,-1)</f>
        <v>1</v>
      </c>
      <c r="AK587" s="66" t="s">
        <v>1781</v>
      </c>
      <c r="AL587" s="209">
        <f>IF(LEN(Множество[[#This Row],[Критерии]])&gt;0,1,-1)</f>
        <v>1</v>
      </c>
      <c r="AM587" s="209">
        <f>IF(AND(LEN(Множество[[#This Row],[Свёртка]])&gt;0,LEN(Множество[[#This Row],[Критерии]])&gt;0,LEN(Множество[[#This Row],[Оценки]])&gt;0),1,-1)</f>
        <v>-1</v>
      </c>
      <c r="AN587" s="208"/>
      <c r="AO587" s="208"/>
      <c r="AP587" s="208"/>
      <c r="AQ587" s="208"/>
      <c r="AR587" s="226"/>
      <c r="AS587" s="225"/>
      <c r="AT587" s="226"/>
      <c r="AU587" s="225"/>
      <c r="AV587" s="225"/>
      <c r="AW587" s="225"/>
      <c r="AX587" s="225"/>
      <c r="AY587" s="225"/>
    </row>
    <row r="588" spans="33:51" x14ac:dyDescent="0.25">
      <c r="AG588" s="66" t="str">
        <f>IF(AND(Множество[[#This Row],[Y]]=1),ROW()-ROW(Множество[[#Headers],[№]]),"")</f>
        <v/>
      </c>
      <c r="AI588" s="66">
        <v>1</v>
      </c>
      <c r="AJ588" s="66">
        <f>IF(LEN(Множество[[#This Row],[Свёртка]])&gt;0,1,-1)</f>
        <v>1</v>
      </c>
      <c r="AK588" s="66" t="s">
        <v>1781</v>
      </c>
      <c r="AL588" s="209">
        <f>IF(LEN(Множество[[#This Row],[Критерии]])&gt;0,1,-1)</f>
        <v>1</v>
      </c>
      <c r="AM588" s="209">
        <f>IF(AND(LEN(Множество[[#This Row],[Свёртка]])&gt;0,LEN(Множество[[#This Row],[Критерии]])&gt;0,LEN(Множество[[#This Row],[Оценки]])&gt;0),1,-1)</f>
        <v>-1</v>
      </c>
      <c r="AN588" s="208"/>
      <c r="AO588" s="208"/>
      <c r="AP588" s="208"/>
      <c r="AQ588" s="208"/>
      <c r="AR588" s="226"/>
      <c r="AS588" s="225"/>
      <c r="AT588" s="226"/>
      <c r="AU588" s="225"/>
      <c r="AV588" s="225"/>
      <c r="AW588" s="225"/>
      <c r="AX588" s="225"/>
      <c r="AY588" s="225"/>
    </row>
    <row r="589" spans="33:51" x14ac:dyDescent="0.25">
      <c r="AG589" s="66" t="str">
        <f>IF(AND(Множество[[#This Row],[Y]]=1),ROW()-ROW(Множество[[#Headers],[№]]),"")</f>
        <v/>
      </c>
      <c r="AI589" s="66">
        <v>1</v>
      </c>
      <c r="AJ589" s="66">
        <f>IF(LEN(Множество[[#This Row],[Свёртка]])&gt;0,1,-1)</f>
        <v>1</v>
      </c>
      <c r="AK589" s="66" t="s">
        <v>1781</v>
      </c>
      <c r="AL589" s="209">
        <f>IF(LEN(Множество[[#This Row],[Критерии]])&gt;0,1,-1)</f>
        <v>1</v>
      </c>
      <c r="AM589" s="209">
        <f>IF(AND(LEN(Множество[[#This Row],[Свёртка]])&gt;0,LEN(Множество[[#This Row],[Критерии]])&gt;0,LEN(Множество[[#This Row],[Оценки]])&gt;0),1,-1)</f>
        <v>-1</v>
      </c>
      <c r="AN589" s="230"/>
      <c r="AO589" s="208"/>
      <c r="AP589" s="208"/>
      <c r="AQ589" s="208"/>
      <c r="AR589" s="226"/>
      <c r="AS589" s="225"/>
      <c r="AT589" s="226"/>
      <c r="AU589" s="225"/>
      <c r="AV589" s="225"/>
      <c r="AW589" s="225"/>
      <c r="AX589" s="225"/>
      <c r="AY589" s="225"/>
    </row>
    <row r="590" spans="33:51" x14ac:dyDescent="0.25">
      <c r="AG590" s="66" t="str">
        <f>IF(AND(Множество[[#This Row],[Y]]=1),ROW()-ROW(Множество[[#Headers],[№]]),"")</f>
        <v/>
      </c>
      <c r="AI590" s="66">
        <v>1</v>
      </c>
      <c r="AJ590" s="66">
        <f>IF(LEN(Множество[[#This Row],[Свёртка]])&gt;0,1,-1)</f>
        <v>1</v>
      </c>
      <c r="AK590" s="66" t="s">
        <v>1781</v>
      </c>
      <c r="AL590" s="209">
        <f>IF(LEN(Множество[[#This Row],[Критерии]])&gt;0,1,-1)</f>
        <v>1</v>
      </c>
      <c r="AM590" s="209">
        <f>IF(AND(LEN(Множество[[#This Row],[Свёртка]])&gt;0,LEN(Множество[[#This Row],[Критерии]])&gt;0,LEN(Множество[[#This Row],[Оценки]])&gt;0),1,-1)</f>
        <v>-1</v>
      </c>
      <c r="AN590" s="230"/>
      <c r="AO590" s="208"/>
      <c r="AP590" s="208"/>
      <c r="AQ590" s="208"/>
      <c r="AR590" s="226"/>
      <c r="AS590" s="225"/>
      <c r="AT590" s="226"/>
      <c r="AU590" s="225"/>
      <c r="AV590" s="225"/>
      <c r="AW590" s="225"/>
      <c r="AX590" s="225"/>
      <c r="AY590" s="225"/>
    </row>
    <row r="591" spans="33:51" x14ac:dyDescent="0.25">
      <c r="AG591" s="66" t="str">
        <f>IF(AND(Множество[[#This Row],[Y]]=1),ROW()-ROW(Множество[[#Headers],[№]]),"")</f>
        <v/>
      </c>
      <c r="AI591" s="66">
        <v>1</v>
      </c>
      <c r="AJ591" s="66">
        <f>IF(LEN(Множество[[#This Row],[Свёртка]])&gt;0,1,-1)</f>
        <v>1</v>
      </c>
      <c r="AK591" s="66" t="s">
        <v>1781</v>
      </c>
      <c r="AL591" s="209">
        <f>IF(LEN(Множество[[#This Row],[Критерии]])&gt;0,1,-1)</f>
        <v>1</v>
      </c>
      <c r="AM591" s="209">
        <f>IF(AND(LEN(Множество[[#This Row],[Свёртка]])&gt;0,LEN(Множество[[#This Row],[Критерии]])&gt;0,LEN(Множество[[#This Row],[Оценки]])&gt;0),1,-1)</f>
        <v>-1</v>
      </c>
      <c r="AN591" s="230"/>
      <c r="AO591" s="208"/>
      <c r="AP591" s="208"/>
      <c r="AQ591" s="208"/>
      <c r="AR591" s="226"/>
      <c r="AS591" s="225"/>
      <c r="AT591" s="226"/>
      <c r="AU591" s="225"/>
      <c r="AV591" s="225"/>
      <c r="AW591" s="225"/>
      <c r="AX591" s="225"/>
      <c r="AY591" s="225"/>
    </row>
    <row r="592" spans="33:51" x14ac:dyDescent="0.25">
      <c r="AG592" s="66" t="str">
        <f>IF(AND(Множество[[#This Row],[Y]]=1),ROW()-ROW(Множество[[#Headers],[№]]),"")</f>
        <v/>
      </c>
      <c r="AI592" s="66">
        <v>1</v>
      </c>
      <c r="AJ592" s="66">
        <f>IF(LEN(Множество[[#This Row],[Свёртка]])&gt;0,1,-1)</f>
        <v>1</v>
      </c>
      <c r="AK592" s="66" t="s">
        <v>1781</v>
      </c>
      <c r="AL592" s="209">
        <f>IF(LEN(Множество[[#This Row],[Критерии]])&gt;0,1,-1)</f>
        <v>1</v>
      </c>
      <c r="AM592" s="209">
        <f>IF(AND(LEN(Множество[[#This Row],[Свёртка]])&gt;0,LEN(Множество[[#This Row],[Критерии]])&gt;0,LEN(Множество[[#This Row],[Оценки]])&gt;0),1,-1)</f>
        <v>-1</v>
      </c>
      <c r="AN592" s="230"/>
      <c r="AO592" s="208"/>
      <c r="AP592" s="208"/>
      <c r="AQ592" s="208"/>
      <c r="AR592" s="226"/>
      <c r="AS592" s="225"/>
      <c r="AT592" s="226"/>
      <c r="AU592" s="225"/>
      <c r="AV592" s="225"/>
      <c r="AW592" s="225"/>
      <c r="AX592" s="225"/>
      <c r="AY592" s="225"/>
    </row>
    <row r="593" spans="33:51" x14ac:dyDescent="0.25">
      <c r="AG593" s="66" t="str">
        <f>IF(AND(Множество[[#This Row],[Y]]=1),ROW()-ROW(Множество[[#Headers],[№]]),"")</f>
        <v/>
      </c>
      <c r="AI593" s="66">
        <v>1</v>
      </c>
      <c r="AJ593" s="66">
        <f>IF(LEN(Множество[[#This Row],[Свёртка]])&gt;0,1,-1)</f>
        <v>1</v>
      </c>
      <c r="AK593" s="66" t="s">
        <v>1781</v>
      </c>
      <c r="AL593" s="209">
        <f>IF(LEN(Множество[[#This Row],[Критерии]])&gt;0,1,-1)</f>
        <v>1</v>
      </c>
      <c r="AM593" s="209">
        <f>IF(AND(LEN(Множество[[#This Row],[Свёртка]])&gt;0,LEN(Множество[[#This Row],[Критерии]])&gt;0,LEN(Множество[[#This Row],[Оценки]])&gt;0),1,-1)</f>
        <v>-1</v>
      </c>
      <c r="AN593" s="230"/>
      <c r="AO593" s="208"/>
      <c r="AP593" s="208"/>
      <c r="AQ593" s="208"/>
      <c r="AR593" s="226"/>
      <c r="AS593" s="225"/>
      <c r="AT593" s="226"/>
      <c r="AU593" s="225"/>
      <c r="AV593" s="225"/>
      <c r="AW593" s="225"/>
      <c r="AX593" s="225"/>
      <c r="AY593" s="225"/>
    </row>
    <row r="594" spans="33:51" x14ac:dyDescent="0.25">
      <c r="AG594" s="66" t="str">
        <f>IF(AND(Множество[[#This Row],[Y]]=1),ROW()-ROW(Множество[[#Headers],[№]]),"")</f>
        <v/>
      </c>
      <c r="AI594" s="66">
        <v>1</v>
      </c>
      <c r="AJ594" s="66">
        <f>IF(LEN(Множество[[#This Row],[Свёртка]])&gt;0,1,-1)</f>
        <v>1</v>
      </c>
      <c r="AK594" s="66" t="s">
        <v>1781</v>
      </c>
      <c r="AL594" s="209">
        <f>IF(LEN(Множество[[#This Row],[Критерии]])&gt;0,1,-1)</f>
        <v>1</v>
      </c>
      <c r="AM594" s="209">
        <f>IF(AND(LEN(Множество[[#This Row],[Свёртка]])&gt;0,LEN(Множество[[#This Row],[Критерии]])&gt;0,LEN(Множество[[#This Row],[Оценки]])&gt;0),1,-1)</f>
        <v>-1</v>
      </c>
      <c r="AN594" s="230"/>
      <c r="AO594" s="208"/>
      <c r="AP594" s="208"/>
      <c r="AQ594" s="208"/>
      <c r="AR594" s="226"/>
      <c r="AS594" s="225"/>
      <c r="AT594" s="226"/>
      <c r="AU594" s="225"/>
      <c r="AV594" s="225"/>
      <c r="AW594" s="225"/>
      <c r="AX594" s="225"/>
      <c r="AY594" s="225"/>
    </row>
    <row r="595" spans="33:51" x14ac:dyDescent="0.25">
      <c r="AG595" s="66" t="str">
        <f>IF(AND(Множество[[#This Row],[Y]]=1),ROW()-ROW(Множество[[#Headers],[№]]),"")</f>
        <v/>
      </c>
      <c r="AI595" s="66">
        <v>1</v>
      </c>
      <c r="AJ595" s="66">
        <f>IF(LEN(Множество[[#This Row],[Свёртка]])&gt;0,1,-1)</f>
        <v>1</v>
      </c>
      <c r="AK595" s="66" t="s">
        <v>1781</v>
      </c>
      <c r="AL595" s="209">
        <f>IF(LEN(Множество[[#This Row],[Критерии]])&gt;0,1,-1)</f>
        <v>1</v>
      </c>
      <c r="AM595" s="209">
        <f>IF(AND(LEN(Множество[[#This Row],[Свёртка]])&gt;0,LEN(Множество[[#This Row],[Критерии]])&gt;0,LEN(Множество[[#This Row],[Оценки]])&gt;0),1,-1)</f>
        <v>-1</v>
      </c>
      <c r="AN595" s="230"/>
      <c r="AO595" s="208"/>
      <c r="AP595" s="208"/>
      <c r="AQ595" s="208"/>
      <c r="AR595" s="226"/>
      <c r="AS595" s="225"/>
      <c r="AT595" s="226"/>
      <c r="AU595" s="225"/>
      <c r="AV595" s="225"/>
      <c r="AW595" s="225"/>
      <c r="AX595" s="225"/>
      <c r="AY595" s="225"/>
    </row>
    <row r="596" spans="33:51" x14ac:dyDescent="0.25">
      <c r="AG596" s="66" t="str">
        <f>IF(AND(Множество[[#This Row],[Y]]=1),ROW()-ROW(Множество[[#Headers],[№]]),"")</f>
        <v/>
      </c>
      <c r="AI596" s="66">
        <v>1</v>
      </c>
      <c r="AJ596" s="66">
        <f>IF(LEN(Множество[[#This Row],[Свёртка]])&gt;0,1,-1)</f>
        <v>1</v>
      </c>
      <c r="AK596" s="66" t="s">
        <v>1781</v>
      </c>
      <c r="AL596" s="209">
        <f>IF(LEN(Множество[[#This Row],[Критерии]])&gt;0,1,-1)</f>
        <v>1</v>
      </c>
      <c r="AM596" s="209">
        <f>IF(AND(LEN(Множество[[#This Row],[Свёртка]])&gt;0,LEN(Множество[[#This Row],[Критерии]])&gt;0,LEN(Множество[[#This Row],[Оценки]])&gt;0),1,-1)</f>
        <v>-1</v>
      </c>
      <c r="AN596" s="230"/>
      <c r="AO596" s="208"/>
      <c r="AP596" s="208"/>
      <c r="AQ596" s="208"/>
      <c r="AR596" s="226"/>
      <c r="AS596" s="225"/>
      <c r="AT596" s="226"/>
      <c r="AU596" s="225"/>
      <c r="AV596" s="225"/>
      <c r="AW596" s="225"/>
      <c r="AX596" s="225"/>
      <c r="AY596" s="225"/>
    </row>
    <row r="597" spans="33:51" x14ac:dyDescent="0.25">
      <c r="AG597" s="66" t="str">
        <f>IF(AND(Множество[[#This Row],[Y]]=1),ROW()-ROW(Множество[[#Headers],[№]]),"")</f>
        <v/>
      </c>
      <c r="AI597" s="66">
        <v>1</v>
      </c>
      <c r="AJ597" s="66">
        <f>IF(LEN(Множество[[#This Row],[Свёртка]])&gt;0,1,-1)</f>
        <v>1</v>
      </c>
      <c r="AK597" s="66" t="s">
        <v>1781</v>
      </c>
      <c r="AL597" s="209">
        <f>IF(LEN(Множество[[#This Row],[Критерии]])&gt;0,1,-1)</f>
        <v>1</v>
      </c>
      <c r="AM597" s="209">
        <f>IF(AND(LEN(Множество[[#This Row],[Свёртка]])&gt;0,LEN(Множество[[#This Row],[Критерии]])&gt;0,LEN(Множество[[#This Row],[Оценки]])&gt;0),1,-1)</f>
        <v>-1</v>
      </c>
      <c r="AN597" s="230"/>
      <c r="AO597" s="208"/>
      <c r="AP597" s="208"/>
      <c r="AQ597" s="208"/>
      <c r="AR597" s="226"/>
      <c r="AS597" s="225"/>
      <c r="AT597" s="226"/>
      <c r="AU597" s="225"/>
      <c r="AV597" s="225"/>
      <c r="AW597" s="225"/>
      <c r="AX597" s="225"/>
      <c r="AY597" s="225"/>
    </row>
    <row r="598" spans="33:51" x14ac:dyDescent="0.25">
      <c r="AG598" s="66" t="str">
        <f>IF(AND(Множество[[#This Row],[Y]]=1),ROW()-ROW(Множество[[#Headers],[№]]),"")</f>
        <v/>
      </c>
      <c r="AI598" s="66">
        <v>1</v>
      </c>
      <c r="AJ598" s="66">
        <f>IF(LEN(Множество[[#This Row],[Свёртка]])&gt;0,1,-1)</f>
        <v>1</v>
      </c>
      <c r="AK598" s="66" t="s">
        <v>1781</v>
      </c>
      <c r="AL598" s="209">
        <f>IF(LEN(Множество[[#This Row],[Критерии]])&gt;0,1,-1)</f>
        <v>1</v>
      </c>
      <c r="AM598" s="209">
        <f>IF(AND(LEN(Множество[[#This Row],[Свёртка]])&gt;0,LEN(Множество[[#This Row],[Критерии]])&gt;0,LEN(Множество[[#This Row],[Оценки]])&gt;0),1,-1)</f>
        <v>-1</v>
      </c>
      <c r="AN598" s="230"/>
      <c r="AO598" s="208"/>
      <c r="AP598" s="208"/>
      <c r="AQ598" s="208"/>
      <c r="AR598" s="226"/>
      <c r="AS598" s="225"/>
      <c r="AT598" s="226"/>
      <c r="AU598" s="225"/>
      <c r="AV598" s="225"/>
      <c r="AW598" s="225"/>
      <c r="AX598" s="225"/>
      <c r="AY598" s="225"/>
    </row>
    <row r="599" spans="33:51" x14ac:dyDescent="0.25">
      <c r="AG599" s="66" t="str">
        <f>IF(AND(Множество[[#This Row],[Y]]=1),ROW()-ROW(Множество[[#Headers],[№]]),"")</f>
        <v/>
      </c>
      <c r="AI599" s="66">
        <v>1</v>
      </c>
      <c r="AJ599" s="66">
        <f>IF(LEN(Множество[[#This Row],[Свёртка]])&gt;0,1,-1)</f>
        <v>1</v>
      </c>
      <c r="AK599" s="66" t="s">
        <v>1781</v>
      </c>
      <c r="AL599" s="209">
        <f>IF(LEN(Множество[[#This Row],[Критерии]])&gt;0,1,-1)</f>
        <v>1</v>
      </c>
      <c r="AM599" s="209">
        <f>IF(AND(LEN(Множество[[#This Row],[Свёртка]])&gt;0,LEN(Множество[[#This Row],[Критерии]])&gt;0,LEN(Множество[[#This Row],[Оценки]])&gt;0),1,-1)</f>
        <v>-1</v>
      </c>
      <c r="AN599" s="230"/>
      <c r="AO599" s="208"/>
      <c r="AP599" s="208"/>
      <c r="AQ599" s="208"/>
      <c r="AR599" s="226"/>
      <c r="AS599" s="225"/>
      <c r="AT599" s="226"/>
      <c r="AU599" s="225"/>
      <c r="AV599" s="225"/>
      <c r="AW599" s="225"/>
      <c r="AX599" s="225"/>
      <c r="AY599" s="225"/>
    </row>
    <row r="600" spans="33:51" x14ac:dyDescent="0.25">
      <c r="AG600" s="66" t="str">
        <f>IF(AND(Множество[[#This Row],[Y]]=1),ROW()-ROW(Множество[[#Headers],[№]]),"")</f>
        <v/>
      </c>
      <c r="AI600" s="66">
        <v>1</v>
      </c>
      <c r="AJ600" s="66">
        <f>IF(LEN(Множество[[#This Row],[Свёртка]])&gt;0,1,-1)</f>
        <v>1</v>
      </c>
      <c r="AK600" s="66" t="s">
        <v>1781</v>
      </c>
      <c r="AL600" s="209">
        <f>IF(LEN(Множество[[#This Row],[Критерии]])&gt;0,1,-1)</f>
        <v>1</v>
      </c>
      <c r="AM600" s="209">
        <f>IF(AND(LEN(Множество[[#This Row],[Свёртка]])&gt;0,LEN(Множество[[#This Row],[Критерии]])&gt;0,LEN(Множество[[#This Row],[Оценки]])&gt;0),1,-1)</f>
        <v>-1</v>
      </c>
      <c r="AN600" s="230"/>
      <c r="AO600" s="208"/>
      <c r="AP600" s="208"/>
      <c r="AQ600" s="208"/>
      <c r="AR600" s="226"/>
      <c r="AS600" s="225"/>
      <c r="AT600" s="226"/>
      <c r="AU600" s="225"/>
      <c r="AV600" s="225"/>
      <c r="AW600" s="225"/>
      <c r="AX600" s="225"/>
      <c r="AY600" s="225"/>
    </row>
    <row r="601" spans="33:51" x14ac:dyDescent="0.25">
      <c r="AG601" s="66" t="str">
        <f>IF(AND(Множество[[#This Row],[Y]]=1),ROW()-ROW(Множество[[#Headers],[№]]),"")</f>
        <v/>
      </c>
      <c r="AI601" s="66">
        <v>1</v>
      </c>
      <c r="AJ601" s="66">
        <f>IF(LEN(Множество[[#This Row],[Свёртка]])&gt;0,1,-1)</f>
        <v>1</v>
      </c>
      <c r="AK601" s="66" t="s">
        <v>1781</v>
      </c>
      <c r="AL601" s="209">
        <f>IF(LEN(Множество[[#This Row],[Критерии]])&gt;0,1,-1)</f>
        <v>1</v>
      </c>
      <c r="AM601" s="209">
        <f>IF(AND(LEN(Множество[[#This Row],[Свёртка]])&gt;0,LEN(Множество[[#This Row],[Критерии]])&gt;0,LEN(Множество[[#This Row],[Оценки]])&gt;0),1,-1)</f>
        <v>-1</v>
      </c>
      <c r="AN601" s="230"/>
      <c r="AO601" s="208"/>
      <c r="AP601" s="208"/>
      <c r="AQ601" s="208"/>
      <c r="AR601" s="226"/>
      <c r="AS601" s="225"/>
      <c r="AT601" s="226"/>
      <c r="AU601" s="225"/>
      <c r="AV601" s="225"/>
      <c r="AW601" s="225"/>
      <c r="AX601" s="225"/>
      <c r="AY601" s="225"/>
    </row>
    <row r="602" spans="33:51" x14ac:dyDescent="0.25">
      <c r="AG602" s="66" t="str">
        <f>IF(AND(Множество[[#This Row],[Y]]=1),ROW()-ROW(Множество[[#Headers],[№]]),"")</f>
        <v/>
      </c>
      <c r="AI602" s="66">
        <v>1</v>
      </c>
      <c r="AJ602" s="66">
        <f>IF(LEN(Множество[[#This Row],[Свёртка]])&gt;0,1,-1)</f>
        <v>1</v>
      </c>
      <c r="AK602" s="66" t="s">
        <v>1781</v>
      </c>
      <c r="AL602" s="209">
        <f>IF(LEN(Множество[[#This Row],[Критерии]])&gt;0,1,-1)</f>
        <v>1</v>
      </c>
      <c r="AM602" s="209">
        <f>IF(AND(LEN(Множество[[#This Row],[Свёртка]])&gt;0,LEN(Множество[[#This Row],[Критерии]])&gt;0,LEN(Множество[[#This Row],[Оценки]])&gt;0),1,-1)</f>
        <v>-1</v>
      </c>
      <c r="AN602" s="230"/>
      <c r="AO602" s="208"/>
      <c r="AP602" s="208"/>
      <c r="AQ602" s="208"/>
      <c r="AR602" s="226"/>
      <c r="AS602" s="225"/>
      <c r="AT602" s="226"/>
      <c r="AU602" s="225"/>
      <c r="AV602" s="225"/>
      <c r="AW602" s="225"/>
      <c r="AX602" s="225"/>
      <c r="AY602" s="225"/>
    </row>
    <row r="603" spans="33:51" x14ac:dyDescent="0.25">
      <c r="AG603" s="66" t="str">
        <f>IF(AND(Множество[[#This Row],[Y]]=1),ROW()-ROW(Множество[[#Headers],[№]]),"")</f>
        <v/>
      </c>
      <c r="AI603" s="66">
        <v>1</v>
      </c>
      <c r="AJ603" s="66">
        <f>IF(LEN(Множество[[#This Row],[Свёртка]])&gt;0,1,-1)</f>
        <v>1</v>
      </c>
      <c r="AK603" s="66" t="s">
        <v>1781</v>
      </c>
      <c r="AL603" s="209">
        <f>IF(LEN(Множество[[#This Row],[Критерии]])&gt;0,1,-1)</f>
        <v>1</v>
      </c>
      <c r="AM603" s="209">
        <f>IF(AND(LEN(Множество[[#This Row],[Свёртка]])&gt;0,LEN(Множество[[#This Row],[Критерии]])&gt;0,LEN(Множество[[#This Row],[Оценки]])&gt;0),1,-1)</f>
        <v>-1</v>
      </c>
      <c r="AN603" s="230"/>
      <c r="AO603" s="208"/>
      <c r="AP603" s="208"/>
      <c r="AQ603" s="208"/>
      <c r="AR603" s="226"/>
      <c r="AS603" s="225"/>
      <c r="AT603" s="226"/>
      <c r="AU603" s="225"/>
      <c r="AV603" s="225"/>
      <c r="AW603" s="225"/>
      <c r="AX603" s="225"/>
      <c r="AY603" s="225"/>
    </row>
    <row r="604" spans="33:51" x14ac:dyDescent="0.25">
      <c r="AG604" s="66" t="str">
        <f>IF(AND(Множество[[#This Row],[Y]]=1),ROW()-ROW(Множество[[#Headers],[№]]),"")</f>
        <v/>
      </c>
      <c r="AI604" s="66">
        <v>1</v>
      </c>
      <c r="AJ604" s="66">
        <f>IF(LEN(Множество[[#This Row],[Свёртка]])&gt;0,1,-1)</f>
        <v>1</v>
      </c>
      <c r="AK604" s="66" t="s">
        <v>1781</v>
      </c>
      <c r="AL604" s="209">
        <f>IF(LEN(Множество[[#This Row],[Критерии]])&gt;0,1,-1)</f>
        <v>1</v>
      </c>
      <c r="AM604" s="209">
        <f>IF(AND(LEN(Множество[[#This Row],[Свёртка]])&gt;0,LEN(Множество[[#This Row],[Критерии]])&gt;0,LEN(Множество[[#This Row],[Оценки]])&gt;0),1,-1)</f>
        <v>-1</v>
      </c>
      <c r="AN604" s="230"/>
      <c r="AO604" s="208"/>
      <c r="AP604" s="208"/>
      <c r="AQ604" s="208"/>
      <c r="AR604" s="226"/>
      <c r="AS604" s="225"/>
      <c r="AT604" s="226"/>
      <c r="AU604" s="225"/>
      <c r="AV604" s="225"/>
      <c r="AW604" s="225"/>
      <c r="AX604" s="225"/>
      <c r="AY604" s="225"/>
    </row>
    <row r="605" spans="33:51" x14ac:dyDescent="0.25">
      <c r="AG605" s="66" t="str">
        <f>IF(AND(Множество[[#This Row],[Y]]=1),ROW()-ROW(Множество[[#Headers],[№]]),"")</f>
        <v/>
      </c>
      <c r="AI605" s="66">
        <v>1</v>
      </c>
      <c r="AJ605" s="66">
        <f>IF(LEN(Множество[[#This Row],[Свёртка]])&gt;0,1,-1)</f>
        <v>1</v>
      </c>
      <c r="AK605" s="66" t="s">
        <v>1781</v>
      </c>
      <c r="AL605" s="209">
        <f>IF(LEN(Множество[[#This Row],[Критерии]])&gt;0,1,-1)</f>
        <v>1</v>
      </c>
      <c r="AM605" s="209">
        <f>IF(AND(LEN(Множество[[#This Row],[Свёртка]])&gt;0,LEN(Множество[[#This Row],[Критерии]])&gt;0,LEN(Множество[[#This Row],[Оценки]])&gt;0),1,-1)</f>
        <v>-1</v>
      </c>
      <c r="AN605" s="230"/>
      <c r="AO605" s="208"/>
      <c r="AP605" s="208"/>
      <c r="AQ605" s="208"/>
      <c r="AR605" s="226"/>
      <c r="AS605" s="225"/>
      <c r="AT605" s="226"/>
      <c r="AU605" s="225"/>
      <c r="AV605" s="225"/>
      <c r="AW605" s="225"/>
      <c r="AX605" s="225"/>
      <c r="AY605" s="225"/>
    </row>
    <row r="606" spans="33:51" x14ac:dyDescent="0.25">
      <c r="AG606" s="66" t="str">
        <f>IF(AND(Множество[[#This Row],[Y]]=1),ROW()-ROW(Множество[[#Headers],[№]]),"")</f>
        <v/>
      </c>
      <c r="AI606" s="66">
        <v>1</v>
      </c>
      <c r="AJ606" s="66">
        <f>IF(LEN(Множество[[#This Row],[Свёртка]])&gt;0,1,-1)</f>
        <v>1</v>
      </c>
      <c r="AK606" s="66" t="s">
        <v>1781</v>
      </c>
      <c r="AL606" s="209">
        <f>IF(LEN(Множество[[#This Row],[Критерии]])&gt;0,1,-1)</f>
        <v>1</v>
      </c>
      <c r="AM606" s="209">
        <f>IF(AND(LEN(Множество[[#This Row],[Свёртка]])&gt;0,LEN(Множество[[#This Row],[Критерии]])&gt;0,LEN(Множество[[#This Row],[Оценки]])&gt;0),1,-1)</f>
        <v>-1</v>
      </c>
      <c r="AN606" s="230"/>
      <c r="AO606" s="208"/>
      <c r="AP606" s="208"/>
      <c r="AQ606" s="208"/>
      <c r="AR606" s="226"/>
      <c r="AS606" s="225"/>
      <c r="AT606" s="226"/>
      <c r="AU606" s="225"/>
      <c r="AV606" s="225"/>
      <c r="AW606" s="225"/>
      <c r="AX606" s="225"/>
      <c r="AY606" s="225"/>
    </row>
    <row r="607" spans="33:51" x14ac:dyDescent="0.25">
      <c r="AG607" s="66" t="str">
        <f>IF(AND(Множество[[#This Row],[Y]]=1),ROW()-ROW(Множество[[#Headers],[№]]),"")</f>
        <v/>
      </c>
      <c r="AI607" s="66">
        <v>1</v>
      </c>
      <c r="AJ607" s="66">
        <f>IF(LEN(Множество[[#This Row],[Свёртка]])&gt;0,1,-1)</f>
        <v>1</v>
      </c>
      <c r="AK607" s="66" t="s">
        <v>1781</v>
      </c>
      <c r="AL607" s="209">
        <f>IF(LEN(Множество[[#This Row],[Критерии]])&gt;0,1,-1)</f>
        <v>1</v>
      </c>
      <c r="AM607" s="209">
        <f>IF(AND(LEN(Множество[[#This Row],[Свёртка]])&gt;0,LEN(Множество[[#This Row],[Критерии]])&gt;0,LEN(Множество[[#This Row],[Оценки]])&gt;0),1,-1)</f>
        <v>-1</v>
      </c>
      <c r="AN607" s="230"/>
      <c r="AO607" s="208"/>
      <c r="AP607" s="208"/>
      <c r="AQ607" s="208"/>
      <c r="AR607" s="226"/>
      <c r="AS607" s="225"/>
      <c r="AT607" s="226"/>
      <c r="AU607" s="225"/>
      <c r="AV607" s="225"/>
      <c r="AW607" s="225"/>
      <c r="AX607" s="225"/>
      <c r="AY607" s="225"/>
    </row>
    <row r="608" spans="33:51" x14ac:dyDescent="0.25">
      <c r="AG608" s="66" t="str">
        <f>IF(AND(Множество[[#This Row],[Y]]=1),ROW()-ROW(Множество[[#Headers],[№]]),"")</f>
        <v/>
      </c>
      <c r="AI608" s="66">
        <v>1</v>
      </c>
      <c r="AJ608" s="66">
        <f>IF(LEN(Множество[[#This Row],[Свёртка]])&gt;0,1,-1)</f>
        <v>1</v>
      </c>
      <c r="AK608" s="66" t="s">
        <v>1781</v>
      </c>
      <c r="AL608" s="209">
        <f>IF(LEN(Множество[[#This Row],[Критерии]])&gt;0,1,-1)</f>
        <v>1</v>
      </c>
      <c r="AM608" s="209">
        <f>IF(AND(LEN(Множество[[#This Row],[Свёртка]])&gt;0,LEN(Множество[[#This Row],[Критерии]])&gt;0,LEN(Множество[[#This Row],[Оценки]])&gt;0),1,-1)</f>
        <v>-1</v>
      </c>
      <c r="AN608" s="230"/>
      <c r="AO608" s="208"/>
      <c r="AP608" s="208"/>
      <c r="AQ608" s="208"/>
      <c r="AR608" s="226"/>
      <c r="AS608" s="225"/>
      <c r="AT608" s="226"/>
      <c r="AU608" s="225"/>
      <c r="AV608" s="225"/>
      <c r="AW608" s="225"/>
      <c r="AX608" s="225"/>
      <c r="AY608" s="225"/>
    </row>
    <row r="609" spans="33:51" x14ac:dyDescent="0.25">
      <c r="AG609" s="66" t="str">
        <f>IF(AND(Множество[[#This Row],[Y]]=1),ROW()-ROW(Множество[[#Headers],[№]]),"")</f>
        <v/>
      </c>
      <c r="AI609" s="66">
        <v>1</v>
      </c>
      <c r="AJ609" s="66">
        <f>IF(LEN(Множество[[#This Row],[Свёртка]])&gt;0,1,-1)</f>
        <v>1</v>
      </c>
      <c r="AK609" s="66" t="s">
        <v>1781</v>
      </c>
      <c r="AL609" s="209">
        <f>IF(LEN(Множество[[#This Row],[Критерии]])&gt;0,1,-1)</f>
        <v>1</v>
      </c>
      <c r="AM609" s="209">
        <f>IF(AND(LEN(Множество[[#This Row],[Свёртка]])&gt;0,LEN(Множество[[#This Row],[Критерии]])&gt;0,LEN(Множество[[#This Row],[Оценки]])&gt;0),1,-1)</f>
        <v>-1</v>
      </c>
      <c r="AN609" s="230"/>
      <c r="AO609" s="208"/>
      <c r="AP609" s="208"/>
      <c r="AQ609" s="208"/>
      <c r="AR609" s="226"/>
      <c r="AS609" s="225"/>
      <c r="AT609" s="226"/>
      <c r="AU609" s="225"/>
      <c r="AV609" s="225"/>
      <c r="AW609" s="225"/>
      <c r="AX609" s="225"/>
      <c r="AY609" s="225"/>
    </row>
    <row r="610" spans="33:51" x14ac:dyDescent="0.25">
      <c r="AG610" s="66" t="str">
        <f>IF(AND(Множество[[#This Row],[Y]]=1),ROW()-ROW(Множество[[#Headers],[№]]),"")</f>
        <v/>
      </c>
      <c r="AI610" s="66">
        <v>1</v>
      </c>
      <c r="AJ610" s="66">
        <f>IF(LEN(Множество[[#This Row],[Свёртка]])&gt;0,1,-1)</f>
        <v>1</v>
      </c>
      <c r="AK610" s="66" t="s">
        <v>1781</v>
      </c>
      <c r="AL610" s="209">
        <f>IF(LEN(Множество[[#This Row],[Критерии]])&gt;0,1,-1)</f>
        <v>1</v>
      </c>
      <c r="AM610" s="209">
        <f>IF(AND(LEN(Множество[[#This Row],[Свёртка]])&gt;0,LEN(Множество[[#This Row],[Критерии]])&gt;0,LEN(Множество[[#This Row],[Оценки]])&gt;0),1,-1)</f>
        <v>-1</v>
      </c>
      <c r="AN610" s="230"/>
      <c r="AO610" s="208"/>
      <c r="AP610" s="208"/>
      <c r="AQ610" s="208"/>
      <c r="AR610" s="226"/>
      <c r="AS610" s="225"/>
      <c r="AT610" s="226"/>
      <c r="AU610" s="225"/>
      <c r="AV610" s="225"/>
      <c r="AW610" s="225"/>
      <c r="AX610" s="225"/>
      <c r="AY610" s="225"/>
    </row>
    <row r="611" spans="33:51" x14ac:dyDescent="0.25">
      <c r="AG611" s="66" t="str">
        <f>IF(AND(Множество[[#This Row],[Y]]=1),ROW()-ROW(Множество[[#Headers],[№]]),"")</f>
        <v/>
      </c>
      <c r="AI611" s="66">
        <v>1</v>
      </c>
      <c r="AJ611" s="66">
        <f>IF(LEN(Множество[[#This Row],[Свёртка]])&gt;0,1,-1)</f>
        <v>1</v>
      </c>
      <c r="AK611" s="66" t="s">
        <v>1781</v>
      </c>
      <c r="AL611" s="209">
        <f>IF(LEN(Множество[[#This Row],[Критерии]])&gt;0,1,-1)</f>
        <v>1</v>
      </c>
      <c r="AM611" s="209">
        <f>IF(AND(LEN(Множество[[#This Row],[Свёртка]])&gt;0,LEN(Множество[[#This Row],[Критерии]])&gt;0,LEN(Множество[[#This Row],[Оценки]])&gt;0),1,-1)</f>
        <v>-1</v>
      </c>
      <c r="AN611" s="230"/>
      <c r="AO611" s="208"/>
      <c r="AP611" s="208"/>
      <c r="AQ611" s="208"/>
      <c r="AR611" s="226"/>
      <c r="AS611" s="225"/>
      <c r="AT611" s="226"/>
      <c r="AU611" s="225"/>
      <c r="AV611" s="225"/>
      <c r="AW611" s="225"/>
      <c r="AX611" s="225"/>
      <c r="AY611" s="225"/>
    </row>
    <row r="612" spans="33:51" x14ac:dyDescent="0.25">
      <c r="AG612" s="66" t="str">
        <f>IF(AND(Множество[[#This Row],[Y]]=1),ROW()-ROW(Множество[[#Headers],[№]]),"")</f>
        <v/>
      </c>
      <c r="AI612" s="66">
        <v>1</v>
      </c>
      <c r="AJ612" s="66">
        <f>IF(LEN(Множество[[#This Row],[Свёртка]])&gt;0,1,-1)</f>
        <v>1</v>
      </c>
      <c r="AK612" s="66" t="s">
        <v>1781</v>
      </c>
      <c r="AL612" s="209">
        <f>IF(LEN(Множество[[#This Row],[Критерии]])&gt;0,1,-1)</f>
        <v>1</v>
      </c>
      <c r="AM612" s="209">
        <f>IF(AND(LEN(Множество[[#This Row],[Свёртка]])&gt;0,LEN(Множество[[#This Row],[Критерии]])&gt;0,LEN(Множество[[#This Row],[Оценки]])&gt;0),1,-1)</f>
        <v>-1</v>
      </c>
      <c r="AN612" s="230"/>
      <c r="AO612" s="208"/>
      <c r="AP612" s="208"/>
      <c r="AQ612" s="208"/>
      <c r="AR612" s="226"/>
      <c r="AS612" s="225"/>
      <c r="AT612" s="226"/>
      <c r="AU612" s="225"/>
      <c r="AV612" s="225"/>
      <c r="AW612" s="225"/>
      <c r="AX612" s="225"/>
      <c r="AY612" s="225"/>
    </row>
    <row r="613" spans="33:51" x14ac:dyDescent="0.25">
      <c r="AG613" s="66" t="str">
        <f>IF(AND(Множество[[#This Row],[Y]]=1),ROW()-ROW(Множество[[#Headers],[№]]),"")</f>
        <v/>
      </c>
      <c r="AI613" s="66">
        <v>1</v>
      </c>
      <c r="AJ613" s="66">
        <f>IF(LEN(Множество[[#This Row],[Свёртка]])&gt;0,1,-1)</f>
        <v>1</v>
      </c>
      <c r="AK613" s="66" t="s">
        <v>1781</v>
      </c>
      <c r="AL613" s="209">
        <f>IF(LEN(Множество[[#This Row],[Критерии]])&gt;0,1,-1)</f>
        <v>1</v>
      </c>
      <c r="AM613" s="209">
        <f>IF(AND(LEN(Множество[[#This Row],[Свёртка]])&gt;0,LEN(Множество[[#This Row],[Критерии]])&gt;0,LEN(Множество[[#This Row],[Оценки]])&gt;0),1,-1)</f>
        <v>-1</v>
      </c>
      <c r="AN613" s="230"/>
      <c r="AO613" s="208"/>
      <c r="AP613" s="208"/>
      <c r="AQ613" s="208"/>
      <c r="AR613" s="226"/>
      <c r="AS613" s="225"/>
      <c r="AT613" s="226"/>
      <c r="AU613" s="225"/>
      <c r="AV613" s="225"/>
      <c r="AW613" s="225"/>
      <c r="AX613" s="225"/>
      <c r="AY613" s="225"/>
    </row>
    <row r="614" spans="33:51" x14ac:dyDescent="0.25">
      <c r="AG614" s="66" t="str">
        <f>IF(AND(Множество[[#This Row],[Y]]=1),ROW()-ROW(Множество[[#Headers],[№]]),"")</f>
        <v/>
      </c>
      <c r="AI614" s="66">
        <v>1</v>
      </c>
      <c r="AJ614" s="66">
        <f>IF(LEN(Множество[[#This Row],[Свёртка]])&gt;0,1,-1)</f>
        <v>1</v>
      </c>
      <c r="AK614" s="66" t="s">
        <v>1781</v>
      </c>
      <c r="AL614" s="209">
        <f>IF(LEN(Множество[[#This Row],[Критерии]])&gt;0,1,-1)</f>
        <v>1</v>
      </c>
      <c r="AM614" s="209">
        <f>IF(AND(LEN(Множество[[#This Row],[Свёртка]])&gt;0,LEN(Множество[[#This Row],[Критерии]])&gt;0,LEN(Множество[[#This Row],[Оценки]])&gt;0),1,-1)</f>
        <v>-1</v>
      </c>
      <c r="AN614" s="230"/>
      <c r="AO614" s="208"/>
      <c r="AP614" s="208"/>
      <c r="AQ614" s="208"/>
      <c r="AR614" s="226"/>
      <c r="AS614" s="225"/>
      <c r="AT614" s="226"/>
      <c r="AU614" s="225"/>
      <c r="AV614" s="225"/>
      <c r="AW614" s="225"/>
      <c r="AX614" s="225"/>
      <c r="AY614" s="225"/>
    </row>
    <row r="615" spans="33:51" x14ac:dyDescent="0.25">
      <c r="AG615" s="66" t="str">
        <f>IF(AND(Множество[[#This Row],[Y]]=1),ROW()-ROW(Множество[[#Headers],[№]]),"")</f>
        <v/>
      </c>
      <c r="AI615" s="66">
        <v>1</v>
      </c>
      <c r="AJ615" s="66">
        <f>IF(LEN(Множество[[#This Row],[Свёртка]])&gt;0,1,-1)</f>
        <v>1</v>
      </c>
      <c r="AK615" s="66" t="s">
        <v>1781</v>
      </c>
      <c r="AL615" s="209">
        <f>IF(LEN(Множество[[#This Row],[Критерии]])&gt;0,1,-1)</f>
        <v>1</v>
      </c>
      <c r="AM615" s="209">
        <f>IF(AND(LEN(Множество[[#This Row],[Свёртка]])&gt;0,LEN(Множество[[#This Row],[Критерии]])&gt;0,LEN(Множество[[#This Row],[Оценки]])&gt;0),1,-1)</f>
        <v>-1</v>
      </c>
      <c r="AN615" s="230"/>
      <c r="AO615" s="208"/>
      <c r="AP615" s="208"/>
      <c r="AQ615" s="208"/>
      <c r="AR615" s="226"/>
      <c r="AS615" s="225"/>
      <c r="AT615" s="226"/>
      <c r="AU615" s="225"/>
      <c r="AV615" s="225"/>
      <c r="AW615" s="225"/>
      <c r="AX615" s="225"/>
      <c r="AY615" s="225"/>
    </row>
    <row r="616" spans="33:51" x14ac:dyDescent="0.25">
      <c r="AG616" s="66" t="str">
        <f>IF(AND(Множество[[#This Row],[Y]]=1),ROW()-ROW(Множество[[#Headers],[№]]),"")</f>
        <v/>
      </c>
      <c r="AI616" s="66">
        <v>1</v>
      </c>
      <c r="AJ616" s="66">
        <f>IF(LEN(Множество[[#This Row],[Свёртка]])&gt;0,1,-1)</f>
        <v>1</v>
      </c>
      <c r="AK616" s="66" t="s">
        <v>1781</v>
      </c>
      <c r="AL616" s="209">
        <f>IF(LEN(Множество[[#This Row],[Критерии]])&gt;0,1,-1)</f>
        <v>1</v>
      </c>
      <c r="AM616" s="209">
        <f>IF(AND(LEN(Множество[[#This Row],[Свёртка]])&gt;0,LEN(Множество[[#This Row],[Критерии]])&gt;0,LEN(Множество[[#This Row],[Оценки]])&gt;0),1,-1)</f>
        <v>-1</v>
      </c>
      <c r="AN616" s="230"/>
      <c r="AO616" s="208"/>
      <c r="AP616" s="208"/>
      <c r="AQ616" s="208"/>
      <c r="AR616" s="226"/>
      <c r="AS616" s="225"/>
      <c r="AT616" s="226"/>
      <c r="AU616" s="225"/>
      <c r="AV616" s="225"/>
      <c r="AW616" s="225"/>
      <c r="AX616" s="225"/>
      <c r="AY616" s="225"/>
    </row>
    <row r="617" spans="33:51" x14ac:dyDescent="0.25">
      <c r="AG617" s="66" t="str">
        <f>IF(AND(Множество[[#This Row],[Y]]=1),ROW()-ROW(Множество[[#Headers],[№]]),"")</f>
        <v/>
      </c>
      <c r="AI617" s="66">
        <v>1</v>
      </c>
      <c r="AJ617" s="66">
        <f>IF(LEN(Множество[[#This Row],[Свёртка]])&gt;0,1,-1)</f>
        <v>1</v>
      </c>
      <c r="AK617" s="66" t="s">
        <v>1781</v>
      </c>
      <c r="AL617" s="209">
        <f>IF(LEN(Множество[[#This Row],[Критерии]])&gt;0,1,-1)</f>
        <v>1</v>
      </c>
      <c r="AM617" s="209">
        <f>IF(AND(LEN(Множество[[#This Row],[Свёртка]])&gt;0,LEN(Множество[[#This Row],[Критерии]])&gt;0,LEN(Множество[[#This Row],[Оценки]])&gt;0),1,-1)</f>
        <v>-1</v>
      </c>
      <c r="AN617" s="230"/>
      <c r="AO617" s="208"/>
      <c r="AP617" s="208"/>
      <c r="AQ617" s="208"/>
      <c r="AR617" s="226"/>
      <c r="AS617" s="225"/>
      <c r="AT617" s="226"/>
      <c r="AU617" s="225"/>
      <c r="AV617" s="225"/>
      <c r="AW617" s="225"/>
      <c r="AX617" s="225"/>
      <c r="AY617" s="225"/>
    </row>
    <row r="618" spans="33:51" x14ac:dyDescent="0.25">
      <c r="AG618" s="66" t="str">
        <f>IF(AND(Множество[[#This Row],[Y]]=1),ROW()-ROW(Множество[[#Headers],[№]]),"")</f>
        <v/>
      </c>
      <c r="AI618" s="66">
        <v>1</v>
      </c>
      <c r="AJ618" s="66">
        <f>IF(LEN(Множество[[#This Row],[Свёртка]])&gt;0,1,-1)</f>
        <v>1</v>
      </c>
      <c r="AK618" s="66" t="s">
        <v>1781</v>
      </c>
      <c r="AL618" s="209">
        <f>IF(LEN(Множество[[#This Row],[Критерии]])&gt;0,1,-1)</f>
        <v>1</v>
      </c>
      <c r="AM618" s="209">
        <f>IF(AND(LEN(Множество[[#This Row],[Свёртка]])&gt;0,LEN(Множество[[#This Row],[Критерии]])&gt;0,LEN(Множество[[#This Row],[Оценки]])&gt;0),1,-1)</f>
        <v>-1</v>
      </c>
      <c r="AN618" s="230"/>
      <c r="AO618" s="208"/>
      <c r="AP618" s="208"/>
      <c r="AQ618" s="208"/>
      <c r="AR618" s="226"/>
      <c r="AS618" s="225"/>
      <c r="AT618" s="226"/>
      <c r="AU618" s="225"/>
      <c r="AV618" s="225"/>
      <c r="AW618" s="225"/>
      <c r="AX618" s="225"/>
      <c r="AY618" s="225"/>
    </row>
    <row r="619" spans="33:51" x14ac:dyDescent="0.25">
      <c r="AG619" s="66" t="str">
        <f>IF(AND(Множество[[#This Row],[Y]]=1),ROW()-ROW(Множество[[#Headers],[№]]),"")</f>
        <v/>
      </c>
      <c r="AI619" s="66">
        <v>1</v>
      </c>
      <c r="AJ619" s="66">
        <f>IF(LEN(Множество[[#This Row],[Свёртка]])&gt;0,1,-1)</f>
        <v>1</v>
      </c>
      <c r="AK619" s="66" t="s">
        <v>1781</v>
      </c>
      <c r="AL619" s="209">
        <f>IF(LEN(Множество[[#This Row],[Критерии]])&gt;0,1,-1)</f>
        <v>1</v>
      </c>
      <c r="AM619" s="209">
        <f>IF(AND(LEN(Множество[[#This Row],[Свёртка]])&gt;0,LEN(Множество[[#This Row],[Критерии]])&gt;0,LEN(Множество[[#This Row],[Оценки]])&gt;0),1,-1)</f>
        <v>-1</v>
      </c>
      <c r="AN619" s="230"/>
      <c r="AO619" s="208"/>
      <c r="AP619" s="208"/>
      <c r="AQ619" s="208"/>
      <c r="AR619" s="226"/>
      <c r="AS619" s="225"/>
      <c r="AT619" s="226"/>
      <c r="AU619" s="225"/>
      <c r="AV619" s="225"/>
      <c r="AW619" s="225"/>
      <c r="AX619" s="225"/>
      <c r="AY619" s="225"/>
    </row>
    <row r="620" spans="33:51" x14ac:dyDescent="0.25">
      <c r="AG620" s="66" t="str">
        <f>IF(AND(Множество[[#This Row],[Y]]=1),ROW()-ROW(Множество[[#Headers],[№]]),"")</f>
        <v/>
      </c>
      <c r="AI620" s="66">
        <v>1</v>
      </c>
      <c r="AJ620" s="66">
        <f>IF(LEN(Множество[[#This Row],[Свёртка]])&gt;0,1,-1)</f>
        <v>1</v>
      </c>
      <c r="AK620" s="66" t="s">
        <v>1781</v>
      </c>
      <c r="AL620" s="209">
        <f>IF(LEN(Множество[[#This Row],[Критерии]])&gt;0,1,-1)</f>
        <v>1</v>
      </c>
      <c r="AM620" s="209">
        <f>IF(AND(LEN(Множество[[#This Row],[Свёртка]])&gt;0,LEN(Множество[[#This Row],[Критерии]])&gt;0,LEN(Множество[[#This Row],[Оценки]])&gt;0),1,-1)</f>
        <v>-1</v>
      </c>
      <c r="AN620" s="230"/>
      <c r="AO620" s="208"/>
      <c r="AP620" s="208"/>
      <c r="AQ620" s="208"/>
      <c r="AR620" s="226"/>
      <c r="AS620" s="225"/>
      <c r="AT620" s="226"/>
      <c r="AU620" s="225"/>
      <c r="AV620" s="225"/>
      <c r="AW620" s="225"/>
      <c r="AX620" s="225"/>
      <c r="AY620" s="225"/>
    </row>
    <row r="621" spans="33:51" x14ac:dyDescent="0.25">
      <c r="AG621" s="66" t="str">
        <f>IF(AND(Множество[[#This Row],[Y]]=1),ROW()-ROW(Множество[[#Headers],[№]]),"")</f>
        <v/>
      </c>
      <c r="AI621" s="66">
        <v>1</v>
      </c>
      <c r="AJ621" s="66">
        <f>IF(LEN(Множество[[#This Row],[Свёртка]])&gt;0,1,-1)</f>
        <v>1</v>
      </c>
      <c r="AK621" s="66" t="s">
        <v>1781</v>
      </c>
      <c r="AL621" s="209">
        <f>IF(LEN(Множество[[#This Row],[Критерии]])&gt;0,1,-1)</f>
        <v>1</v>
      </c>
      <c r="AM621" s="209">
        <f>IF(AND(LEN(Множество[[#This Row],[Свёртка]])&gt;0,LEN(Множество[[#This Row],[Критерии]])&gt;0,LEN(Множество[[#This Row],[Оценки]])&gt;0),1,-1)</f>
        <v>-1</v>
      </c>
      <c r="AN621" s="230"/>
      <c r="AO621" s="208"/>
      <c r="AP621" s="208"/>
      <c r="AQ621" s="208"/>
      <c r="AR621" s="226"/>
      <c r="AS621" s="225"/>
      <c r="AT621" s="226"/>
      <c r="AU621" s="225"/>
      <c r="AV621" s="225"/>
      <c r="AW621" s="225"/>
      <c r="AX621" s="225"/>
      <c r="AY621" s="225"/>
    </row>
    <row r="622" spans="33:51" x14ac:dyDescent="0.25">
      <c r="AG622" s="66" t="str">
        <f>IF(AND(Множество[[#This Row],[Y]]=1),ROW()-ROW(Множество[[#Headers],[№]]),"")</f>
        <v/>
      </c>
      <c r="AI622" s="66">
        <v>1</v>
      </c>
      <c r="AJ622" s="66">
        <f>IF(LEN(Множество[[#This Row],[Свёртка]])&gt;0,1,-1)</f>
        <v>1</v>
      </c>
      <c r="AK622" s="66" t="s">
        <v>1781</v>
      </c>
      <c r="AL622" s="209">
        <f>IF(LEN(Множество[[#This Row],[Критерии]])&gt;0,1,-1)</f>
        <v>1</v>
      </c>
      <c r="AM622" s="209">
        <f>IF(AND(LEN(Множество[[#This Row],[Свёртка]])&gt;0,LEN(Множество[[#This Row],[Критерии]])&gt;0,LEN(Множество[[#This Row],[Оценки]])&gt;0),1,-1)</f>
        <v>-1</v>
      </c>
      <c r="AN622" s="230"/>
      <c r="AO622" s="208"/>
      <c r="AP622" s="208"/>
      <c r="AQ622" s="208"/>
      <c r="AR622" s="226"/>
      <c r="AS622" s="225"/>
      <c r="AT622" s="226"/>
      <c r="AU622" s="225"/>
      <c r="AV622" s="225"/>
      <c r="AW622" s="225"/>
      <c r="AX622" s="225"/>
      <c r="AY622" s="225"/>
    </row>
    <row r="623" spans="33:51" x14ac:dyDescent="0.25">
      <c r="AG623" s="66" t="str">
        <f>IF(AND(Множество[[#This Row],[Y]]=1),ROW()-ROW(Множество[[#Headers],[№]]),"")</f>
        <v/>
      </c>
      <c r="AI623" s="66">
        <v>1</v>
      </c>
      <c r="AJ623" s="66">
        <f>IF(LEN(Множество[[#This Row],[Свёртка]])&gt;0,1,-1)</f>
        <v>1</v>
      </c>
      <c r="AK623" s="66" t="s">
        <v>1781</v>
      </c>
      <c r="AL623" s="209">
        <f>IF(LEN(Множество[[#This Row],[Критерии]])&gt;0,1,-1)</f>
        <v>1</v>
      </c>
      <c r="AM623" s="209">
        <f>IF(AND(LEN(Множество[[#This Row],[Свёртка]])&gt;0,LEN(Множество[[#This Row],[Критерии]])&gt;0,LEN(Множество[[#This Row],[Оценки]])&gt;0),1,-1)</f>
        <v>-1</v>
      </c>
      <c r="AN623" s="230"/>
      <c r="AO623" s="208"/>
      <c r="AP623" s="208"/>
      <c r="AQ623" s="208"/>
      <c r="AR623" s="226"/>
      <c r="AS623" s="225"/>
      <c r="AT623" s="226"/>
      <c r="AU623" s="225"/>
      <c r="AV623" s="225"/>
      <c r="AW623" s="225"/>
      <c r="AX623" s="225"/>
      <c r="AY623" s="225"/>
    </row>
    <row r="624" spans="33:51" x14ac:dyDescent="0.25">
      <c r="AG624" s="66" t="str">
        <f>IF(AND(Множество[[#This Row],[Y]]=1),ROW()-ROW(Множество[[#Headers],[№]]),"")</f>
        <v/>
      </c>
      <c r="AI624" s="66">
        <v>1</v>
      </c>
      <c r="AJ624" s="66">
        <f>IF(LEN(Множество[[#This Row],[Свёртка]])&gt;0,1,-1)</f>
        <v>1</v>
      </c>
      <c r="AK624" s="66" t="s">
        <v>1781</v>
      </c>
      <c r="AL624" s="209">
        <f>IF(LEN(Множество[[#This Row],[Критерии]])&gt;0,1,-1)</f>
        <v>1</v>
      </c>
      <c r="AM624" s="209">
        <f>IF(AND(LEN(Множество[[#This Row],[Свёртка]])&gt;0,LEN(Множество[[#This Row],[Критерии]])&gt;0,LEN(Множество[[#This Row],[Оценки]])&gt;0),1,-1)</f>
        <v>-1</v>
      </c>
      <c r="AN624" s="230"/>
      <c r="AO624" s="208"/>
      <c r="AP624" s="208"/>
      <c r="AQ624" s="208"/>
      <c r="AR624" s="226"/>
      <c r="AS624" s="225"/>
      <c r="AT624" s="226"/>
      <c r="AU624" s="225"/>
      <c r="AV624" s="225"/>
      <c r="AW624" s="225"/>
      <c r="AX624" s="225"/>
      <c r="AY624" s="225"/>
    </row>
    <row r="625" spans="33:51" x14ac:dyDescent="0.25">
      <c r="AG625" s="66" t="str">
        <f>IF(AND(Множество[[#This Row],[Y]]=1),ROW()-ROW(Множество[[#Headers],[№]]),"")</f>
        <v/>
      </c>
      <c r="AI625" s="66">
        <v>1</v>
      </c>
      <c r="AJ625" s="66">
        <f>IF(LEN(Множество[[#This Row],[Свёртка]])&gt;0,1,-1)</f>
        <v>1</v>
      </c>
      <c r="AK625" s="66" t="s">
        <v>1781</v>
      </c>
      <c r="AL625" s="209">
        <f>IF(LEN(Множество[[#This Row],[Критерии]])&gt;0,1,-1)</f>
        <v>1</v>
      </c>
      <c r="AM625" s="209">
        <f>IF(AND(LEN(Множество[[#This Row],[Свёртка]])&gt;0,LEN(Множество[[#This Row],[Критерии]])&gt;0,LEN(Множество[[#This Row],[Оценки]])&gt;0),1,-1)</f>
        <v>-1</v>
      </c>
      <c r="AN625" s="230"/>
      <c r="AO625" s="208"/>
      <c r="AP625" s="208"/>
      <c r="AQ625" s="208"/>
      <c r="AR625" s="226"/>
      <c r="AS625" s="225"/>
      <c r="AT625" s="226"/>
      <c r="AU625" s="225"/>
      <c r="AV625" s="225"/>
      <c r="AW625" s="225"/>
      <c r="AX625" s="225"/>
      <c r="AY625" s="225"/>
    </row>
    <row r="626" spans="33:51" x14ac:dyDescent="0.25">
      <c r="AG626" s="66" t="str">
        <f>IF(AND(Множество[[#This Row],[Y]]=1),ROW()-ROW(Множество[[#Headers],[№]]),"")</f>
        <v/>
      </c>
      <c r="AI626" s="66">
        <v>1</v>
      </c>
      <c r="AJ626" s="66">
        <f>IF(LEN(Множество[[#This Row],[Свёртка]])&gt;0,1,-1)</f>
        <v>1</v>
      </c>
      <c r="AK626" s="66" t="s">
        <v>1781</v>
      </c>
      <c r="AL626" s="209">
        <f>IF(LEN(Множество[[#This Row],[Критерии]])&gt;0,1,-1)</f>
        <v>1</v>
      </c>
      <c r="AM626" s="209">
        <f>IF(AND(LEN(Множество[[#This Row],[Свёртка]])&gt;0,LEN(Множество[[#This Row],[Критерии]])&gt;0,LEN(Множество[[#This Row],[Оценки]])&gt;0),1,-1)</f>
        <v>-1</v>
      </c>
      <c r="AN626" s="230"/>
      <c r="AO626" s="208"/>
      <c r="AP626" s="208"/>
      <c r="AQ626" s="208"/>
      <c r="AR626" s="226"/>
      <c r="AS626" s="225"/>
      <c r="AT626" s="226"/>
      <c r="AU626" s="225"/>
      <c r="AV626" s="225"/>
      <c r="AW626" s="225"/>
      <c r="AX626" s="225"/>
      <c r="AY626" s="225"/>
    </row>
    <row r="627" spans="33:51" x14ac:dyDescent="0.25">
      <c r="AG627" s="66" t="str">
        <f>IF(AND(Множество[[#This Row],[Y]]=1),ROW()-ROW(Множество[[#Headers],[№]]),"")</f>
        <v/>
      </c>
      <c r="AI627" s="66">
        <v>1</v>
      </c>
      <c r="AJ627" s="66">
        <f>IF(LEN(Множество[[#This Row],[Свёртка]])&gt;0,1,-1)</f>
        <v>1</v>
      </c>
      <c r="AK627" s="66" t="s">
        <v>1781</v>
      </c>
      <c r="AL627" s="209">
        <f>IF(LEN(Множество[[#This Row],[Критерии]])&gt;0,1,-1)</f>
        <v>1</v>
      </c>
      <c r="AM627" s="209">
        <f>IF(AND(LEN(Множество[[#This Row],[Свёртка]])&gt;0,LEN(Множество[[#This Row],[Критерии]])&gt;0,LEN(Множество[[#This Row],[Оценки]])&gt;0),1,-1)</f>
        <v>-1</v>
      </c>
      <c r="AN627" s="230"/>
      <c r="AO627" s="208"/>
      <c r="AP627" s="208"/>
      <c r="AQ627" s="208"/>
      <c r="AR627" s="226"/>
      <c r="AS627" s="225"/>
      <c r="AT627" s="226"/>
      <c r="AU627" s="225"/>
      <c r="AV627" s="225"/>
      <c r="AW627" s="225"/>
      <c r="AX627" s="225"/>
      <c r="AY627" s="225"/>
    </row>
    <row r="628" spans="33:51" x14ac:dyDescent="0.25">
      <c r="AG628" s="66" t="str">
        <f>IF(AND(Множество[[#This Row],[Y]]=1),ROW()-ROW(Множество[[#Headers],[№]]),"")</f>
        <v/>
      </c>
      <c r="AI628" s="66">
        <v>1</v>
      </c>
      <c r="AJ628" s="66">
        <f>IF(LEN(Множество[[#This Row],[Свёртка]])&gt;0,1,-1)</f>
        <v>1</v>
      </c>
      <c r="AK628" s="66" t="s">
        <v>1781</v>
      </c>
      <c r="AL628" s="209">
        <f>IF(LEN(Множество[[#This Row],[Критерии]])&gt;0,1,-1)</f>
        <v>1</v>
      </c>
      <c r="AM628" s="209">
        <f>IF(AND(LEN(Множество[[#This Row],[Свёртка]])&gt;0,LEN(Множество[[#This Row],[Критерии]])&gt;0,LEN(Множество[[#This Row],[Оценки]])&gt;0),1,-1)</f>
        <v>-1</v>
      </c>
      <c r="AN628" s="230"/>
      <c r="AO628" s="208"/>
      <c r="AP628" s="208"/>
      <c r="AQ628" s="208"/>
      <c r="AR628" s="226"/>
      <c r="AS628" s="225"/>
      <c r="AT628" s="226"/>
      <c r="AU628" s="225"/>
      <c r="AV628" s="225"/>
      <c r="AW628" s="225"/>
      <c r="AX628" s="225"/>
      <c r="AY628" s="225"/>
    </row>
    <row r="629" spans="33:51" x14ac:dyDescent="0.25">
      <c r="AG629" s="66" t="str">
        <f>IF(AND(Множество[[#This Row],[Y]]=1),ROW()-ROW(Множество[[#Headers],[№]]),"")</f>
        <v/>
      </c>
      <c r="AI629" s="66">
        <v>1</v>
      </c>
      <c r="AJ629" s="66">
        <f>IF(LEN(Множество[[#This Row],[Свёртка]])&gt;0,1,-1)</f>
        <v>1</v>
      </c>
      <c r="AK629" s="66" t="s">
        <v>1781</v>
      </c>
      <c r="AL629" s="209">
        <f>IF(LEN(Множество[[#This Row],[Критерии]])&gt;0,1,-1)</f>
        <v>1</v>
      </c>
      <c r="AM629" s="209">
        <f>IF(AND(LEN(Множество[[#This Row],[Свёртка]])&gt;0,LEN(Множество[[#This Row],[Критерии]])&gt;0,LEN(Множество[[#This Row],[Оценки]])&gt;0),1,-1)</f>
        <v>-1</v>
      </c>
      <c r="AN629" s="230"/>
      <c r="AO629" s="208"/>
      <c r="AP629" s="208"/>
      <c r="AQ629" s="208"/>
      <c r="AR629" s="226"/>
      <c r="AS629" s="225"/>
      <c r="AT629" s="226"/>
      <c r="AU629" s="225"/>
      <c r="AV629" s="225"/>
      <c r="AW629" s="225"/>
      <c r="AX629" s="225"/>
      <c r="AY629" s="225"/>
    </row>
    <row r="630" spans="33:51" x14ac:dyDescent="0.25">
      <c r="AG630" s="66" t="str">
        <f>IF(AND(Множество[[#This Row],[Y]]=1),ROW()-ROW(Множество[[#Headers],[№]]),"")</f>
        <v/>
      </c>
      <c r="AI630" s="66">
        <v>1</v>
      </c>
      <c r="AJ630" s="66">
        <f>IF(LEN(Множество[[#This Row],[Свёртка]])&gt;0,1,-1)</f>
        <v>1</v>
      </c>
      <c r="AK630" s="66" t="s">
        <v>1781</v>
      </c>
      <c r="AL630" s="209">
        <f>IF(LEN(Множество[[#This Row],[Критерии]])&gt;0,1,-1)</f>
        <v>1</v>
      </c>
      <c r="AM630" s="209">
        <f>IF(AND(LEN(Множество[[#This Row],[Свёртка]])&gt;0,LEN(Множество[[#This Row],[Критерии]])&gt;0,LEN(Множество[[#This Row],[Оценки]])&gt;0),1,-1)</f>
        <v>-1</v>
      </c>
      <c r="AN630" s="230"/>
      <c r="AO630" s="208"/>
      <c r="AP630" s="208"/>
      <c r="AQ630" s="208"/>
      <c r="AR630" s="226"/>
      <c r="AS630" s="225"/>
      <c r="AT630" s="226"/>
      <c r="AU630" s="225"/>
      <c r="AV630" s="225"/>
      <c r="AW630" s="225"/>
      <c r="AX630" s="225"/>
      <c r="AY630" s="225"/>
    </row>
    <row r="631" spans="33:51" x14ac:dyDescent="0.25">
      <c r="AG631" s="66" t="str">
        <f>IF(AND(Множество[[#This Row],[Y]]=1),ROW()-ROW(Множество[[#Headers],[№]]),"")</f>
        <v/>
      </c>
      <c r="AI631" s="66">
        <v>1</v>
      </c>
      <c r="AJ631" s="66">
        <f>IF(LEN(Множество[[#This Row],[Свёртка]])&gt;0,1,-1)</f>
        <v>1</v>
      </c>
      <c r="AK631" s="66" t="s">
        <v>1781</v>
      </c>
      <c r="AL631" s="209">
        <f>IF(LEN(Множество[[#This Row],[Критерии]])&gt;0,1,-1)</f>
        <v>1</v>
      </c>
      <c r="AM631" s="209">
        <f>IF(AND(LEN(Множество[[#This Row],[Свёртка]])&gt;0,LEN(Множество[[#This Row],[Критерии]])&gt;0,LEN(Множество[[#This Row],[Оценки]])&gt;0),1,-1)</f>
        <v>-1</v>
      </c>
      <c r="AN631" s="230"/>
      <c r="AO631" s="208"/>
      <c r="AP631" s="208"/>
      <c r="AQ631" s="208"/>
      <c r="AR631" s="226"/>
      <c r="AS631" s="225"/>
      <c r="AT631" s="226"/>
      <c r="AU631" s="225"/>
      <c r="AV631" s="225"/>
      <c r="AW631" s="225"/>
      <c r="AX631" s="225"/>
      <c r="AY631" s="225"/>
    </row>
    <row r="632" spans="33:51" x14ac:dyDescent="0.25">
      <c r="AG632" s="66" t="str">
        <f>IF(AND(Множество[[#This Row],[Y]]=1),ROW()-ROW(Множество[[#Headers],[№]]),"")</f>
        <v/>
      </c>
      <c r="AI632" s="66">
        <v>1</v>
      </c>
      <c r="AJ632" s="66">
        <f>IF(LEN(Множество[[#This Row],[Свёртка]])&gt;0,1,-1)</f>
        <v>1</v>
      </c>
      <c r="AK632" s="66" t="s">
        <v>1781</v>
      </c>
      <c r="AL632" s="209">
        <f>IF(LEN(Множество[[#This Row],[Критерии]])&gt;0,1,-1)</f>
        <v>1</v>
      </c>
      <c r="AM632" s="209">
        <f>IF(AND(LEN(Множество[[#This Row],[Свёртка]])&gt;0,LEN(Множество[[#This Row],[Критерии]])&gt;0,LEN(Множество[[#This Row],[Оценки]])&gt;0),1,-1)</f>
        <v>-1</v>
      </c>
      <c r="AN632" s="230"/>
      <c r="AO632" s="208"/>
      <c r="AP632" s="208"/>
      <c r="AQ632" s="208"/>
      <c r="AR632" s="226"/>
      <c r="AS632" s="225"/>
      <c r="AT632" s="226"/>
      <c r="AU632" s="225"/>
      <c r="AV632" s="225"/>
      <c r="AW632" s="225"/>
      <c r="AX632" s="225"/>
      <c r="AY632" s="225"/>
    </row>
    <row r="633" spans="33:51" x14ac:dyDescent="0.25">
      <c r="AG633" s="66" t="str">
        <f>IF(AND(Множество[[#This Row],[Y]]=1),ROW()-ROW(Множество[[#Headers],[№]]),"")</f>
        <v/>
      </c>
      <c r="AI633" s="66">
        <v>1</v>
      </c>
      <c r="AJ633" s="66">
        <f>IF(LEN(Множество[[#This Row],[Свёртка]])&gt;0,1,-1)</f>
        <v>1</v>
      </c>
      <c r="AK633" s="66" t="s">
        <v>1781</v>
      </c>
      <c r="AL633" s="209">
        <f>IF(LEN(Множество[[#This Row],[Критерии]])&gt;0,1,-1)</f>
        <v>1</v>
      </c>
      <c r="AM633" s="209">
        <f>IF(AND(LEN(Множество[[#This Row],[Свёртка]])&gt;0,LEN(Множество[[#This Row],[Критерии]])&gt;0,LEN(Множество[[#This Row],[Оценки]])&gt;0),1,-1)</f>
        <v>-1</v>
      </c>
      <c r="AN633" s="230"/>
      <c r="AO633" s="208"/>
      <c r="AP633" s="208"/>
      <c r="AQ633" s="208"/>
      <c r="AR633" s="226"/>
      <c r="AS633" s="225"/>
      <c r="AT633" s="226"/>
      <c r="AU633" s="225"/>
      <c r="AV633" s="225"/>
      <c r="AW633" s="225"/>
      <c r="AX633" s="225"/>
      <c r="AY633" s="225"/>
    </row>
    <row r="634" spans="33:51" x14ac:dyDescent="0.25">
      <c r="AG634" s="66" t="str">
        <f>IF(AND(Множество[[#This Row],[Y]]=1),ROW()-ROW(Множество[[#Headers],[№]]),"")</f>
        <v/>
      </c>
      <c r="AI634" s="66">
        <v>1</v>
      </c>
      <c r="AJ634" s="66">
        <f>IF(LEN(Множество[[#This Row],[Свёртка]])&gt;0,1,-1)</f>
        <v>1</v>
      </c>
      <c r="AK634" s="66" t="s">
        <v>1781</v>
      </c>
      <c r="AL634" s="209">
        <f>IF(LEN(Множество[[#This Row],[Критерии]])&gt;0,1,-1)</f>
        <v>1</v>
      </c>
      <c r="AM634" s="209">
        <f>IF(AND(LEN(Множество[[#This Row],[Свёртка]])&gt;0,LEN(Множество[[#This Row],[Критерии]])&gt;0,LEN(Множество[[#This Row],[Оценки]])&gt;0),1,-1)</f>
        <v>-1</v>
      </c>
      <c r="AN634" s="230"/>
      <c r="AO634" s="208"/>
      <c r="AP634" s="208"/>
      <c r="AQ634" s="208"/>
      <c r="AR634" s="226"/>
      <c r="AS634" s="225"/>
      <c r="AT634" s="226"/>
      <c r="AU634" s="225"/>
      <c r="AV634" s="225"/>
      <c r="AW634" s="225"/>
      <c r="AX634" s="225"/>
      <c r="AY634" s="225"/>
    </row>
    <row r="635" spans="33:51" x14ac:dyDescent="0.25">
      <c r="AG635" s="66" t="str">
        <f>IF(AND(Множество[[#This Row],[Y]]=1),ROW()-ROW(Множество[[#Headers],[№]]),"")</f>
        <v/>
      </c>
      <c r="AI635" s="66">
        <v>1</v>
      </c>
      <c r="AJ635" s="66">
        <f>IF(LEN(Множество[[#This Row],[Свёртка]])&gt;0,1,-1)</f>
        <v>1</v>
      </c>
      <c r="AK635" s="66" t="s">
        <v>1781</v>
      </c>
      <c r="AL635" s="209">
        <f>IF(LEN(Множество[[#This Row],[Критерии]])&gt;0,1,-1)</f>
        <v>1</v>
      </c>
      <c r="AM635" s="209">
        <f>IF(AND(LEN(Множество[[#This Row],[Свёртка]])&gt;0,LEN(Множество[[#This Row],[Критерии]])&gt;0,LEN(Множество[[#This Row],[Оценки]])&gt;0),1,-1)</f>
        <v>-1</v>
      </c>
      <c r="AN635" s="230"/>
      <c r="AO635" s="208"/>
      <c r="AP635" s="208"/>
      <c r="AQ635" s="208"/>
      <c r="AR635" s="226"/>
      <c r="AS635" s="225"/>
      <c r="AT635" s="226"/>
      <c r="AU635" s="225"/>
      <c r="AV635" s="225"/>
      <c r="AW635" s="225"/>
      <c r="AX635" s="225"/>
      <c r="AY635" s="225"/>
    </row>
    <row r="636" spans="33:51" x14ac:dyDescent="0.25">
      <c r="AG636" s="66" t="str">
        <f>IF(AND(Множество[[#This Row],[Y]]=1),ROW()-ROW(Множество[[#Headers],[№]]),"")</f>
        <v/>
      </c>
      <c r="AI636" s="66">
        <v>1</v>
      </c>
      <c r="AJ636" s="66">
        <f>IF(LEN(Множество[[#This Row],[Свёртка]])&gt;0,1,-1)</f>
        <v>1</v>
      </c>
      <c r="AK636" s="66" t="s">
        <v>1781</v>
      </c>
      <c r="AL636" s="209">
        <f>IF(LEN(Множество[[#This Row],[Критерии]])&gt;0,1,-1)</f>
        <v>1</v>
      </c>
      <c r="AM636" s="209">
        <f>IF(AND(LEN(Множество[[#This Row],[Свёртка]])&gt;0,LEN(Множество[[#This Row],[Критерии]])&gt;0,LEN(Множество[[#This Row],[Оценки]])&gt;0),1,-1)</f>
        <v>-1</v>
      </c>
      <c r="AN636" s="230"/>
      <c r="AO636" s="208"/>
      <c r="AP636" s="208"/>
      <c r="AQ636" s="208"/>
      <c r="AR636" s="226"/>
      <c r="AS636" s="225"/>
      <c r="AT636" s="226"/>
      <c r="AU636" s="225"/>
      <c r="AV636" s="225"/>
      <c r="AW636" s="225"/>
      <c r="AX636" s="225"/>
      <c r="AY636" s="225"/>
    </row>
    <row r="637" spans="33:51" x14ac:dyDescent="0.25">
      <c r="AG637" s="66" t="str">
        <f>IF(AND(Множество[[#This Row],[Y]]=1),ROW()-ROW(Множество[[#Headers],[№]]),"")</f>
        <v/>
      </c>
      <c r="AI637" s="66">
        <v>1</v>
      </c>
      <c r="AJ637" s="66">
        <f>IF(LEN(Множество[[#This Row],[Свёртка]])&gt;0,1,-1)</f>
        <v>1</v>
      </c>
      <c r="AK637" s="66" t="s">
        <v>1781</v>
      </c>
      <c r="AL637" s="209">
        <f>IF(LEN(Множество[[#This Row],[Критерии]])&gt;0,1,-1)</f>
        <v>1</v>
      </c>
      <c r="AM637" s="209">
        <f>IF(AND(LEN(Множество[[#This Row],[Свёртка]])&gt;0,LEN(Множество[[#This Row],[Критерии]])&gt;0,LEN(Множество[[#This Row],[Оценки]])&gt;0),1,-1)</f>
        <v>-1</v>
      </c>
      <c r="AN637" s="230"/>
      <c r="AO637" s="208"/>
      <c r="AP637" s="208"/>
      <c r="AQ637" s="208"/>
      <c r="AR637" s="226"/>
      <c r="AS637" s="225"/>
      <c r="AT637" s="226"/>
      <c r="AU637" s="225"/>
      <c r="AV637" s="225"/>
      <c r="AW637" s="225"/>
      <c r="AX637" s="225"/>
      <c r="AY637" s="225"/>
    </row>
    <row r="638" spans="33:51" x14ac:dyDescent="0.25">
      <c r="AG638" s="66" t="str">
        <f>IF(AND(Множество[[#This Row],[Y]]=1),ROW()-ROW(Множество[[#Headers],[№]]),"")</f>
        <v/>
      </c>
      <c r="AI638" s="66">
        <v>1</v>
      </c>
      <c r="AJ638" s="66">
        <f>IF(LEN(Множество[[#This Row],[Свёртка]])&gt;0,1,-1)</f>
        <v>1</v>
      </c>
      <c r="AK638" s="66" t="s">
        <v>1781</v>
      </c>
      <c r="AL638" s="209">
        <f>IF(LEN(Множество[[#This Row],[Критерии]])&gt;0,1,-1)</f>
        <v>1</v>
      </c>
      <c r="AM638" s="209">
        <f>IF(AND(LEN(Множество[[#This Row],[Свёртка]])&gt;0,LEN(Множество[[#This Row],[Критерии]])&gt;0,LEN(Множество[[#This Row],[Оценки]])&gt;0),1,-1)</f>
        <v>-1</v>
      </c>
      <c r="AN638" s="230"/>
      <c r="AO638" s="208"/>
      <c r="AP638" s="208"/>
      <c r="AQ638" s="208"/>
      <c r="AR638" s="226"/>
      <c r="AS638" s="225"/>
      <c r="AT638" s="226"/>
      <c r="AU638" s="225"/>
      <c r="AV638" s="225"/>
      <c r="AW638" s="225"/>
      <c r="AX638" s="225"/>
      <c r="AY638" s="225"/>
    </row>
    <row r="639" spans="33:51" x14ac:dyDescent="0.25">
      <c r="AG639" s="66" t="str">
        <f>IF(AND(Множество[[#This Row],[Y]]=1),ROW()-ROW(Множество[[#Headers],[№]]),"")</f>
        <v/>
      </c>
      <c r="AI639" s="66">
        <v>1</v>
      </c>
      <c r="AJ639" s="66">
        <f>IF(LEN(Множество[[#This Row],[Свёртка]])&gt;0,1,-1)</f>
        <v>1</v>
      </c>
      <c r="AK639" s="66" t="s">
        <v>1781</v>
      </c>
      <c r="AL639" s="209">
        <f>IF(LEN(Множество[[#This Row],[Критерии]])&gt;0,1,-1)</f>
        <v>1</v>
      </c>
      <c r="AM639" s="209">
        <f>IF(AND(LEN(Множество[[#This Row],[Свёртка]])&gt;0,LEN(Множество[[#This Row],[Критерии]])&gt;0,LEN(Множество[[#This Row],[Оценки]])&gt;0),1,-1)</f>
        <v>-1</v>
      </c>
      <c r="AN639" s="230"/>
      <c r="AO639" s="208"/>
      <c r="AP639" s="208"/>
      <c r="AQ639" s="208"/>
      <c r="AR639" s="226"/>
      <c r="AS639" s="225"/>
      <c r="AT639" s="226"/>
      <c r="AU639" s="225"/>
      <c r="AV639" s="225"/>
      <c r="AW639" s="225"/>
      <c r="AX639" s="225"/>
      <c r="AY639" s="225"/>
    </row>
    <row r="640" spans="33:51" x14ac:dyDescent="0.25">
      <c r="AG640" s="66" t="str">
        <f>IF(AND(Множество[[#This Row],[Y]]=1),ROW()-ROW(Множество[[#Headers],[№]]),"")</f>
        <v/>
      </c>
      <c r="AI640" s="66">
        <v>1</v>
      </c>
      <c r="AJ640" s="66">
        <f>IF(LEN(Множество[[#This Row],[Свёртка]])&gt;0,1,-1)</f>
        <v>1</v>
      </c>
      <c r="AK640" s="66" t="s">
        <v>1781</v>
      </c>
      <c r="AL640" s="209">
        <f>IF(LEN(Множество[[#This Row],[Критерии]])&gt;0,1,-1)</f>
        <v>1</v>
      </c>
      <c r="AM640" s="209">
        <f>IF(AND(LEN(Множество[[#This Row],[Свёртка]])&gt;0,LEN(Множество[[#This Row],[Критерии]])&gt;0,LEN(Множество[[#This Row],[Оценки]])&gt;0),1,-1)</f>
        <v>-1</v>
      </c>
      <c r="AN640" s="230"/>
      <c r="AO640" s="208"/>
      <c r="AP640" s="208"/>
      <c r="AQ640" s="208"/>
      <c r="AR640" s="226"/>
      <c r="AS640" s="225"/>
      <c r="AT640" s="226"/>
      <c r="AU640" s="225"/>
      <c r="AV640" s="225"/>
      <c r="AW640" s="225"/>
      <c r="AX640" s="225"/>
      <c r="AY640" s="225"/>
    </row>
    <row r="641" spans="33:51" x14ac:dyDescent="0.25">
      <c r="AG641" s="66" t="str">
        <f>IF(AND(Множество[[#This Row],[Y]]=1),ROW()-ROW(Множество[[#Headers],[№]]),"")</f>
        <v/>
      </c>
      <c r="AI641" s="66">
        <v>1</v>
      </c>
      <c r="AJ641" s="66">
        <f>IF(LEN(Множество[[#This Row],[Свёртка]])&gt;0,1,-1)</f>
        <v>1</v>
      </c>
      <c r="AK641" s="66" t="s">
        <v>1781</v>
      </c>
      <c r="AL641" s="209">
        <f>IF(LEN(Множество[[#This Row],[Критерии]])&gt;0,1,-1)</f>
        <v>1</v>
      </c>
      <c r="AM641" s="209">
        <f>IF(AND(LEN(Множество[[#This Row],[Свёртка]])&gt;0,LEN(Множество[[#This Row],[Критерии]])&gt;0,LEN(Множество[[#This Row],[Оценки]])&gt;0),1,-1)</f>
        <v>-1</v>
      </c>
      <c r="AN641" s="230"/>
      <c r="AO641" s="208"/>
      <c r="AP641" s="208"/>
      <c r="AQ641" s="208"/>
      <c r="AR641" s="226"/>
      <c r="AS641" s="225"/>
      <c r="AT641" s="226"/>
      <c r="AU641" s="225"/>
      <c r="AV641" s="225"/>
      <c r="AW641" s="225"/>
      <c r="AX641" s="225"/>
      <c r="AY641" s="225"/>
    </row>
    <row r="642" spans="33:51" x14ac:dyDescent="0.25">
      <c r="AG642" s="66" t="str">
        <f>IF(AND(Множество[[#This Row],[Y]]=1),ROW()-ROW(Множество[[#Headers],[№]]),"")</f>
        <v/>
      </c>
      <c r="AI642" s="66">
        <v>1</v>
      </c>
      <c r="AJ642" s="66">
        <f>IF(LEN(Множество[[#This Row],[Свёртка]])&gt;0,1,-1)</f>
        <v>1</v>
      </c>
      <c r="AK642" s="66" t="s">
        <v>1781</v>
      </c>
      <c r="AL642" s="209">
        <f>IF(LEN(Множество[[#This Row],[Критерии]])&gt;0,1,-1)</f>
        <v>1</v>
      </c>
      <c r="AM642" s="209">
        <f>IF(AND(LEN(Множество[[#This Row],[Свёртка]])&gt;0,LEN(Множество[[#This Row],[Критерии]])&gt;0,LEN(Множество[[#This Row],[Оценки]])&gt;0),1,-1)</f>
        <v>-1</v>
      </c>
      <c r="AN642" s="230"/>
      <c r="AO642" s="208"/>
      <c r="AP642" s="208"/>
      <c r="AQ642" s="208"/>
      <c r="AR642" s="226"/>
      <c r="AS642" s="225"/>
      <c r="AT642" s="226"/>
      <c r="AU642" s="225"/>
      <c r="AV642" s="225"/>
      <c r="AW642" s="225"/>
      <c r="AX642" s="225"/>
      <c r="AY642" s="225"/>
    </row>
    <row r="643" spans="33:51" x14ac:dyDescent="0.25">
      <c r="AG643" s="66" t="str">
        <f>IF(AND(Множество[[#This Row],[Y]]=1),ROW()-ROW(Множество[[#Headers],[№]]),"")</f>
        <v/>
      </c>
      <c r="AI643" s="66">
        <v>1</v>
      </c>
      <c r="AJ643" s="66">
        <f>IF(LEN(Множество[[#This Row],[Свёртка]])&gt;0,1,-1)</f>
        <v>1</v>
      </c>
      <c r="AK643" s="66" t="s">
        <v>1781</v>
      </c>
      <c r="AL643" s="209">
        <f>IF(LEN(Множество[[#This Row],[Критерии]])&gt;0,1,-1)</f>
        <v>1</v>
      </c>
      <c r="AM643" s="209">
        <f>IF(AND(LEN(Множество[[#This Row],[Свёртка]])&gt;0,LEN(Множество[[#This Row],[Критерии]])&gt;0,LEN(Множество[[#This Row],[Оценки]])&gt;0),1,-1)</f>
        <v>-1</v>
      </c>
      <c r="AN643" s="230"/>
      <c r="AO643" s="208"/>
      <c r="AP643" s="208"/>
      <c r="AQ643" s="208"/>
      <c r="AR643" s="226"/>
      <c r="AS643" s="225"/>
      <c r="AT643" s="226"/>
      <c r="AU643" s="225"/>
      <c r="AV643" s="225"/>
      <c r="AW643" s="225"/>
      <c r="AX643" s="225"/>
      <c r="AY643" s="225"/>
    </row>
    <row r="644" spans="33:51" x14ac:dyDescent="0.25">
      <c r="AG644" s="66" t="str">
        <f>IF(AND(Множество[[#This Row],[Y]]=1),ROW()-ROW(Множество[[#Headers],[№]]),"")</f>
        <v/>
      </c>
      <c r="AI644" s="66">
        <v>1</v>
      </c>
      <c r="AJ644" s="66">
        <f>IF(LEN(Множество[[#This Row],[Свёртка]])&gt;0,1,-1)</f>
        <v>1</v>
      </c>
      <c r="AK644" s="66" t="s">
        <v>1781</v>
      </c>
      <c r="AL644" s="209">
        <f>IF(LEN(Множество[[#This Row],[Критерии]])&gt;0,1,-1)</f>
        <v>1</v>
      </c>
      <c r="AM644" s="209">
        <f>IF(AND(LEN(Множество[[#This Row],[Свёртка]])&gt;0,LEN(Множество[[#This Row],[Критерии]])&gt;0,LEN(Множество[[#This Row],[Оценки]])&gt;0),1,-1)</f>
        <v>-1</v>
      </c>
      <c r="AN644" s="230"/>
      <c r="AO644" s="208"/>
      <c r="AP644" s="208"/>
      <c r="AQ644" s="208"/>
      <c r="AR644" s="226"/>
      <c r="AS644" s="225"/>
      <c r="AT644" s="226"/>
      <c r="AU644" s="225"/>
      <c r="AV644" s="225"/>
      <c r="AW644" s="225"/>
      <c r="AX644" s="225"/>
      <c r="AY644" s="225"/>
    </row>
    <row r="645" spans="33:51" x14ac:dyDescent="0.25">
      <c r="AG645" s="66" t="str">
        <f>IF(AND(Множество[[#This Row],[Y]]=1),ROW()-ROW(Множество[[#Headers],[№]]),"")</f>
        <v/>
      </c>
      <c r="AI645" s="66">
        <v>1</v>
      </c>
      <c r="AJ645" s="66">
        <f>IF(LEN(Множество[[#This Row],[Свёртка]])&gt;0,1,-1)</f>
        <v>1</v>
      </c>
      <c r="AK645" s="66" t="s">
        <v>1781</v>
      </c>
      <c r="AL645" s="209">
        <f>IF(LEN(Множество[[#This Row],[Критерии]])&gt;0,1,-1)</f>
        <v>1</v>
      </c>
      <c r="AM645" s="209">
        <f>IF(AND(LEN(Множество[[#This Row],[Свёртка]])&gt;0,LEN(Множество[[#This Row],[Критерии]])&gt;0,LEN(Множество[[#This Row],[Оценки]])&gt;0),1,-1)</f>
        <v>-1</v>
      </c>
      <c r="AN645" s="230"/>
      <c r="AO645" s="208"/>
      <c r="AP645" s="208"/>
      <c r="AQ645" s="208"/>
      <c r="AR645" s="226"/>
      <c r="AS645" s="225"/>
      <c r="AT645" s="226"/>
      <c r="AU645" s="225"/>
      <c r="AV645" s="225"/>
      <c r="AW645" s="225"/>
      <c r="AX645" s="225"/>
      <c r="AY645" s="225"/>
    </row>
    <row r="646" spans="33:51" x14ac:dyDescent="0.25">
      <c r="AG646" s="66" t="str">
        <f>IF(AND(Множество[[#This Row],[Y]]=1),ROW()-ROW(Множество[[#Headers],[№]]),"")</f>
        <v/>
      </c>
      <c r="AI646" s="66">
        <v>1</v>
      </c>
      <c r="AJ646" s="66">
        <f>IF(LEN(Множество[[#This Row],[Свёртка]])&gt;0,1,-1)</f>
        <v>1</v>
      </c>
      <c r="AK646" s="66" t="s">
        <v>1781</v>
      </c>
      <c r="AL646" s="209">
        <f>IF(LEN(Множество[[#This Row],[Критерии]])&gt;0,1,-1)</f>
        <v>1</v>
      </c>
      <c r="AM646" s="209">
        <f>IF(AND(LEN(Множество[[#This Row],[Свёртка]])&gt;0,LEN(Множество[[#This Row],[Критерии]])&gt;0,LEN(Множество[[#This Row],[Оценки]])&gt;0),1,-1)</f>
        <v>-1</v>
      </c>
      <c r="AN646" s="230"/>
      <c r="AO646" s="208"/>
      <c r="AP646" s="208"/>
      <c r="AQ646" s="208"/>
      <c r="AR646" s="226"/>
      <c r="AS646" s="225"/>
      <c r="AT646" s="226"/>
      <c r="AU646" s="225"/>
      <c r="AV646" s="225"/>
      <c r="AW646" s="225"/>
      <c r="AX646" s="225"/>
      <c r="AY646" s="225"/>
    </row>
    <row r="647" spans="33:51" x14ac:dyDescent="0.25">
      <c r="AG647" s="66" t="str">
        <f>IF(AND(Множество[[#This Row],[Y]]=1),ROW()-ROW(Множество[[#Headers],[№]]),"")</f>
        <v/>
      </c>
      <c r="AI647" s="66">
        <v>1</v>
      </c>
      <c r="AJ647" s="66">
        <f>IF(LEN(Множество[[#This Row],[Свёртка]])&gt;0,1,-1)</f>
        <v>1</v>
      </c>
      <c r="AK647" s="66" t="s">
        <v>1781</v>
      </c>
      <c r="AL647" s="209">
        <f>IF(LEN(Множество[[#This Row],[Критерии]])&gt;0,1,-1)</f>
        <v>1</v>
      </c>
      <c r="AM647" s="209">
        <f>IF(AND(LEN(Множество[[#This Row],[Свёртка]])&gt;0,LEN(Множество[[#This Row],[Критерии]])&gt;0,LEN(Множество[[#This Row],[Оценки]])&gt;0),1,-1)</f>
        <v>-1</v>
      </c>
      <c r="AN647" s="230"/>
      <c r="AO647" s="208"/>
      <c r="AP647" s="208"/>
      <c r="AQ647" s="208"/>
      <c r="AR647" s="226"/>
      <c r="AS647" s="225"/>
      <c r="AT647" s="226"/>
      <c r="AU647" s="225"/>
      <c r="AV647" s="225"/>
      <c r="AW647" s="225"/>
      <c r="AX647" s="225"/>
      <c r="AY647" s="225"/>
    </row>
    <row r="648" spans="33:51" x14ac:dyDescent="0.25">
      <c r="AG648" s="66" t="str">
        <f>IF(AND(Множество[[#This Row],[Y]]=1),ROW()-ROW(Множество[[#Headers],[№]]),"")</f>
        <v/>
      </c>
      <c r="AI648" s="66">
        <v>1</v>
      </c>
      <c r="AJ648" s="66">
        <f>IF(LEN(Множество[[#This Row],[Свёртка]])&gt;0,1,-1)</f>
        <v>1</v>
      </c>
      <c r="AK648" s="66" t="s">
        <v>1781</v>
      </c>
      <c r="AL648" s="209">
        <f>IF(LEN(Множество[[#This Row],[Критерии]])&gt;0,1,-1)</f>
        <v>1</v>
      </c>
      <c r="AM648" s="209">
        <f>IF(AND(LEN(Множество[[#This Row],[Свёртка]])&gt;0,LEN(Множество[[#This Row],[Критерии]])&gt;0,LEN(Множество[[#This Row],[Оценки]])&gt;0),1,-1)</f>
        <v>-1</v>
      </c>
      <c r="AN648" s="230"/>
      <c r="AO648" s="208"/>
      <c r="AP648" s="208"/>
      <c r="AQ648" s="208"/>
      <c r="AR648" s="226"/>
      <c r="AS648" s="225"/>
      <c r="AT648" s="226"/>
      <c r="AU648" s="225"/>
      <c r="AV648" s="225"/>
      <c r="AW648" s="225"/>
      <c r="AX648" s="225"/>
      <c r="AY648" s="225"/>
    </row>
    <row r="649" spans="33:51" x14ac:dyDescent="0.25">
      <c r="AG649" s="66" t="str">
        <f>IF(AND(Множество[[#This Row],[Y]]=1),ROW()-ROW(Множество[[#Headers],[№]]),"")</f>
        <v/>
      </c>
      <c r="AI649" s="66">
        <v>1</v>
      </c>
      <c r="AJ649" s="66">
        <f>IF(LEN(Множество[[#This Row],[Свёртка]])&gt;0,1,-1)</f>
        <v>1</v>
      </c>
      <c r="AK649" s="66" t="s">
        <v>1781</v>
      </c>
      <c r="AL649" s="209">
        <f>IF(LEN(Множество[[#This Row],[Критерии]])&gt;0,1,-1)</f>
        <v>1</v>
      </c>
      <c r="AM649" s="209">
        <f>IF(AND(LEN(Множество[[#This Row],[Свёртка]])&gt;0,LEN(Множество[[#This Row],[Критерии]])&gt;0,LEN(Множество[[#This Row],[Оценки]])&gt;0),1,-1)</f>
        <v>-1</v>
      </c>
      <c r="AN649" s="230"/>
      <c r="AO649" s="208"/>
      <c r="AP649" s="208"/>
      <c r="AQ649" s="208"/>
      <c r="AR649" s="226"/>
      <c r="AS649" s="225"/>
      <c r="AT649" s="226"/>
      <c r="AU649" s="225"/>
      <c r="AV649" s="225"/>
      <c r="AW649" s="225"/>
      <c r="AX649" s="225"/>
      <c r="AY649" s="225"/>
    </row>
    <row r="650" spans="33:51" x14ac:dyDescent="0.25">
      <c r="AG650" s="66" t="str">
        <f>IF(AND(Множество[[#This Row],[Y]]=1),ROW()-ROW(Множество[[#Headers],[№]]),"")</f>
        <v/>
      </c>
      <c r="AI650" s="66">
        <v>1</v>
      </c>
      <c r="AJ650" s="66">
        <f>IF(LEN(Множество[[#This Row],[Свёртка]])&gt;0,1,-1)</f>
        <v>1</v>
      </c>
      <c r="AK650" s="66" t="s">
        <v>1781</v>
      </c>
      <c r="AL650" s="209">
        <f>IF(LEN(Множество[[#This Row],[Критерии]])&gt;0,1,-1)</f>
        <v>1</v>
      </c>
      <c r="AM650" s="209">
        <f>IF(AND(LEN(Множество[[#This Row],[Свёртка]])&gt;0,LEN(Множество[[#This Row],[Критерии]])&gt;0,LEN(Множество[[#This Row],[Оценки]])&gt;0),1,-1)</f>
        <v>-1</v>
      </c>
      <c r="AN650" s="230"/>
      <c r="AO650" s="208"/>
      <c r="AP650" s="208"/>
      <c r="AQ650" s="208"/>
      <c r="AR650" s="226"/>
      <c r="AS650" s="225"/>
      <c r="AT650" s="226"/>
      <c r="AU650" s="225"/>
      <c r="AV650" s="225"/>
      <c r="AW650" s="225"/>
      <c r="AX650" s="225"/>
      <c r="AY650" s="225"/>
    </row>
    <row r="651" spans="33:51" x14ac:dyDescent="0.25">
      <c r="AG651" s="66" t="str">
        <f>IF(AND(Множество[[#This Row],[Y]]=1),ROW()-ROW(Множество[[#Headers],[№]]),"")</f>
        <v/>
      </c>
      <c r="AI651" s="66">
        <v>1</v>
      </c>
      <c r="AJ651" s="66">
        <f>IF(LEN(Множество[[#This Row],[Свёртка]])&gt;0,1,-1)</f>
        <v>1</v>
      </c>
      <c r="AK651" s="66" t="s">
        <v>1781</v>
      </c>
      <c r="AL651" s="209">
        <f>IF(LEN(Множество[[#This Row],[Критерии]])&gt;0,1,-1)</f>
        <v>1</v>
      </c>
      <c r="AM651" s="209">
        <f>IF(AND(LEN(Множество[[#This Row],[Свёртка]])&gt;0,LEN(Множество[[#This Row],[Критерии]])&gt;0,LEN(Множество[[#This Row],[Оценки]])&gt;0),1,-1)</f>
        <v>-1</v>
      </c>
      <c r="AN651" s="230"/>
      <c r="AO651" s="208"/>
      <c r="AP651" s="208"/>
      <c r="AQ651" s="208"/>
      <c r="AR651" s="226"/>
      <c r="AS651" s="225"/>
      <c r="AT651" s="226"/>
      <c r="AU651" s="225"/>
      <c r="AV651" s="225"/>
      <c r="AW651" s="225"/>
      <c r="AX651" s="225"/>
      <c r="AY651" s="225"/>
    </row>
    <row r="652" spans="33:51" x14ac:dyDescent="0.25">
      <c r="AG652" s="66" t="str">
        <f>IF(AND(Множество[[#This Row],[Y]]=1),ROW()-ROW(Множество[[#Headers],[№]]),"")</f>
        <v/>
      </c>
      <c r="AI652" s="66">
        <v>1</v>
      </c>
      <c r="AJ652" s="66">
        <f>IF(LEN(Множество[[#This Row],[Свёртка]])&gt;0,1,-1)</f>
        <v>1</v>
      </c>
      <c r="AK652" s="66" t="s">
        <v>1781</v>
      </c>
      <c r="AL652" s="209">
        <f>IF(LEN(Множество[[#This Row],[Критерии]])&gt;0,1,-1)</f>
        <v>1</v>
      </c>
      <c r="AM652" s="209">
        <f>IF(AND(LEN(Множество[[#This Row],[Свёртка]])&gt;0,LEN(Множество[[#This Row],[Критерии]])&gt;0,LEN(Множество[[#This Row],[Оценки]])&gt;0),1,-1)</f>
        <v>-1</v>
      </c>
      <c r="AN652" s="230"/>
      <c r="AO652" s="208"/>
      <c r="AP652" s="208"/>
      <c r="AQ652" s="208"/>
      <c r="AR652" s="226"/>
      <c r="AS652" s="225"/>
      <c r="AT652" s="226"/>
      <c r="AU652" s="225"/>
      <c r="AV652" s="225"/>
      <c r="AW652" s="225"/>
      <c r="AX652" s="225"/>
      <c r="AY652" s="225"/>
    </row>
    <row r="653" spans="33:51" x14ac:dyDescent="0.25">
      <c r="AG653" s="66" t="str">
        <f>IF(AND(Множество[[#This Row],[Y]]=1),ROW()-ROW(Множество[[#Headers],[№]]),"")</f>
        <v/>
      </c>
      <c r="AI653" s="66">
        <v>1</v>
      </c>
      <c r="AJ653" s="66">
        <f>IF(LEN(Множество[[#This Row],[Свёртка]])&gt;0,1,-1)</f>
        <v>1</v>
      </c>
      <c r="AK653" s="66" t="s">
        <v>1781</v>
      </c>
      <c r="AL653" s="209">
        <f>IF(LEN(Множество[[#This Row],[Критерии]])&gt;0,1,-1)</f>
        <v>1</v>
      </c>
      <c r="AM653" s="209">
        <f>IF(AND(LEN(Множество[[#This Row],[Свёртка]])&gt;0,LEN(Множество[[#This Row],[Критерии]])&gt;0,LEN(Множество[[#This Row],[Оценки]])&gt;0),1,-1)</f>
        <v>-1</v>
      </c>
      <c r="AN653" s="230"/>
      <c r="AO653" s="208"/>
      <c r="AP653" s="208"/>
      <c r="AQ653" s="208"/>
      <c r="AR653" s="226"/>
      <c r="AS653" s="225"/>
      <c r="AT653" s="226"/>
      <c r="AU653" s="225"/>
      <c r="AV653" s="225"/>
      <c r="AW653" s="225"/>
      <c r="AX653" s="225"/>
      <c r="AY653" s="225"/>
    </row>
    <row r="654" spans="33:51" x14ac:dyDescent="0.25">
      <c r="AG654" s="66" t="str">
        <f>IF(AND(Множество[[#This Row],[Y]]=1),ROW()-ROW(Множество[[#Headers],[№]]),"")</f>
        <v/>
      </c>
      <c r="AI654" s="66">
        <v>1</v>
      </c>
      <c r="AJ654" s="66">
        <f>IF(LEN(Множество[[#This Row],[Свёртка]])&gt;0,1,-1)</f>
        <v>1</v>
      </c>
      <c r="AK654" s="66" t="s">
        <v>1781</v>
      </c>
      <c r="AL654" s="209">
        <f>IF(LEN(Множество[[#This Row],[Критерии]])&gt;0,1,-1)</f>
        <v>1</v>
      </c>
      <c r="AM654" s="209">
        <f>IF(AND(LEN(Множество[[#This Row],[Свёртка]])&gt;0,LEN(Множество[[#This Row],[Критерии]])&gt;0,LEN(Множество[[#This Row],[Оценки]])&gt;0),1,-1)</f>
        <v>-1</v>
      </c>
      <c r="AN654" s="230"/>
      <c r="AO654" s="208"/>
      <c r="AP654" s="208"/>
      <c r="AQ654" s="208"/>
      <c r="AR654" s="226"/>
      <c r="AS654" s="225"/>
      <c r="AT654" s="226"/>
      <c r="AU654" s="225"/>
      <c r="AV654" s="225"/>
      <c r="AW654" s="225"/>
      <c r="AX654" s="225"/>
      <c r="AY654" s="225"/>
    </row>
    <row r="655" spans="33:51" x14ac:dyDescent="0.25">
      <c r="AG655" s="66" t="str">
        <f>IF(AND(Множество[[#This Row],[Y]]=1),ROW()-ROW(Множество[[#Headers],[№]]),"")</f>
        <v/>
      </c>
      <c r="AI655" s="66">
        <v>1</v>
      </c>
      <c r="AJ655" s="66">
        <f>IF(LEN(Множество[[#This Row],[Свёртка]])&gt;0,1,-1)</f>
        <v>1</v>
      </c>
      <c r="AK655" s="66" t="s">
        <v>1781</v>
      </c>
      <c r="AL655" s="209">
        <f>IF(LEN(Множество[[#This Row],[Критерии]])&gt;0,1,-1)</f>
        <v>1</v>
      </c>
      <c r="AM655" s="209">
        <f>IF(AND(LEN(Множество[[#This Row],[Свёртка]])&gt;0,LEN(Множество[[#This Row],[Критерии]])&gt;0,LEN(Множество[[#This Row],[Оценки]])&gt;0),1,-1)</f>
        <v>-1</v>
      </c>
      <c r="AN655" s="230"/>
      <c r="AO655" s="208"/>
      <c r="AP655" s="208"/>
      <c r="AQ655" s="208"/>
      <c r="AR655" s="226"/>
      <c r="AS655" s="225"/>
      <c r="AT655" s="226"/>
      <c r="AU655" s="225"/>
      <c r="AV655" s="225"/>
      <c r="AW655" s="225"/>
      <c r="AX655" s="225"/>
      <c r="AY655" s="225"/>
    </row>
    <row r="656" spans="33:51" x14ac:dyDescent="0.25">
      <c r="AG656" s="66" t="str">
        <f>IF(AND(Множество[[#This Row],[Y]]=1),ROW()-ROW(Множество[[#Headers],[№]]),"")</f>
        <v/>
      </c>
      <c r="AI656" s="66">
        <v>1</v>
      </c>
      <c r="AJ656" s="66">
        <f>IF(LEN(Множество[[#This Row],[Свёртка]])&gt;0,1,-1)</f>
        <v>1</v>
      </c>
      <c r="AK656" s="66" t="s">
        <v>1781</v>
      </c>
      <c r="AL656" s="209">
        <f>IF(LEN(Множество[[#This Row],[Критерии]])&gt;0,1,-1)</f>
        <v>1</v>
      </c>
      <c r="AM656" s="209">
        <f>IF(AND(LEN(Множество[[#This Row],[Свёртка]])&gt;0,LEN(Множество[[#This Row],[Критерии]])&gt;0,LEN(Множество[[#This Row],[Оценки]])&gt;0),1,-1)</f>
        <v>-1</v>
      </c>
      <c r="AN656" s="230"/>
      <c r="AO656" s="208"/>
      <c r="AP656" s="208"/>
      <c r="AQ656" s="208"/>
      <c r="AR656" s="226"/>
      <c r="AS656" s="225"/>
      <c r="AT656" s="226"/>
      <c r="AU656" s="225"/>
      <c r="AV656" s="225"/>
      <c r="AW656" s="225"/>
      <c r="AX656" s="225"/>
      <c r="AY656" s="225"/>
    </row>
    <row r="657" spans="33:51" x14ac:dyDescent="0.25">
      <c r="AG657" s="66" t="str">
        <f>IF(AND(Множество[[#This Row],[Y]]=1),ROW()-ROW(Множество[[#Headers],[№]]),"")</f>
        <v/>
      </c>
      <c r="AI657" s="66">
        <v>1</v>
      </c>
      <c r="AJ657" s="66">
        <f>IF(LEN(Множество[[#This Row],[Свёртка]])&gt;0,1,-1)</f>
        <v>1</v>
      </c>
      <c r="AK657" s="66" t="s">
        <v>1781</v>
      </c>
      <c r="AL657" s="209">
        <f>IF(LEN(Множество[[#This Row],[Критерии]])&gt;0,1,-1)</f>
        <v>1</v>
      </c>
      <c r="AM657" s="209">
        <f>IF(AND(LEN(Множество[[#This Row],[Свёртка]])&gt;0,LEN(Множество[[#This Row],[Критерии]])&gt;0,LEN(Множество[[#This Row],[Оценки]])&gt;0),1,-1)</f>
        <v>-1</v>
      </c>
      <c r="AN657" s="230"/>
      <c r="AO657" s="208"/>
      <c r="AP657" s="208"/>
      <c r="AQ657" s="208"/>
      <c r="AR657" s="226"/>
      <c r="AS657" s="225"/>
      <c r="AT657" s="226"/>
      <c r="AU657" s="225"/>
      <c r="AV657" s="225"/>
      <c r="AW657" s="225"/>
      <c r="AX657" s="225"/>
      <c r="AY657" s="225"/>
    </row>
    <row r="658" spans="33:51" x14ac:dyDescent="0.25">
      <c r="AG658" s="66" t="str">
        <f>IF(AND(Множество[[#This Row],[Y]]=1),ROW()-ROW(Множество[[#Headers],[№]]),"")</f>
        <v/>
      </c>
      <c r="AI658" s="66">
        <v>1</v>
      </c>
      <c r="AJ658" s="66">
        <f>IF(LEN(Множество[[#This Row],[Свёртка]])&gt;0,1,-1)</f>
        <v>1</v>
      </c>
      <c r="AK658" s="66" t="s">
        <v>1781</v>
      </c>
      <c r="AL658" s="209">
        <f>IF(LEN(Множество[[#This Row],[Критерии]])&gt;0,1,-1)</f>
        <v>1</v>
      </c>
      <c r="AM658" s="209">
        <f>IF(AND(LEN(Множество[[#This Row],[Свёртка]])&gt;0,LEN(Множество[[#This Row],[Критерии]])&gt;0,LEN(Множество[[#This Row],[Оценки]])&gt;0),1,-1)</f>
        <v>-1</v>
      </c>
      <c r="AN658" s="230"/>
      <c r="AO658" s="208"/>
      <c r="AP658" s="208"/>
      <c r="AQ658" s="208"/>
      <c r="AR658" s="226"/>
      <c r="AS658" s="225"/>
      <c r="AT658" s="226"/>
      <c r="AU658" s="225"/>
      <c r="AV658" s="225"/>
      <c r="AW658" s="225"/>
      <c r="AX658" s="225"/>
      <c r="AY658" s="225"/>
    </row>
    <row r="659" spans="33:51" x14ac:dyDescent="0.25">
      <c r="AG659" s="66" t="str">
        <f>IF(AND(Множество[[#This Row],[Y]]=1),ROW()-ROW(Множество[[#Headers],[№]]),"")</f>
        <v/>
      </c>
      <c r="AI659" s="66">
        <v>1</v>
      </c>
      <c r="AJ659" s="66">
        <f>IF(LEN(Множество[[#This Row],[Свёртка]])&gt;0,1,-1)</f>
        <v>1</v>
      </c>
      <c r="AK659" s="66" t="s">
        <v>1781</v>
      </c>
      <c r="AL659" s="209">
        <f>IF(LEN(Множество[[#This Row],[Критерии]])&gt;0,1,-1)</f>
        <v>1</v>
      </c>
      <c r="AM659" s="209">
        <f>IF(AND(LEN(Множество[[#This Row],[Свёртка]])&gt;0,LEN(Множество[[#This Row],[Критерии]])&gt;0,LEN(Множество[[#This Row],[Оценки]])&gt;0),1,-1)</f>
        <v>-1</v>
      </c>
      <c r="AN659" s="230"/>
      <c r="AO659" s="208"/>
      <c r="AP659" s="208"/>
      <c r="AQ659" s="208"/>
      <c r="AR659" s="226"/>
      <c r="AS659" s="225"/>
      <c r="AT659" s="226"/>
      <c r="AU659" s="225"/>
      <c r="AV659" s="225"/>
      <c r="AW659" s="225"/>
      <c r="AX659" s="225"/>
      <c r="AY659" s="225"/>
    </row>
    <row r="660" spans="33:51" x14ac:dyDescent="0.25">
      <c r="AG660" s="66" t="str">
        <f>IF(AND(Множество[[#This Row],[Y]]=1),ROW()-ROW(Множество[[#Headers],[№]]),"")</f>
        <v/>
      </c>
      <c r="AI660" s="66">
        <v>1</v>
      </c>
      <c r="AJ660" s="66">
        <f>IF(LEN(Множество[[#This Row],[Свёртка]])&gt;0,1,-1)</f>
        <v>1</v>
      </c>
      <c r="AK660" s="66" t="s">
        <v>1781</v>
      </c>
      <c r="AL660" s="209">
        <f>IF(LEN(Множество[[#This Row],[Критерии]])&gt;0,1,-1)</f>
        <v>1</v>
      </c>
      <c r="AM660" s="209">
        <f>IF(AND(LEN(Множество[[#This Row],[Свёртка]])&gt;0,LEN(Множество[[#This Row],[Критерии]])&gt;0,LEN(Множество[[#This Row],[Оценки]])&gt;0),1,-1)</f>
        <v>-1</v>
      </c>
      <c r="AN660" s="230"/>
      <c r="AO660" s="208"/>
      <c r="AP660" s="208"/>
      <c r="AQ660" s="208"/>
      <c r="AR660" s="226"/>
      <c r="AS660" s="225"/>
      <c r="AT660" s="226"/>
      <c r="AU660" s="225"/>
      <c r="AV660" s="225"/>
      <c r="AW660" s="225"/>
      <c r="AX660" s="225"/>
      <c r="AY660" s="225"/>
    </row>
    <row r="661" spans="33:51" x14ac:dyDescent="0.25">
      <c r="AG661" s="66" t="str">
        <f>IF(AND(Множество[[#This Row],[Y]]=1),ROW()-ROW(Множество[[#Headers],[№]]),"")</f>
        <v/>
      </c>
      <c r="AI661" s="66">
        <v>1</v>
      </c>
      <c r="AJ661" s="66">
        <f>IF(LEN(Множество[[#This Row],[Свёртка]])&gt;0,1,-1)</f>
        <v>1</v>
      </c>
      <c r="AK661" s="66" t="s">
        <v>1781</v>
      </c>
      <c r="AL661" s="209">
        <f>IF(LEN(Множество[[#This Row],[Критерии]])&gt;0,1,-1)</f>
        <v>1</v>
      </c>
      <c r="AM661" s="209">
        <f>IF(AND(LEN(Множество[[#This Row],[Свёртка]])&gt;0,LEN(Множество[[#This Row],[Критерии]])&gt;0,LEN(Множество[[#This Row],[Оценки]])&gt;0),1,-1)</f>
        <v>-1</v>
      </c>
      <c r="AN661" s="230"/>
      <c r="AO661" s="208"/>
      <c r="AP661" s="208"/>
      <c r="AQ661" s="208"/>
      <c r="AR661" s="226"/>
      <c r="AS661" s="225"/>
      <c r="AT661" s="226"/>
      <c r="AU661" s="225"/>
      <c r="AV661" s="225"/>
      <c r="AW661" s="225"/>
      <c r="AX661" s="225"/>
      <c r="AY661" s="225"/>
    </row>
    <row r="662" spans="33:51" x14ac:dyDescent="0.25">
      <c r="AG662" s="66" t="str">
        <f>IF(AND(Множество[[#This Row],[Y]]=1),ROW()-ROW(Множество[[#Headers],[№]]),"")</f>
        <v/>
      </c>
      <c r="AI662" s="66">
        <v>1</v>
      </c>
      <c r="AJ662" s="66">
        <f>IF(LEN(Множество[[#This Row],[Свёртка]])&gt;0,1,-1)</f>
        <v>1</v>
      </c>
      <c r="AK662" s="66" t="s">
        <v>1781</v>
      </c>
      <c r="AL662" s="209">
        <f>IF(LEN(Множество[[#This Row],[Критерии]])&gt;0,1,-1)</f>
        <v>1</v>
      </c>
      <c r="AM662" s="209">
        <f>IF(AND(LEN(Множество[[#This Row],[Свёртка]])&gt;0,LEN(Множество[[#This Row],[Критерии]])&gt;0,LEN(Множество[[#This Row],[Оценки]])&gt;0),1,-1)</f>
        <v>-1</v>
      </c>
      <c r="AN662" s="230"/>
      <c r="AO662" s="208"/>
      <c r="AP662" s="208"/>
      <c r="AQ662" s="208"/>
      <c r="AR662" s="226"/>
      <c r="AS662" s="225"/>
      <c r="AT662" s="226"/>
      <c r="AU662" s="225"/>
      <c r="AV662" s="225"/>
      <c r="AW662" s="225"/>
      <c r="AX662" s="225"/>
      <c r="AY662" s="225"/>
    </row>
    <row r="663" spans="33:51" x14ac:dyDescent="0.25">
      <c r="AG663" s="66" t="str">
        <f>IF(AND(Множество[[#This Row],[Y]]=1),ROW()-ROW(Множество[[#Headers],[№]]),"")</f>
        <v/>
      </c>
      <c r="AI663" s="66">
        <v>1</v>
      </c>
      <c r="AJ663" s="66">
        <f>IF(LEN(Множество[[#This Row],[Свёртка]])&gt;0,1,-1)</f>
        <v>1</v>
      </c>
      <c r="AK663" s="66" t="s">
        <v>1781</v>
      </c>
      <c r="AL663" s="209">
        <f>IF(LEN(Множество[[#This Row],[Критерии]])&gt;0,1,-1)</f>
        <v>1</v>
      </c>
      <c r="AM663" s="209">
        <f>IF(AND(LEN(Множество[[#This Row],[Свёртка]])&gt;0,LEN(Множество[[#This Row],[Критерии]])&gt;0,LEN(Множество[[#This Row],[Оценки]])&gt;0),1,-1)</f>
        <v>-1</v>
      </c>
      <c r="AN663" s="230"/>
      <c r="AO663" s="208"/>
      <c r="AP663" s="208"/>
      <c r="AQ663" s="208"/>
      <c r="AR663" s="226"/>
      <c r="AS663" s="225"/>
      <c r="AT663" s="226"/>
      <c r="AU663" s="225"/>
      <c r="AV663" s="225"/>
      <c r="AW663" s="225"/>
      <c r="AX663" s="225"/>
      <c r="AY663" s="225"/>
    </row>
    <row r="664" spans="33:51" x14ac:dyDescent="0.25">
      <c r="AG664" s="66" t="str">
        <f>IF(AND(Множество[[#This Row],[Y]]=1),ROW()-ROW(Множество[[#Headers],[№]]),"")</f>
        <v/>
      </c>
      <c r="AI664" s="66">
        <v>1</v>
      </c>
      <c r="AJ664" s="66">
        <f>IF(LEN(Множество[[#This Row],[Свёртка]])&gt;0,1,-1)</f>
        <v>1</v>
      </c>
      <c r="AK664" s="66" t="s">
        <v>1781</v>
      </c>
      <c r="AL664" s="209">
        <f>IF(LEN(Множество[[#This Row],[Критерии]])&gt;0,1,-1)</f>
        <v>1</v>
      </c>
      <c r="AM664" s="209">
        <f>IF(AND(LEN(Множество[[#This Row],[Свёртка]])&gt;0,LEN(Множество[[#This Row],[Критерии]])&gt;0,LEN(Множество[[#This Row],[Оценки]])&gt;0),1,-1)</f>
        <v>-1</v>
      </c>
      <c r="AN664" s="230"/>
      <c r="AO664" s="208"/>
      <c r="AP664" s="208"/>
      <c r="AQ664" s="208"/>
      <c r="AR664" s="226"/>
      <c r="AS664" s="225"/>
      <c r="AT664" s="226"/>
      <c r="AU664" s="225"/>
      <c r="AV664" s="225"/>
      <c r="AW664" s="225"/>
      <c r="AX664" s="225"/>
      <c r="AY664" s="225"/>
    </row>
    <row r="665" spans="33:51" x14ac:dyDescent="0.25">
      <c r="AG665" s="66" t="str">
        <f>IF(AND(Множество[[#This Row],[Y]]=1),ROW()-ROW(Множество[[#Headers],[№]]),"")</f>
        <v/>
      </c>
      <c r="AI665" s="66">
        <v>1</v>
      </c>
      <c r="AJ665" s="66">
        <f>IF(LEN(Множество[[#This Row],[Свёртка]])&gt;0,1,-1)</f>
        <v>1</v>
      </c>
      <c r="AK665" s="66" t="s">
        <v>1781</v>
      </c>
      <c r="AL665" s="209">
        <f>IF(LEN(Множество[[#This Row],[Критерии]])&gt;0,1,-1)</f>
        <v>1</v>
      </c>
      <c r="AM665" s="209">
        <f>IF(AND(LEN(Множество[[#This Row],[Свёртка]])&gt;0,LEN(Множество[[#This Row],[Критерии]])&gt;0,LEN(Множество[[#This Row],[Оценки]])&gt;0),1,-1)</f>
        <v>-1</v>
      </c>
      <c r="AN665" s="230"/>
      <c r="AO665" s="208"/>
      <c r="AP665" s="208"/>
      <c r="AQ665" s="208"/>
      <c r="AR665" s="226"/>
      <c r="AS665" s="225"/>
      <c r="AT665" s="226"/>
      <c r="AU665" s="225"/>
      <c r="AV665" s="225"/>
      <c r="AW665" s="225"/>
      <c r="AX665" s="225"/>
      <c r="AY665" s="225"/>
    </row>
    <row r="666" spans="33:51" x14ac:dyDescent="0.25">
      <c r="AG666" s="66" t="str">
        <f>IF(AND(Множество[[#This Row],[Y]]=1),ROW()-ROW(Множество[[#Headers],[№]]),"")</f>
        <v/>
      </c>
      <c r="AI666" s="66">
        <v>1</v>
      </c>
      <c r="AJ666" s="66">
        <f>IF(LEN(Множество[[#This Row],[Свёртка]])&gt;0,1,-1)</f>
        <v>1</v>
      </c>
      <c r="AK666" s="66" t="s">
        <v>1781</v>
      </c>
      <c r="AL666" s="209">
        <f>IF(LEN(Множество[[#This Row],[Критерии]])&gt;0,1,-1)</f>
        <v>1</v>
      </c>
      <c r="AM666" s="209">
        <f>IF(AND(LEN(Множество[[#This Row],[Свёртка]])&gt;0,LEN(Множество[[#This Row],[Критерии]])&gt;0,LEN(Множество[[#This Row],[Оценки]])&gt;0),1,-1)</f>
        <v>-1</v>
      </c>
      <c r="AN666" s="230"/>
      <c r="AO666" s="208"/>
      <c r="AP666" s="208"/>
      <c r="AQ666" s="208"/>
      <c r="AR666" s="226"/>
      <c r="AS666" s="225"/>
      <c r="AT666" s="226"/>
      <c r="AU666" s="225"/>
      <c r="AV666" s="225"/>
      <c r="AW666" s="225"/>
      <c r="AX666" s="225"/>
      <c r="AY666" s="225"/>
    </row>
    <row r="667" spans="33:51" x14ac:dyDescent="0.25">
      <c r="AG667" s="66" t="str">
        <f>IF(AND(Множество[[#This Row],[Y]]=1),ROW()-ROW(Множество[[#Headers],[№]]),"")</f>
        <v/>
      </c>
      <c r="AI667" s="66">
        <v>1</v>
      </c>
      <c r="AJ667" s="66">
        <f>IF(LEN(Множество[[#This Row],[Свёртка]])&gt;0,1,-1)</f>
        <v>1</v>
      </c>
      <c r="AK667" s="66" t="s">
        <v>1781</v>
      </c>
      <c r="AL667" s="209">
        <f>IF(LEN(Множество[[#This Row],[Критерии]])&gt;0,1,-1)</f>
        <v>1</v>
      </c>
      <c r="AM667" s="209">
        <f>IF(AND(LEN(Множество[[#This Row],[Свёртка]])&gt;0,LEN(Множество[[#This Row],[Критерии]])&gt;0,LEN(Множество[[#This Row],[Оценки]])&gt;0),1,-1)</f>
        <v>-1</v>
      </c>
      <c r="AN667" s="230"/>
      <c r="AO667" s="208"/>
      <c r="AP667" s="208"/>
      <c r="AQ667" s="208"/>
      <c r="AR667" s="226"/>
      <c r="AS667" s="225"/>
      <c r="AT667" s="226"/>
      <c r="AU667" s="225"/>
      <c r="AV667" s="225"/>
      <c r="AW667" s="225"/>
      <c r="AX667" s="225"/>
      <c r="AY667" s="225"/>
    </row>
    <row r="668" spans="33:51" x14ac:dyDescent="0.25">
      <c r="AG668" s="66" t="str">
        <f>IF(AND(Множество[[#This Row],[Y]]=1),ROW()-ROW(Множество[[#Headers],[№]]),"")</f>
        <v/>
      </c>
      <c r="AI668" s="66">
        <v>1</v>
      </c>
      <c r="AJ668" s="66">
        <f>IF(LEN(Множество[[#This Row],[Свёртка]])&gt;0,1,-1)</f>
        <v>1</v>
      </c>
      <c r="AK668" s="66" t="s">
        <v>1781</v>
      </c>
      <c r="AL668" s="209">
        <f>IF(LEN(Множество[[#This Row],[Критерии]])&gt;0,1,-1)</f>
        <v>1</v>
      </c>
      <c r="AM668" s="209">
        <f>IF(AND(LEN(Множество[[#This Row],[Свёртка]])&gt;0,LEN(Множество[[#This Row],[Критерии]])&gt;0,LEN(Множество[[#This Row],[Оценки]])&gt;0),1,-1)</f>
        <v>-1</v>
      </c>
      <c r="AN668" s="230"/>
      <c r="AO668" s="208"/>
      <c r="AP668" s="208"/>
      <c r="AQ668" s="208"/>
      <c r="AR668" s="226"/>
      <c r="AS668" s="225"/>
      <c r="AT668" s="226"/>
      <c r="AU668" s="225"/>
      <c r="AV668" s="225"/>
      <c r="AW668" s="225"/>
      <c r="AX668" s="225"/>
      <c r="AY668" s="225"/>
    </row>
    <row r="669" spans="33:51" x14ac:dyDescent="0.25">
      <c r="AG669" s="66" t="str">
        <f>IF(AND(Множество[[#This Row],[Y]]=1),ROW()-ROW(Множество[[#Headers],[№]]),"")</f>
        <v/>
      </c>
      <c r="AI669" s="66">
        <v>1</v>
      </c>
      <c r="AJ669" s="66">
        <f>IF(LEN(Множество[[#This Row],[Свёртка]])&gt;0,1,-1)</f>
        <v>1</v>
      </c>
      <c r="AK669" s="66" t="s">
        <v>1781</v>
      </c>
      <c r="AL669" s="209">
        <f>IF(LEN(Множество[[#This Row],[Критерии]])&gt;0,1,-1)</f>
        <v>1</v>
      </c>
      <c r="AM669" s="209">
        <f>IF(AND(LEN(Множество[[#This Row],[Свёртка]])&gt;0,LEN(Множество[[#This Row],[Критерии]])&gt;0,LEN(Множество[[#This Row],[Оценки]])&gt;0),1,-1)</f>
        <v>-1</v>
      </c>
      <c r="AN669" s="230"/>
      <c r="AO669" s="208"/>
      <c r="AP669" s="208"/>
      <c r="AQ669" s="208"/>
      <c r="AR669" s="226"/>
      <c r="AS669" s="225"/>
      <c r="AT669" s="226"/>
      <c r="AU669" s="225"/>
      <c r="AV669" s="225"/>
      <c r="AW669" s="225"/>
      <c r="AX669" s="225"/>
      <c r="AY669" s="225"/>
    </row>
    <row r="670" spans="33:51" x14ac:dyDescent="0.25">
      <c r="AG670" s="66" t="str">
        <f>IF(AND(Множество[[#This Row],[Y]]=1),ROW()-ROW(Множество[[#Headers],[№]]),"")</f>
        <v/>
      </c>
      <c r="AI670" s="66">
        <v>1</v>
      </c>
      <c r="AJ670" s="66">
        <f>IF(LEN(Множество[[#This Row],[Свёртка]])&gt;0,1,-1)</f>
        <v>1</v>
      </c>
      <c r="AK670" s="66" t="s">
        <v>1781</v>
      </c>
      <c r="AL670" s="209">
        <f>IF(LEN(Множество[[#This Row],[Критерии]])&gt;0,1,-1)</f>
        <v>1</v>
      </c>
      <c r="AM670" s="209">
        <f>IF(AND(LEN(Множество[[#This Row],[Свёртка]])&gt;0,LEN(Множество[[#This Row],[Критерии]])&gt;0,LEN(Множество[[#This Row],[Оценки]])&gt;0),1,-1)</f>
        <v>-1</v>
      </c>
      <c r="AN670" s="230"/>
      <c r="AO670" s="208"/>
      <c r="AP670" s="208"/>
      <c r="AQ670" s="208"/>
      <c r="AR670" s="226"/>
      <c r="AS670" s="225"/>
      <c r="AT670" s="226"/>
      <c r="AU670" s="225"/>
      <c r="AV670" s="225"/>
      <c r="AW670" s="225"/>
      <c r="AX670" s="225"/>
      <c r="AY670" s="225"/>
    </row>
    <row r="671" spans="33:51" x14ac:dyDescent="0.25">
      <c r="AG671" s="66" t="str">
        <f>IF(AND(Множество[[#This Row],[Y]]=1),ROW()-ROW(Множество[[#Headers],[№]]),"")</f>
        <v/>
      </c>
      <c r="AI671" s="66">
        <v>1</v>
      </c>
      <c r="AJ671" s="66">
        <f>IF(LEN(Множество[[#This Row],[Свёртка]])&gt;0,1,-1)</f>
        <v>1</v>
      </c>
      <c r="AK671" s="66" t="s">
        <v>1781</v>
      </c>
      <c r="AL671" s="209">
        <f>IF(LEN(Множество[[#This Row],[Критерии]])&gt;0,1,-1)</f>
        <v>1</v>
      </c>
      <c r="AM671" s="209">
        <f>IF(AND(LEN(Множество[[#This Row],[Свёртка]])&gt;0,LEN(Множество[[#This Row],[Критерии]])&gt;0,LEN(Множество[[#This Row],[Оценки]])&gt;0),1,-1)</f>
        <v>-1</v>
      </c>
      <c r="AN671" s="230"/>
      <c r="AO671" s="208"/>
      <c r="AP671" s="208"/>
      <c r="AQ671" s="208"/>
      <c r="AR671" s="226"/>
      <c r="AS671" s="225"/>
      <c r="AT671" s="226"/>
      <c r="AU671" s="225"/>
      <c r="AV671" s="225"/>
      <c r="AW671" s="225"/>
      <c r="AX671" s="225"/>
      <c r="AY671" s="225"/>
    </row>
    <row r="672" spans="33:51" x14ac:dyDescent="0.25">
      <c r="AG672" s="66" t="str">
        <f>IF(AND(Множество[[#This Row],[Y]]=1),ROW()-ROW(Множество[[#Headers],[№]]),"")</f>
        <v/>
      </c>
      <c r="AI672" s="66">
        <v>1</v>
      </c>
      <c r="AJ672" s="66">
        <f>IF(LEN(Множество[[#This Row],[Свёртка]])&gt;0,1,-1)</f>
        <v>1</v>
      </c>
      <c r="AK672" s="66" t="s">
        <v>1781</v>
      </c>
      <c r="AL672" s="209">
        <f>IF(LEN(Множество[[#This Row],[Критерии]])&gt;0,1,-1)</f>
        <v>1</v>
      </c>
      <c r="AM672" s="209">
        <f>IF(AND(LEN(Множество[[#This Row],[Свёртка]])&gt;0,LEN(Множество[[#This Row],[Критерии]])&gt;0,LEN(Множество[[#This Row],[Оценки]])&gt;0),1,-1)</f>
        <v>-1</v>
      </c>
      <c r="AN672" s="230"/>
      <c r="AO672" s="208"/>
      <c r="AP672" s="208"/>
      <c r="AQ672" s="208"/>
      <c r="AR672" s="226"/>
      <c r="AS672" s="225"/>
      <c r="AT672" s="226"/>
      <c r="AU672" s="225"/>
      <c r="AV672" s="225"/>
      <c r="AW672" s="225"/>
      <c r="AX672" s="225"/>
      <c r="AY672" s="225"/>
    </row>
    <row r="673" spans="33:51" x14ac:dyDescent="0.25">
      <c r="AG673" s="66" t="str">
        <f>IF(AND(Множество[[#This Row],[Y]]=1),ROW()-ROW(Множество[[#Headers],[№]]),"")</f>
        <v/>
      </c>
      <c r="AI673" s="66">
        <v>1</v>
      </c>
      <c r="AJ673" s="66">
        <f>IF(LEN(Множество[[#This Row],[Свёртка]])&gt;0,1,-1)</f>
        <v>1</v>
      </c>
      <c r="AK673" s="66" t="s">
        <v>1781</v>
      </c>
      <c r="AL673" s="209">
        <f>IF(LEN(Множество[[#This Row],[Критерии]])&gt;0,1,-1)</f>
        <v>1</v>
      </c>
      <c r="AM673" s="209">
        <f>IF(AND(LEN(Множество[[#This Row],[Свёртка]])&gt;0,LEN(Множество[[#This Row],[Критерии]])&gt;0,LEN(Множество[[#This Row],[Оценки]])&gt;0),1,-1)</f>
        <v>-1</v>
      </c>
      <c r="AN673" s="230"/>
      <c r="AO673" s="208"/>
      <c r="AP673" s="208"/>
      <c r="AQ673" s="208"/>
      <c r="AR673" s="226"/>
      <c r="AS673" s="225"/>
      <c r="AT673" s="226"/>
      <c r="AU673" s="225"/>
      <c r="AV673" s="225"/>
      <c r="AW673" s="225"/>
      <c r="AX673" s="225"/>
      <c r="AY673" s="225"/>
    </row>
    <row r="674" spans="33:51" x14ac:dyDescent="0.25">
      <c r="AG674" s="66" t="str">
        <f>IF(AND(Множество[[#This Row],[Y]]=1),ROW()-ROW(Множество[[#Headers],[№]]),"")</f>
        <v/>
      </c>
      <c r="AI674" s="66">
        <v>1</v>
      </c>
      <c r="AJ674" s="66">
        <f>IF(LEN(Множество[[#This Row],[Свёртка]])&gt;0,1,-1)</f>
        <v>1</v>
      </c>
      <c r="AK674" s="66" t="s">
        <v>1781</v>
      </c>
      <c r="AL674" s="209">
        <f>IF(LEN(Множество[[#This Row],[Критерии]])&gt;0,1,-1)</f>
        <v>1</v>
      </c>
      <c r="AM674" s="209">
        <f>IF(AND(LEN(Множество[[#This Row],[Свёртка]])&gt;0,LEN(Множество[[#This Row],[Критерии]])&gt;0,LEN(Множество[[#This Row],[Оценки]])&gt;0),1,-1)</f>
        <v>-1</v>
      </c>
      <c r="AN674" s="230"/>
      <c r="AO674" s="208"/>
      <c r="AP674" s="208"/>
      <c r="AQ674" s="208"/>
      <c r="AR674" s="226"/>
      <c r="AS674" s="225"/>
      <c r="AT674" s="226"/>
      <c r="AU674" s="225"/>
      <c r="AV674" s="225"/>
      <c r="AW674" s="225"/>
      <c r="AX674" s="225"/>
      <c r="AY674" s="225"/>
    </row>
    <row r="675" spans="33:51" x14ac:dyDescent="0.25">
      <c r="AG675" s="66" t="str">
        <f>IF(AND(Множество[[#This Row],[Y]]=1),ROW()-ROW(Множество[[#Headers],[№]]),"")</f>
        <v/>
      </c>
      <c r="AI675" s="66">
        <v>1</v>
      </c>
      <c r="AJ675" s="66">
        <f>IF(LEN(Множество[[#This Row],[Свёртка]])&gt;0,1,-1)</f>
        <v>1</v>
      </c>
      <c r="AK675" s="66" t="s">
        <v>1781</v>
      </c>
      <c r="AL675" s="209">
        <f>IF(LEN(Множество[[#This Row],[Критерии]])&gt;0,1,-1)</f>
        <v>1</v>
      </c>
      <c r="AM675" s="209">
        <f>IF(AND(LEN(Множество[[#This Row],[Свёртка]])&gt;0,LEN(Множество[[#This Row],[Критерии]])&gt;0,LEN(Множество[[#This Row],[Оценки]])&gt;0),1,-1)</f>
        <v>-1</v>
      </c>
      <c r="AN675" s="230"/>
      <c r="AO675" s="208"/>
      <c r="AP675" s="208"/>
      <c r="AQ675" s="208"/>
      <c r="AR675" s="226"/>
      <c r="AS675" s="225"/>
      <c r="AT675" s="226"/>
      <c r="AU675" s="225"/>
      <c r="AV675" s="225"/>
      <c r="AW675" s="225"/>
      <c r="AX675" s="225"/>
      <c r="AY675" s="225"/>
    </row>
    <row r="676" spans="33:51" x14ac:dyDescent="0.25">
      <c r="AG676" s="66" t="str">
        <f>IF(AND(Множество[[#This Row],[Y]]=1),ROW()-ROW(Множество[[#Headers],[№]]),"")</f>
        <v/>
      </c>
      <c r="AI676" s="66">
        <v>1</v>
      </c>
      <c r="AJ676" s="66">
        <f>IF(LEN(Множество[[#This Row],[Свёртка]])&gt;0,1,-1)</f>
        <v>1</v>
      </c>
      <c r="AK676" s="66" t="s">
        <v>1781</v>
      </c>
      <c r="AL676" s="209">
        <f>IF(LEN(Множество[[#This Row],[Критерии]])&gt;0,1,-1)</f>
        <v>1</v>
      </c>
      <c r="AM676" s="209">
        <f>IF(AND(LEN(Множество[[#This Row],[Свёртка]])&gt;0,LEN(Множество[[#This Row],[Критерии]])&gt;0,LEN(Множество[[#This Row],[Оценки]])&gt;0),1,-1)</f>
        <v>-1</v>
      </c>
      <c r="AN676" s="230"/>
      <c r="AO676" s="208"/>
      <c r="AP676" s="208"/>
      <c r="AQ676" s="208"/>
      <c r="AR676" s="226"/>
      <c r="AS676" s="225"/>
      <c r="AT676" s="226"/>
      <c r="AU676" s="225"/>
      <c r="AV676" s="225"/>
      <c r="AW676" s="225"/>
      <c r="AX676" s="225"/>
      <c r="AY676" s="225"/>
    </row>
    <row r="677" spans="33:51" x14ac:dyDescent="0.25">
      <c r="AG677" s="66" t="str">
        <f>IF(AND(Множество[[#This Row],[Y]]=1),ROW()-ROW(Множество[[#Headers],[№]]),"")</f>
        <v/>
      </c>
      <c r="AI677" s="66">
        <v>1</v>
      </c>
      <c r="AJ677" s="66">
        <f>IF(LEN(Множество[[#This Row],[Свёртка]])&gt;0,1,-1)</f>
        <v>1</v>
      </c>
      <c r="AK677" s="66" t="s">
        <v>1781</v>
      </c>
      <c r="AL677" s="209">
        <f>IF(LEN(Множество[[#This Row],[Критерии]])&gt;0,1,-1)</f>
        <v>1</v>
      </c>
      <c r="AM677" s="209">
        <f>IF(AND(LEN(Множество[[#This Row],[Свёртка]])&gt;0,LEN(Множество[[#This Row],[Критерии]])&gt;0,LEN(Множество[[#This Row],[Оценки]])&gt;0),1,-1)</f>
        <v>-1</v>
      </c>
      <c r="AN677" s="230"/>
      <c r="AO677" s="208"/>
      <c r="AP677" s="208"/>
      <c r="AQ677" s="208"/>
      <c r="AR677" s="226"/>
      <c r="AS677" s="225"/>
      <c r="AT677" s="226"/>
      <c r="AU677" s="225"/>
      <c r="AV677" s="225"/>
      <c r="AW677" s="225"/>
      <c r="AX677" s="225"/>
      <c r="AY677" s="225"/>
    </row>
    <row r="678" spans="33:51" x14ac:dyDescent="0.25">
      <c r="AG678" s="66" t="str">
        <f>IF(AND(Множество[[#This Row],[Y]]=1),ROW()-ROW(Множество[[#Headers],[№]]),"")</f>
        <v/>
      </c>
      <c r="AI678" s="66">
        <v>1</v>
      </c>
      <c r="AJ678" s="66">
        <f>IF(LEN(Множество[[#This Row],[Свёртка]])&gt;0,1,-1)</f>
        <v>1</v>
      </c>
      <c r="AK678" s="66" t="s">
        <v>1781</v>
      </c>
      <c r="AL678" s="209">
        <f>IF(LEN(Множество[[#This Row],[Критерии]])&gt;0,1,-1)</f>
        <v>1</v>
      </c>
      <c r="AM678" s="209">
        <f>IF(AND(LEN(Множество[[#This Row],[Свёртка]])&gt;0,LEN(Множество[[#This Row],[Критерии]])&gt;0,LEN(Множество[[#This Row],[Оценки]])&gt;0),1,-1)</f>
        <v>-1</v>
      </c>
      <c r="AN678" s="230"/>
      <c r="AO678" s="208"/>
      <c r="AP678" s="208"/>
      <c r="AQ678" s="208"/>
      <c r="AR678" s="226"/>
      <c r="AS678" s="225"/>
      <c r="AT678" s="226"/>
      <c r="AU678" s="225"/>
      <c r="AV678" s="225"/>
      <c r="AW678" s="225"/>
      <c r="AX678" s="225"/>
      <c r="AY678" s="225"/>
    </row>
    <row r="679" spans="33:51" x14ac:dyDescent="0.25">
      <c r="AG679" s="66" t="str">
        <f>IF(AND(Множество[[#This Row],[Y]]=1),ROW()-ROW(Множество[[#Headers],[№]]),"")</f>
        <v/>
      </c>
      <c r="AI679" s="66">
        <v>1</v>
      </c>
      <c r="AJ679" s="66">
        <f>IF(LEN(Множество[[#This Row],[Свёртка]])&gt;0,1,-1)</f>
        <v>1</v>
      </c>
      <c r="AK679" s="66" t="s">
        <v>1781</v>
      </c>
      <c r="AL679" s="209">
        <f>IF(LEN(Множество[[#This Row],[Критерии]])&gt;0,1,-1)</f>
        <v>1</v>
      </c>
      <c r="AM679" s="209">
        <f>IF(AND(LEN(Множество[[#This Row],[Свёртка]])&gt;0,LEN(Множество[[#This Row],[Критерии]])&gt;0,LEN(Множество[[#This Row],[Оценки]])&gt;0),1,-1)</f>
        <v>-1</v>
      </c>
      <c r="AN679" s="230"/>
      <c r="AO679" s="208"/>
      <c r="AP679" s="208"/>
      <c r="AQ679" s="208"/>
      <c r="AR679" s="226"/>
      <c r="AS679" s="225"/>
      <c r="AT679" s="226"/>
      <c r="AU679" s="225"/>
      <c r="AV679" s="225"/>
      <c r="AW679" s="225"/>
      <c r="AX679" s="225"/>
      <c r="AY679" s="225"/>
    </row>
    <row r="680" spans="33:51" x14ac:dyDescent="0.25">
      <c r="AG680" s="66" t="str">
        <f>IF(AND(Множество[[#This Row],[Y]]=1),ROW()-ROW(Множество[[#Headers],[№]]),"")</f>
        <v/>
      </c>
      <c r="AI680" s="66">
        <v>1</v>
      </c>
      <c r="AJ680" s="66">
        <f>IF(LEN(Множество[[#This Row],[Свёртка]])&gt;0,1,-1)</f>
        <v>1</v>
      </c>
      <c r="AK680" s="66" t="s">
        <v>1781</v>
      </c>
      <c r="AL680" s="209">
        <f>IF(LEN(Множество[[#This Row],[Критерии]])&gt;0,1,-1)</f>
        <v>1</v>
      </c>
      <c r="AM680" s="209">
        <f>IF(AND(LEN(Множество[[#This Row],[Свёртка]])&gt;0,LEN(Множество[[#This Row],[Критерии]])&gt;0,LEN(Множество[[#This Row],[Оценки]])&gt;0),1,-1)</f>
        <v>-1</v>
      </c>
      <c r="AN680" s="230"/>
      <c r="AO680" s="208"/>
      <c r="AP680" s="208"/>
      <c r="AQ680" s="208"/>
      <c r="AR680" s="226"/>
      <c r="AS680" s="225"/>
      <c r="AT680" s="226"/>
      <c r="AU680" s="225"/>
      <c r="AV680" s="225"/>
      <c r="AW680" s="225"/>
      <c r="AX680" s="225"/>
      <c r="AY680" s="225"/>
    </row>
    <row r="681" spans="33:51" x14ac:dyDescent="0.25">
      <c r="AG681" s="66" t="str">
        <f>IF(AND(Множество[[#This Row],[Y]]=1),ROW()-ROW(Множество[[#Headers],[№]]),"")</f>
        <v/>
      </c>
      <c r="AI681" s="66">
        <v>1</v>
      </c>
      <c r="AJ681" s="66">
        <f>IF(LEN(Множество[[#This Row],[Свёртка]])&gt;0,1,-1)</f>
        <v>1</v>
      </c>
      <c r="AK681" s="66" t="s">
        <v>1781</v>
      </c>
      <c r="AL681" s="209">
        <f>IF(LEN(Множество[[#This Row],[Критерии]])&gt;0,1,-1)</f>
        <v>1</v>
      </c>
      <c r="AM681" s="209">
        <f>IF(AND(LEN(Множество[[#This Row],[Свёртка]])&gt;0,LEN(Множество[[#This Row],[Критерии]])&gt;0,LEN(Множество[[#This Row],[Оценки]])&gt;0),1,-1)</f>
        <v>-1</v>
      </c>
      <c r="AN681" s="230"/>
      <c r="AO681" s="208"/>
      <c r="AP681" s="208"/>
      <c r="AQ681" s="208"/>
      <c r="AR681" s="226"/>
      <c r="AS681" s="225"/>
      <c r="AT681" s="226"/>
      <c r="AU681" s="225"/>
      <c r="AV681" s="225"/>
      <c r="AW681" s="225"/>
      <c r="AX681" s="225"/>
      <c r="AY681" s="225"/>
    </row>
    <row r="682" spans="33:51" x14ac:dyDescent="0.25">
      <c r="AG682" s="66" t="str">
        <f>IF(AND(Множество[[#This Row],[Y]]=1),ROW()-ROW(Множество[[#Headers],[№]]),"")</f>
        <v/>
      </c>
      <c r="AI682" s="66">
        <v>1</v>
      </c>
      <c r="AJ682" s="66">
        <f>IF(LEN(Множество[[#This Row],[Свёртка]])&gt;0,1,-1)</f>
        <v>1</v>
      </c>
      <c r="AK682" s="66" t="s">
        <v>1781</v>
      </c>
      <c r="AL682" s="209">
        <f>IF(LEN(Множество[[#This Row],[Критерии]])&gt;0,1,-1)</f>
        <v>1</v>
      </c>
      <c r="AM682" s="209">
        <f>IF(AND(LEN(Множество[[#This Row],[Свёртка]])&gt;0,LEN(Множество[[#This Row],[Критерии]])&gt;0,LEN(Множество[[#This Row],[Оценки]])&gt;0),1,-1)</f>
        <v>-1</v>
      </c>
      <c r="AN682" s="230"/>
      <c r="AO682" s="208"/>
      <c r="AP682" s="208"/>
      <c r="AQ682" s="208"/>
      <c r="AR682" s="226"/>
      <c r="AS682" s="225"/>
      <c r="AT682" s="226"/>
      <c r="AU682" s="225"/>
      <c r="AV682" s="225"/>
      <c r="AW682" s="225"/>
      <c r="AX682" s="225"/>
      <c r="AY682" s="225"/>
    </row>
    <row r="683" spans="33:51" x14ac:dyDescent="0.25">
      <c r="AG683" s="66" t="str">
        <f>IF(AND(Множество[[#This Row],[Y]]=1),ROW()-ROW(Множество[[#Headers],[№]]),"")</f>
        <v/>
      </c>
      <c r="AI683" s="66">
        <v>1</v>
      </c>
      <c r="AJ683" s="66">
        <f>IF(LEN(Множество[[#This Row],[Свёртка]])&gt;0,1,-1)</f>
        <v>1</v>
      </c>
      <c r="AK683" s="66" t="s">
        <v>1781</v>
      </c>
      <c r="AL683" s="209">
        <f>IF(LEN(Множество[[#This Row],[Критерии]])&gt;0,1,-1)</f>
        <v>1</v>
      </c>
      <c r="AM683" s="209">
        <f>IF(AND(LEN(Множество[[#This Row],[Свёртка]])&gt;0,LEN(Множество[[#This Row],[Критерии]])&gt;0,LEN(Множество[[#This Row],[Оценки]])&gt;0),1,-1)</f>
        <v>-1</v>
      </c>
      <c r="AN683" s="230"/>
      <c r="AO683" s="208"/>
      <c r="AP683" s="208"/>
      <c r="AQ683" s="208"/>
      <c r="AR683" s="226"/>
      <c r="AS683" s="225"/>
      <c r="AT683" s="226"/>
      <c r="AU683" s="225"/>
      <c r="AV683" s="225"/>
      <c r="AW683" s="225"/>
      <c r="AX683" s="225"/>
      <c r="AY683" s="225"/>
    </row>
    <row r="684" spans="33:51" x14ac:dyDescent="0.25">
      <c r="AG684" s="66" t="str">
        <f>IF(AND(Множество[[#This Row],[Y]]=1),ROW()-ROW(Множество[[#Headers],[№]]),"")</f>
        <v/>
      </c>
      <c r="AI684" s="66">
        <v>1</v>
      </c>
      <c r="AJ684" s="66">
        <f>IF(LEN(Множество[[#This Row],[Свёртка]])&gt;0,1,-1)</f>
        <v>1</v>
      </c>
      <c r="AK684" s="66" t="s">
        <v>1781</v>
      </c>
      <c r="AL684" s="209">
        <f>IF(LEN(Множество[[#This Row],[Критерии]])&gt;0,1,-1)</f>
        <v>1</v>
      </c>
      <c r="AM684" s="209">
        <f>IF(AND(LEN(Множество[[#This Row],[Свёртка]])&gt;0,LEN(Множество[[#This Row],[Критерии]])&gt;0,LEN(Множество[[#This Row],[Оценки]])&gt;0),1,-1)</f>
        <v>-1</v>
      </c>
      <c r="AN684" s="230"/>
      <c r="AO684" s="208"/>
      <c r="AP684" s="208"/>
      <c r="AQ684" s="208"/>
      <c r="AR684" s="226"/>
      <c r="AS684" s="225"/>
      <c r="AT684" s="226"/>
      <c r="AU684" s="225"/>
      <c r="AV684" s="225"/>
      <c r="AW684" s="225"/>
      <c r="AX684" s="225"/>
      <c r="AY684" s="225"/>
    </row>
    <row r="685" spans="33:51" x14ac:dyDescent="0.25">
      <c r="AG685" s="66" t="str">
        <f>IF(AND(Множество[[#This Row],[Y]]=1),ROW()-ROW(Множество[[#Headers],[№]]),"")</f>
        <v/>
      </c>
      <c r="AI685" s="66">
        <v>1</v>
      </c>
      <c r="AJ685" s="66">
        <f>IF(LEN(Множество[[#This Row],[Свёртка]])&gt;0,1,-1)</f>
        <v>1</v>
      </c>
      <c r="AK685" s="66" t="s">
        <v>1781</v>
      </c>
      <c r="AL685" s="209">
        <f>IF(LEN(Множество[[#This Row],[Критерии]])&gt;0,1,-1)</f>
        <v>1</v>
      </c>
      <c r="AM685" s="209">
        <f>IF(AND(LEN(Множество[[#This Row],[Свёртка]])&gt;0,LEN(Множество[[#This Row],[Критерии]])&gt;0,LEN(Множество[[#This Row],[Оценки]])&gt;0),1,-1)</f>
        <v>-1</v>
      </c>
      <c r="AN685" s="230"/>
      <c r="AO685" s="208"/>
      <c r="AP685" s="208"/>
      <c r="AQ685" s="208"/>
      <c r="AR685" s="226"/>
      <c r="AS685" s="225"/>
      <c r="AT685" s="226"/>
      <c r="AU685" s="225"/>
      <c r="AV685" s="225"/>
      <c r="AW685" s="225"/>
      <c r="AX685" s="225"/>
      <c r="AY685" s="225"/>
    </row>
    <row r="686" spans="33:51" x14ac:dyDescent="0.25">
      <c r="AG686" s="66" t="str">
        <f>IF(AND(Множество[[#This Row],[Y]]=1),ROW()-ROW(Множество[[#Headers],[№]]),"")</f>
        <v/>
      </c>
      <c r="AI686" s="66">
        <v>1</v>
      </c>
      <c r="AJ686" s="66">
        <f>IF(LEN(Множество[[#This Row],[Свёртка]])&gt;0,1,-1)</f>
        <v>1</v>
      </c>
      <c r="AK686" s="66" t="s">
        <v>1781</v>
      </c>
      <c r="AL686" s="209">
        <f>IF(LEN(Множество[[#This Row],[Критерии]])&gt;0,1,-1)</f>
        <v>1</v>
      </c>
      <c r="AM686" s="209">
        <f>IF(AND(LEN(Множество[[#This Row],[Свёртка]])&gt;0,LEN(Множество[[#This Row],[Критерии]])&gt;0,LEN(Множество[[#This Row],[Оценки]])&gt;0),1,-1)</f>
        <v>-1</v>
      </c>
      <c r="AN686" s="230"/>
      <c r="AO686" s="208"/>
      <c r="AP686" s="208"/>
      <c r="AQ686" s="208"/>
      <c r="AR686" s="226"/>
      <c r="AS686" s="225"/>
      <c r="AT686" s="226"/>
      <c r="AU686" s="225"/>
      <c r="AV686" s="225"/>
      <c r="AW686" s="225"/>
      <c r="AX686" s="225"/>
      <c r="AY686" s="225"/>
    </row>
    <row r="687" spans="33:51" x14ac:dyDescent="0.25">
      <c r="AG687" s="66" t="str">
        <f>IF(AND(Множество[[#This Row],[Y]]=1),ROW()-ROW(Множество[[#Headers],[№]]),"")</f>
        <v/>
      </c>
      <c r="AI687" s="66">
        <v>1</v>
      </c>
      <c r="AJ687" s="66">
        <f>IF(LEN(Множество[[#This Row],[Свёртка]])&gt;0,1,-1)</f>
        <v>1</v>
      </c>
      <c r="AK687" s="66" t="s">
        <v>1781</v>
      </c>
      <c r="AL687" s="209">
        <f>IF(LEN(Множество[[#This Row],[Критерии]])&gt;0,1,-1)</f>
        <v>1</v>
      </c>
      <c r="AM687" s="209">
        <f>IF(AND(LEN(Множество[[#This Row],[Свёртка]])&gt;0,LEN(Множество[[#This Row],[Критерии]])&gt;0,LEN(Множество[[#This Row],[Оценки]])&gt;0),1,-1)</f>
        <v>-1</v>
      </c>
      <c r="AN687" s="230"/>
      <c r="AO687" s="208"/>
      <c r="AP687" s="208"/>
      <c r="AQ687" s="208"/>
      <c r="AR687" s="226"/>
      <c r="AS687" s="225"/>
      <c r="AT687" s="226"/>
      <c r="AU687" s="225"/>
      <c r="AV687" s="225"/>
      <c r="AW687" s="225"/>
      <c r="AX687" s="225"/>
      <c r="AY687" s="225"/>
    </row>
    <row r="688" spans="33:51" x14ac:dyDescent="0.25">
      <c r="AG688" s="66" t="str">
        <f>IF(AND(Множество[[#This Row],[Y]]=1),ROW()-ROW(Множество[[#Headers],[№]]),"")</f>
        <v/>
      </c>
      <c r="AI688" s="66">
        <v>1</v>
      </c>
      <c r="AJ688" s="66">
        <f>IF(LEN(Множество[[#This Row],[Свёртка]])&gt;0,1,-1)</f>
        <v>1</v>
      </c>
      <c r="AK688" s="66" t="s">
        <v>1781</v>
      </c>
      <c r="AL688" s="209">
        <f>IF(LEN(Множество[[#This Row],[Критерии]])&gt;0,1,-1)</f>
        <v>1</v>
      </c>
      <c r="AM688" s="209">
        <f>IF(AND(LEN(Множество[[#This Row],[Свёртка]])&gt;0,LEN(Множество[[#This Row],[Критерии]])&gt;0,LEN(Множество[[#This Row],[Оценки]])&gt;0),1,-1)</f>
        <v>-1</v>
      </c>
      <c r="AN688" s="230"/>
      <c r="AO688" s="208"/>
      <c r="AP688" s="208"/>
      <c r="AQ688" s="208"/>
      <c r="AR688" s="226"/>
      <c r="AS688" s="225"/>
      <c r="AT688" s="226"/>
      <c r="AU688" s="225"/>
      <c r="AV688" s="225"/>
      <c r="AW688" s="225"/>
      <c r="AX688" s="225"/>
      <c r="AY688" s="225"/>
    </row>
    <row r="689" spans="33:51" x14ac:dyDescent="0.25">
      <c r="AG689" s="66" t="str">
        <f>IF(AND(Множество[[#This Row],[Y]]=1),ROW()-ROW(Множество[[#Headers],[№]]),"")</f>
        <v/>
      </c>
      <c r="AI689" s="66">
        <v>1</v>
      </c>
      <c r="AJ689" s="66">
        <f>IF(LEN(Множество[[#This Row],[Свёртка]])&gt;0,1,-1)</f>
        <v>1</v>
      </c>
      <c r="AK689" s="66" t="s">
        <v>1781</v>
      </c>
      <c r="AL689" s="209">
        <f>IF(LEN(Множество[[#This Row],[Критерии]])&gt;0,1,-1)</f>
        <v>1</v>
      </c>
      <c r="AM689" s="209">
        <f>IF(AND(LEN(Множество[[#This Row],[Свёртка]])&gt;0,LEN(Множество[[#This Row],[Критерии]])&gt;0,LEN(Множество[[#This Row],[Оценки]])&gt;0),1,-1)</f>
        <v>-1</v>
      </c>
      <c r="AN689" s="230"/>
      <c r="AO689" s="208"/>
      <c r="AP689" s="208"/>
      <c r="AQ689" s="208"/>
      <c r="AR689" s="226"/>
      <c r="AS689" s="225"/>
      <c r="AT689" s="226"/>
      <c r="AU689" s="225"/>
      <c r="AV689" s="225"/>
      <c r="AW689" s="225"/>
      <c r="AX689" s="225"/>
      <c r="AY689" s="225"/>
    </row>
    <row r="690" spans="33:51" x14ac:dyDescent="0.25">
      <c r="AG690" s="66" t="str">
        <f>IF(AND(Множество[[#This Row],[Y]]=1),ROW()-ROW(Множество[[#Headers],[№]]),"")</f>
        <v/>
      </c>
      <c r="AI690" s="66">
        <v>1</v>
      </c>
      <c r="AJ690" s="66">
        <f>IF(LEN(Множество[[#This Row],[Свёртка]])&gt;0,1,-1)</f>
        <v>1</v>
      </c>
      <c r="AK690" s="66" t="s">
        <v>1781</v>
      </c>
      <c r="AL690" s="209">
        <f>IF(LEN(Множество[[#This Row],[Критерии]])&gt;0,1,-1)</f>
        <v>1</v>
      </c>
      <c r="AM690" s="209">
        <f>IF(AND(LEN(Множество[[#This Row],[Свёртка]])&gt;0,LEN(Множество[[#This Row],[Критерии]])&gt;0,LEN(Множество[[#This Row],[Оценки]])&gt;0),1,-1)</f>
        <v>-1</v>
      </c>
      <c r="AN690" s="230"/>
      <c r="AO690" s="208"/>
      <c r="AP690" s="208"/>
      <c r="AQ690" s="208"/>
      <c r="AR690" s="226"/>
      <c r="AS690" s="225"/>
      <c r="AT690" s="226"/>
      <c r="AU690" s="225"/>
      <c r="AV690" s="225"/>
      <c r="AW690" s="225"/>
      <c r="AX690" s="225"/>
      <c r="AY690" s="225"/>
    </row>
    <row r="691" spans="33:51" x14ac:dyDescent="0.25">
      <c r="AG691" s="66" t="str">
        <f>IF(AND(Множество[[#This Row],[Y]]=1),ROW()-ROW(Множество[[#Headers],[№]]),"")</f>
        <v/>
      </c>
      <c r="AI691" s="66">
        <v>1</v>
      </c>
      <c r="AJ691" s="66">
        <f>IF(LEN(Множество[[#This Row],[Свёртка]])&gt;0,1,-1)</f>
        <v>1</v>
      </c>
      <c r="AK691" s="66" t="s">
        <v>1781</v>
      </c>
      <c r="AL691" s="209">
        <f>IF(LEN(Множество[[#This Row],[Критерии]])&gt;0,1,-1)</f>
        <v>1</v>
      </c>
      <c r="AM691" s="209">
        <f>IF(AND(LEN(Множество[[#This Row],[Свёртка]])&gt;0,LEN(Множество[[#This Row],[Критерии]])&gt;0,LEN(Множество[[#This Row],[Оценки]])&gt;0),1,-1)</f>
        <v>-1</v>
      </c>
      <c r="AN691" s="230"/>
      <c r="AO691" s="208"/>
      <c r="AP691" s="208"/>
      <c r="AQ691" s="208"/>
      <c r="AR691" s="226"/>
      <c r="AS691" s="225"/>
      <c r="AT691" s="226"/>
      <c r="AU691" s="225"/>
      <c r="AV691" s="225"/>
      <c r="AW691" s="225"/>
      <c r="AX691" s="225"/>
      <c r="AY691" s="225"/>
    </row>
    <row r="692" spans="33:51" x14ac:dyDescent="0.25">
      <c r="AG692" s="66" t="str">
        <f>IF(AND(Множество[[#This Row],[Y]]=1),ROW()-ROW(Множество[[#Headers],[№]]),"")</f>
        <v/>
      </c>
      <c r="AI692" s="66">
        <v>1</v>
      </c>
      <c r="AJ692" s="66">
        <f>IF(LEN(Множество[[#This Row],[Свёртка]])&gt;0,1,-1)</f>
        <v>1</v>
      </c>
      <c r="AK692" s="66" t="s">
        <v>1781</v>
      </c>
      <c r="AL692" s="209">
        <f>IF(LEN(Множество[[#This Row],[Критерии]])&gt;0,1,-1)</f>
        <v>1</v>
      </c>
      <c r="AM692" s="209">
        <f>IF(AND(LEN(Множество[[#This Row],[Свёртка]])&gt;0,LEN(Множество[[#This Row],[Критерии]])&gt;0,LEN(Множество[[#This Row],[Оценки]])&gt;0),1,-1)</f>
        <v>-1</v>
      </c>
      <c r="AN692" s="230"/>
      <c r="AO692" s="208"/>
      <c r="AP692" s="208"/>
      <c r="AQ692" s="208"/>
      <c r="AR692" s="226"/>
      <c r="AS692" s="225"/>
      <c r="AT692" s="226"/>
      <c r="AU692" s="225"/>
      <c r="AV692" s="225"/>
      <c r="AW692" s="225"/>
      <c r="AX692" s="225"/>
      <c r="AY692" s="225"/>
    </row>
    <row r="693" spans="33:51" x14ac:dyDescent="0.25">
      <c r="AG693" s="66" t="str">
        <f>IF(AND(Множество[[#This Row],[Y]]=1),ROW()-ROW(Множество[[#Headers],[№]]),"")</f>
        <v/>
      </c>
      <c r="AI693" s="66">
        <v>1</v>
      </c>
      <c r="AJ693" s="66">
        <f>IF(LEN(Множество[[#This Row],[Свёртка]])&gt;0,1,-1)</f>
        <v>1</v>
      </c>
      <c r="AK693" s="66" t="s">
        <v>1781</v>
      </c>
      <c r="AL693" s="209">
        <f>IF(LEN(Множество[[#This Row],[Критерии]])&gt;0,1,-1)</f>
        <v>1</v>
      </c>
      <c r="AM693" s="209">
        <f>IF(AND(LEN(Множество[[#This Row],[Свёртка]])&gt;0,LEN(Множество[[#This Row],[Критерии]])&gt;0,LEN(Множество[[#This Row],[Оценки]])&gt;0),1,-1)</f>
        <v>-1</v>
      </c>
      <c r="AN693" s="230"/>
      <c r="AO693" s="208"/>
      <c r="AP693" s="208"/>
      <c r="AQ693" s="208"/>
      <c r="AR693" s="226"/>
      <c r="AS693" s="225"/>
      <c r="AT693" s="226"/>
      <c r="AU693" s="225"/>
      <c r="AV693" s="225"/>
      <c r="AW693" s="225"/>
      <c r="AX693" s="225"/>
      <c r="AY693" s="225"/>
    </row>
    <row r="694" spans="33:51" x14ac:dyDescent="0.25">
      <c r="AG694" s="66" t="str">
        <f>IF(AND(Множество[[#This Row],[Y]]=1),ROW()-ROW(Множество[[#Headers],[№]]),"")</f>
        <v/>
      </c>
      <c r="AI694" s="66">
        <v>1</v>
      </c>
      <c r="AJ694" s="66">
        <f>IF(LEN(Множество[[#This Row],[Свёртка]])&gt;0,1,-1)</f>
        <v>1</v>
      </c>
      <c r="AK694" s="66" t="s">
        <v>1781</v>
      </c>
      <c r="AL694" s="209">
        <f>IF(LEN(Множество[[#This Row],[Критерии]])&gt;0,1,-1)</f>
        <v>1</v>
      </c>
      <c r="AM694" s="209">
        <f>IF(AND(LEN(Множество[[#This Row],[Свёртка]])&gt;0,LEN(Множество[[#This Row],[Критерии]])&gt;0,LEN(Множество[[#This Row],[Оценки]])&gt;0),1,-1)</f>
        <v>-1</v>
      </c>
      <c r="AN694" s="230"/>
      <c r="AO694" s="208"/>
      <c r="AP694" s="208"/>
      <c r="AQ694" s="208"/>
      <c r="AR694" s="226"/>
      <c r="AS694" s="225"/>
      <c r="AT694" s="226"/>
      <c r="AU694" s="225"/>
      <c r="AV694" s="225"/>
      <c r="AW694" s="225"/>
      <c r="AX694" s="225"/>
      <c r="AY694" s="225"/>
    </row>
    <row r="695" spans="33:51" x14ac:dyDescent="0.25">
      <c r="AG695" s="66" t="str">
        <f>IF(AND(Множество[[#This Row],[Y]]=1),ROW()-ROW(Множество[[#Headers],[№]]),"")</f>
        <v/>
      </c>
      <c r="AI695" s="66">
        <v>1</v>
      </c>
      <c r="AJ695" s="66">
        <f>IF(LEN(Множество[[#This Row],[Свёртка]])&gt;0,1,-1)</f>
        <v>1</v>
      </c>
      <c r="AK695" s="66" t="s">
        <v>1781</v>
      </c>
      <c r="AL695" s="209">
        <f>IF(LEN(Множество[[#This Row],[Критерии]])&gt;0,1,-1)</f>
        <v>1</v>
      </c>
      <c r="AM695" s="209">
        <f>IF(AND(LEN(Множество[[#This Row],[Свёртка]])&gt;0,LEN(Множество[[#This Row],[Критерии]])&gt;0,LEN(Множество[[#This Row],[Оценки]])&gt;0),1,-1)</f>
        <v>-1</v>
      </c>
      <c r="AN695" s="230"/>
      <c r="AO695" s="208"/>
      <c r="AP695" s="208"/>
      <c r="AQ695" s="208"/>
      <c r="AR695" s="226"/>
      <c r="AS695" s="225"/>
      <c r="AT695" s="226"/>
      <c r="AU695" s="225"/>
      <c r="AV695" s="225"/>
      <c r="AW695" s="225"/>
      <c r="AX695" s="225"/>
      <c r="AY695" s="225"/>
    </row>
    <row r="696" spans="33:51" x14ac:dyDescent="0.25">
      <c r="AG696" s="66" t="str">
        <f>IF(AND(Множество[[#This Row],[Y]]=1),ROW()-ROW(Множество[[#Headers],[№]]),"")</f>
        <v/>
      </c>
      <c r="AI696" s="66">
        <v>1</v>
      </c>
      <c r="AJ696" s="66">
        <f>IF(LEN(Множество[[#This Row],[Свёртка]])&gt;0,1,-1)</f>
        <v>1</v>
      </c>
      <c r="AK696" s="66" t="s">
        <v>1781</v>
      </c>
      <c r="AL696" s="209">
        <f>IF(LEN(Множество[[#This Row],[Критерии]])&gt;0,1,-1)</f>
        <v>1</v>
      </c>
      <c r="AM696" s="209">
        <f>IF(AND(LEN(Множество[[#This Row],[Свёртка]])&gt;0,LEN(Множество[[#This Row],[Критерии]])&gt;0,LEN(Множество[[#This Row],[Оценки]])&gt;0),1,-1)</f>
        <v>-1</v>
      </c>
      <c r="AN696" s="230"/>
      <c r="AO696" s="208"/>
      <c r="AP696" s="208"/>
      <c r="AQ696" s="208"/>
      <c r="AR696" s="226"/>
      <c r="AS696" s="225"/>
      <c r="AT696" s="226"/>
      <c r="AU696" s="225"/>
      <c r="AV696" s="225"/>
      <c r="AW696" s="225"/>
      <c r="AX696" s="225"/>
      <c r="AY696" s="225"/>
    </row>
    <row r="697" spans="33:51" x14ac:dyDescent="0.25">
      <c r="AG697" s="66" t="str">
        <f>IF(AND(Множество[[#This Row],[Y]]=1),ROW()-ROW(Множество[[#Headers],[№]]),"")</f>
        <v/>
      </c>
      <c r="AI697" s="66">
        <v>1</v>
      </c>
      <c r="AJ697" s="66">
        <f>IF(LEN(Множество[[#This Row],[Свёртка]])&gt;0,1,-1)</f>
        <v>1</v>
      </c>
      <c r="AK697" s="66" t="s">
        <v>1781</v>
      </c>
      <c r="AL697" s="209">
        <f>IF(LEN(Множество[[#This Row],[Критерии]])&gt;0,1,-1)</f>
        <v>1</v>
      </c>
      <c r="AM697" s="209">
        <f>IF(AND(LEN(Множество[[#This Row],[Свёртка]])&gt;0,LEN(Множество[[#This Row],[Критерии]])&gt;0,LEN(Множество[[#This Row],[Оценки]])&gt;0),1,-1)</f>
        <v>-1</v>
      </c>
      <c r="AN697" s="230"/>
      <c r="AO697" s="208"/>
      <c r="AP697" s="208"/>
      <c r="AQ697" s="208"/>
      <c r="AR697" s="226"/>
      <c r="AS697" s="225"/>
      <c r="AT697" s="226"/>
      <c r="AU697" s="225"/>
      <c r="AV697" s="225"/>
      <c r="AW697" s="225"/>
      <c r="AX697" s="225"/>
      <c r="AY697" s="225"/>
    </row>
    <row r="698" spans="33:51" x14ac:dyDescent="0.25">
      <c r="AG698" s="66" t="str">
        <f>IF(AND(Множество[[#This Row],[Y]]=1),ROW()-ROW(Множество[[#Headers],[№]]),"")</f>
        <v/>
      </c>
      <c r="AI698" s="66">
        <v>1</v>
      </c>
      <c r="AJ698" s="66">
        <f>IF(LEN(Множество[[#This Row],[Свёртка]])&gt;0,1,-1)</f>
        <v>1</v>
      </c>
      <c r="AK698" s="66" t="s">
        <v>1781</v>
      </c>
      <c r="AL698" s="209">
        <f>IF(LEN(Множество[[#This Row],[Критерии]])&gt;0,1,-1)</f>
        <v>1</v>
      </c>
      <c r="AM698" s="209">
        <f>IF(AND(LEN(Множество[[#This Row],[Свёртка]])&gt;0,LEN(Множество[[#This Row],[Критерии]])&gt;0,LEN(Множество[[#This Row],[Оценки]])&gt;0),1,-1)</f>
        <v>-1</v>
      </c>
      <c r="AN698" s="230"/>
      <c r="AO698" s="208"/>
      <c r="AP698" s="208"/>
      <c r="AQ698" s="208"/>
      <c r="AR698" s="226"/>
      <c r="AS698" s="225"/>
      <c r="AT698" s="226"/>
      <c r="AU698" s="225"/>
      <c r="AV698" s="225"/>
      <c r="AW698" s="225"/>
      <c r="AX698" s="225"/>
      <c r="AY698" s="225"/>
    </row>
    <row r="699" spans="33:51" x14ac:dyDescent="0.25">
      <c r="AG699" s="66" t="str">
        <f>IF(AND(Множество[[#This Row],[Y]]=1),ROW()-ROW(Множество[[#Headers],[№]]),"")</f>
        <v/>
      </c>
      <c r="AI699" s="66">
        <v>1</v>
      </c>
      <c r="AJ699" s="66">
        <f>IF(LEN(Множество[[#This Row],[Свёртка]])&gt;0,1,-1)</f>
        <v>1</v>
      </c>
      <c r="AK699" s="66" t="s">
        <v>1781</v>
      </c>
      <c r="AL699" s="209">
        <f>IF(LEN(Множество[[#This Row],[Критерии]])&gt;0,1,-1)</f>
        <v>1</v>
      </c>
      <c r="AM699" s="209">
        <f>IF(AND(LEN(Множество[[#This Row],[Свёртка]])&gt;0,LEN(Множество[[#This Row],[Критерии]])&gt;0,LEN(Множество[[#This Row],[Оценки]])&gt;0),1,-1)</f>
        <v>-1</v>
      </c>
      <c r="AN699" s="230"/>
      <c r="AO699" s="208"/>
      <c r="AP699" s="208"/>
      <c r="AQ699" s="208"/>
      <c r="AR699" s="226"/>
      <c r="AS699" s="225"/>
      <c r="AT699" s="226"/>
      <c r="AU699" s="225"/>
      <c r="AV699" s="225"/>
      <c r="AW699" s="225"/>
      <c r="AX699" s="225"/>
      <c r="AY699" s="225"/>
    </row>
    <row r="700" spans="33:51" x14ac:dyDescent="0.25">
      <c r="AG700" s="66" t="str">
        <f>IF(AND(Множество[[#This Row],[Y]]=1),ROW()-ROW(Множество[[#Headers],[№]]),"")</f>
        <v/>
      </c>
      <c r="AI700" s="66">
        <v>1</v>
      </c>
      <c r="AJ700" s="66">
        <f>IF(LEN(Множество[[#This Row],[Свёртка]])&gt;0,1,-1)</f>
        <v>1</v>
      </c>
      <c r="AK700" s="66" t="s">
        <v>1781</v>
      </c>
      <c r="AL700" s="209">
        <f>IF(LEN(Множество[[#This Row],[Критерии]])&gt;0,1,-1)</f>
        <v>1</v>
      </c>
      <c r="AM700" s="209">
        <f>IF(AND(LEN(Множество[[#This Row],[Свёртка]])&gt;0,LEN(Множество[[#This Row],[Критерии]])&gt;0,LEN(Множество[[#This Row],[Оценки]])&gt;0),1,-1)</f>
        <v>-1</v>
      </c>
      <c r="AN700" s="230"/>
      <c r="AO700" s="208"/>
      <c r="AP700" s="208"/>
      <c r="AQ700" s="208"/>
      <c r="AR700" s="226"/>
      <c r="AS700" s="225"/>
      <c r="AT700" s="226"/>
      <c r="AU700" s="225"/>
      <c r="AV700" s="225"/>
      <c r="AW700" s="225"/>
      <c r="AX700" s="225"/>
      <c r="AY700" s="225"/>
    </row>
    <row r="701" spans="33:51" x14ac:dyDescent="0.25">
      <c r="AG701" s="66" t="str">
        <f>IF(AND(Множество[[#This Row],[Y]]=1),ROW()-ROW(Множество[[#Headers],[№]]),"")</f>
        <v/>
      </c>
      <c r="AI701" s="66">
        <v>1</v>
      </c>
      <c r="AJ701" s="66">
        <f>IF(LEN(Множество[[#This Row],[Свёртка]])&gt;0,1,-1)</f>
        <v>1</v>
      </c>
      <c r="AK701" s="66" t="s">
        <v>1781</v>
      </c>
      <c r="AL701" s="209">
        <f>IF(LEN(Множество[[#This Row],[Критерии]])&gt;0,1,-1)</f>
        <v>1</v>
      </c>
      <c r="AM701" s="209">
        <f>IF(AND(LEN(Множество[[#This Row],[Свёртка]])&gt;0,LEN(Множество[[#This Row],[Критерии]])&gt;0,LEN(Множество[[#This Row],[Оценки]])&gt;0),1,-1)</f>
        <v>-1</v>
      </c>
      <c r="AN701" s="230"/>
      <c r="AO701" s="208"/>
      <c r="AP701" s="208"/>
      <c r="AQ701" s="208"/>
      <c r="AR701" s="226"/>
      <c r="AS701" s="225"/>
      <c r="AT701" s="226"/>
      <c r="AU701" s="225"/>
      <c r="AV701" s="225"/>
      <c r="AW701" s="225"/>
      <c r="AX701" s="225"/>
      <c r="AY701" s="225"/>
    </row>
    <row r="702" spans="33:51" x14ac:dyDescent="0.25">
      <c r="AG702" s="66" t="str">
        <f>IF(AND(Множество[[#This Row],[Y]]=1),ROW()-ROW(Множество[[#Headers],[№]]),"")</f>
        <v/>
      </c>
      <c r="AI702" s="66">
        <v>1</v>
      </c>
      <c r="AJ702" s="66">
        <f>IF(LEN(Множество[[#This Row],[Свёртка]])&gt;0,1,-1)</f>
        <v>1</v>
      </c>
      <c r="AK702" s="66" t="s">
        <v>1781</v>
      </c>
      <c r="AL702" s="209">
        <f>IF(LEN(Множество[[#This Row],[Критерии]])&gt;0,1,-1)</f>
        <v>1</v>
      </c>
      <c r="AM702" s="209">
        <f>IF(AND(LEN(Множество[[#This Row],[Свёртка]])&gt;0,LEN(Множество[[#This Row],[Критерии]])&gt;0,LEN(Множество[[#This Row],[Оценки]])&gt;0),1,-1)</f>
        <v>-1</v>
      </c>
      <c r="AN702" s="230"/>
      <c r="AO702" s="208"/>
      <c r="AP702" s="208"/>
      <c r="AQ702" s="208"/>
      <c r="AR702" s="226"/>
      <c r="AS702" s="225"/>
      <c r="AT702" s="226"/>
      <c r="AU702" s="225"/>
      <c r="AV702" s="225"/>
      <c r="AW702" s="225"/>
      <c r="AX702" s="225"/>
      <c r="AY702" s="225"/>
    </row>
    <row r="703" spans="33:51" x14ac:dyDescent="0.25">
      <c r="AG703" s="66" t="str">
        <f>IF(AND(Множество[[#This Row],[Y]]=1),ROW()-ROW(Множество[[#Headers],[№]]),"")</f>
        <v/>
      </c>
      <c r="AI703" s="66">
        <v>1</v>
      </c>
      <c r="AJ703" s="66">
        <f>IF(LEN(Множество[[#This Row],[Свёртка]])&gt;0,1,-1)</f>
        <v>1</v>
      </c>
      <c r="AK703" s="66" t="s">
        <v>1781</v>
      </c>
      <c r="AL703" s="209">
        <f>IF(LEN(Множество[[#This Row],[Критерии]])&gt;0,1,-1)</f>
        <v>1</v>
      </c>
      <c r="AM703" s="209">
        <f>IF(AND(LEN(Множество[[#This Row],[Свёртка]])&gt;0,LEN(Множество[[#This Row],[Критерии]])&gt;0,LEN(Множество[[#This Row],[Оценки]])&gt;0),1,-1)</f>
        <v>-1</v>
      </c>
      <c r="AN703" s="230"/>
      <c r="AO703" s="208"/>
      <c r="AP703" s="208"/>
      <c r="AQ703" s="208"/>
      <c r="AR703" s="226"/>
      <c r="AS703" s="225"/>
      <c r="AT703" s="226"/>
      <c r="AU703" s="225"/>
      <c r="AV703" s="225"/>
      <c r="AW703" s="225"/>
      <c r="AX703" s="225"/>
      <c r="AY703" s="225"/>
    </row>
    <row r="704" spans="33:51" x14ac:dyDescent="0.25">
      <c r="AG704" s="66" t="str">
        <f>IF(AND(Множество[[#This Row],[Y]]=1),ROW()-ROW(Множество[[#Headers],[№]]),"")</f>
        <v/>
      </c>
      <c r="AI704" s="66">
        <v>1</v>
      </c>
      <c r="AJ704" s="66">
        <f>IF(LEN(Множество[[#This Row],[Свёртка]])&gt;0,1,-1)</f>
        <v>1</v>
      </c>
      <c r="AK704" s="66" t="s">
        <v>1781</v>
      </c>
      <c r="AL704" s="209">
        <f>IF(LEN(Множество[[#This Row],[Критерии]])&gt;0,1,-1)</f>
        <v>1</v>
      </c>
      <c r="AM704" s="209">
        <f>IF(AND(LEN(Множество[[#This Row],[Свёртка]])&gt;0,LEN(Множество[[#This Row],[Критерии]])&gt;0,LEN(Множество[[#This Row],[Оценки]])&gt;0),1,-1)</f>
        <v>-1</v>
      </c>
      <c r="AN704" s="230"/>
      <c r="AO704" s="208"/>
      <c r="AP704" s="208"/>
      <c r="AQ704" s="208"/>
      <c r="AR704" s="226"/>
      <c r="AS704" s="225"/>
      <c r="AT704" s="226"/>
      <c r="AU704" s="225"/>
      <c r="AV704" s="225"/>
      <c r="AW704" s="225"/>
      <c r="AX704" s="225"/>
      <c r="AY704" s="225"/>
    </row>
    <row r="705" spans="33:51" x14ac:dyDescent="0.25">
      <c r="AG705" s="66" t="str">
        <f>IF(AND(Множество[[#This Row],[Y]]=1),ROW()-ROW(Множество[[#Headers],[№]]),"")</f>
        <v/>
      </c>
      <c r="AI705" s="66">
        <v>1</v>
      </c>
      <c r="AJ705" s="66">
        <f>IF(LEN(Множество[[#This Row],[Свёртка]])&gt;0,1,-1)</f>
        <v>1</v>
      </c>
      <c r="AK705" s="66" t="s">
        <v>1781</v>
      </c>
      <c r="AL705" s="209">
        <f>IF(LEN(Множество[[#This Row],[Критерии]])&gt;0,1,-1)</f>
        <v>1</v>
      </c>
      <c r="AM705" s="209">
        <f>IF(AND(LEN(Множество[[#This Row],[Свёртка]])&gt;0,LEN(Множество[[#This Row],[Критерии]])&gt;0,LEN(Множество[[#This Row],[Оценки]])&gt;0),1,-1)</f>
        <v>-1</v>
      </c>
      <c r="AN705" s="230"/>
      <c r="AO705" s="208"/>
      <c r="AP705" s="208"/>
      <c r="AQ705" s="208"/>
      <c r="AR705" s="226"/>
      <c r="AS705" s="225"/>
      <c r="AT705" s="226"/>
      <c r="AU705" s="225"/>
      <c r="AV705" s="225"/>
      <c r="AW705" s="225"/>
      <c r="AX705" s="225"/>
      <c r="AY705" s="225"/>
    </row>
    <row r="706" spans="33:51" x14ac:dyDescent="0.25">
      <c r="AG706" s="66" t="str">
        <f>IF(AND(Множество[[#This Row],[Y]]=1),ROW()-ROW(Множество[[#Headers],[№]]),"")</f>
        <v/>
      </c>
      <c r="AI706" s="66">
        <v>1</v>
      </c>
      <c r="AJ706" s="66">
        <f>IF(LEN(Множество[[#This Row],[Свёртка]])&gt;0,1,-1)</f>
        <v>1</v>
      </c>
      <c r="AK706" s="66" t="s">
        <v>1781</v>
      </c>
      <c r="AL706" s="209">
        <f>IF(LEN(Множество[[#This Row],[Критерии]])&gt;0,1,-1)</f>
        <v>1</v>
      </c>
      <c r="AM706" s="209">
        <f>IF(AND(LEN(Множество[[#This Row],[Свёртка]])&gt;0,LEN(Множество[[#This Row],[Критерии]])&gt;0,LEN(Множество[[#This Row],[Оценки]])&gt;0),1,-1)</f>
        <v>-1</v>
      </c>
      <c r="AN706" s="230"/>
      <c r="AO706" s="208"/>
      <c r="AP706" s="208"/>
      <c r="AQ706" s="208"/>
      <c r="AR706" s="226"/>
      <c r="AS706" s="225"/>
      <c r="AT706" s="226"/>
      <c r="AU706" s="225"/>
      <c r="AV706" s="225"/>
      <c r="AW706" s="225"/>
      <c r="AX706" s="225"/>
      <c r="AY706" s="225"/>
    </row>
    <row r="707" spans="33:51" x14ac:dyDescent="0.25">
      <c r="AG707" s="66" t="str">
        <f>IF(AND(Множество[[#This Row],[Y]]=1),ROW()-ROW(Множество[[#Headers],[№]]),"")</f>
        <v/>
      </c>
      <c r="AI707" s="66">
        <v>1</v>
      </c>
      <c r="AJ707" s="66">
        <f>IF(LEN(Множество[[#This Row],[Свёртка]])&gt;0,1,-1)</f>
        <v>1</v>
      </c>
      <c r="AK707" s="66" t="s">
        <v>1781</v>
      </c>
      <c r="AL707" s="209">
        <f>IF(LEN(Множество[[#This Row],[Критерии]])&gt;0,1,-1)</f>
        <v>1</v>
      </c>
      <c r="AM707" s="209">
        <f>IF(AND(LEN(Множество[[#This Row],[Свёртка]])&gt;0,LEN(Множество[[#This Row],[Критерии]])&gt;0,LEN(Множество[[#This Row],[Оценки]])&gt;0),1,-1)</f>
        <v>-1</v>
      </c>
      <c r="AN707" s="230"/>
      <c r="AO707" s="208"/>
      <c r="AP707" s="208"/>
      <c r="AQ707" s="208"/>
      <c r="AR707" s="226"/>
      <c r="AS707" s="225"/>
      <c r="AT707" s="226"/>
      <c r="AU707" s="225"/>
      <c r="AV707" s="225"/>
      <c r="AW707" s="225"/>
      <c r="AX707" s="225"/>
      <c r="AY707" s="225"/>
    </row>
    <row r="708" spans="33:51" x14ac:dyDescent="0.25">
      <c r="AG708" s="66" t="str">
        <f>IF(AND(Множество[[#This Row],[Y]]=1),ROW()-ROW(Множество[[#Headers],[№]]),"")</f>
        <v/>
      </c>
      <c r="AI708" s="66">
        <v>1</v>
      </c>
      <c r="AJ708" s="66">
        <f>IF(LEN(Множество[[#This Row],[Свёртка]])&gt;0,1,-1)</f>
        <v>1</v>
      </c>
      <c r="AK708" s="66" t="s">
        <v>1781</v>
      </c>
      <c r="AL708" s="209">
        <f>IF(LEN(Множество[[#This Row],[Критерии]])&gt;0,1,-1)</f>
        <v>1</v>
      </c>
      <c r="AM708" s="209">
        <f>IF(AND(LEN(Множество[[#This Row],[Свёртка]])&gt;0,LEN(Множество[[#This Row],[Критерии]])&gt;0,LEN(Множество[[#This Row],[Оценки]])&gt;0),1,-1)</f>
        <v>-1</v>
      </c>
      <c r="AN708" s="230"/>
      <c r="AO708" s="208"/>
      <c r="AP708" s="208"/>
      <c r="AQ708" s="208"/>
      <c r="AR708" s="226"/>
      <c r="AS708" s="225"/>
      <c r="AT708" s="226"/>
      <c r="AU708" s="225"/>
      <c r="AV708" s="225"/>
      <c r="AW708" s="225"/>
      <c r="AX708" s="225"/>
      <c r="AY708" s="225"/>
    </row>
    <row r="709" spans="33:51" x14ac:dyDescent="0.25">
      <c r="AG709" s="66" t="str">
        <f>IF(AND(Множество[[#This Row],[Y]]=1),ROW()-ROW(Множество[[#Headers],[№]]),"")</f>
        <v/>
      </c>
      <c r="AI709" s="66">
        <v>1</v>
      </c>
      <c r="AJ709" s="66">
        <f>IF(LEN(Множество[[#This Row],[Свёртка]])&gt;0,1,-1)</f>
        <v>1</v>
      </c>
      <c r="AK709" s="66" t="s">
        <v>1781</v>
      </c>
      <c r="AL709" s="209">
        <f>IF(LEN(Множество[[#This Row],[Критерии]])&gt;0,1,-1)</f>
        <v>1</v>
      </c>
      <c r="AM709" s="209">
        <f>IF(AND(LEN(Множество[[#This Row],[Свёртка]])&gt;0,LEN(Множество[[#This Row],[Критерии]])&gt;0,LEN(Множество[[#This Row],[Оценки]])&gt;0),1,-1)</f>
        <v>-1</v>
      </c>
      <c r="AN709" s="230"/>
      <c r="AO709" s="208"/>
      <c r="AP709" s="208"/>
      <c r="AQ709" s="208"/>
      <c r="AR709" s="226"/>
      <c r="AS709" s="225"/>
      <c r="AT709" s="226"/>
      <c r="AU709" s="225"/>
      <c r="AV709" s="225"/>
      <c r="AW709" s="225"/>
      <c r="AX709" s="225"/>
      <c r="AY709" s="225"/>
    </row>
    <row r="710" spans="33:51" x14ac:dyDescent="0.25">
      <c r="AG710" s="66" t="str">
        <f>IF(AND(Множество[[#This Row],[Y]]=1),ROW()-ROW(Множество[[#Headers],[№]]),"")</f>
        <v/>
      </c>
      <c r="AI710" s="66">
        <v>1</v>
      </c>
      <c r="AJ710" s="66">
        <f>IF(LEN(Множество[[#This Row],[Свёртка]])&gt;0,1,-1)</f>
        <v>1</v>
      </c>
      <c r="AK710" s="66" t="s">
        <v>1781</v>
      </c>
      <c r="AL710" s="209">
        <f>IF(LEN(Множество[[#This Row],[Критерии]])&gt;0,1,-1)</f>
        <v>1</v>
      </c>
      <c r="AM710" s="209">
        <f>IF(AND(LEN(Множество[[#This Row],[Свёртка]])&gt;0,LEN(Множество[[#This Row],[Критерии]])&gt;0,LEN(Множество[[#This Row],[Оценки]])&gt;0),1,-1)</f>
        <v>-1</v>
      </c>
      <c r="AN710" s="230"/>
      <c r="AO710" s="208"/>
      <c r="AP710" s="208"/>
      <c r="AQ710" s="208"/>
      <c r="AR710" s="226"/>
      <c r="AS710" s="225"/>
      <c r="AT710" s="226"/>
      <c r="AU710" s="225"/>
      <c r="AV710" s="225"/>
      <c r="AW710" s="225"/>
      <c r="AX710" s="225"/>
      <c r="AY710" s="225"/>
    </row>
    <row r="711" spans="33:51" x14ac:dyDescent="0.25">
      <c r="AG711" s="66" t="str">
        <f>IF(AND(Множество[[#This Row],[Y]]=1),ROW()-ROW(Множество[[#Headers],[№]]),"")</f>
        <v/>
      </c>
      <c r="AI711" s="66">
        <v>1</v>
      </c>
      <c r="AJ711" s="66">
        <f>IF(LEN(Множество[[#This Row],[Свёртка]])&gt;0,1,-1)</f>
        <v>1</v>
      </c>
      <c r="AK711" s="66" t="s">
        <v>1781</v>
      </c>
      <c r="AL711" s="209">
        <f>IF(LEN(Множество[[#This Row],[Критерии]])&gt;0,1,-1)</f>
        <v>1</v>
      </c>
      <c r="AM711" s="209">
        <f>IF(AND(LEN(Множество[[#This Row],[Свёртка]])&gt;0,LEN(Множество[[#This Row],[Критерии]])&gt;0,LEN(Множество[[#This Row],[Оценки]])&gt;0),1,-1)</f>
        <v>-1</v>
      </c>
      <c r="AN711" s="230"/>
      <c r="AO711" s="208"/>
      <c r="AP711" s="208"/>
      <c r="AQ711" s="208"/>
      <c r="AR711" s="226"/>
      <c r="AS711" s="225"/>
      <c r="AT711" s="226"/>
      <c r="AU711" s="225"/>
      <c r="AV711" s="225"/>
      <c r="AW711" s="225"/>
      <c r="AX711" s="225"/>
      <c r="AY711" s="225"/>
    </row>
    <row r="712" spans="33:51" x14ac:dyDescent="0.25">
      <c r="AG712" s="66" t="str">
        <f>IF(AND(Множество[[#This Row],[Y]]=1),ROW()-ROW(Множество[[#Headers],[№]]),"")</f>
        <v/>
      </c>
      <c r="AI712" s="66">
        <v>1</v>
      </c>
      <c r="AJ712" s="66">
        <f>IF(LEN(Множество[[#This Row],[Свёртка]])&gt;0,1,-1)</f>
        <v>1</v>
      </c>
      <c r="AK712" s="66" t="s">
        <v>1781</v>
      </c>
      <c r="AL712" s="209">
        <f>IF(LEN(Множество[[#This Row],[Критерии]])&gt;0,1,-1)</f>
        <v>1</v>
      </c>
      <c r="AM712" s="209">
        <f>IF(AND(LEN(Множество[[#This Row],[Свёртка]])&gt;0,LEN(Множество[[#This Row],[Критерии]])&gt;0,LEN(Множество[[#This Row],[Оценки]])&gt;0),1,-1)</f>
        <v>-1</v>
      </c>
      <c r="AN712" s="230"/>
      <c r="AO712" s="208"/>
      <c r="AP712" s="208"/>
      <c r="AQ712" s="208"/>
      <c r="AR712" s="226"/>
      <c r="AS712" s="225"/>
      <c r="AT712" s="226"/>
      <c r="AU712" s="225"/>
      <c r="AV712" s="225"/>
      <c r="AW712" s="225"/>
      <c r="AX712" s="225"/>
      <c r="AY712" s="225"/>
    </row>
    <row r="713" spans="33:51" x14ac:dyDescent="0.25">
      <c r="AG713" s="66" t="str">
        <f>IF(AND(Множество[[#This Row],[Y]]=1),ROW()-ROW(Множество[[#Headers],[№]]),"")</f>
        <v/>
      </c>
      <c r="AI713" s="66">
        <v>1</v>
      </c>
      <c r="AJ713" s="66">
        <f>IF(LEN(Множество[[#This Row],[Свёртка]])&gt;0,1,-1)</f>
        <v>1</v>
      </c>
      <c r="AK713" s="66" t="s">
        <v>1781</v>
      </c>
      <c r="AL713" s="209">
        <f>IF(LEN(Множество[[#This Row],[Критерии]])&gt;0,1,-1)</f>
        <v>1</v>
      </c>
      <c r="AM713" s="209">
        <f>IF(AND(LEN(Множество[[#This Row],[Свёртка]])&gt;0,LEN(Множество[[#This Row],[Критерии]])&gt;0,LEN(Множество[[#This Row],[Оценки]])&gt;0),1,-1)</f>
        <v>-1</v>
      </c>
      <c r="AN713" s="230"/>
      <c r="AO713" s="208"/>
      <c r="AP713" s="208"/>
      <c r="AQ713" s="208"/>
      <c r="AR713" s="226"/>
      <c r="AS713" s="225"/>
      <c r="AT713" s="226"/>
      <c r="AU713" s="225"/>
      <c r="AV713" s="225"/>
      <c r="AW713" s="225"/>
      <c r="AX713" s="225"/>
      <c r="AY713" s="225"/>
    </row>
    <row r="714" spans="33:51" x14ac:dyDescent="0.25">
      <c r="AG714" s="66" t="str">
        <f>IF(AND(Множество[[#This Row],[Y]]=1),ROW()-ROW(Множество[[#Headers],[№]]),"")</f>
        <v/>
      </c>
      <c r="AI714" s="66">
        <v>1</v>
      </c>
      <c r="AJ714" s="66">
        <f>IF(LEN(Множество[[#This Row],[Свёртка]])&gt;0,1,-1)</f>
        <v>1</v>
      </c>
      <c r="AK714" s="66" t="s">
        <v>1781</v>
      </c>
      <c r="AL714" s="209">
        <f>IF(LEN(Множество[[#This Row],[Критерии]])&gt;0,1,-1)</f>
        <v>1</v>
      </c>
      <c r="AM714" s="209">
        <f>IF(AND(LEN(Множество[[#This Row],[Свёртка]])&gt;0,LEN(Множество[[#This Row],[Критерии]])&gt;0,LEN(Множество[[#This Row],[Оценки]])&gt;0),1,-1)</f>
        <v>-1</v>
      </c>
      <c r="AN714" s="230"/>
      <c r="AO714" s="208"/>
      <c r="AP714" s="208"/>
      <c r="AQ714" s="208"/>
      <c r="AR714" s="226"/>
      <c r="AS714" s="225"/>
      <c r="AT714" s="226"/>
      <c r="AU714" s="225"/>
      <c r="AV714" s="225"/>
      <c r="AW714" s="225"/>
      <c r="AX714" s="225"/>
      <c r="AY714" s="225"/>
    </row>
    <row r="715" spans="33:51" x14ac:dyDescent="0.25">
      <c r="AG715" s="66" t="str">
        <f>IF(AND(Множество[[#This Row],[Y]]=1),ROW()-ROW(Множество[[#Headers],[№]]),"")</f>
        <v/>
      </c>
      <c r="AI715" s="66">
        <v>1</v>
      </c>
      <c r="AJ715" s="66">
        <f>IF(LEN(Множество[[#This Row],[Свёртка]])&gt;0,1,-1)</f>
        <v>1</v>
      </c>
      <c r="AK715" s="66" t="s">
        <v>1781</v>
      </c>
      <c r="AL715" s="209">
        <f>IF(LEN(Множество[[#This Row],[Критерии]])&gt;0,1,-1)</f>
        <v>1</v>
      </c>
      <c r="AM715" s="209">
        <f>IF(AND(LEN(Множество[[#This Row],[Свёртка]])&gt;0,LEN(Множество[[#This Row],[Критерии]])&gt;0,LEN(Множество[[#This Row],[Оценки]])&gt;0),1,-1)</f>
        <v>-1</v>
      </c>
      <c r="AN715" s="230"/>
      <c r="AO715" s="208"/>
      <c r="AP715" s="208"/>
      <c r="AQ715" s="208"/>
      <c r="AR715" s="226"/>
      <c r="AS715" s="225"/>
      <c r="AT715" s="226"/>
      <c r="AU715" s="225"/>
      <c r="AV715" s="225"/>
      <c r="AW715" s="225"/>
      <c r="AX715" s="225"/>
      <c r="AY715" s="225"/>
    </row>
    <row r="716" spans="33:51" x14ac:dyDescent="0.25">
      <c r="AG716" s="66" t="str">
        <f>IF(AND(Множество[[#This Row],[Y]]=1),ROW()-ROW(Множество[[#Headers],[№]]),"")</f>
        <v/>
      </c>
      <c r="AI716" s="66">
        <v>1</v>
      </c>
      <c r="AJ716" s="66">
        <f>IF(LEN(Множество[[#This Row],[Свёртка]])&gt;0,1,-1)</f>
        <v>1</v>
      </c>
      <c r="AK716" s="66" t="s">
        <v>1781</v>
      </c>
      <c r="AL716" s="209">
        <f>IF(LEN(Множество[[#This Row],[Критерии]])&gt;0,1,-1)</f>
        <v>1</v>
      </c>
      <c r="AM716" s="209">
        <f>IF(AND(LEN(Множество[[#This Row],[Свёртка]])&gt;0,LEN(Множество[[#This Row],[Критерии]])&gt;0,LEN(Множество[[#This Row],[Оценки]])&gt;0),1,-1)</f>
        <v>-1</v>
      </c>
      <c r="AN716" s="230"/>
      <c r="AO716" s="208"/>
      <c r="AP716" s="208"/>
      <c r="AQ716" s="208"/>
      <c r="AR716" s="226"/>
      <c r="AS716" s="225"/>
      <c r="AT716" s="226"/>
      <c r="AU716" s="225"/>
      <c r="AV716" s="225"/>
      <c r="AW716" s="225"/>
      <c r="AX716" s="225"/>
      <c r="AY716" s="225"/>
    </row>
    <row r="717" spans="33:51" x14ac:dyDescent="0.25">
      <c r="AG717" s="66" t="str">
        <f>IF(AND(Множество[[#This Row],[Y]]=1),ROW()-ROW(Множество[[#Headers],[№]]),"")</f>
        <v/>
      </c>
      <c r="AI717" s="66">
        <v>1</v>
      </c>
      <c r="AJ717" s="66">
        <f>IF(LEN(Множество[[#This Row],[Свёртка]])&gt;0,1,-1)</f>
        <v>1</v>
      </c>
      <c r="AK717" s="66" t="s">
        <v>1781</v>
      </c>
      <c r="AL717" s="209">
        <f>IF(LEN(Множество[[#This Row],[Критерии]])&gt;0,1,-1)</f>
        <v>1</v>
      </c>
      <c r="AM717" s="209">
        <f>IF(AND(LEN(Множество[[#This Row],[Свёртка]])&gt;0,LEN(Множество[[#This Row],[Критерии]])&gt;0,LEN(Множество[[#This Row],[Оценки]])&gt;0),1,-1)</f>
        <v>-1</v>
      </c>
      <c r="AN717" s="230"/>
      <c r="AO717" s="208"/>
      <c r="AP717" s="208"/>
      <c r="AQ717" s="208"/>
      <c r="AR717" s="226"/>
      <c r="AS717" s="225"/>
      <c r="AT717" s="226"/>
      <c r="AU717" s="225"/>
      <c r="AV717" s="225"/>
      <c r="AW717" s="225"/>
      <c r="AX717" s="225"/>
      <c r="AY717" s="225"/>
    </row>
    <row r="718" spans="33:51" x14ac:dyDescent="0.25">
      <c r="AG718" s="66" t="str">
        <f>IF(AND(Множество[[#This Row],[Y]]=1),ROW()-ROW(Множество[[#Headers],[№]]),"")</f>
        <v/>
      </c>
      <c r="AI718" s="66">
        <v>1</v>
      </c>
      <c r="AJ718" s="66">
        <f>IF(LEN(Множество[[#This Row],[Свёртка]])&gt;0,1,-1)</f>
        <v>1</v>
      </c>
      <c r="AK718" s="66" t="s">
        <v>1781</v>
      </c>
      <c r="AL718" s="209">
        <f>IF(LEN(Множество[[#This Row],[Критерии]])&gt;0,1,-1)</f>
        <v>1</v>
      </c>
      <c r="AM718" s="209">
        <f>IF(AND(LEN(Множество[[#This Row],[Свёртка]])&gt;0,LEN(Множество[[#This Row],[Критерии]])&gt;0,LEN(Множество[[#This Row],[Оценки]])&gt;0),1,-1)</f>
        <v>-1</v>
      </c>
      <c r="AN718" s="230"/>
      <c r="AO718" s="208"/>
      <c r="AP718" s="208"/>
      <c r="AQ718" s="208"/>
      <c r="AR718" s="226"/>
      <c r="AS718" s="225"/>
      <c r="AT718" s="226"/>
      <c r="AU718" s="225"/>
      <c r="AV718" s="225"/>
      <c r="AW718" s="225"/>
      <c r="AX718" s="225"/>
      <c r="AY718" s="225"/>
    </row>
    <row r="719" spans="33:51" x14ac:dyDescent="0.25">
      <c r="AG719" s="66" t="str">
        <f>IF(AND(Множество[[#This Row],[Y]]=1),ROW()-ROW(Множество[[#Headers],[№]]),"")</f>
        <v/>
      </c>
      <c r="AI719" s="66">
        <v>1</v>
      </c>
      <c r="AJ719" s="66">
        <f>IF(LEN(Множество[[#This Row],[Свёртка]])&gt;0,1,-1)</f>
        <v>1</v>
      </c>
      <c r="AK719" s="66" t="s">
        <v>1781</v>
      </c>
      <c r="AL719" s="209">
        <f>IF(LEN(Множество[[#This Row],[Критерии]])&gt;0,1,-1)</f>
        <v>1</v>
      </c>
      <c r="AM719" s="209">
        <f>IF(AND(LEN(Множество[[#This Row],[Свёртка]])&gt;0,LEN(Множество[[#This Row],[Критерии]])&gt;0,LEN(Множество[[#This Row],[Оценки]])&gt;0),1,-1)</f>
        <v>-1</v>
      </c>
      <c r="AN719" s="230"/>
      <c r="AO719" s="208"/>
      <c r="AP719" s="208"/>
      <c r="AQ719" s="208"/>
      <c r="AR719" s="226"/>
      <c r="AS719" s="225"/>
      <c r="AT719" s="226"/>
      <c r="AU719" s="225"/>
      <c r="AV719" s="225"/>
      <c r="AW719" s="225"/>
      <c r="AX719" s="225"/>
      <c r="AY719" s="225"/>
    </row>
    <row r="720" spans="33:51" x14ac:dyDescent="0.25">
      <c r="AG720" s="66" t="str">
        <f>IF(AND(Множество[[#This Row],[Y]]=1),ROW()-ROW(Множество[[#Headers],[№]]),"")</f>
        <v/>
      </c>
      <c r="AI720" s="66">
        <v>1</v>
      </c>
      <c r="AJ720" s="66">
        <f>IF(LEN(Множество[[#This Row],[Свёртка]])&gt;0,1,-1)</f>
        <v>1</v>
      </c>
      <c r="AK720" s="66" t="s">
        <v>1781</v>
      </c>
      <c r="AL720" s="209">
        <f>IF(LEN(Множество[[#This Row],[Критерии]])&gt;0,1,-1)</f>
        <v>1</v>
      </c>
      <c r="AM720" s="209">
        <f>IF(AND(LEN(Множество[[#This Row],[Свёртка]])&gt;0,LEN(Множество[[#This Row],[Критерии]])&gt;0,LEN(Множество[[#This Row],[Оценки]])&gt;0),1,-1)</f>
        <v>-1</v>
      </c>
      <c r="AN720" s="230"/>
      <c r="AO720" s="208"/>
      <c r="AP720" s="208"/>
      <c r="AQ720" s="208"/>
      <c r="AR720" s="226"/>
      <c r="AS720" s="225"/>
      <c r="AT720" s="226"/>
      <c r="AU720" s="225"/>
      <c r="AV720" s="225"/>
      <c r="AW720" s="225"/>
      <c r="AX720" s="225"/>
      <c r="AY720" s="225"/>
    </row>
    <row r="721" spans="33:51" x14ac:dyDescent="0.25">
      <c r="AG721" s="66" t="str">
        <f>IF(AND(Множество[[#This Row],[Y]]=1),ROW()-ROW(Множество[[#Headers],[№]]),"")</f>
        <v/>
      </c>
      <c r="AI721" s="66">
        <v>1</v>
      </c>
      <c r="AJ721" s="66">
        <f>IF(LEN(Множество[[#This Row],[Свёртка]])&gt;0,1,-1)</f>
        <v>1</v>
      </c>
      <c r="AK721" s="66" t="s">
        <v>1781</v>
      </c>
      <c r="AL721" s="209">
        <f>IF(LEN(Множество[[#This Row],[Критерии]])&gt;0,1,-1)</f>
        <v>1</v>
      </c>
      <c r="AM721" s="209">
        <f>IF(AND(LEN(Множество[[#This Row],[Свёртка]])&gt;0,LEN(Множество[[#This Row],[Критерии]])&gt;0,LEN(Множество[[#This Row],[Оценки]])&gt;0),1,-1)</f>
        <v>-1</v>
      </c>
      <c r="AN721" s="230"/>
      <c r="AO721" s="208"/>
      <c r="AP721" s="208"/>
      <c r="AQ721" s="208"/>
      <c r="AR721" s="226"/>
      <c r="AS721" s="225"/>
      <c r="AT721" s="226"/>
      <c r="AU721" s="225"/>
      <c r="AV721" s="225"/>
      <c r="AW721" s="225"/>
      <c r="AX721" s="225"/>
      <c r="AY721" s="225"/>
    </row>
    <row r="722" spans="33:51" x14ac:dyDescent="0.25">
      <c r="AG722" s="66" t="str">
        <f>IF(AND(Множество[[#This Row],[Y]]=1),ROW()-ROW(Множество[[#Headers],[№]]),"")</f>
        <v/>
      </c>
      <c r="AI722" s="66">
        <v>1</v>
      </c>
      <c r="AJ722" s="66">
        <f>IF(LEN(Множество[[#This Row],[Свёртка]])&gt;0,1,-1)</f>
        <v>1</v>
      </c>
      <c r="AK722" s="66" t="s">
        <v>1781</v>
      </c>
      <c r="AL722" s="209">
        <f>IF(LEN(Множество[[#This Row],[Критерии]])&gt;0,1,-1)</f>
        <v>1</v>
      </c>
      <c r="AM722" s="209">
        <f>IF(AND(LEN(Множество[[#This Row],[Свёртка]])&gt;0,LEN(Множество[[#This Row],[Критерии]])&gt;0,LEN(Множество[[#This Row],[Оценки]])&gt;0),1,-1)</f>
        <v>-1</v>
      </c>
      <c r="AN722" s="230"/>
      <c r="AO722" s="208"/>
      <c r="AP722" s="208"/>
      <c r="AQ722" s="208"/>
      <c r="AR722" s="226"/>
      <c r="AS722" s="225"/>
      <c r="AT722" s="226"/>
      <c r="AU722" s="225"/>
      <c r="AV722" s="225"/>
      <c r="AW722" s="225"/>
      <c r="AX722" s="225"/>
      <c r="AY722" s="225"/>
    </row>
    <row r="723" spans="33:51" x14ac:dyDescent="0.25">
      <c r="AG723" s="66" t="str">
        <f>IF(AND(Множество[[#This Row],[Y]]=1),ROW()-ROW(Множество[[#Headers],[№]]),"")</f>
        <v/>
      </c>
      <c r="AI723" s="66">
        <v>1</v>
      </c>
      <c r="AJ723" s="66">
        <f>IF(LEN(Множество[[#This Row],[Свёртка]])&gt;0,1,-1)</f>
        <v>1</v>
      </c>
      <c r="AK723" s="66" t="s">
        <v>1781</v>
      </c>
      <c r="AL723" s="209">
        <f>IF(LEN(Множество[[#This Row],[Критерии]])&gt;0,1,-1)</f>
        <v>1</v>
      </c>
      <c r="AM723" s="209">
        <f>IF(AND(LEN(Множество[[#This Row],[Свёртка]])&gt;0,LEN(Множество[[#This Row],[Критерии]])&gt;0,LEN(Множество[[#This Row],[Оценки]])&gt;0),1,-1)</f>
        <v>-1</v>
      </c>
      <c r="AN723" s="230"/>
      <c r="AO723" s="208"/>
      <c r="AP723" s="208"/>
      <c r="AQ723" s="208"/>
      <c r="AR723" s="226"/>
      <c r="AS723" s="225"/>
      <c r="AT723" s="226"/>
      <c r="AU723" s="225"/>
      <c r="AV723" s="225"/>
      <c r="AW723" s="225"/>
      <c r="AX723" s="225"/>
      <c r="AY723" s="225"/>
    </row>
    <row r="724" spans="33:51" x14ac:dyDescent="0.25">
      <c r="AG724" s="66" t="str">
        <f>IF(AND(Множество[[#This Row],[Y]]=1),ROW()-ROW(Множество[[#Headers],[№]]),"")</f>
        <v/>
      </c>
      <c r="AI724" s="66">
        <v>1</v>
      </c>
      <c r="AJ724" s="66">
        <f>IF(LEN(Множество[[#This Row],[Свёртка]])&gt;0,1,-1)</f>
        <v>1</v>
      </c>
      <c r="AK724" s="66" t="s">
        <v>1781</v>
      </c>
      <c r="AL724" s="209">
        <f>IF(LEN(Множество[[#This Row],[Критерии]])&gt;0,1,-1)</f>
        <v>1</v>
      </c>
      <c r="AM724" s="209">
        <f>IF(AND(LEN(Множество[[#This Row],[Свёртка]])&gt;0,LEN(Множество[[#This Row],[Критерии]])&gt;0,LEN(Множество[[#This Row],[Оценки]])&gt;0),1,-1)</f>
        <v>-1</v>
      </c>
      <c r="AN724" s="230"/>
      <c r="AO724" s="208"/>
      <c r="AP724" s="208"/>
      <c r="AQ724" s="208"/>
      <c r="AR724" s="226"/>
      <c r="AS724" s="225"/>
      <c r="AT724" s="226"/>
      <c r="AU724" s="225"/>
      <c r="AV724" s="225"/>
      <c r="AW724" s="225"/>
      <c r="AX724" s="225"/>
      <c r="AY724" s="225"/>
    </row>
    <row r="725" spans="33:51" x14ac:dyDescent="0.25">
      <c r="AG725" s="66" t="str">
        <f>IF(AND(Множество[[#This Row],[Y]]=1),ROW()-ROW(Множество[[#Headers],[№]]),"")</f>
        <v/>
      </c>
      <c r="AI725" s="66">
        <v>1</v>
      </c>
      <c r="AJ725" s="66">
        <f>IF(LEN(Множество[[#This Row],[Свёртка]])&gt;0,1,-1)</f>
        <v>1</v>
      </c>
      <c r="AK725" s="66" t="s">
        <v>1781</v>
      </c>
      <c r="AL725" s="209">
        <f>IF(LEN(Множество[[#This Row],[Критерии]])&gt;0,1,-1)</f>
        <v>1</v>
      </c>
      <c r="AM725" s="209">
        <f>IF(AND(LEN(Множество[[#This Row],[Свёртка]])&gt;0,LEN(Множество[[#This Row],[Критерии]])&gt;0,LEN(Множество[[#This Row],[Оценки]])&gt;0),1,-1)</f>
        <v>-1</v>
      </c>
      <c r="AN725" s="230"/>
      <c r="AO725" s="208"/>
      <c r="AP725" s="208"/>
      <c r="AQ725" s="208"/>
      <c r="AR725" s="226"/>
      <c r="AS725" s="225"/>
      <c r="AT725" s="226"/>
      <c r="AU725" s="225"/>
      <c r="AV725" s="225"/>
      <c r="AW725" s="225"/>
      <c r="AX725" s="225"/>
      <c r="AY725" s="225"/>
    </row>
    <row r="726" spans="33:51" x14ac:dyDescent="0.25">
      <c r="AG726" s="66" t="str">
        <f>IF(AND(Множество[[#This Row],[Y]]=1),ROW()-ROW(Множество[[#Headers],[№]]),"")</f>
        <v/>
      </c>
      <c r="AI726" s="66">
        <v>1</v>
      </c>
      <c r="AJ726" s="66">
        <f>IF(LEN(Множество[[#This Row],[Свёртка]])&gt;0,1,-1)</f>
        <v>1</v>
      </c>
      <c r="AK726" s="66" t="s">
        <v>1781</v>
      </c>
      <c r="AL726" s="209">
        <f>IF(LEN(Множество[[#This Row],[Критерии]])&gt;0,1,-1)</f>
        <v>1</v>
      </c>
      <c r="AM726" s="209">
        <f>IF(AND(LEN(Множество[[#This Row],[Свёртка]])&gt;0,LEN(Множество[[#This Row],[Критерии]])&gt;0,LEN(Множество[[#This Row],[Оценки]])&gt;0),1,-1)</f>
        <v>-1</v>
      </c>
      <c r="AN726" s="230"/>
      <c r="AO726" s="208"/>
      <c r="AP726" s="208"/>
      <c r="AQ726" s="208"/>
      <c r="AR726" s="226"/>
      <c r="AS726" s="225"/>
      <c r="AT726" s="226"/>
      <c r="AU726" s="225"/>
      <c r="AV726" s="225"/>
      <c r="AW726" s="225"/>
      <c r="AX726" s="225"/>
      <c r="AY726" s="225"/>
    </row>
    <row r="727" spans="33:51" x14ac:dyDescent="0.25">
      <c r="AG727" s="66" t="str">
        <f>IF(AND(Множество[[#This Row],[Y]]=1),ROW()-ROW(Множество[[#Headers],[№]]),"")</f>
        <v/>
      </c>
      <c r="AI727" s="66">
        <v>1</v>
      </c>
      <c r="AJ727" s="66">
        <f>IF(LEN(Множество[[#This Row],[Свёртка]])&gt;0,1,-1)</f>
        <v>1</v>
      </c>
      <c r="AK727" s="66" t="s">
        <v>1781</v>
      </c>
      <c r="AL727" s="209">
        <f>IF(LEN(Множество[[#This Row],[Критерии]])&gt;0,1,-1)</f>
        <v>1</v>
      </c>
      <c r="AM727" s="209">
        <f>IF(AND(LEN(Множество[[#This Row],[Свёртка]])&gt;0,LEN(Множество[[#This Row],[Критерии]])&gt;0,LEN(Множество[[#This Row],[Оценки]])&gt;0),1,-1)</f>
        <v>-1</v>
      </c>
      <c r="AN727" s="230"/>
      <c r="AO727" s="208"/>
      <c r="AP727" s="208"/>
      <c r="AQ727" s="208"/>
      <c r="AR727" s="226"/>
      <c r="AS727" s="225"/>
      <c r="AT727" s="226"/>
      <c r="AU727" s="225"/>
      <c r="AV727" s="225"/>
      <c r="AW727" s="225"/>
      <c r="AX727" s="225"/>
      <c r="AY727" s="225"/>
    </row>
    <row r="728" spans="33:51" x14ac:dyDescent="0.25">
      <c r="AG728" s="66" t="str">
        <f>IF(AND(Множество[[#This Row],[Y]]=1),ROW()-ROW(Множество[[#Headers],[№]]),"")</f>
        <v/>
      </c>
      <c r="AI728" s="66">
        <v>1</v>
      </c>
      <c r="AJ728" s="66">
        <f>IF(LEN(Множество[[#This Row],[Свёртка]])&gt;0,1,-1)</f>
        <v>1</v>
      </c>
      <c r="AK728" s="66" t="s">
        <v>1781</v>
      </c>
      <c r="AL728" s="209">
        <f>IF(LEN(Множество[[#This Row],[Критерии]])&gt;0,1,-1)</f>
        <v>1</v>
      </c>
      <c r="AM728" s="209">
        <f>IF(AND(LEN(Множество[[#This Row],[Свёртка]])&gt;0,LEN(Множество[[#This Row],[Критерии]])&gt;0,LEN(Множество[[#This Row],[Оценки]])&gt;0),1,-1)</f>
        <v>-1</v>
      </c>
      <c r="AN728" s="230"/>
      <c r="AO728" s="208"/>
      <c r="AP728" s="208"/>
      <c r="AQ728" s="208"/>
      <c r="AR728" s="226"/>
      <c r="AS728" s="225"/>
      <c r="AT728" s="226"/>
      <c r="AU728" s="225"/>
      <c r="AV728" s="225"/>
      <c r="AW728" s="225"/>
      <c r="AX728" s="225"/>
      <c r="AY728" s="225"/>
    </row>
    <row r="729" spans="33:51" x14ac:dyDescent="0.25">
      <c r="AG729" s="66" t="str">
        <f>IF(AND(Множество[[#This Row],[Y]]=1),ROW()-ROW(Множество[[#Headers],[№]]),"")</f>
        <v/>
      </c>
      <c r="AI729" s="66">
        <v>1</v>
      </c>
      <c r="AJ729" s="66">
        <f>IF(LEN(Множество[[#This Row],[Свёртка]])&gt;0,1,-1)</f>
        <v>1</v>
      </c>
      <c r="AK729" s="66" t="s">
        <v>1781</v>
      </c>
      <c r="AL729" s="209">
        <f>IF(LEN(Множество[[#This Row],[Критерии]])&gt;0,1,-1)</f>
        <v>1</v>
      </c>
      <c r="AM729" s="209">
        <f>IF(AND(LEN(Множество[[#This Row],[Свёртка]])&gt;0,LEN(Множество[[#This Row],[Критерии]])&gt;0,LEN(Множество[[#This Row],[Оценки]])&gt;0),1,-1)</f>
        <v>-1</v>
      </c>
      <c r="AN729" s="230"/>
      <c r="AO729" s="208"/>
      <c r="AP729" s="208"/>
      <c r="AQ729" s="208"/>
      <c r="AR729" s="226"/>
      <c r="AS729" s="225"/>
      <c r="AT729" s="226"/>
      <c r="AU729" s="225"/>
      <c r="AV729" s="225"/>
      <c r="AW729" s="225"/>
      <c r="AX729" s="225"/>
      <c r="AY729" s="225"/>
    </row>
    <row r="730" spans="33:51" x14ac:dyDescent="0.25">
      <c r="AG730" s="66" t="str">
        <f>IF(AND(Множество[[#This Row],[Y]]=1),ROW()-ROW(Множество[[#Headers],[№]]),"")</f>
        <v/>
      </c>
      <c r="AI730" s="66">
        <v>1</v>
      </c>
      <c r="AJ730" s="66">
        <f>IF(LEN(Множество[[#This Row],[Свёртка]])&gt;0,1,-1)</f>
        <v>1</v>
      </c>
      <c r="AK730" s="66" t="s">
        <v>1781</v>
      </c>
      <c r="AL730" s="209">
        <f>IF(LEN(Множество[[#This Row],[Критерии]])&gt;0,1,-1)</f>
        <v>1</v>
      </c>
      <c r="AM730" s="209">
        <f>IF(AND(LEN(Множество[[#This Row],[Свёртка]])&gt;0,LEN(Множество[[#This Row],[Критерии]])&gt;0,LEN(Множество[[#This Row],[Оценки]])&gt;0),1,-1)</f>
        <v>-1</v>
      </c>
      <c r="AN730" s="230"/>
      <c r="AO730" s="208"/>
      <c r="AP730" s="208"/>
      <c r="AQ730" s="208"/>
      <c r="AR730" s="226"/>
      <c r="AS730" s="225"/>
      <c r="AT730" s="226"/>
      <c r="AU730" s="225"/>
      <c r="AV730" s="225"/>
      <c r="AW730" s="225"/>
      <c r="AX730" s="225"/>
      <c r="AY730" s="225"/>
    </row>
    <row r="731" spans="33:51" x14ac:dyDescent="0.25">
      <c r="AG731" s="66" t="str">
        <f>IF(AND(Множество[[#This Row],[Y]]=1),ROW()-ROW(Множество[[#Headers],[№]]),"")</f>
        <v/>
      </c>
      <c r="AI731" s="66">
        <v>1</v>
      </c>
      <c r="AJ731" s="66">
        <f>IF(LEN(Множество[[#This Row],[Свёртка]])&gt;0,1,-1)</f>
        <v>1</v>
      </c>
      <c r="AK731" s="66" t="s">
        <v>1781</v>
      </c>
      <c r="AL731" s="209">
        <f>IF(LEN(Множество[[#This Row],[Критерии]])&gt;0,1,-1)</f>
        <v>1</v>
      </c>
      <c r="AM731" s="209">
        <f>IF(AND(LEN(Множество[[#This Row],[Свёртка]])&gt;0,LEN(Множество[[#This Row],[Критерии]])&gt;0,LEN(Множество[[#This Row],[Оценки]])&gt;0),1,-1)</f>
        <v>-1</v>
      </c>
      <c r="AN731" s="230"/>
      <c r="AO731" s="208"/>
      <c r="AP731" s="208"/>
      <c r="AQ731" s="208"/>
      <c r="AR731" s="226"/>
      <c r="AS731" s="225"/>
      <c r="AT731" s="226"/>
      <c r="AU731" s="225"/>
      <c r="AV731" s="225"/>
      <c r="AW731" s="225"/>
      <c r="AX731" s="225"/>
      <c r="AY731" s="225"/>
    </row>
    <row r="732" spans="33:51" x14ac:dyDescent="0.25">
      <c r="AG732" s="66" t="str">
        <f>IF(AND(Множество[[#This Row],[Y]]=1),ROW()-ROW(Множество[[#Headers],[№]]),"")</f>
        <v/>
      </c>
      <c r="AI732" s="66">
        <v>1</v>
      </c>
      <c r="AJ732" s="66">
        <f>IF(LEN(Множество[[#This Row],[Свёртка]])&gt;0,1,-1)</f>
        <v>1</v>
      </c>
      <c r="AK732" s="66" t="s">
        <v>1781</v>
      </c>
      <c r="AL732" s="209">
        <f>IF(LEN(Множество[[#This Row],[Критерии]])&gt;0,1,-1)</f>
        <v>1</v>
      </c>
      <c r="AM732" s="209">
        <f>IF(AND(LEN(Множество[[#This Row],[Свёртка]])&gt;0,LEN(Множество[[#This Row],[Критерии]])&gt;0,LEN(Множество[[#This Row],[Оценки]])&gt;0),1,-1)</f>
        <v>-1</v>
      </c>
      <c r="AN732" s="230"/>
      <c r="AO732" s="208"/>
      <c r="AP732" s="208"/>
      <c r="AQ732" s="208"/>
      <c r="AR732" s="226"/>
      <c r="AS732" s="225"/>
      <c r="AT732" s="226"/>
      <c r="AU732" s="225"/>
      <c r="AV732" s="225"/>
      <c r="AW732" s="225"/>
      <c r="AX732" s="225"/>
      <c r="AY732" s="225"/>
    </row>
    <row r="733" spans="33:51" x14ac:dyDescent="0.25">
      <c r="AG733" s="66" t="str">
        <f>IF(AND(Множество[[#This Row],[Y]]=1),ROW()-ROW(Множество[[#Headers],[№]]),"")</f>
        <v/>
      </c>
      <c r="AI733" s="66">
        <v>1</v>
      </c>
      <c r="AJ733" s="66">
        <f>IF(LEN(Множество[[#This Row],[Свёртка]])&gt;0,1,-1)</f>
        <v>1</v>
      </c>
      <c r="AK733" s="66" t="s">
        <v>1781</v>
      </c>
      <c r="AL733" s="209">
        <f>IF(LEN(Множество[[#This Row],[Критерии]])&gt;0,1,-1)</f>
        <v>1</v>
      </c>
      <c r="AM733" s="209">
        <f>IF(AND(LEN(Множество[[#This Row],[Свёртка]])&gt;0,LEN(Множество[[#This Row],[Критерии]])&gt;0,LEN(Множество[[#This Row],[Оценки]])&gt;0),1,-1)</f>
        <v>-1</v>
      </c>
      <c r="AN733" s="230"/>
      <c r="AO733" s="208"/>
      <c r="AP733" s="208"/>
      <c r="AQ733" s="208"/>
      <c r="AR733" s="226"/>
      <c r="AS733" s="225"/>
      <c r="AT733" s="226"/>
      <c r="AU733" s="225"/>
      <c r="AV733" s="225"/>
      <c r="AW733" s="225"/>
      <c r="AX733" s="225"/>
      <c r="AY733" s="225"/>
    </row>
    <row r="734" spans="33:51" x14ac:dyDescent="0.25">
      <c r="AG734" s="66" t="str">
        <f>IF(AND(Множество[[#This Row],[Y]]=1),ROW()-ROW(Множество[[#Headers],[№]]),"")</f>
        <v/>
      </c>
      <c r="AI734" s="66">
        <v>1</v>
      </c>
      <c r="AJ734" s="66">
        <f>IF(LEN(Множество[[#This Row],[Свёртка]])&gt;0,1,-1)</f>
        <v>1</v>
      </c>
      <c r="AK734" s="66" t="s">
        <v>1781</v>
      </c>
      <c r="AL734" s="209">
        <f>IF(LEN(Множество[[#This Row],[Критерии]])&gt;0,1,-1)</f>
        <v>1</v>
      </c>
      <c r="AM734" s="209">
        <f>IF(AND(LEN(Множество[[#This Row],[Свёртка]])&gt;0,LEN(Множество[[#This Row],[Критерии]])&gt;0,LEN(Множество[[#This Row],[Оценки]])&gt;0),1,-1)</f>
        <v>-1</v>
      </c>
      <c r="AN734" s="230"/>
      <c r="AO734" s="208"/>
      <c r="AP734" s="208"/>
      <c r="AQ734" s="208"/>
      <c r="AR734" s="226"/>
      <c r="AS734" s="225"/>
      <c r="AT734" s="226"/>
      <c r="AU734" s="225"/>
      <c r="AV734" s="225"/>
      <c r="AW734" s="225"/>
      <c r="AX734" s="225"/>
      <c r="AY734" s="225"/>
    </row>
    <row r="735" spans="33:51" x14ac:dyDescent="0.25">
      <c r="AG735" s="66" t="str">
        <f>IF(AND(Множество[[#This Row],[Y]]=1),ROW()-ROW(Множество[[#Headers],[№]]),"")</f>
        <v/>
      </c>
      <c r="AI735" s="66">
        <v>1</v>
      </c>
      <c r="AJ735" s="66">
        <f>IF(LEN(Множество[[#This Row],[Свёртка]])&gt;0,1,-1)</f>
        <v>1</v>
      </c>
      <c r="AK735" s="66" t="s">
        <v>1781</v>
      </c>
      <c r="AL735" s="209">
        <f>IF(LEN(Множество[[#This Row],[Критерии]])&gt;0,1,-1)</f>
        <v>1</v>
      </c>
      <c r="AM735" s="209">
        <f>IF(AND(LEN(Множество[[#This Row],[Свёртка]])&gt;0,LEN(Множество[[#This Row],[Критерии]])&gt;0,LEN(Множество[[#This Row],[Оценки]])&gt;0),1,-1)</f>
        <v>-1</v>
      </c>
      <c r="AN735" s="230"/>
      <c r="AO735" s="208"/>
      <c r="AP735" s="208"/>
      <c r="AQ735" s="208"/>
      <c r="AR735" s="226"/>
      <c r="AS735" s="225"/>
      <c r="AT735" s="226"/>
      <c r="AU735" s="225"/>
      <c r="AV735" s="225"/>
      <c r="AW735" s="225"/>
      <c r="AX735" s="225"/>
      <c r="AY735" s="225"/>
    </row>
    <row r="736" spans="33:51" x14ac:dyDescent="0.25">
      <c r="AG736" s="66" t="str">
        <f>IF(AND(Множество[[#This Row],[Y]]=1),ROW()-ROW(Множество[[#Headers],[№]]),"")</f>
        <v/>
      </c>
      <c r="AI736" s="66">
        <v>1</v>
      </c>
      <c r="AJ736" s="66">
        <f>IF(LEN(Множество[[#This Row],[Свёртка]])&gt;0,1,-1)</f>
        <v>1</v>
      </c>
      <c r="AK736" s="66" t="s">
        <v>1781</v>
      </c>
      <c r="AL736" s="209">
        <f>IF(LEN(Множество[[#This Row],[Критерии]])&gt;0,1,-1)</f>
        <v>1</v>
      </c>
      <c r="AM736" s="209">
        <f>IF(AND(LEN(Множество[[#This Row],[Свёртка]])&gt;0,LEN(Множество[[#This Row],[Критерии]])&gt;0,LEN(Множество[[#This Row],[Оценки]])&gt;0),1,-1)</f>
        <v>-1</v>
      </c>
      <c r="AN736" s="230"/>
      <c r="AO736" s="208"/>
      <c r="AP736" s="208"/>
      <c r="AQ736" s="208"/>
      <c r="AR736" s="226"/>
      <c r="AS736" s="225"/>
      <c r="AT736" s="226"/>
      <c r="AU736" s="225"/>
      <c r="AV736" s="225"/>
      <c r="AW736" s="225"/>
      <c r="AX736" s="225"/>
      <c r="AY736" s="225"/>
    </row>
    <row r="737" spans="33:51" x14ac:dyDescent="0.25">
      <c r="AG737" s="66" t="str">
        <f>IF(AND(Множество[[#This Row],[Y]]=1),ROW()-ROW(Множество[[#Headers],[№]]),"")</f>
        <v/>
      </c>
      <c r="AI737" s="66">
        <v>1</v>
      </c>
      <c r="AJ737" s="66">
        <f>IF(LEN(Множество[[#This Row],[Свёртка]])&gt;0,1,-1)</f>
        <v>1</v>
      </c>
      <c r="AK737" s="66" t="s">
        <v>1781</v>
      </c>
      <c r="AL737" s="209">
        <f>IF(LEN(Множество[[#This Row],[Критерии]])&gt;0,1,-1)</f>
        <v>1</v>
      </c>
      <c r="AM737" s="209">
        <f>IF(AND(LEN(Множество[[#This Row],[Свёртка]])&gt;0,LEN(Множество[[#This Row],[Критерии]])&gt;0,LEN(Множество[[#This Row],[Оценки]])&gt;0),1,-1)</f>
        <v>-1</v>
      </c>
      <c r="AN737" s="230"/>
      <c r="AO737" s="208"/>
      <c r="AP737" s="208"/>
      <c r="AQ737" s="208"/>
      <c r="AR737" s="226"/>
      <c r="AS737" s="225"/>
      <c r="AT737" s="226"/>
      <c r="AU737" s="225"/>
      <c r="AV737" s="225"/>
      <c r="AW737" s="225"/>
      <c r="AX737" s="225"/>
      <c r="AY737" s="225"/>
    </row>
    <row r="738" spans="33:51" x14ac:dyDescent="0.25">
      <c r="AG738" s="66" t="str">
        <f>IF(AND(Множество[[#This Row],[Y]]=1),ROW()-ROW(Множество[[#Headers],[№]]),"")</f>
        <v/>
      </c>
      <c r="AI738" s="66">
        <v>1</v>
      </c>
      <c r="AJ738" s="66">
        <f>IF(LEN(Множество[[#This Row],[Свёртка]])&gt;0,1,-1)</f>
        <v>1</v>
      </c>
      <c r="AK738" s="66" t="s">
        <v>1781</v>
      </c>
      <c r="AL738" s="209">
        <f>IF(LEN(Множество[[#This Row],[Критерии]])&gt;0,1,-1)</f>
        <v>1</v>
      </c>
      <c r="AM738" s="209">
        <f>IF(AND(LEN(Множество[[#This Row],[Свёртка]])&gt;0,LEN(Множество[[#This Row],[Критерии]])&gt;0,LEN(Множество[[#This Row],[Оценки]])&gt;0),1,-1)</f>
        <v>-1</v>
      </c>
      <c r="AN738" s="230"/>
      <c r="AO738" s="208"/>
      <c r="AP738" s="208"/>
      <c r="AQ738" s="208"/>
      <c r="AR738" s="226"/>
      <c r="AS738" s="225"/>
      <c r="AT738" s="226"/>
      <c r="AU738" s="225"/>
      <c r="AV738" s="225"/>
      <c r="AW738" s="225"/>
      <c r="AX738" s="225"/>
      <c r="AY738" s="225"/>
    </row>
    <row r="739" spans="33:51" x14ac:dyDescent="0.25">
      <c r="AG739" s="66" t="str">
        <f>IF(AND(Множество[[#This Row],[Y]]=1),ROW()-ROW(Множество[[#Headers],[№]]),"")</f>
        <v/>
      </c>
      <c r="AI739" s="66">
        <v>1</v>
      </c>
      <c r="AJ739" s="66">
        <f>IF(LEN(Множество[[#This Row],[Свёртка]])&gt;0,1,-1)</f>
        <v>1</v>
      </c>
      <c r="AK739" s="66" t="s">
        <v>1781</v>
      </c>
      <c r="AL739" s="209">
        <f>IF(LEN(Множество[[#This Row],[Критерии]])&gt;0,1,-1)</f>
        <v>1</v>
      </c>
      <c r="AM739" s="209">
        <f>IF(AND(LEN(Множество[[#This Row],[Свёртка]])&gt;0,LEN(Множество[[#This Row],[Критерии]])&gt;0,LEN(Множество[[#This Row],[Оценки]])&gt;0),1,-1)</f>
        <v>-1</v>
      </c>
      <c r="AN739" s="230"/>
      <c r="AO739" s="208"/>
      <c r="AP739" s="208"/>
      <c r="AQ739" s="208"/>
      <c r="AR739" s="226"/>
      <c r="AS739" s="225"/>
      <c r="AT739" s="226"/>
      <c r="AU739" s="225"/>
      <c r="AV739" s="225"/>
      <c r="AW739" s="225"/>
      <c r="AX739" s="225"/>
      <c r="AY739" s="225"/>
    </row>
    <row r="740" spans="33:51" x14ac:dyDescent="0.25">
      <c r="AG740" s="66" t="str">
        <f>IF(AND(Множество[[#This Row],[Y]]=1),ROW()-ROW(Множество[[#Headers],[№]]),"")</f>
        <v/>
      </c>
      <c r="AI740" s="66">
        <v>1</v>
      </c>
      <c r="AJ740" s="66">
        <f>IF(LEN(Множество[[#This Row],[Свёртка]])&gt;0,1,-1)</f>
        <v>1</v>
      </c>
      <c r="AK740" s="66" t="s">
        <v>1781</v>
      </c>
      <c r="AL740" s="209">
        <f>IF(LEN(Множество[[#This Row],[Критерии]])&gt;0,1,-1)</f>
        <v>1</v>
      </c>
      <c r="AM740" s="209">
        <f>IF(AND(LEN(Множество[[#This Row],[Свёртка]])&gt;0,LEN(Множество[[#This Row],[Критерии]])&gt;0,LEN(Множество[[#This Row],[Оценки]])&gt;0),1,-1)</f>
        <v>-1</v>
      </c>
      <c r="AN740" s="230"/>
      <c r="AO740" s="208"/>
      <c r="AP740" s="208"/>
      <c r="AQ740" s="208"/>
      <c r="AR740" s="226"/>
      <c r="AS740" s="225"/>
      <c r="AT740" s="226"/>
      <c r="AU740" s="225"/>
      <c r="AV740" s="225"/>
      <c r="AW740" s="225"/>
      <c r="AX740" s="225"/>
      <c r="AY740" s="225"/>
    </row>
    <row r="741" spans="33:51" x14ac:dyDescent="0.25">
      <c r="AG741" s="66" t="str">
        <f>IF(AND(Множество[[#This Row],[Y]]=1),ROW()-ROW(Множество[[#Headers],[№]]),"")</f>
        <v/>
      </c>
      <c r="AI741" s="66">
        <v>1</v>
      </c>
      <c r="AJ741" s="66">
        <f>IF(LEN(Множество[[#This Row],[Свёртка]])&gt;0,1,-1)</f>
        <v>1</v>
      </c>
      <c r="AK741" s="66" t="s">
        <v>1781</v>
      </c>
      <c r="AL741" s="209">
        <f>IF(LEN(Множество[[#This Row],[Критерии]])&gt;0,1,-1)</f>
        <v>1</v>
      </c>
      <c r="AM741" s="209">
        <f>IF(AND(LEN(Множество[[#This Row],[Свёртка]])&gt;0,LEN(Множество[[#This Row],[Критерии]])&gt;0,LEN(Множество[[#This Row],[Оценки]])&gt;0),1,-1)</f>
        <v>-1</v>
      </c>
      <c r="AN741" s="230"/>
      <c r="AO741" s="208"/>
      <c r="AP741" s="208"/>
      <c r="AQ741" s="208"/>
      <c r="AR741" s="226"/>
      <c r="AS741" s="225"/>
      <c r="AT741" s="226"/>
      <c r="AU741" s="225"/>
      <c r="AV741" s="225"/>
      <c r="AW741" s="225"/>
      <c r="AX741" s="225"/>
      <c r="AY741" s="225"/>
    </row>
    <row r="742" spans="33:51" x14ac:dyDescent="0.25">
      <c r="AG742" s="66" t="str">
        <f>IF(AND(Множество[[#This Row],[Y]]=1),ROW()-ROW(Множество[[#Headers],[№]]),"")</f>
        <v/>
      </c>
      <c r="AI742" s="66">
        <v>1</v>
      </c>
      <c r="AJ742" s="66">
        <f>IF(LEN(Множество[[#This Row],[Свёртка]])&gt;0,1,-1)</f>
        <v>1</v>
      </c>
      <c r="AK742" s="66" t="s">
        <v>1781</v>
      </c>
      <c r="AL742" s="209">
        <f>IF(LEN(Множество[[#This Row],[Критерии]])&gt;0,1,-1)</f>
        <v>1</v>
      </c>
      <c r="AM742" s="209">
        <f>IF(AND(LEN(Множество[[#This Row],[Свёртка]])&gt;0,LEN(Множество[[#This Row],[Критерии]])&gt;0,LEN(Множество[[#This Row],[Оценки]])&gt;0),1,-1)</f>
        <v>-1</v>
      </c>
      <c r="AN742" s="230"/>
      <c r="AO742" s="208"/>
      <c r="AP742" s="208"/>
      <c r="AQ742" s="208"/>
      <c r="AR742" s="226"/>
      <c r="AS742" s="225"/>
      <c r="AT742" s="226"/>
      <c r="AU742" s="225"/>
      <c r="AV742" s="225"/>
      <c r="AW742" s="225"/>
      <c r="AX742" s="225"/>
      <c r="AY742" s="225"/>
    </row>
    <row r="743" spans="33:51" x14ac:dyDescent="0.25">
      <c r="AG743" s="66" t="str">
        <f>IF(AND(Множество[[#This Row],[Y]]=1),ROW()-ROW(Множество[[#Headers],[№]]),"")</f>
        <v/>
      </c>
      <c r="AI743" s="66">
        <v>1</v>
      </c>
      <c r="AJ743" s="66">
        <f>IF(LEN(Множество[[#This Row],[Свёртка]])&gt;0,1,-1)</f>
        <v>1</v>
      </c>
      <c r="AK743" s="66" t="s">
        <v>1781</v>
      </c>
      <c r="AL743" s="209">
        <f>IF(LEN(Множество[[#This Row],[Критерии]])&gt;0,1,-1)</f>
        <v>1</v>
      </c>
      <c r="AM743" s="209">
        <f>IF(AND(LEN(Множество[[#This Row],[Свёртка]])&gt;0,LEN(Множество[[#This Row],[Критерии]])&gt;0,LEN(Множество[[#This Row],[Оценки]])&gt;0),1,-1)</f>
        <v>-1</v>
      </c>
      <c r="AN743" s="230"/>
      <c r="AO743" s="208"/>
      <c r="AP743" s="208"/>
      <c r="AQ743" s="208"/>
      <c r="AR743" s="226"/>
      <c r="AS743" s="225"/>
      <c r="AT743" s="226"/>
      <c r="AU743" s="225"/>
      <c r="AV743" s="225"/>
      <c r="AW743" s="225"/>
      <c r="AX743" s="225"/>
      <c r="AY743" s="225"/>
    </row>
    <row r="744" spans="33:51" x14ac:dyDescent="0.25">
      <c r="AG744" s="66" t="str">
        <f>IF(AND(Множество[[#This Row],[Y]]=1),ROW()-ROW(Множество[[#Headers],[№]]),"")</f>
        <v/>
      </c>
      <c r="AI744" s="66">
        <v>1</v>
      </c>
      <c r="AJ744" s="66">
        <f>IF(LEN(Множество[[#This Row],[Свёртка]])&gt;0,1,-1)</f>
        <v>1</v>
      </c>
      <c r="AK744" s="66" t="s">
        <v>1781</v>
      </c>
      <c r="AL744" s="209">
        <f>IF(LEN(Множество[[#This Row],[Критерии]])&gt;0,1,-1)</f>
        <v>1</v>
      </c>
      <c r="AM744" s="209">
        <f>IF(AND(LEN(Множество[[#This Row],[Свёртка]])&gt;0,LEN(Множество[[#This Row],[Критерии]])&gt;0,LEN(Множество[[#This Row],[Оценки]])&gt;0),1,-1)</f>
        <v>-1</v>
      </c>
      <c r="AN744" s="230"/>
      <c r="AO744" s="208"/>
      <c r="AP744" s="208"/>
      <c r="AQ744" s="208"/>
      <c r="AR744" s="226"/>
      <c r="AS744" s="225"/>
      <c r="AT744" s="226"/>
      <c r="AU744" s="225"/>
      <c r="AV744" s="225"/>
      <c r="AW744" s="225"/>
      <c r="AX744" s="225"/>
      <c r="AY744" s="225"/>
    </row>
    <row r="745" spans="33:51" x14ac:dyDescent="0.25">
      <c r="AG745" s="66" t="str">
        <f>IF(AND(Множество[[#This Row],[Y]]=1),ROW()-ROW(Множество[[#Headers],[№]]),"")</f>
        <v/>
      </c>
      <c r="AI745" s="66">
        <v>1</v>
      </c>
      <c r="AJ745" s="66">
        <f>IF(LEN(Множество[[#This Row],[Свёртка]])&gt;0,1,-1)</f>
        <v>1</v>
      </c>
      <c r="AK745" s="66" t="s">
        <v>1781</v>
      </c>
      <c r="AL745" s="209">
        <f>IF(LEN(Множество[[#This Row],[Критерии]])&gt;0,1,-1)</f>
        <v>1</v>
      </c>
      <c r="AM745" s="209">
        <f>IF(AND(LEN(Множество[[#This Row],[Свёртка]])&gt;0,LEN(Множество[[#This Row],[Критерии]])&gt;0,LEN(Множество[[#This Row],[Оценки]])&gt;0),1,-1)</f>
        <v>-1</v>
      </c>
      <c r="AN745" s="230"/>
      <c r="AO745" s="208"/>
      <c r="AP745" s="208"/>
      <c r="AQ745" s="208"/>
      <c r="AR745" s="226"/>
      <c r="AS745" s="225"/>
      <c r="AT745" s="226"/>
      <c r="AU745" s="225"/>
      <c r="AV745" s="225"/>
      <c r="AW745" s="225"/>
      <c r="AX745" s="225"/>
      <c r="AY745" s="225"/>
    </row>
    <row r="746" spans="33:51" x14ac:dyDescent="0.25">
      <c r="AG746" s="66" t="str">
        <f>IF(AND(Множество[[#This Row],[Y]]=1),ROW()-ROW(Множество[[#Headers],[№]]),"")</f>
        <v/>
      </c>
      <c r="AI746" s="66">
        <v>1</v>
      </c>
      <c r="AJ746" s="66">
        <f>IF(LEN(Множество[[#This Row],[Свёртка]])&gt;0,1,-1)</f>
        <v>1</v>
      </c>
      <c r="AK746" s="66" t="s">
        <v>1781</v>
      </c>
      <c r="AL746" s="209">
        <f>IF(LEN(Множество[[#This Row],[Критерии]])&gt;0,1,-1)</f>
        <v>1</v>
      </c>
      <c r="AM746" s="209">
        <f>IF(AND(LEN(Множество[[#This Row],[Свёртка]])&gt;0,LEN(Множество[[#This Row],[Критерии]])&gt;0,LEN(Множество[[#This Row],[Оценки]])&gt;0),1,-1)</f>
        <v>-1</v>
      </c>
      <c r="AN746" s="230"/>
      <c r="AO746" s="208"/>
      <c r="AP746" s="208"/>
      <c r="AQ746" s="208"/>
      <c r="AR746" s="226"/>
      <c r="AS746" s="225"/>
      <c r="AT746" s="226"/>
      <c r="AU746" s="225"/>
      <c r="AV746" s="225"/>
      <c r="AW746" s="225"/>
      <c r="AX746" s="225"/>
      <c r="AY746" s="225"/>
    </row>
    <row r="747" spans="33:51" x14ac:dyDescent="0.25">
      <c r="AG747" s="66" t="str">
        <f>IF(AND(Множество[[#This Row],[Y]]=1),ROW()-ROW(Множество[[#Headers],[№]]),"")</f>
        <v/>
      </c>
      <c r="AI747" s="66">
        <v>1</v>
      </c>
      <c r="AJ747" s="66">
        <f>IF(LEN(Множество[[#This Row],[Свёртка]])&gt;0,1,-1)</f>
        <v>1</v>
      </c>
      <c r="AK747" s="66" t="s">
        <v>1781</v>
      </c>
      <c r="AL747" s="209">
        <f>IF(LEN(Множество[[#This Row],[Критерии]])&gt;0,1,-1)</f>
        <v>1</v>
      </c>
      <c r="AM747" s="209">
        <f>IF(AND(LEN(Множество[[#This Row],[Свёртка]])&gt;0,LEN(Множество[[#This Row],[Критерии]])&gt;0,LEN(Множество[[#This Row],[Оценки]])&gt;0),1,-1)</f>
        <v>-1</v>
      </c>
      <c r="AN747" s="230"/>
      <c r="AO747" s="208"/>
      <c r="AP747" s="208"/>
      <c r="AQ747" s="208"/>
      <c r="AR747" s="226"/>
      <c r="AS747" s="225"/>
      <c r="AT747" s="226"/>
      <c r="AU747" s="225"/>
      <c r="AV747" s="225"/>
      <c r="AW747" s="225"/>
      <c r="AX747" s="225"/>
      <c r="AY747" s="225"/>
    </row>
    <row r="748" spans="33:51" x14ac:dyDescent="0.25">
      <c r="AG748" s="66" t="str">
        <f>IF(AND(Множество[[#This Row],[Y]]=1),ROW()-ROW(Множество[[#Headers],[№]]),"")</f>
        <v/>
      </c>
      <c r="AI748" s="66">
        <v>1</v>
      </c>
      <c r="AJ748" s="66">
        <f>IF(LEN(Множество[[#This Row],[Свёртка]])&gt;0,1,-1)</f>
        <v>1</v>
      </c>
      <c r="AK748" s="66" t="s">
        <v>1781</v>
      </c>
      <c r="AL748" s="209">
        <f>IF(LEN(Множество[[#This Row],[Критерии]])&gt;0,1,-1)</f>
        <v>1</v>
      </c>
      <c r="AM748" s="209">
        <f>IF(AND(LEN(Множество[[#This Row],[Свёртка]])&gt;0,LEN(Множество[[#This Row],[Критерии]])&gt;0,LEN(Множество[[#This Row],[Оценки]])&gt;0),1,-1)</f>
        <v>-1</v>
      </c>
      <c r="AN748" s="230"/>
      <c r="AO748" s="208"/>
      <c r="AP748" s="208"/>
      <c r="AQ748" s="208"/>
      <c r="AR748" s="226"/>
      <c r="AS748" s="225"/>
      <c r="AT748" s="226"/>
      <c r="AU748" s="225"/>
      <c r="AV748" s="225"/>
      <c r="AW748" s="225"/>
      <c r="AX748" s="225"/>
      <c r="AY748" s="225"/>
    </row>
    <row r="749" spans="33:51" x14ac:dyDescent="0.25">
      <c r="AG749" s="66" t="str">
        <f>IF(AND(Множество[[#This Row],[Y]]=1),ROW()-ROW(Множество[[#Headers],[№]]),"")</f>
        <v/>
      </c>
      <c r="AI749" s="66">
        <v>1</v>
      </c>
      <c r="AJ749" s="66">
        <f>IF(LEN(Множество[[#This Row],[Свёртка]])&gt;0,1,-1)</f>
        <v>1</v>
      </c>
      <c r="AK749" s="66" t="s">
        <v>1781</v>
      </c>
      <c r="AL749" s="209">
        <f>IF(LEN(Множество[[#This Row],[Критерии]])&gt;0,1,-1)</f>
        <v>1</v>
      </c>
      <c r="AM749" s="209">
        <f>IF(AND(LEN(Множество[[#This Row],[Свёртка]])&gt;0,LEN(Множество[[#This Row],[Критерии]])&gt;0,LEN(Множество[[#This Row],[Оценки]])&gt;0),1,-1)</f>
        <v>-1</v>
      </c>
      <c r="AN749" s="230"/>
      <c r="AO749" s="208"/>
      <c r="AP749" s="208"/>
      <c r="AQ749" s="208"/>
      <c r="AR749" s="226"/>
      <c r="AS749" s="225"/>
      <c r="AT749" s="226"/>
      <c r="AU749" s="225"/>
      <c r="AV749" s="225"/>
      <c r="AW749" s="225"/>
      <c r="AX749" s="225"/>
      <c r="AY749" s="225"/>
    </row>
    <row r="750" spans="33:51" x14ac:dyDescent="0.25">
      <c r="AG750" s="66" t="str">
        <f>IF(AND(Множество[[#This Row],[Y]]=1),ROW()-ROW(Множество[[#Headers],[№]]),"")</f>
        <v/>
      </c>
      <c r="AI750" s="66">
        <v>1</v>
      </c>
      <c r="AJ750" s="66">
        <f>IF(LEN(Множество[[#This Row],[Свёртка]])&gt;0,1,-1)</f>
        <v>1</v>
      </c>
      <c r="AK750" s="66" t="s">
        <v>1781</v>
      </c>
      <c r="AL750" s="209">
        <f>IF(LEN(Множество[[#This Row],[Критерии]])&gt;0,1,-1)</f>
        <v>1</v>
      </c>
      <c r="AM750" s="209">
        <f>IF(AND(LEN(Множество[[#This Row],[Свёртка]])&gt;0,LEN(Множество[[#This Row],[Критерии]])&gt;0,LEN(Множество[[#This Row],[Оценки]])&gt;0),1,-1)</f>
        <v>-1</v>
      </c>
      <c r="AN750" s="230"/>
      <c r="AO750" s="208"/>
      <c r="AP750" s="208"/>
      <c r="AQ750" s="208"/>
      <c r="AR750" s="226"/>
      <c r="AS750" s="225"/>
      <c r="AT750" s="226"/>
      <c r="AU750" s="225"/>
      <c r="AV750" s="225"/>
      <c r="AW750" s="225"/>
      <c r="AX750" s="225"/>
      <c r="AY750" s="225"/>
    </row>
    <row r="751" spans="33:51" x14ac:dyDescent="0.25">
      <c r="AG751" s="66" t="str">
        <f>IF(AND(Множество[[#This Row],[Y]]=1),ROW()-ROW(Множество[[#Headers],[№]]),"")</f>
        <v/>
      </c>
      <c r="AI751" s="66">
        <v>1</v>
      </c>
      <c r="AJ751" s="66">
        <f>IF(LEN(Множество[[#This Row],[Свёртка]])&gt;0,1,-1)</f>
        <v>1</v>
      </c>
      <c r="AK751" s="66" t="s">
        <v>1781</v>
      </c>
      <c r="AL751" s="209">
        <f>IF(LEN(Множество[[#This Row],[Критерии]])&gt;0,1,-1)</f>
        <v>1</v>
      </c>
      <c r="AM751" s="209">
        <f>IF(AND(LEN(Множество[[#This Row],[Свёртка]])&gt;0,LEN(Множество[[#This Row],[Критерии]])&gt;0,LEN(Множество[[#This Row],[Оценки]])&gt;0),1,-1)</f>
        <v>-1</v>
      </c>
      <c r="AN751" s="230"/>
      <c r="AO751" s="208"/>
      <c r="AP751" s="208"/>
      <c r="AQ751" s="208"/>
      <c r="AR751" s="226"/>
      <c r="AS751" s="225"/>
      <c r="AT751" s="226"/>
      <c r="AU751" s="225"/>
      <c r="AV751" s="225"/>
      <c r="AW751" s="225"/>
      <c r="AX751" s="225"/>
      <c r="AY751" s="225"/>
    </row>
    <row r="752" spans="33:51" x14ac:dyDescent="0.25">
      <c r="AG752" s="66" t="str">
        <f>IF(AND(Множество[[#This Row],[Y]]=1),ROW()-ROW(Множество[[#Headers],[№]]),"")</f>
        <v/>
      </c>
      <c r="AI752" s="66">
        <v>1</v>
      </c>
      <c r="AJ752" s="66">
        <f>IF(LEN(Множество[[#This Row],[Свёртка]])&gt;0,1,-1)</f>
        <v>1</v>
      </c>
      <c r="AK752" s="66" t="s">
        <v>1781</v>
      </c>
      <c r="AL752" s="209">
        <f>IF(LEN(Множество[[#This Row],[Критерии]])&gt;0,1,-1)</f>
        <v>1</v>
      </c>
      <c r="AM752" s="209">
        <f>IF(AND(LEN(Множество[[#This Row],[Свёртка]])&gt;0,LEN(Множество[[#This Row],[Критерии]])&gt;0,LEN(Множество[[#This Row],[Оценки]])&gt;0),1,-1)</f>
        <v>-1</v>
      </c>
      <c r="AN752" s="230"/>
      <c r="AO752" s="208"/>
      <c r="AP752" s="208"/>
      <c r="AQ752" s="208"/>
      <c r="AR752" s="226"/>
      <c r="AS752" s="225"/>
      <c r="AT752" s="226"/>
      <c r="AU752" s="225"/>
      <c r="AV752" s="225"/>
      <c r="AW752" s="225"/>
      <c r="AX752" s="225"/>
      <c r="AY752" s="225"/>
    </row>
    <row r="753" spans="33:51" x14ac:dyDescent="0.25">
      <c r="AG753" s="66" t="str">
        <f>IF(AND(Множество[[#This Row],[Y]]=1),ROW()-ROW(Множество[[#Headers],[№]]),"")</f>
        <v/>
      </c>
      <c r="AI753" s="66">
        <v>1</v>
      </c>
      <c r="AJ753" s="66">
        <f>IF(LEN(Множество[[#This Row],[Свёртка]])&gt;0,1,-1)</f>
        <v>1</v>
      </c>
      <c r="AK753" s="66" t="s">
        <v>1781</v>
      </c>
      <c r="AL753" s="209">
        <f>IF(LEN(Множество[[#This Row],[Критерии]])&gt;0,1,-1)</f>
        <v>1</v>
      </c>
      <c r="AM753" s="209">
        <f>IF(AND(LEN(Множество[[#This Row],[Свёртка]])&gt;0,LEN(Множество[[#This Row],[Критерии]])&gt;0,LEN(Множество[[#This Row],[Оценки]])&gt;0),1,-1)</f>
        <v>-1</v>
      </c>
      <c r="AN753" s="230"/>
      <c r="AO753" s="208"/>
      <c r="AP753" s="208"/>
      <c r="AQ753" s="208"/>
      <c r="AR753" s="226"/>
      <c r="AS753" s="225"/>
      <c r="AT753" s="226"/>
      <c r="AU753" s="225"/>
      <c r="AV753" s="225"/>
      <c r="AW753" s="225"/>
      <c r="AX753" s="225"/>
      <c r="AY753" s="225"/>
    </row>
    <row r="754" spans="33:51" x14ac:dyDescent="0.25">
      <c r="AG754" s="66" t="str">
        <f>IF(AND(Множество[[#This Row],[Y]]=1),ROW()-ROW(Множество[[#Headers],[№]]),"")</f>
        <v/>
      </c>
      <c r="AI754" s="66">
        <v>1</v>
      </c>
      <c r="AJ754" s="66">
        <f>IF(LEN(Множество[[#This Row],[Свёртка]])&gt;0,1,-1)</f>
        <v>1</v>
      </c>
      <c r="AK754" s="66" t="s">
        <v>1781</v>
      </c>
      <c r="AL754" s="209">
        <f>IF(LEN(Множество[[#This Row],[Критерии]])&gt;0,1,-1)</f>
        <v>1</v>
      </c>
      <c r="AM754" s="209">
        <f>IF(AND(LEN(Множество[[#This Row],[Свёртка]])&gt;0,LEN(Множество[[#This Row],[Критерии]])&gt;0,LEN(Множество[[#This Row],[Оценки]])&gt;0),1,-1)</f>
        <v>-1</v>
      </c>
      <c r="AN754" s="230"/>
      <c r="AO754" s="208"/>
      <c r="AP754" s="208"/>
      <c r="AQ754" s="208"/>
      <c r="AR754" s="226"/>
      <c r="AS754" s="225"/>
      <c r="AT754" s="226"/>
      <c r="AU754" s="225"/>
      <c r="AV754" s="225"/>
      <c r="AW754" s="225"/>
      <c r="AX754" s="225"/>
      <c r="AY754" s="225"/>
    </row>
    <row r="755" spans="33:51" x14ac:dyDescent="0.25">
      <c r="AG755" s="66" t="str">
        <f>IF(AND(Множество[[#This Row],[Y]]=1),ROW()-ROW(Множество[[#Headers],[№]]),"")</f>
        <v/>
      </c>
      <c r="AI755" s="66">
        <v>1</v>
      </c>
      <c r="AJ755" s="66">
        <f>IF(LEN(Множество[[#This Row],[Свёртка]])&gt;0,1,-1)</f>
        <v>1</v>
      </c>
      <c r="AK755" s="66" t="s">
        <v>1781</v>
      </c>
      <c r="AL755" s="209">
        <f>IF(LEN(Множество[[#This Row],[Критерии]])&gt;0,1,-1)</f>
        <v>1</v>
      </c>
      <c r="AM755" s="209">
        <f>IF(AND(LEN(Множество[[#This Row],[Свёртка]])&gt;0,LEN(Множество[[#This Row],[Критерии]])&gt;0,LEN(Множество[[#This Row],[Оценки]])&gt;0),1,-1)</f>
        <v>-1</v>
      </c>
      <c r="AN755" s="230"/>
      <c r="AO755" s="208"/>
      <c r="AP755" s="208"/>
      <c r="AQ755" s="208"/>
      <c r="AR755" s="226"/>
      <c r="AS755" s="225"/>
      <c r="AT755" s="226"/>
      <c r="AU755" s="225"/>
      <c r="AV755" s="225"/>
      <c r="AW755" s="225"/>
      <c r="AX755" s="225"/>
      <c r="AY755" s="225"/>
    </row>
    <row r="756" spans="33:51" x14ac:dyDescent="0.25">
      <c r="AG756" s="66" t="str">
        <f>IF(AND(Множество[[#This Row],[Y]]=1),ROW()-ROW(Множество[[#Headers],[№]]),"")</f>
        <v/>
      </c>
      <c r="AI756" s="66">
        <v>1</v>
      </c>
      <c r="AJ756" s="66">
        <f>IF(LEN(Множество[[#This Row],[Свёртка]])&gt;0,1,-1)</f>
        <v>1</v>
      </c>
      <c r="AK756" s="66" t="s">
        <v>1781</v>
      </c>
      <c r="AL756" s="209">
        <f>IF(LEN(Множество[[#This Row],[Критерии]])&gt;0,1,-1)</f>
        <v>1</v>
      </c>
      <c r="AM756" s="209">
        <f>IF(AND(LEN(Множество[[#This Row],[Свёртка]])&gt;0,LEN(Множество[[#This Row],[Критерии]])&gt;0,LEN(Множество[[#This Row],[Оценки]])&gt;0),1,-1)</f>
        <v>-1</v>
      </c>
      <c r="AN756" s="230"/>
      <c r="AO756" s="208"/>
      <c r="AP756" s="208"/>
      <c r="AQ756" s="208"/>
      <c r="AR756" s="226"/>
      <c r="AS756" s="225"/>
      <c r="AT756" s="226"/>
      <c r="AU756" s="225"/>
      <c r="AV756" s="225"/>
      <c r="AW756" s="225"/>
      <c r="AX756" s="225"/>
      <c r="AY756" s="225"/>
    </row>
    <row r="757" spans="33:51" x14ac:dyDescent="0.25">
      <c r="AG757" s="66" t="str">
        <f>IF(AND(Множество[[#This Row],[Y]]=1),ROW()-ROW(Множество[[#Headers],[№]]),"")</f>
        <v/>
      </c>
      <c r="AI757" s="66">
        <v>1</v>
      </c>
      <c r="AJ757" s="66">
        <f>IF(LEN(Множество[[#This Row],[Свёртка]])&gt;0,1,-1)</f>
        <v>1</v>
      </c>
      <c r="AK757" s="66" t="s">
        <v>1781</v>
      </c>
      <c r="AL757" s="209">
        <f>IF(LEN(Множество[[#This Row],[Критерии]])&gt;0,1,-1)</f>
        <v>1</v>
      </c>
      <c r="AM757" s="209">
        <f>IF(AND(LEN(Множество[[#This Row],[Свёртка]])&gt;0,LEN(Множество[[#This Row],[Критерии]])&gt;0,LEN(Множество[[#This Row],[Оценки]])&gt;0),1,-1)</f>
        <v>-1</v>
      </c>
      <c r="AN757" s="230"/>
      <c r="AO757" s="208"/>
      <c r="AP757" s="208"/>
      <c r="AQ757" s="208"/>
      <c r="AR757" s="226"/>
      <c r="AS757" s="225"/>
      <c r="AT757" s="226"/>
      <c r="AU757" s="225"/>
      <c r="AV757" s="225"/>
      <c r="AW757" s="225"/>
      <c r="AX757" s="225"/>
      <c r="AY757" s="225"/>
    </row>
    <row r="758" spans="33:51" x14ac:dyDescent="0.25">
      <c r="AG758" s="66" t="str">
        <f>IF(AND(Множество[[#This Row],[Y]]=1),ROW()-ROW(Множество[[#Headers],[№]]),"")</f>
        <v/>
      </c>
      <c r="AI758" s="66">
        <v>1</v>
      </c>
      <c r="AJ758" s="66">
        <f>IF(LEN(Множество[[#This Row],[Свёртка]])&gt;0,1,-1)</f>
        <v>1</v>
      </c>
      <c r="AK758" s="66" t="s">
        <v>1781</v>
      </c>
      <c r="AL758" s="209">
        <f>IF(LEN(Множество[[#This Row],[Критерии]])&gt;0,1,-1)</f>
        <v>1</v>
      </c>
      <c r="AM758" s="209">
        <f>IF(AND(LEN(Множество[[#This Row],[Свёртка]])&gt;0,LEN(Множество[[#This Row],[Критерии]])&gt;0,LEN(Множество[[#This Row],[Оценки]])&gt;0),1,-1)</f>
        <v>-1</v>
      </c>
      <c r="AN758" s="230"/>
      <c r="AO758" s="208"/>
      <c r="AP758" s="208"/>
      <c r="AQ758" s="208"/>
      <c r="AR758" s="226"/>
      <c r="AS758" s="225"/>
      <c r="AT758" s="226"/>
      <c r="AU758" s="225"/>
      <c r="AV758" s="225"/>
      <c r="AW758" s="225"/>
      <c r="AX758" s="225"/>
      <c r="AY758" s="225"/>
    </row>
    <row r="759" spans="33:51" x14ac:dyDescent="0.25">
      <c r="AG759" s="66" t="str">
        <f>IF(AND(Множество[[#This Row],[Y]]=1),ROW()-ROW(Множество[[#Headers],[№]]),"")</f>
        <v/>
      </c>
      <c r="AI759" s="66">
        <v>1</v>
      </c>
      <c r="AJ759" s="66">
        <f>IF(LEN(Множество[[#This Row],[Свёртка]])&gt;0,1,-1)</f>
        <v>1</v>
      </c>
      <c r="AK759" s="66" t="s">
        <v>1781</v>
      </c>
      <c r="AL759" s="209">
        <f>IF(LEN(Множество[[#This Row],[Критерии]])&gt;0,1,-1)</f>
        <v>1</v>
      </c>
      <c r="AM759" s="209">
        <f>IF(AND(LEN(Множество[[#This Row],[Свёртка]])&gt;0,LEN(Множество[[#This Row],[Критерии]])&gt;0,LEN(Множество[[#This Row],[Оценки]])&gt;0),1,-1)</f>
        <v>-1</v>
      </c>
      <c r="AN759" s="230"/>
      <c r="AO759" s="208"/>
      <c r="AP759" s="208"/>
      <c r="AQ759" s="208"/>
      <c r="AR759" s="226"/>
      <c r="AS759" s="225"/>
      <c r="AT759" s="226"/>
      <c r="AU759" s="225"/>
      <c r="AV759" s="225"/>
      <c r="AW759" s="225"/>
      <c r="AX759" s="225"/>
      <c r="AY759" s="225"/>
    </row>
    <row r="760" spans="33:51" x14ac:dyDescent="0.25">
      <c r="AG760" s="66" t="str">
        <f>IF(AND(Множество[[#This Row],[Y]]=1),ROW()-ROW(Множество[[#Headers],[№]]),"")</f>
        <v/>
      </c>
      <c r="AI760" s="66">
        <v>1</v>
      </c>
      <c r="AJ760" s="66">
        <f>IF(LEN(Множество[[#This Row],[Свёртка]])&gt;0,1,-1)</f>
        <v>1</v>
      </c>
      <c r="AK760" s="66" t="s">
        <v>1781</v>
      </c>
      <c r="AL760" s="209">
        <f>IF(LEN(Множество[[#This Row],[Критерии]])&gt;0,1,-1)</f>
        <v>1</v>
      </c>
      <c r="AM760" s="209">
        <f>IF(AND(LEN(Множество[[#This Row],[Свёртка]])&gt;0,LEN(Множество[[#This Row],[Критерии]])&gt;0,LEN(Множество[[#This Row],[Оценки]])&gt;0),1,-1)</f>
        <v>-1</v>
      </c>
      <c r="AN760" s="230"/>
      <c r="AO760" s="208"/>
      <c r="AP760" s="208"/>
      <c r="AQ760" s="208"/>
      <c r="AR760" s="226"/>
      <c r="AS760" s="225"/>
      <c r="AT760" s="226"/>
      <c r="AU760" s="225"/>
      <c r="AV760" s="225"/>
      <c r="AW760" s="225"/>
      <c r="AX760" s="225"/>
      <c r="AY760" s="225"/>
    </row>
    <row r="761" spans="33:51" x14ac:dyDescent="0.25">
      <c r="AG761" s="66" t="str">
        <f>IF(AND(Множество[[#This Row],[Y]]=1),ROW()-ROW(Множество[[#Headers],[№]]),"")</f>
        <v/>
      </c>
      <c r="AI761" s="66">
        <v>1</v>
      </c>
      <c r="AJ761" s="66">
        <f>IF(LEN(Множество[[#This Row],[Свёртка]])&gt;0,1,-1)</f>
        <v>1</v>
      </c>
      <c r="AK761" s="66" t="s">
        <v>1781</v>
      </c>
      <c r="AL761" s="209">
        <f>IF(LEN(Множество[[#This Row],[Критерии]])&gt;0,1,-1)</f>
        <v>1</v>
      </c>
      <c r="AM761" s="209">
        <f>IF(AND(LEN(Множество[[#This Row],[Свёртка]])&gt;0,LEN(Множество[[#This Row],[Критерии]])&gt;0,LEN(Множество[[#This Row],[Оценки]])&gt;0),1,-1)</f>
        <v>-1</v>
      </c>
      <c r="AN761" s="230"/>
      <c r="AO761" s="208"/>
      <c r="AP761" s="208"/>
      <c r="AQ761" s="208"/>
      <c r="AR761" s="226"/>
      <c r="AS761" s="225"/>
      <c r="AT761" s="226"/>
      <c r="AU761" s="225"/>
      <c r="AV761" s="225"/>
      <c r="AW761" s="225"/>
      <c r="AX761" s="225"/>
      <c r="AY761" s="225"/>
    </row>
    <row r="762" spans="33:51" x14ac:dyDescent="0.25">
      <c r="AG762" s="66" t="str">
        <f>IF(AND(Множество[[#This Row],[Y]]=1),ROW()-ROW(Множество[[#Headers],[№]]),"")</f>
        <v/>
      </c>
      <c r="AI762" s="66">
        <v>1</v>
      </c>
      <c r="AJ762" s="66">
        <f>IF(LEN(Множество[[#This Row],[Свёртка]])&gt;0,1,-1)</f>
        <v>1</v>
      </c>
      <c r="AK762" s="66" t="s">
        <v>1781</v>
      </c>
      <c r="AL762" s="209">
        <f>IF(LEN(Множество[[#This Row],[Критерии]])&gt;0,1,-1)</f>
        <v>1</v>
      </c>
      <c r="AM762" s="209">
        <f>IF(AND(LEN(Множество[[#This Row],[Свёртка]])&gt;0,LEN(Множество[[#This Row],[Критерии]])&gt;0,LEN(Множество[[#This Row],[Оценки]])&gt;0),1,-1)</f>
        <v>-1</v>
      </c>
      <c r="AN762" s="230"/>
      <c r="AO762" s="208"/>
      <c r="AP762" s="208"/>
      <c r="AQ762" s="208"/>
      <c r="AR762" s="226"/>
      <c r="AS762" s="225"/>
      <c r="AT762" s="226"/>
      <c r="AU762" s="225"/>
      <c r="AV762" s="225"/>
      <c r="AW762" s="225"/>
      <c r="AX762" s="225"/>
      <c r="AY762" s="225"/>
    </row>
    <row r="763" spans="33:51" x14ac:dyDescent="0.25">
      <c r="AG763" s="66" t="str">
        <f>IF(AND(Множество[[#This Row],[Y]]=1),ROW()-ROW(Множество[[#Headers],[№]]),"")</f>
        <v/>
      </c>
      <c r="AI763" s="66">
        <v>1</v>
      </c>
      <c r="AJ763" s="66">
        <f>IF(LEN(Множество[[#This Row],[Свёртка]])&gt;0,1,-1)</f>
        <v>1</v>
      </c>
      <c r="AK763" s="66" t="s">
        <v>1781</v>
      </c>
      <c r="AL763" s="209">
        <f>IF(LEN(Множество[[#This Row],[Критерии]])&gt;0,1,-1)</f>
        <v>1</v>
      </c>
      <c r="AM763" s="209">
        <f>IF(AND(LEN(Множество[[#This Row],[Свёртка]])&gt;0,LEN(Множество[[#This Row],[Критерии]])&gt;0,LEN(Множество[[#This Row],[Оценки]])&gt;0),1,-1)</f>
        <v>-1</v>
      </c>
      <c r="AN763" s="230"/>
      <c r="AO763" s="208"/>
      <c r="AP763" s="208"/>
      <c r="AQ763" s="208"/>
      <c r="AR763" s="226"/>
      <c r="AS763" s="225"/>
      <c r="AT763" s="226"/>
      <c r="AU763" s="225"/>
      <c r="AV763" s="225"/>
      <c r="AW763" s="225"/>
      <c r="AX763" s="225"/>
      <c r="AY763" s="225"/>
    </row>
    <row r="764" spans="33:51" x14ac:dyDescent="0.25">
      <c r="AG764" s="66" t="str">
        <f>IF(AND(Множество[[#This Row],[Y]]=1),ROW()-ROW(Множество[[#Headers],[№]]),"")</f>
        <v/>
      </c>
      <c r="AI764" s="66">
        <v>1</v>
      </c>
      <c r="AJ764" s="66">
        <f>IF(LEN(Множество[[#This Row],[Свёртка]])&gt;0,1,-1)</f>
        <v>1</v>
      </c>
      <c r="AK764" s="66" t="s">
        <v>1781</v>
      </c>
      <c r="AL764" s="209">
        <f>IF(LEN(Множество[[#This Row],[Критерии]])&gt;0,1,-1)</f>
        <v>1</v>
      </c>
      <c r="AM764" s="209">
        <f>IF(AND(LEN(Множество[[#This Row],[Свёртка]])&gt;0,LEN(Множество[[#This Row],[Критерии]])&gt;0,LEN(Множество[[#This Row],[Оценки]])&gt;0),1,-1)</f>
        <v>-1</v>
      </c>
      <c r="AN764" s="230"/>
      <c r="AO764" s="208"/>
      <c r="AP764" s="208"/>
      <c r="AQ764" s="208"/>
      <c r="AR764" s="226"/>
      <c r="AS764" s="225"/>
      <c r="AT764" s="226"/>
      <c r="AU764" s="225"/>
      <c r="AV764" s="225"/>
      <c r="AW764" s="225"/>
      <c r="AX764" s="225"/>
      <c r="AY764" s="225"/>
    </row>
    <row r="765" spans="33:51" x14ac:dyDescent="0.25">
      <c r="AG765" s="66" t="str">
        <f>IF(AND(Множество[[#This Row],[Y]]=1),ROW()-ROW(Множество[[#Headers],[№]]),"")</f>
        <v/>
      </c>
      <c r="AI765" s="66">
        <v>1</v>
      </c>
      <c r="AJ765" s="66">
        <f>IF(LEN(Множество[[#This Row],[Свёртка]])&gt;0,1,-1)</f>
        <v>1</v>
      </c>
      <c r="AK765" s="66" t="s">
        <v>1781</v>
      </c>
      <c r="AL765" s="209">
        <f>IF(LEN(Множество[[#This Row],[Критерии]])&gt;0,1,-1)</f>
        <v>1</v>
      </c>
      <c r="AM765" s="209">
        <f>IF(AND(LEN(Множество[[#This Row],[Свёртка]])&gt;0,LEN(Множество[[#This Row],[Критерии]])&gt;0,LEN(Множество[[#This Row],[Оценки]])&gt;0),1,-1)</f>
        <v>-1</v>
      </c>
      <c r="AN765" s="230"/>
      <c r="AO765" s="208"/>
      <c r="AP765" s="208"/>
      <c r="AQ765" s="208"/>
      <c r="AR765" s="226"/>
      <c r="AS765" s="225"/>
      <c r="AT765" s="226"/>
      <c r="AU765" s="225"/>
      <c r="AV765" s="225"/>
      <c r="AW765" s="225"/>
      <c r="AX765" s="225"/>
      <c r="AY765" s="225"/>
    </row>
    <row r="766" spans="33:51" x14ac:dyDescent="0.25">
      <c r="AG766" s="66" t="str">
        <f>IF(AND(Множество[[#This Row],[Y]]=1),ROW()-ROW(Множество[[#Headers],[№]]),"")</f>
        <v/>
      </c>
      <c r="AI766" s="66">
        <v>1</v>
      </c>
      <c r="AJ766" s="66">
        <f>IF(LEN(Множество[[#This Row],[Свёртка]])&gt;0,1,-1)</f>
        <v>1</v>
      </c>
      <c r="AK766" s="66" t="s">
        <v>1781</v>
      </c>
      <c r="AL766" s="209">
        <f>IF(LEN(Множество[[#This Row],[Критерии]])&gt;0,1,-1)</f>
        <v>1</v>
      </c>
      <c r="AM766" s="209">
        <f>IF(AND(LEN(Множество[[#This Row],[Свёртка]])&gt;0,LEN(Множество[[#This Row],[Критерии]])&gt;0,LEN(Множество[[#This Row],[Оценки]])&gt;0),1,-1)</f>
        <v>-1</v>
      </c>
      <c r="AN766" s="230"/>
      <c r="AO766" s="208"/>
      <c r="AP766" s="208"/>
      <c r="AQ766" s="208"/>
      <c r="AR766" s="226"/>
      <c r="AS766" s="225"/>
      <c r="AT766" s="226"/>
      <c r="AU766" s="225"/>
      <c r="AV766" s="225"/>
      <c r="AW766" s="225"/>
      <c r="AX766" s="225"/>
      <c r="AY766" s="225"/>
    </row>
    <row r="767" spans="33:51" x14ac:dyDescent="0.25">
      <c r="AG767" s="66" t="str">
        <f>IF(AND(Множество[[#This Row],[Y]]=1),ROW()-ROW(Множество[[#Headers],[№]]),"")</f>
        <v/>
      </c>
      <c r="AI767" s="66">
        <v>1</v>
      </c>
      <c r="AJ767" s="66">
        <f>IF(LEN(Множество[[#This Row],[Свёртка]])&gt;0,1,-1)</f>
        <v>1</v>
      </c>
      <c r="AK767" s="66" t="s">
        <v>1781</v>
      </c>
      <c r="AL767" s="209">
        <f>IF(LEN(Множество[[#This Row],[Критерии]])&gt;0,1,-1)</f>
        <v>1</v>
      </c>
      <c r="AM767" s="209">
        <f>IF(AND(LEN(Множество[[#This Row],[Свёртка]])&gt;0,LEN(Множество[[#This Row],[Критерии]])&gt;0,LEN(Множество[[#This Row],[Оценки]])&gt;0),1,-1)</f>
        <v>-1</v>
      </c>
      <c r="AN767" s="230"/>
      <c r="AO767" s="208"/>
      <c r="AP767" s="208"/>
      <c r="AQ767" s="208"/>
      <c r="AR767" s="226"/>
      <c r="AS767" s="225"/>
      <c r="AT767" s="226"/>
      <c r="AU767" s="225"/>
      <c r="AV767" s="225"/>
      <c r="AW767" s="225"/>
      <c r="AX767" s="225"/>
      <c r="AY767" s="225"/>
    </row>
    <row r="768" spans="33:51" x14ac:dyDescent="0.25">
      <c r="AG768" s="66" t="str">
        <f>IF(AND(Множество[[#This Row],[Y]]=1),ROW()-ROW(Множество[[#Headers],[№]]),"")</f>
        <v/>
      </c>
      <c r="AI768" s="66">
        <v>1</v>
      </c>
      <c r="AJ768" s="66">
        <f>IF(LEN(Множество[[#This Row],[Свёртка]])&gt;0,1,-1)</f>
        <v>1</v>
      </c>
      <c r="AK768" s="66" t="s">
        <v>1781</v>
      </c>
      <c r="AL768" s="209">
        <f>IF(LEN(Множество[[#This Row],[Критерии]])&gt;0,1,-1)</f>
        <v>1</v>
      </c>
      <c r="AM768" s="209">
        <f>IF(AND(LEN(Множество[[#This Row],[Свёртка]])&gt;0,LEN(Множество[[#This Row],[Критерии]])&gt;0,LEN(Множество[[#This Row],[Оценки]])&gt;0),1,-1)</f>
        <v>-1</v>
      </c>
      <c r="AN768" s="230"/>
      <c r="AO768" s="208"/>
      <c r="AP768" s="208"/>
      <c r="AQ768" s="208"/>
      <c r="AR768" s="226"/>
      <c r="AS768" s="225"/>
      <c r="AT768" s="226"/>
      <c r="AU768" s="225"/>
      <c r="AV768" s="225"/>
      <c r="AW768" s="225"/>
      <c r="AX768" s="225"/>
      <c r="AY768" s="225"/>
    </row>
    <row r="769" spans="33:51" x14ac:dyDescent="0.25">
      <c r="AG769" s="66" t="str">
        <f>IF(AND(Множество[[#This Row],[Y]]=1),ROW()-ROW(Множество[[#Headers],[№]]),"")</f>
        <v/>
      </c>
      <c r="AI769" s="66">
        <v>1</v>
      </c>
      <c r="AJ769" s="66">
        <f>IF(LEN(Множество[[#This Row],[Свёртка]])&gt;0,1,-1)</f>
        <v>1</v>
      </c>
      <c r="AK769" s="66" t="s">
        <v>1781</v>
      </c>
      <c r="AL769" s="209">
        <f>IF(LEN(Множество[[#This Row],[Критерии]])&gt;0,1,-1)</f>
        <v>1</v>
      </c>
      <c r="AM769" s="209">
        <f>IF(AND(LEN(Множество[[#This Row],[Свёртка]])&gt;0,LEN(Множество[[#This Row],[Критерии]])&gt;0,LEN(Множество[[#This Row],[Оценки]])&gt;0),1,-1)</f>
        <v>-1</v>
      </c>
      <c r="AN769" s="230"/>
      <c r="AO769" s="208"/>
      <c r="AP769" s="208"/>
      <c r="AQ769" s="208"/>
      <c r="AR769" s="226"/>
      <c r="AS769" s="225"/>
      <c r="AT769" s="226"/>
      <c r="AU769" s="225"/>
      <c r="AV769" s="225"/>
      <c r="AW769" s="225"/>
      <c r="AX769" s="225"/>
      <c r="AY769" s="225"/>
    </row>
    <row r="770" spans="33:51" x14ac:dyDescent="0.25">
      <c r="AG770" s="66" t="str">
        <f>IF(AND(Множество[[#This Row],[Y]]=1),ROW()-ROW(Множество[[#Headers],[№]]),"")</f>
        <v/>
      </c>
      <c r="AI770" s="66">
        <v>1</v>
      </c>
      <c r="AJ770" s="66">
        <f>IF(LEN(Множество[[#This Row],[Свёртка]])&gt;0,1,-1)</f>
        <v>1</v>
      </c>
      <c r="AK770" s="66" t="s">
        <v>1781</v>
      </c>
      <c r="AL770" s="209">
        <f>IF(LEN(Множество[[#This Row],[Критерии]])&gt;0,1,-1)</f>
        <v>1</v>
      </c>
      <c r="AM770" s="209">
        <f>IF(AND(LEN(Множество[[#This Row],[Свёртка]])&gt;0,LEN(Множество[[#This Row],[Критерии]])&gt;0,LEN(Множество[[#This Row],[Оценки]])&gt;0),1,-1)</f>
        <v>-1</v>
      </c>
      <c r="AN770" s="230"/>
      <c r="AO770" s="208"/>
      <c r="AP770" s="208"/>
      <c r="AQ770" s="208"/>
      <c r="AR770" s="226"/>
      <c r="AS770" s="225"/>
      <c r="AT770" s="226"/>
      <c r="AU770" s="225"/>
      <c r="AV770" s="225"/>
      <c r="AW770" s="225"/>
      <c r="AX770" s="225"/>
      <c r="AY770" s="225"/>
    </row>
    <row r="771" spans="33:51" x14ac:dyDescent="0.25">
      <c r="AG771" s="66" t="str">
        <f>IF(AND(Множество[[#This Row],[Y]]=1),ROW()-ROW(Множество[[#Headers],[№]]),"")</f>
        <v/>
      </c>
      <c r="AI771" s="66">
        <v>1</v>
      </c>
      <c r="AJ771" s="66">
        <f>IF(LEN(Множество[[#This Row],[Свёртка]])&gt;0,1,-1)</f>
        <v>1</v>
      </c>
      <c r="AK771" s="66" t="s">
        <v>1781</v>
      </c>
      <c r="AL771" s="209">
        <f>IF(LEN(Множество[[#This Row],[Критерии]])&gt;0,1,-1)</f>
        <v>1</v>
      </c>
      <c r="AM771" s="209">
        <f>IF(AND(LEN(Множество[[#This Row],[Свёртка]])&gt;0,LEN(Множество[[#This Row],[Критерии]])&gt;0,LEN(Множество[[#This Row],[Оценки]])&gt;0),1,-1)</f>
        <v>-1</v>
      </c>
      <c r="AN771" s="230"/>
      <c r="AO771" s="208"/>
      <c r="AP771" s="208"/>
      <c r="AQ771" s="208"/>
      <c r="AR771" s="226"/>
      <c r="AS771" s="225"/>
      <c r="AT771" s="226"/>
      <c r="AU771" s="225"/>
      <c r="AV771" s="225"/>
      <c r="AW771" s="225"/>
      <c r="AX771" s="225"/>
      <c r="AY771" s="225"/>
    </row>
    <row r="772" spans="33:51" x14ac:dyDescent="0.25">
      <c r="AG772" s="66" t="str">
        <f>IF(AND(Множество[[#This Row],[Y]]=1),ROW()-ROW(Множество[[#Headers],[№]]),"")</f>
        <v/>
      </c>
      <c r="AI772" s="66">
        <v>1</v>
      </c>
      <c r="AJ772" s="66">
        <f>IF(LEN(Множество[[#This Row],[Свёртка]])&gt;0,1,-1)</f>
        <v>1</v>
      </c>
      <c r="AK772" s="66" t="s">
        <v>1781</v>
      </c>
      <c r="AL772" s="209">
        <f>IF(LEN(Множество[[#This Row],[Критерии]])&gt;0,1,-1)</f>
        <v>1</v>
      </c>
      <c r="AM772" s="209">
        <f>IF(AND(LEN(Множество[[#This Row],[Свёртка]])&gt;0,LEN(Множество[[#This Row],[Критерии]])&gt;0,LEN(Множество[[#This Row],[Оценки]])&gt;0),1,-1)</f>
        <v>-1</v>
      </c>
      <c r="AN772" s="230"/>
      <c r="AO772" s="208"/>
      <c r="AP772" s="208"/>
      <c r="AQ772" s="208"/>
      <c r="AR772" s="226"/>
      <c r="AS772" s="225"/>
      <c r="AT772" s="226"/>
      <c r="AU772" s="225"/>
      <c r="AV772" s="225"/>
      <c r="AW772" s="225"/>
      <c r="AX772" s="225"/>
      <c r="AY772" s="225"/>
    </row>
    <row r="773" spans="33:51" x14ac:dyDescent="0.25">
      <c r="AG773" s="66" t="str">
        <f>IF(AND(Множество[[#This Row],[Y]]=1),ROW()-ROW(Множество[[#Headers],[№]]),"")</f>
        <v/>
      </c>
      <c r="AI773" s="66">
        <v>1</v>
      </c>
      <c r="AJ773" s="66">
        <f>IF(LEN(Множество[[#This Row],[Свёртка]])&gt;0,1,-1)</f>
        <v>1</v>
      </c>
      <c r="AK773" s="66" t="s">
        <v>1781</v>
      </c>
      <c r="AL773" s="209">
        <f>IF(LEN(Множество[[#This Row],[Критерии]])&gt;0,1,-1)</f>
        <v>1</v>
      </c>
      <c r="AM773" s="209">
        <f>IF(AND(LEN(Множество[[#This Row],[Свёртка]])&gt;0,LEN(Множество[[#This Row],[Критерии]])&gt;0,LEN(Множество[[#This Row],[Оценки]])&gt;0),1,-1)</f>
        <v>-1</v>
      </c>
      <c r="AN773" s="230"/>
      <c r="AO773" s="208"/>
      <c r="AP773" s="208"/>
      <c r="AQ773" s="208"/>
      <c r="AR773" s="226"/>
      <c r="AS773" s="225"/>
      <c r="AT773" s="226"/>
      <c r="AU773" s="225"/>
      <c r="AV773" s="225"/>
      <c r="AW773" s="225"/>
      <c r="AX773" s="225"/>
      <c r="AY773" s="225"/>
    </row>
    <row r="774" spans="33:51" x14ac:dyDescent="0.25">
      <c r="AG774" s="66" t="str">
        <f>IF(AND(Множество[[#This Row],[Y]]=1),ROW()-ROW(Множество[[#Headers],[№]]),"")</f>
        <v/>
      </c>
      <c r="AI774" s="66">
        <v>1</v>
      </c>
      <c r="AJ774" s="66">
        <f>IF(LEN(Множество[[#This Row],[Свёртка]])&gt;0,1,-1)</f>
        <v>1</v>
      </c>
      <c r="AK774" s="66" t="s">
        <v>1781</v>
      </c>
      <c r="AL774" s="209">
        <f>IF(LEN(Множество[[#This Row],[Критерии]])&gt;0,1,-1)</f>
        <v>1</v>
      </c>
      <c r="AM774" s="209">
        <f>IF(AND(LEN(Множество[[#This Row],[Свёртка]])&gt;0,LEN(Множество[[#This Row],[Критерии]])&gt;0,LEN(Множество[[#This Row],[Оценки]])&gt;0),1,-1)</f>
        <v>-1</v>
      </c>
      <c r="AN774" s="230"/>
      <c r="AO774" s="208"/>
      <c r="AP774" s="208"/>
      <c r="AQ774" s="208"/>
      <c r="AR774" s="226"/>
      <c r="AS774" s="225"/>
      <c r="AT774" s="226"/>
      <c r="AU774" s="225"/>
      <c r="AV774" s="225"/>
      <c r="AW774" s="225"/>
      <c r="AX774" s="225"/>
      <c r="AY774" s="225"/>
    </row>
    <row r="775" spans="33:51" x14ac:dyDescent="0.25">
      <c r="AG775" s="66" t="str">
        <f>IF(AND(Множество[[#This Row],[Y]]=1),ROW()-ROW(Множество[[#Headers],[№]]),"")</f>
        <v/>
      </c>
      <c r="AI775" s="66">
        <v>1</v>
      </c>
      <c r="AJ775" s="66">
        <f>IF(LEN(Множество[[#This Row],[Свёртка]])&gt;0,1,-1)</f>
        <v>1</v>
      </c>
      <c r="AK775" s="66" t="s">
        <v>1781</v>
      </c>
      <c r="AL775" s="209">
        <f>IF(LEN(Множество[[#This Row],[Критерии]])&gt;0,1,-1)</f>
        <v>1</v>
      </c>
      <c r="AM775" s="209">
        <f>IF(AND(LEN(Множество[[#This Row],[Свёртка]])&gt;0,LEN(Множество[[#This Row],[Критерии]])&gt;0,LEN(Множество[[#This Row],[Оценки]])&gt;0),1,-1)</f>
        <v>-1</v>
      </c>
      <c r="AN775" s="230"/>
      <c r="AO775" s="208"/>
      <c r="AP775" s="208"/>
      <c r="AQ775" s="208"/>
      <c r="AR775" s="226"/>
      <c r="AS775" s="225"/>
      <c r="AT775" s="226"/>
      <c r="AU775" s="225"/>
      <c r="AV775" s="225"/>
      <c r="AW775" s="225"/>
      <c r="AX775" s="225"/>
      <c r="AY775" s="225"/>
    </row>
    <row r="776" spans="33:51" x14ac:dyDescent="0.25">
      <c r="AG776" s="66" t="str">
        <f>IF(AND(Множество[[#This Row],[Y]]=1),ROW()-ROW(Множество[[#Headers],[№]]),"")</f>
        <v/>
      </c>
      <c r="AI776" s="66">
        <v>1</v>
      </c>
      <c r="AJ776" s="66">
        <f>IF(LEN(Множество[[#This Row],[Свёртка]])&gt;0,1,-1)</f>
        <v>1</v>
      </c>
      <c r="AK776" s="66" t="s">
        <v>1781</v>
      </c>
      <c r="AL776" s="209">
        <f>IF(LEN(Множество[[#This Row],[Критерии]])&gt;0,1,-1)</f>
        <v>1</v>
      </c>
      <c r="AM776" s="209">
        <f>IF(AND(LEN(Множество[[#This Row],[Свёртка]])&gt;0,LEN(Множество[[#This Row],[Критерии]])&gt;0,LEN(Множество[[#This Row],[Оценки]])&gt;0),1,-1)</f>
        <v>-1</v>
      </c>
      <c r="AN776" s="230"/>
      <c r="AO776" s="208"/>
      <c r="AP776" s="208"/>
      <c r="AQ776" s="208"/>
      <c r="AR776" s="226"/>
      <c r="AS776" s="225"/>
      <c r="AT776" s="226"/>
      <c r="AU776" s="225"/>
      <c r="AV776" s="225"/>
      <c r="AW776" s="225"/>
      <c r="AX776" s="225"/>
      <c r="AY776" s="225"/>
    </row>
    <row r="777" spans="33:51" x14ac:dyDescent="0.25">
      <c r="AG777" s="66" t="str">
        <f>IF(AND(Множество[[#This Row],[Y]]=1),ROW()-ROW(Множество[[#Headers],[№]]),"")</f>
        <v/>
      </c>
      <c r="AI777" s="66">
        <v>1</v>
      </c>
      <c r="AJ777" s="66">
        <f>IF(LEN(Множество[[#This Row],[Свёртка]])&gt;0,1,-1)</f>
        <v>1</v>
      </c>
      <c r="AK777" s="66" t="s">
        <v>1781</v>
      </c>
      <c r="AL777" s="209">
        <f>IF(LEN(Множество[[#This Row],[Критерии]])&gt;0,1,-1)</f>
        <v>1</v>
      </c>
      <c r="AM777" s="209">
        <f>IF(AND(LEN(Множество[[#This Row],[Свёртка]])&gt;0,LEN(Множество[[#This Row],[Критерии]])&gt;0,LEN(Множество[[#This Row],[Оценки]])&gt;0),1,-1)</f>
        <v>-1</v>
      </c>
      <c r="AN777" s="230"/>
      <c r="AO777" s="208"/>
      <c r="AP777" s="208"/>
      <c r="AQ777" s="208"/>
      <c r="AR777" s="226"/>
      <c r="AS777" s="225"/>
      <c r="AT777" s="226"/>
      <c r="AU777" s="225"/>
      <c r="AV777" s="225"/>
      <c r="AW777" s="225"/>
      <c r="AX777" s="225"/>
      <c r="AY777" s="225"/>
    </row>
    <row r="778" spans="33:51" x14ac:dyDescent="0.25">
      <c r="AG778" s="66" t="str">
        <f>IF(AND(Множество[[#This Row],[Y]]=1),ROW()-ROW(Множество[[#Headers],[№]]),"")</f>
        <v/>
      </c>
      <c r="AI778" s="66">
        <v>1</v>
      </c>
      <c r="AJ778" s="66">
        <f>IF(LEN(Множество[[#This Row],[Свёртка]])&gt;0,1,-1)</f>
        <v>1</v>
      </c>
      <c r="AK778" s="66" t="s">
        <v>1781</v>
      </c>
      <c r="AL778" s="209">
        <f>IF(LEN(Множество[[#This Row],[Критерии]])&gt;0,1,-1)</f>
        <v>1</v>
      </c>
      <c r="AM778" s="209">
        <f>IF(AND(LEN(Множество[[#This Row],[Свёртка]])&gt;0,LEN(Множество[[#This Row],[Критерии]])&gt;0,LEN(Множество[[#This Row],[Оценки]])&gt;0),1,-1)</f>
        <v>-1</v>
      </c>
      <c r="AN778" s="230"/>
      <c r="AO778" s="208"/>
      <c r="AP778" s="208"/>
      <c r="AQ778" s="208"/>
      <c r="AR778" s="226"/>
      <c r="AS778" s="225"/>
      <c r="AT778" s="226"/>
      <c r="AU778" s="225"/>
      <c r="AV778" s="225"/>
      <c r="AW778" s="225"/>
      <c r="AX778" s="225"/>
      <c r="AY778" s="225"/>
    </row>
    <row r="779" spans="33:51" x14ac:dyDescent="0.25">
      <c r="AG779" s="66" t="str">
        <f>IF(AND(Множество[[#This Row],[Y]]=1),ROW()-ROW(Множество[[#Headers],[№]]),"")</f>
        <v/>
      </c>
      <c r="AI779" s="66">
        <v>1</v>
      </c>
      <c r="AJ779" s="66">
        <f>IF(LEN(Множество[[#This Row],[Свёртка]])&gt;0,1,-1)</f>
        <v>1</v>
      </c>
      <c r="AK779" s="66" t="s">
        <v>1781</v>
      </c>
      <c r="AL779" s="209">
        <f>IF(LEN(Множество[[#This Row],[Критерии]])&gt;0,1,-1)</f>
        <v>1</v>
      </c>
      <c r="AM779" s="209">
        <f>IF(AND(LEN(Множество[[#This Row],[Свёртка]])&gt;0,LEN(Множество[[#This Row],[Критерии]])&gt;0,LEN(Множество[[#This Row],[Оценки]])&gt;0),1,-1)</f>
        <v>-1</v>
      </c>
      <c r="AN779" s="230"/>
      <c r="AO779" s="208"/>
      <c r="AP779" s="208"/>
      <c r="AQ779" s="208"/>
      <c r="AR779" s="226"/>
      <c r="AS779" s="225"/>
      <c r="AT779" s="226"/>
      <c r="AU779" s="225"/>
      <c r="AV779" s="225"/>
      <c r="AW779" s="225"/>
      <c r="AX779" s="225"/>
      <c r="AY779" s="225"/>
    </row>
    <row r="780" spans="33:51" x14ac:dyDescent="0.25">
      <c r="AG780" s="66" t="str">
        <f>IF(AND(Множество[[#This Row],[Y]]=1),ROW()-ROW(Множество[[#Headers],[№]]),"")</f>
        <v/>
      </c>
      <c r="AI780" s="66">
        <v>1</v>
      </c>
      <c r="AJ780" s="66">
        <f>IF(LEN(Множество[[#This Row],[Свёртка]])&gt;0,1,-1)</f>
        <v>1</v>
      </c>
      <c r="AK780" s="66" t="s">
        <v>1781</v>
      </c>
      <c r="AL780" s="209">
        <f>IF(LEN(Множество[[#This Row],[Критерии]])&gt;0,1,-1)</f>
        <v>1</v>
      </c>
      <c r="AM780" s="209">
        <f>IF(AND(LEN(Множество[[#This Row],[Свёртка]])&gt;0,LEN(Множество[[#This Row],[Критерии]])&gt;0,LEN(Множество[[#This Row],[Оценки]])&gt;0),1,-1)</f>
        <v>-1</v>
      </c>
      <c r="AN780" s="230"/>
      <c r="AO780" s="208"/>
      <c r="AP780" s="208"/>
      <c r="AQ780" s="208"/>
      <c r="AR780" s="226"/>
      <c r="AS780" s="225"/>
      <c r="AT780" s="226"/>
      <c r="AU780" s="225"/>
      <c r="AV780" s="225"/>
      <c r="AW780" s="225"/>
      <c r="AX780" s="225"/>
      <c r="AY780" s="225"/>
    </row>
    <row r="781" spans="33:51" x14ac:dyDescent="0.25">
      <c r="AG781" s="66" t="str">
        <f>IF(AND(Множество[[#This Row],[Y]]=1),ROW()-ROW(Множество[[#Headers],[№]]),"")</f>
        <v/>
      </c>
      <c r="AI781" s="66">
        <v>1</v>
      </c>
      <c r="AJ781" s="66">
        <f>IF(LEN(Множество[[#This Row],[Свёртка]])&gt;0,1,-1)</f>
        <v>1</v>
      </c>
      <c r="AK781" s="66" t="s">
        <v>1781</v>
      </c>
      <c r="AL781" s="209">
        <f>IF(LEN(Множество[[#This Row],[Критерии]])&gt;0,1,-1)</f>
        <v>1</v>
      </c>
      <c r="AM781" s="209">
        <f>IF(AND(LEN(Множество[[#This Row],[Свёртка]])&gt;0,LEN(Множество[[#This Row],[Критерии]])&gt;0,LEN(Множество[[#This Row],[Оценки]])&gt;0),1,-1)</f>
        <v>-1</v>
      </c>
      <c r="AN781" s="230"/>
      <c r="AO781" s="208"/>
      <c r="AP781" s="208"/>
      <c r="AQ781" s="208"/>
      <c r="AR781" s="226"/>
      <c r="AS781" s="225"/>
      <c r="AT781" s="226"/>
      <c r="AU781" s="225"/>
      <c r="AV781" s="225"/>
      <c r="AW781" s="225"/>
      <c r="AX781" s="225"/>
      <c r="AY781" s="225"/>
    </row>
    <row r="782" spans="33:51" x14ac:dyDescent="0.25">
      <c r="AG782" s="66" t="str">
        <f>IF(AND(Множество[[#This Row],[Y]]=1),ROW()-ROW(Множество[[#Headers],[№]]),"")</f>
        <v/>
      </c>
      <c r="AI782" s="66">
        <v>1</v>
      </c>
      <c r="AJ782" s="66">
        <f>IF(LEN(Множество[[#This Row],[Свёртка]])&gt;0,1,-1)</f>
        <v>1</v>
      </c>
      <c r="AK782" s="66" t="s">
        <v>1781</v>
      </c>
      <c r="AL782" s="209">
        <f>IF(LEN(Множество[[#This Row],[Критерии]])&gt;0,1,-1)</f>
        <v>1</v>
      </c>
      <c r="AM782" s="209">
        <f>IF(AND(LEN(Множество[[#This Row],[Свёртка]])&gt;0,LEN(Множество[[#This Row],[Критерии]])&gt;0,LEN(Множество[[#This Row],[Оценки]])&gt;0),1,-1)</f>
        <v>-1</v>
      </c>
      <c r="AN782" s="230"/>
      <c r="AO782" s="208"/>
      <c r="AP782" s="208"/>
      <c r="AQ782" s="208"/>
      <c r="AR782" s="226"/>
      <c r="AS782" s="225"/>
      <c r="AT782" s="226"/>
      <c r="AU782" s="225"/>
      <c r="AV782" s="225"/>
      <c r="AW782" s="225"/>
      <c r="AX782" s="225"/>
      <c r="AY782" s="225"/>
    </row>
    <row r="783" spans="33:51" x14ac:dyDescent="0.25">
      <c r="AG783" s="66" t="str">
        <f>IF(AND(Множество[[#This Row],[Y]]=1),ROW()-ROW(Множество[[#Headers],[№]]),"")</f>
        <v/>
      </c>
      <c r="AI783" s="66">
        <v>1</v>
      </c>
      <c r="AJ783" s="66">
        <f>IF(LEN(Множество[[#This Row],[Свёртка]])&gt;0,1,-1)</f>
        <v>1</v>
      </c>
      <c r="AK783" s="66" t="s">
        <v>1781</v>
      </c>
      <c r="AL783" s="209">
        <f>IF(LEN(Множество[[#This Row],[Критерии]])&gt;0,1,-1)</f>
        <v>1</v>
      </c>
      <c r="AM783" s="209">
        <f>IF(AND(LEN(Множество[[#This Row],[Свёртка]])&gt;0,LEN(Множество[[#This Row],[Критерии]])&gt;0,LEN(Множество[[#This Row],[Оценки]])&gt;0),1,-1)</f>
        <v>-1</v>
      </c>
      <c r="AN783" s="230"/>
      <c r="AO783" s="208"/>
      <c r="AP783" s="208"/>
      <c r="AQ783" s="208"/>
      <c r="AR783" s="226"/>
      <c r="AS783" s="225"/>
      <c r="AT783" s="226"/>
      <c r="AU783" s="225"/>
      <c r="AV783" s="225"/>
      <c r="AW783" s="225"/>
      <c r="AX783" s="225"/>
      <c r="AY783" s="225"/>
    </row>
    <row r="784" spans="33:51" x14ac:dyDescent="0.25">
      <c r="AG784" s="66" t="str">
        <f>IF(AND(Множество[[#This Row],[Y]]=1),ROW()-ROW(Множество[[#Headers],[№]]),"")</f>
        <v/>
      </c>
      <c r="AI784" s="66">
        <v>1</v>
      </c>
      <c r="AJ784" s="66">
        <f>IF(LEN(Множество[[#This Row],[Свёртка]])&gt;0,1,-1)</f>
        <v>1</v>
      </c>
      <c r="AK784" s="66" t="s">
        <v>1781</v>
      </c>
      <c r="AL784" s="209">
        <f>IF(LEN(Множество[[#This Row],[Критерии]])&gt;0,1,-1)</f>
        <v>1</v>
      </c>
      <c r="AM784" s="209">
        <f>IF(AND(LEN(Множество[[#This Row],[Свёртка]])&gt;0,LEN(Множество[[#This Row],[Критерии]])&gt;0,LEN(Множество[[#This Row],[Оценки]])&gt;0),1,-1)</f>
        <v>-1</v>
      </c>
      <c r="AN784" s="230"/>
      <c r="AO784" s="208"/>
      <c r="AP784" s="208"/>
      <c r="AQ784" s="208"/>
      <c r="AR784" s="226"/>
      <c r="AS784" s="225"/>
      <c r="AT784" s="226"/>
      <c r="AU784" s="225"/>
      <c r="AV784" s="225"/>
      <c r="AW784" s="225"/>
      <c r="AX784" s="225"/>
      <c r="AY784" s="225"/>
    </row>
    <row r="785" spans="33:51" x14ac:dyDescent="0.25">
      <c r="AG785" s="66" t="str">
        <f>IF(AND(Множество[[#This Row],[Y]]=1),ROW()-ROW(Множество[[#Headers],[№]]),"")</f>
        <v/>
      </c>
      <c r="AI785" s="66">
        <v>1</v>
      </c>
      <c r="AJ785" s="66">
        <f>IF(LEN(Множество[[#This Row],[Свёртка]])&gt;0,1,-1)</f>
        <v>1</v>
      </c>
      <c r="AK785" s="66" t="s">
        <v>1781</v>
      </c>
      <c r="AL785" s="209">
        <f>IF(LEN(Множество[[#This Row],[Критерии]])&gt;0,1,-1)</f>
        <v>1</v>
      </c>
      <c r="AM785" s="209">
        <f>IF(AND(LEN(Множество[[#This Row],[Свёртка]])&gt;0,LEN(Множество[[#This Row],[Критерии]])&gt;0,LEN(Множество[[#This Row],[Оценки]])&gt;0),1,-1)</f>
        <v>-1</v>
      </c>
      <c r="AN785" s="230"/>
      <c r="AO785" s="208"/>
      <c r="AP785" s="208"/>
      <c r="AQ785" s="208"/>
      <c r="AR785" s="226"/>
      <c r="AS785" s="225"/>
      <c r="AT785" s="226"/>
      <c r="AU785" s="225"/>
      <c r="AV785" s="225"/>
      <c r="AW785" s="225"/>
      <c r="AX785" s="225"/>
      <c r="AY785" s="225"/>
    </row>
    <row r="786" spans="33:51" x14ac:dyDescent="0.25">
      <c r="AG786" s="66" t="str">
        <f>IF(AND(Множество[[#This Row],[Y]]=1),ROW()-ROW(Множество[[#Headers],[№]]),"")</f>
        <v/>
      </c>
      <c r="AI786" s="66">
        <v>1</v>
      </c>
      <c r="AJ786" s="66">
        <f>IF(LEN(Множество[[#This Row],[Свёртка]])&gt;0,1,-1)</f>
        <v>1</v>
      </c>
      <c r="AK786" s="66" t="s">
        <v>1781</v>
      </c>
      <c r="AL786" s="209">
        <f>IF(LEN(Множество[[#This Row],[Критерии]])&gt;0,1,-1)</f>
        <v>1</v>
      </c>
      <c r="AM786" s="209">
        <f>IF(AND(LEN(Множество[[#This Row],[Свёртка]])&gt;0,LEN(Множество[[#This Row],[Критерии]])&gt;0,LEN(Множество[[#This Row],[Оценки]])&gt;0),1,-1)</f>
        <v>-1</v>
      </c>
      <c r="AN786" s="230"/>
      <c r="AO786" s="208"/>
      <c r="AP786" s="208"/>
      <c r="AQ786" s="208"/>
      <c r="AR786" s="226"/>
      <c r="AS786" s="225"/>
      <c r="AT786" s="226"/>
      <c r="AU786" s="225"/>
      <c r="AV786" s="225"/>
      <c r="AW786" s="225"/>
      <c r="AX786" s="225"/>
      <c r="AY786" s="225"/>
    </row>
    <row r="787" spans="33:51" x14ac:dyDescent="0.25">
      <c r="AG787" s="66" t="str">
        <f>IF(AND(Множество[[#This Row],[Y]]=1),ROW()-ROW(Множество[[#Headers],[№]]),"")</f>
        <v/>
      </c>
      <c r="AI787" s="66">
        <v>1</v>
      </c>
      <c r="AJ787" s="66">
        <f>IF(LEN(Множество[[#This Row],[Свёртка]])&gt;0,1,-1)</f>
        <v>1</v>
      </c>
      <c r="AK787" s="66" t="s">
        <v>1781</v>
      </c>
      <c r="AL787" s="209">
        <f>IF(LEN(Множество[[#This Row],[Критерии]])&gt;0,1,-1)</f>
        <v>1</v>
      </c>
      <c r="AM787" s="209">
        <f>IF(AND(LEN(Множество[[#This Row],[Свёртка]])&gt;0,LEN(Множество[[#This Row],[Критерии]])&gt;0,LEN(Множество[[#This Row],[Оценки]])&gt;0),1,-1)</f>
        <v>-1</v>
      </c>
      <c r="AN787" s="230"/>
      <c r="AO787" s="208"/>
      <c r="AP787" s="208"/>
      <c r="AQ787" s="208"/>
      <c r="AR787" s="226"/>
      <c r="AS787" s="225"/>
      <c r="AT787" s="226"/>
      <c r="AU787" s="225"/>
      <c r="AV787" s="225"/>
      <c r="AW787" s="225"/>
      <c r="AX787" s="225"/>
      <c r="AY787" s="225"/>
    </row>
    <row r="788" spans="33:51" x14ac:dyDescent="0.25">
      <c r="AG788" s="66" t="str">
        <f>IF(AND(Множество[[#This Row],[Y]]=1),ROW()-ROW(Множество[[#Headers],[№]]),"")</f>
        <v/>
      </c>
      <c r="AI788" s="66">
        <v>1</v>
      </c>
      <c r="AJ788" s="66">
        <f>IF(LEN(Множество[[#This Row],[Свёртка]])&gt;0,1,-1)</f>
        <v>1</v>
      </c>
      <c r="AK788" s="66" t="s">
        <v>1781</v>
      </c>
      <c r="AL788" s="209">
        <f>IF(LEN(Множество[[#This Row],[Критерии]])&gt;0,1,-1)</f>
        <v>1</v>
      </c>
      <c r="AM788" s="209">
        <f>IF(AND(LEN(Множество[[#This Row],[Свёртка]])&gt;0,LEN(Множество[[#This Row],[Критерии]])&gt;0,LEN(Множество[[#This Row],[Оценки]])&gt;0),1,-1)</f>
        <v>-1</v>
      </c>
      <c r="AN788" s="230"/>
      <c r="AO788" s="208"/>
      <c r="AP788" s="208"/>
      <c r="AQ788" s="208"/>
      <c r="AR788" s="226"/>
      <c r="AS788" s="225"/>
      <c r="AT788" s="226"/>
      <c r="AU788" s="225"/>
      <c r="AV788" s="225"/>
      <c r="AW788" s="225"/>
      <c r="AX788" s="225"/>
      <c r="AY788" s="225"/>
    </row>
    <row r="789" spans="33:51" x14ac:dyDescent="0.25">
      <c r="AG789" s="66" t="str">
        <f>IF(AND(Множество[[#This Row],[Y]]=1),ROW()-ROW(Множество[[#Headers],[№]]),"")</f>
        <v/>
      </c>
      <c r="AI789" s="66">
        <v>1</v>
      </c>
      <c r="AJ789" s="66">
        <f>IF(LEN(Множество[[#This Row],[Свёртка]])&gt;0,1,-1)</f>
        <v>1</v>
      </c>
      <c r="AK789" s="66" t="s">
        <v>1781</v>
      </c>
      <c r="AL789" s="209">
        <f>IF(LEN(Множество[[#This Row],[Критерии]])&gt;0,1,-1)</f>
        <v>1</v>
      </c>
      <c r="AM789" s="209">
        <f>IF(AND(LEN(Множество[[#This Row],[Свёртка]])&gt;0,LEN(Множество[[#This Row],[Критерии]])&gt;0,LEN(Множество[[#This Row],[Оценки]])&gt;0),1,-1)</f>
        <v>-1</v>
      </c>
      <c r="AN789" s="230"/>
      <c r="AO789" s="208"/>
      <c r="AP789" s="208"/>
      <c r="AQ789" s="208"/>
      <c r="AR789" s="226"/>
      <c r="AS789" s="225"/>
      <c r="AT789" s="226"/>
      <c r="AU789" s="225"/>
      <c r="AV789" s="225"/>
      <c r="AW789" s="225"/>
      <c r="AX789" s="225"/>
      <c r="AY789" s="225"/>
    </row>
    <row r="790" spans="33:51" x14ac:dyDescent="0.25">
      <c r="AG790" s="66" t="str">
        <f>IF(AND(Множество[[#This Row],[Y]]=1),ROW()-ROW(Множество[[#Headers],[№]]),"")</f>
        <v/>
      </c>
      <c r="AI790" s="66">
        <v>1</v>
      </c>
      <c r="AJ790" s="66">
        <f>IF(LEN(Множество[[#This Row],[Свёртка]])&gt;0,1,-1)</f>
        <v>1</v>
      </c>
      <c r="AK790" s="66" t="s">
        <v>1781</v>
      </c>
      <c r="AL790" s="209">
        <f>IF(LEN(Множество[[#This Row],[Критерии]])&gt;0,1,-1)</f>
        <v>1</v>
      </c>
      <c r="AM790" s="209">
        <f>IF(AND(LEN(Множество[[#This Row],[Свёртка]])&gt;0,LEN(Множество[[#This Row],[Критерии]])&gt;0,LEN(Множество[[#This Row],[Оценки]])&gt;0),1,-1)</f>
        <v>-1</v>
      </c>
      <c r="AN790" s="230"/>
      <c r="AO790" s="208"/>
      <c r="AP790" s="208"/>
      <c r="AQ790" s="208"/>
      <c r="AR790" s="226"/>
      <c r="AS790" s="225"/>
      <c r="AT790" s="226"/>
      <c r="AU790" s="225"/>
      <c r="AV790" s="225"/>
      <c r="AW790" s="225"/>
      <c r="AX790" s="225"/>
      <c r="AY790" s="225"/>
    </row>
    <row r="791" spans="33:51" x14ac:dyDescent="0.25">
      <c r="AG791" s="66" t="str">
        <f>IF(AND(Множество[[#This Row],[Y]]=1),ROW()-ROW(Множество[[#Headers],[№]]),"")</f>
        <v/>
      </c>
      <c r="AI791" s="66">
        <v>1</v>
      </c>
      <c r="AJ791" s="66">
        <f>IF(LEN(Множество[[#This Row],[Свёртка]])&gt;0,1,-1)</f>
        <v>1</v>
      </c>
      <c r="AK791" s="66" t="s">
        <v>1781</v>
      </c>
      <c r="AL791" s="209">
        <f>IF(LEN(Множество[[#This Row],[Критерии]])&gt;0,1,-1)</f>
        <v>1</v>
      </c>
      <c r="AM791" s="209">
        <f>IF(AND(LEN(Множество[[#This Row],[Свёртка]])&gt;0,LEN(Множество[[#This Row],[Критерии]])&gt;0,LEN(Множество[[#This Row],[Оценки]])&gt;0),1,-1)</f>
        <v>-1</v>
      </c>
      <c r="AN791" s="230"/>
      <c r="AO791" s="208"/>
      <c r="AP791" s="208"/>
      <c r="AQ791" s="208"/>
      <c r="AR791" s="226"/>
      <c r="AS791" s="225"/>
      <c r="AT791" s="226"/>
      <c r="AU791" s="225"/>
      <c r="AV791" s="225"/>
      <c r="AW791" s="225"/>
      <c r="AX791" s="225"/>
      <c r="AY791" s="225"/>
    </row>
    <row r="792" spans="33:51" x14ac:dyDescent="0.25">
      <c r="AG792" s="66" t="str">
        <f>IF(AND(Множество[[#This Row],[Y]]=1),ROW()-ROW(Множество[[#Headers],[№]]),"")</f>
        <v/>
      </c>
      <c r="AI792" s="66">
        <v>1</v>
      </c>
      <c r="AJ792" s="66">
        <f>IF(LEN(Множество[[#This Row],[Свёртка]])&gt;0,1,-1)</f>
        <v>1</v>
      </c>
      <c r="AK792" s="66" t="s">
        <v>1781</v>
      </c>
      <c r="AL792" s="209">
        <f>IF(LEN(Множество[[#This Row],[Критерии]])&gt;0,1,-1)</f>
        <v>1</v>
      </c>
      <c r="AM792" s="209">
        <f>IF(AND(LEN(Множество[[#This Row],[Свёртка]])&gt;0,LEN(Множество[[#This Row],[Критерии]])&gt;0,LEN(Множество[[#This Row],[Оценки]])&gt;0),1,-1)</f>
        <v>-1</v>
      </c>
      <c r="AN792" s="230"/>
      <c r="AO792" s="208"/>
      <c r="AP792" s="208"/>
      <c r="AQ792" s="208"/>
      <c r="AR792" s="226"/>
      <c r="AS792" s="225"/>
      <c r="AT792" s="226"/>
      <c r="AU792" s="225"/>
      <c r="AV792" s="225"/>
      <c r="AW792" s="225"/>
      <c r="AX792" s="225"/>
      <c r="AY792" s="225"/>
    </row>
    <row r="793" spans="33:51" x14ac:dyDescent="0.25">
      <c r="AG793" s="66" t="str">
        <f>IF(AND(Множество[[#This Row],[Y]]=1),ROW()-ROW(Множество[[#Headers],[№]]),"")</f>
        <v/>
      </c>
      <c r="AI793" s="66">
        <v>1</v>
      </c>
      <c r="AJ793" s="66">
        <f>IF(LEN(Множество[[#This Row],[Свёртка]])&gt;0,1,-1)</f>
        <v>1</v>
      </c>
      <c r="AK793" s="66" t="s">
        <v>1781</v>
      </c>
      <c r="AL793" s="209">
        <f>IF(LEN(Множество[[#This Row],[Критерии]])&gt;0,1,-1)</f>
        <v>1</v>
      </c>
      <c r="AM793" s="209">
        <f>IF(AND(LEN(Множество[[#This Row],[Свёртка]])&gt;0,LEN(Множество[[#This Row],[Критерии]])&gt;0,LEN(Множество[[#This Row],[Оценки]])&gt;0),1,-1)</f>
        <v>-1</v>
      </c>
      <c r="AN793" s="230"/>
      <c r="AO793" s="208"/>
      <c r="AP793" s="208"/>
      <c r="AQ793" s="208"/>
      <c r="AR793" s="226"/>
      <c r="AS793" s="225"/>
      <c r="AT793" s="226"/>
      <c r="AU793" s="225"/>
      <c r="AV793" s="225"/>
      <c r="AW793" s="225"/>
      <c r="AX793" s="225"/>
      <c r="AY793" s="225"/>
    </row>
    <row r="794" spans="33:51" x14ac:dyDescent="0.25">
      <c r="AG794" s="66" t="str">
        <f>IF(AND(Множество[[#This Row],[Y]]=1),ROW()-ROW(Множество[[#Headers],[№]]),"")</f>
        <v/>
      </c>
      <c r="AI794" s="66">
        <v>1</v>
      </c>
      <c r="AJ794" s="66">
        <f>IF(LEN(Множество[[#This Row],[Свёртка]])&gt;0,1,-1)</f>
        <v>1</v>
      </c>
      <c r="AK794" s="66" t="s">
        <v>1781</v>
      </c>
      <c r="AL794" s="209">
        <f>IF(LEN(Множество[[#This Row],[Критерии]])&gt;0,1,-1)</f>
        <v>1</v>
      </c>
      <c r="AM794" s="209">
        <f>IF(AND(LEN(Множество[[#This Row],[Свёртка]])&gt;0,LEN(Множество[[#This Row],[Критерии]])&gt;0,LEN(Множество[[#This Row],[Оценки]])&gt;0),1,-1)</f>
        <v>-1</v>
      </c>
      <c r="AN794" s="230"/>
      <c r="AO794" s="208"/>
      <c r="AP794" s="208"/>
      <c r="AQ794" s="208"/>
      <c r="AR794" s="226"/>
      <c r="AS794" s="225"/>
      <c r="AT794" s="226"/>
      <c r="AU794" s="225"/>
      <c r="AV794" s="225"/>
      <c r="AW794" s="225"/>
      <c r="AX794" s="225"/>
      <c r="AY794" s="225"/>
    </row>
    <row r="795" spans="33:51" x14ac:dyDescent="0.25">
      <c r="AG795" s="66" t="str">
        <f>IF(AND(Множество[[#This Row],[Y]]=1),ROW()-ROW(Множество[[#Headers],[№]]),"")</f>
        <v/>
      </c>
      <c r="AI795" s="66">
        <v>1</v>
      </c>
      <c r="AJ795" s="66">
        <f>IF(LEN(Множество[[#This Row],[Свёртка]])&gt;0,1,-1)</f>
        <v>1</v>
      </c>
      <c r="AK795" s="66" t="s">
        <v>1781</v>
      </c>
      <c r="AL795" s="209">
        <f>IF(LEN(Множество[[#This Row],[Критерии]])&gt;0,1,-1)</f>
        <v>1</v>
      </c>
      <c r="AM795" s="209">
        <f>IF(AND(LEN(Множество[[#This Row],[Свёртка]])&gt;0,LEN(Множество[[#This Row],[Критерии]])&gt;0,LEN(Множество[[#This Row],[Оценки]])&gt;0),1,-1)</f>
        <v>-1</v>
      </c>
      <c r="AN795" s="230"/>
      <c r="AO795" s="208"/>
      <c r="AP795" s="208"/>
      <c r="AQ795" s="208"/>
      <c r="AR795" s="226"/>
      <c r="AS795" s="225"/>
      <c r="AT795" s="226"/>
      <c r="AU795" s="225"/>
      <c r="AV795" s="225"/>
      <c r="AW795" s="225"/>
      <c r="AX795" s="225"/>
      <c r="AY795" s="225"/>
    </row>
    <row r="796" spans="33:51" x14ac:dyDescent="0.25">
      <c r="AG796" s="66" t="str">
        <f>IF(AND(Множество[[#This Row],[Y]]=1),ROW()-ROW(Множество[[#Headers],[№]]),"")</f>
        <v/>
      </c>
      <c r="AI796" s="66">
        <v>1</v>
      </c>
      <c r="AJ796" s="66">
        <f>IF(LEN(Множество[[#This Row],[Свёртка]])&gt;0,1,-1)</f>
        <v>1</v>
      </c>
      <c r="AK796" s="66" t="s">
        <v>1781</v>
      </c>
      <c r="AL796" s="209">
        <f>IF(LEN(Множество[[#This Row],[Критерии]])&gt;0,1,-1)</f>
        <v>1</v>
      </c>
      <c r="AM796" s="209">
        <f>IF(AND(LEN(Множество[[#This Row],[Свёртка]])&gt;0,LEN(Множество[[#This Row],[Критерии]])&gt;0,LEN(Множество[[#This Row],[Оценки]])&gt;0),1,-1)</f>
        <v>-1</v>
      </c>
      <c r="AN796" s="230"/>
      <c r="AO796" s="208"/>
      <c r="AP796" s="208"/>
      <c r="AQ796" s="208"/>
      <c r="AR796" s="226"/>
      <c r="AS796" s="225"/>
      <c r="AT796" s="226"/>
      <c r="AU796" s="225"/>
      <c r="AV796" s="225"/>
      <c r="AW796" s="225"/>
      <c r="AX796" s="225"/>
      <c r="AY796" s="225"/>
    </row>
    <row r="797" spans="33:51" x14ac:dyDescent="0.25">
      <c r="AG797" s="66" t="str">
        <f>IF(AND(Множество[[#This Row],[Y]]=1),ROW()-ROW(Множество[[#Headers],[№]]),"")</f>
        <v/>
      </c>
      <c r="AI797" s="66">
        <v>1</v>
      </c>
      <c r="AJ797" s="66">
        <f>IF(LEN(Множество[[#This Row],[Свёртка]])&gt;0,1,-1)</f>
        <v>1</v>
      </c>
      <c r="AK797" s="66" t="s">
        <v>1781</v>
      </c>
      <c r="AL797" s="209">
        <f>IF(LEN(Множество[[#This Row],[Критерии]])&gt;0,1,-1)</f>
        <v>1</v>
      </c>
      <c r="AM797" s="209">
        <f>IF(AND(LEN(Множество[[#This Row],[Свёртка]])&gt;0,LEN(Множество[[#This Row],[Критерии]])&gt;0,LEN(Множество[[#This Row],[Оценки]])&gt;0),1,-1)</f>
        <v>-1</v>
      </c>
      <c r="AN797" s="230"/>
      <c r="AO797" s="208"/>
      <c r="AP797" s="208"/>
      <c r="AQ797" s="208"/>
      <c r="AR797" s="226"/>
      <c r="AS797" s="225"/>
      <c r="AT797" s="226"/>
      <c r="AU797" s="225"/>
      <c r="AV797" s="225"/>
      <c r="AW797" s="225"/>
      <c r="AX797" s="225"/>
      <c r="AY797" s="225"/>
    </row>
    <row r="798" spans="33:51" x14ac:dyDescent="0.25">
      <c r="AG798" s="66" t="str">
        <f>IF(AND(Множество[[#This Row],[Y]]=1),ROW()-ROW(Множество[[#Headers],[№]]),"")</f>
        <v/>
      </c>
      <c r="AI798" s="66">
        <v>1</v>
      </c>
      <c r="AJ798" s="66">
        <f>IF(LEN(Множество[[#This Row],[Свёртка]])&gt;0,1,-1)</f>
        <v>1</v>
      </c>
      <c r="AK798" s="66" t="s">
        <v>1781</v>
      </c>
      <c r="AL798" s="209">
        <f>IF(LEN(Множество[[#This Row],[Критерии]])&gt;0,1,-1)</f>
        <v>1</v>
      </c>
      <c r="AM798" s="209">
        <f>IF(AND(LEN(Множество[[#This Row],[Свёртка]])&gt;0,LEN(Множество[[#This Row],[Критерии]])&gt;0,LEN(Множество[[#This Row],[Оценки]])&gt;0),1,-1)</f>
        <v>-1</v>
      </c>
      <c r="AN798" s="230"/>
      <c r="AO798" s="208"/>
      <c r="AP798" s="208"/>
      <c r="AQ798" s="208"/>
      <c r="AR798" s="226"/>
      <c r="AS798" s="225"/>
      <c r="AT798" s="226"/>
      <c r="AU798" s="225"/>
      <c r="AV798" s="225"/>
      <c r="AW798" s="225"/>
      <c r="AX798" s="225"/>
      <c r="AY798" s="225"/>
    </row>
    <row r="799" spans="33:51" x14ac:dyDescent="0.25">
      <c r="AG799" s="66" t="str">
        <f>IF(AND(Множество[[#This Row],[Y]]=1),ROW()-ROW(Множество[[#Headers],[№]]),"")</f>
        <v/>
      </c>
      <c r="AI799" s="66">
        <v>1</v>
      </c>
      <c r="AJ799" s="66">
        <f>IF(LEN(Множество[[#This Row],[Свёртка]])&gt;0,1,-1)</f>
        <v>1</v>
      </c>
      <c r="AK799" s="66" t="s">
        <v>1781</v>
      </c>
      <c r="AL799" s="209">
        <f>IF(LEN(Множество[[#This Row],[Критерии]])&gt;0,1,-1)</f>
        <v>1</v>
      </c>
      <c r="AM799" s="209">
        <f>IF(AND(LEN(Множество[[#This Row],[Свёртка]])&gt;0,LEN(Множество[[#This Row],[Критерии]])&gt;0,LEN(Множество[[#This Row],[Оценки]])&gt;0),1,-1)</f>
        <v>-1</v>
      </c>
      <c r="AN799" s="230"/>
      <c r="AO799" s="208"/>
      <c r="AP799" s="208"/>
      <c r="AQ799" s="208"/>
      <c r="AR799" s="226"/>
      <c r="AS799" s="225"/>
      <c r="AT799" s="226"/>
      <c r="AU799" s="225"/>
      <c r="AV799" s="225"/>
      <c r="AW799" s="225"/>
      <c r="AX799" s="225"/>
      <c r="AY799" s="225"/>
    </row>
    <row r="800" spans="33:51" x14ac:dyDescent="0.25">
      <c r="AG800" s="66" t="str">
        <f>IF(AND(Множество[[#This Row],[Y]]=1),ROW()-ROW(Множество[[#Headers],[№]]),"")</f>
        <v/>
      </c>
      <c r="AI800" s="66">
        <v>1</v>
      </c>
      <c r="AJ800" s="66">
        <f>IF(LEN(Множество[[#This Row],[Свёртка]])&gt;0,1,-1)</f>
        <v>1</v>
      </c>
      <c r="AK800" s="66" t="s">
        <v>1781</v>
      </c>
      <c r="AL800" s="209">
        <f>IF(LEN(Множество[[#This Row],[Критерии]])&gt;0,1,-1)</f>
        <v>1</v>
      </c>
      <c r="AM800" s="209">
        <f>IF(AND(LEN(Множество[[#This Row],[Свёртка]])&gt;0,LEN(Множество[[#This Row],[Критерии]])&gt;0,LEN(Множество[[#This Row],[Оценки]])&gt;0),1,-1)</f>
        <v>-1</v>
      </c>
      <c r="AN800" s="230"/>
      <c r="AO800" s="208"/>
      <c r="AP800" s="208"/>
      <c r="AQ800" s="208"/>
      <c r="AR800" s="226"/>
      <c r="AS800" s="225"/>
      <c r="AT800" s="226"/>
      <c r="AU800" s="225"/>
      <c r="AV800" s="225"/>
      <c r="AW800" s="225"/>
      <c r="AX800" s="225"/>
      <c r="AY800" s="225"/>
    </row>
    <row r="801" spans="33:51" x14ac:dyDescent="0.25">
      <c r="AG801" s="66" t="str">
        <f>IF(AND(Множество[[#This Row],[Y]]=1),ROW()-ROW(Множество[[#Headers],[№]]),"")</f>
        <v/>
      </c>
      <c r="AI801" s="66">
        <v>1</v>
      </c>
      <c r="AJ801" s="66">
        <f>IF(LEN(Множество[[#This Row],[Свёртка]])&gt;0,1,-1)</f>
        <v>1</v>
      </c>
      <c r="AK801" s="66" t="s">
        <v>1781</v>
      </c>
      <c r="AL801" s="209">
        <f>IF(LEN(Множество[[#This Row],[Критерии]])&gt;0,1,-1)</f>
        <v>1</v>
      </c>
      <c r="AM801" s="209">
        <f>IF(AND(LEN(Множество[[#This Row],[Свёртка]])&gt;0,LEN(Множество[[#This Row],[Критерии]])&gt;0,LEN(Множество[[#This Row],[Оценки]])&gt;0),1,-1)</f>
        <v>-1</v>
      </c>
      <c r="AN801" s="230"/>
      <c r="AO801" s="208"/>
      <c r="AP801" s="208"/>
      <c r="AQ801" s="208"/>
      <c r="AR801" s="226"/>
      <c r="AS801" s="225"/>
      <c r="AT801" s="226"/>
      <c r="AU801" s="225"/>
      <c r="AV801" s="225"/>
      <c r="AW801" s="225"/>
      <c r="AX801" s="225"/>
      <c r="AY801" s="225"/>
    </row>
    <row r="802" spans="33:51" x14ac:dyDescent="0.25">
      <c r="AG802" s="66" t="str">
        <f>IF(AND(Множество[[#This Row],[Y]]=1),ROW()-ROW(Множество[[#Headers],[№]]),"")</f>
        <v/>
      </c>
      <c r="AI802" s="66">
        <v>1</v>
      </c>
      <c r="AJ802" s="66">
        <f>IF(LEN(Множество[[#This Row],[Свёртка]])&gt;0,1,-1)</f>
        <v>1</v>
      </c>
      <c r="AK802" s="66" t="s">
        <v>1781</v>
      </c>
      <c r="AL802" s="209">
        <f>IF(LEN(Множество[[#This Row],[Критерии]])&gt;0,1,-1)</f>
        <v>1</v>
      </c>
      <c r="AM802" s="209">
        <f>IF(AND(LEN(Множество[[#This Row],[Свёртка]])&gt;0,LEN(Множество[[#This Row],[Критерии]])&gt;0,LEN(Множество[[#This Row],[Оценки]])&gt;0),1,-1)</f>
        <v>-1</v>
      </c>
      <c r="AN802" s="230"/>
      <c r="AO802" s="208"/>
      <c r="AP802" s="208"/>
      <c r="AQ802" s="208"/>
      <c r="AR802" s="226"/>
      <c r="AS802" s="225"/>
      <c r="AT802" s="226"/>
      <c r="AU802" s="225"/>
      <c r="AV802" s="225"/>
      <c r="AW802" s="225"/>
      <c r="AX802" s="225"/>
      <c r="AY802" s="225"/>
    </row>
    <row r="803" spans="33:51" x14ac:dyDescent="0.25">
      <c r="AG803" s="66" t="str">
        <f>IF(AND(Множество[[#This Row],[Y]]=1),ROW()-ROW(Множество[[#Headers],[№]]),"")</f>
        <v/>
      </c>
      <c r="AI803" s="66">
        <v>1</v>
      </c>
      <c r="AJ803" s="66">
        <f>IF(LEN(Множество[[#This Row],[Свёртка]])&gt;0,1,-1)</f>
        <v>1</v>
      </c>
      <c r="AK803" s="66" t="s">
        <v>1781</v>
      </c>
      <c r="AL803" s="209">
        <f>IF(LEN(Множество[[#This Row],[Критерии]])&gt;0,1,-1)</f>
        <v>1</v>
      </c>
      <c r="AM803" s="209">
        <f>IF(AND(LEN(Множество[[#This Row],[Свёртка]])&gt;0,LEN(Множество[[#This Row],[Критерии]])&gt;0,LEN(Множество[[#This Row],[Оценки]])&gt;0),1,-1)</f>
        <v>-1</v>
      </c>
      <c r="AN803" s="230"/>
      <c r="AO803" s="208"/>
      <c r="AP803" s="208"/>
      <c r="AQ803" s="208"/>
      <c r="AR803" s="226"/>
      <c r="AS803" s="225"/>
      <c r="AT803" s="226"/>
      <c r="AU803" s="225"/>
      <c r="AV803" s="225"/>
      <c r="AW803" s="225"/>
      <c r="AX803" s="225"/>
      <c r="AY803" s="225"/>
    </row>
    <row r="804" spans="33:51" x14ac:dyDescent="0.25">
      <c r="AG804" s="66" t="str">
        <f>IF(AND(Множество[[#This Row],[Y]]=1),ROW()-ROW(Множество[[#Headers],[№]]),"")</f>
        <v/>
      </c>
      <c r="AI804" s="66">
        <v>1</v>
      </c>
      <c r="AJ804" s="66">
        <f>IF(LEN(Множество[[#This Row],[Свёртка]])&gt;0,1,-1)</f>
        <v>1</v>
      </c>
      <c r="AK804" s="66" t="s">
        <v>1781</v>
      </c>
      <c r="AL804" s="209">
        <f>IF(LEN(Множество[[#This Row],[Критерии]])&gt;0,1,-1)</f>
        <v>1</v>
      </c>
      <c r="AM804" s="209">
        <f>IF(AND(LEN(Множество[[#This Row],[Свёртка]])&gt;0,LEN(Множество[[#This Row],[Критерии]])&gt;0,LEN(Множество[[#This Row],[Оценки]])&gt;0),1,-1)</f>
        <v>-1</v>
      </c>
      <c r="AN804" s="230"/>
      <c r="AO804" s="208"/>
      <c r="AP804" s="208"/>
      <c r="AQ804" s="208"/>
      <c r="AR804" s="226"/>
      <c r="AS804" s="225"/>
      <c r="AT804" s="226"/>
      <c r="AU804" s="225"/>
      <c r="AV804" s="225"/>
      <c r="AW804" s="225"/>
      <c r="AX804" s="225"/>
      <c r="AY804" s="225"/>
    </row>
    <row r="805" spans="33:51" x14ac:dyDescent="0.25">
      <c r="AG805" s="66" t="str">
        <f>IF(AND(Множество[[#This Row],[Y]]=1),ROW()-ROW(Множество[[#Headers],[№]]),"")</f>
        <v/>
      </c>
      <c r="AI805" s="66">
        <v>1</v>
      </c>
      <c r="AJ805" s="66">
        <f>IF(LEN(Множество[[#This Row],[Свёртка]])&gt;0,1,-1)</f>
        <v>1</v>
      </c>
      <c r="AK805" s="66" t="s">
        <v>1781</v>
      </c>
      <c r="AL805" s="209">
        <f>IF(LEN(Множество[[#This Row],[Критерии]])&gt;0,1,-1)</f>
        <v>1</v>
      </c>
      <c r="AM805" s="209">
        <f>IF(AND(LEN(Множество[[#This Row],[Свёртка]])&gt;0,LEN(Множество[[#This Row],[Критерии]])&gt;0,LEN(Множество[[#This Row],[Оценки]])&gt;0),1,-1)</f>
        <v>-1</v>
      </c>
      <c r="AN805" s="230"/>
      <c r="AO805" s="208"/>
      <c r="AP805" s="208"/>
      <c r="AQ805" s="208"/>
      <c r="AR805" s="226"/>
      <c r="AS805" s="225"/>
      <c r="AT805" s="226"/>
      <c r="AU805" s="225"/>
      <c r="AV805" s="225"/>
      <c r="AW805" s="225"/>
      <c r="AX805" s="225"/>
      <c r="AY805" s="225"/>
    </row>
    <row r="806" spans="33:51" x14ac:dyDescent="0.25">
      <c r="AG806" s="66" t="str">
        <f>IF(AND(Множество[[#This Row],[Y]]=1),ROW()-ROW(Множество[[#Headers],[№]]),"")</f>
        <v/>
      </c>
      <c r="AI806" s="66">
        <v>1</v>
      </c>
      <c r="AJ806" s="66">
        <f>IF(LEN(Множество[[#This Row],[Свёртка]])&gt;0,1,-1)</f>
        <v>1</v>
      </c>
      <c r="AK806" s="66" t="s">
        <v>1781</v>
      </c>
      <c r="AL806" s="209">
        <f>IF(LEN(Множество[[#This Row],[Критерии]])&gt;0,1,-1)</f>
        <v>1</v>
      </c>
      <c r="AM806" s="209">
        <f>IF(AND(LEN(Множество[[#This Row],[Свёртка]])&gt;0,LEN(Множество[[#This Row],[Критерии]])&gt;0,LEN(Множество[[#This Row],[Оценки]])&gt;0),1,-1)</f>
        <v>-1</v>
      </c>
      <c r="AN806" s="230"/>
      <c r="AO806" s="208"/>
      <c r="AP806" s="208"/>
      <c r="AQ806" s="208"/>
      <c r="AR806" s="226"/>
      <c r="AS806" s="225"/>
      <c r="AT806" s="226"/>
      <c r="AU806" s="225"/>
      <c r="AV806" s="225"/>
      <c r="AW806" s="225"/>
      <c r="AX806" s="225"/>
      <c r="AY806" s="225"/>
    </row>
    <row r="807" spans="33:51" x14ac:dyDescent="0.25">
      <c r="AG807" s="66" t="str">
        <f>IF(AND(Множество[[#This Row],[Y]]=1),ROW()-ROW(Множество[[#Headers],[№]]),"")</f>
        <v/>
      </c>
      <c r="AI807" s="66">
        <v>1</v>
      </c>
      <c r="AJ807" s="66">
        <f>IF(LEN(Множество[[#This Row],[Свёртка]])&gt;0,1,-1)</f>
        <v>1</v>
      </c>
      <c r="AK807" s="66" t="s">
        <v>1781</v>
      </c>
      <c r="AL807" s="209">
        <f>IF(LEN(Множество[[#This Row],[Критерии]])&gt;0,1,-1)</f>
        <v>1</v>
      </c>
      <c r="AM807" s="209">
        <f>IF(AND(LEN(Множество[[#This Row],[Свёртка]])&gt;0,LEN(Множество[[#This Row],[Критерии]])&gt;0,LEN(Множество[[#This Row],[Оценки]])&gt;0),1,-1)</f>
        <v>-1</v>
      </c>
      <c r="AN807" s="230"/>
      <c r="AO807" s="208"/>
      <c r="AP807" s="208"/>
      <c r="AQ807" s="208"/>
      <c r="AR807" s="226"/>
      <c r="AS807" s="225"/>
      <c r="AT807" s="226"/>
      <c r="AU807" s="225"/>
      <c r="AV807" s="225"/>
      <c r="AW807" s="225"/>
      <c r="AX807" s="225"/>
      <c r="AY807" s="225"/>
    </row>
    <row r="808" spans="33:51" x14ac:dyDescent="0.25">
      <c r="AG808" s="66" t="str">
        <f>IF(AND(Множество[[#This Row],[Y]]=1),ROW()-ROW(Множество[[#Headers],[№]]),"")</f>
        <v/>
      </c>
      <c r="AI808" s="66">
        <v>1</v>
      </c>
      <c r="AJ808" s="66">
        <f>IF(LEN(Множество[[#This Row],[Свёртка]])&gt;0,1,-1)</f>
        <v>1</v>
      </c>
      <c r="AK808" s="66" t="s">
        <v>1781</v>
      </c>
      <c r="AL808" s="209">
        <f>IF(LEN(Множество[[#This Row],[Критерии]])&gt;0,1,-1)</f>
        <v>1</v>
      </c>
      <c r="AM808" s="209">
        <f>IF(AND(LEN(Множество[[#This Row],[Свёртка]])&gt;0,LEN(Множество[[#This Row],[Критерии]])&gt;0,LEN(Множество[[#This Row],[Оценки]])&gt;0),1,-1)</f>
        <v>-1</v>
      </c>
      <c r="AN808" s="230"/>
      <c r="AO808" s="208"/>
      <c r="AP808" s="208"/>
      <c r="AQ808" s="208"/>
      <c r="AR808" s="226"/>
      <c r="AS808" s="225"/>
      <c r="AT808" s="226"/>
      <c r="AU808" s="225"/>
      <c r="AV808" s="225"/>
      <c r="AW808" s="225"/>
      <c r="AX808" s="225"/>
      <c r="AY808" s="225"/>
    </row>
    <row r="809" spans="33:51" x14ac:dyDescent="0.25">
      <c r="AG809" s="66" t="str">
        <f>IF(AND(Множество[[#This Row],[Y]]=1),ROW()-ROW(Множество[[#Headers],[№]]),"")</f>
        <v/>
      </c>
      <c r="AI809" s="66">
        <v>1</v>
      </c>
      <c r="AJ809" s="66">
        <f>IF(LEN(Множество[[#This Row],[Свёртка]])&gt;0,1,-1)</f>
        <v>1</v>
      </c>
      <c r="AK809" s="66" t="s">
        <v>1781</v>
      </c>
      <c r="AL809" s="209">
        <f>IF(LEN(Множество[[#This Row],[Критерии]])&gt;0,1,-1)</f>
        <v>1</v>
      </c>
      <c r="AM809" s="209">
        <f>IF(AND(LEN(Множество[[#This Row],[Свёртка]])&gt;0,LEN(Множество[[#This Row],[Критерии]])&gt;0,LEN(Множество[[#This Row],[Оценки]])&gt;0),1,-1)</f>
        <v>-1</v>
      </c>
      <c r="AN809" s="230"/>
      <c r="AO809" s="208"/>
      <c r="AP809" s="208"/>
      <c r="AQ809" s="208"/>
      <c r="AR809" s="226"/>
      <c r="AS809" s="225"/>
      <c r="AT809" s="226"/>
      <c r="AU809" s="225"/>
      <c r="AV809" s="225"/>
      <c r="AW809" s="225"/>
      <c r="AX809" s="225"/>
      <c r="AY809" s="225"/>
    </row>
    <row r="810" spans="33:51" x14ac:dyDescent="0.25">
      <c r="AG810" s="66" t="str">
        <f>IF(AND(Множество[[#This Row],[Y]]=1),ROW()-ROW(Множество[[#Headers],[№]]),"")</f>
        <v/>
      </c>
      <c r="AI810" s="66">
        <v>1</v>
      </c>
      <c r="AJ810" s="66">
        <f>IF(LEN(Множество[[#This Row],[Свёртка]])&gt;0,1,-1)</f>
        <v>1</v>
      </c>
      <c r="AK810" s="66" t="s">
        <v>1781</v>
      </c>
      <c r="AL810" s="209">
        <f>IF(LEN(Множество[[#This Row],[Критерии]])&gt;0,1,-1)</f>
        <v>1</v>
      </c>
      <c r="AM810" s="209">
        <f>IF(AND(LEN(Множество[[#This Row],[Свёртка]])&gt;0,LEN(Множество[[#This Row],[Критерии]])&gt;0,LEN(Множество[[#This Row],[Оценки]])&gt;0),1,-1)</f>
        <v>-1</v>
      </c>
      <c r="AN810" s="230"/>
      <c r="AO810" s="208"/>
      <c r="AP810" s="208"/>
      <c r="AQ810" s="208"/>
      <c r="AR810" s="226"/>
      <c r="AS810" s="225"/>
      <c r="AT810" s="226"/>
      <c r="AU810" s="225"/>
      <c r="AV810" s="225"/>
      <c r="AW810" s="225"/>
      <c r="AX810" s="225"/>
      <c r="AY810" s="225"/>
    </row>
    <row r="811" spans="33:51" x14ac:dyDescent="0.25">
      <c r="AG811" s="66" t="str">
        <f>IF(AND(Множество[[#This Row],[Y]]=1),ROW()-ROW(Множество[[#Headers],[№]]),"")</f>
        <v/>
      </c>
      <c r="AI811" s="66">
        <v>1</v>
      </c>
      <c r="AJ811" s="66">
        <f>IF(LEN(Множество[[#This Row],[Свёртка]])&gt;0,1,-1)</f>
        <v>1</v>
      </c>
      <c r="AK811" s="66" t="s">
        <v>1781</v>
      </c>
      <c r="AL811" s="209">
        <f>IF(LEN(Множество[[#This Row],[Критерии]])&gt;0,1,-1)</f>
        <v>1</v>
      </c>
      <c r="AM811" s="209">
        <f>IF(AND(LEN(Множество[[#This Row],[Свёртка]])&gt;0,LEN(Множество[[#This Row],[Критерии]])&gt;0,LEN(Множество[[#This Row],[Оценки]])&gt;0),1,-1)</f>
        <v>-1</v>
      </c>
      <c r="AN811" s="230"/>
      <c r="AO811" s="208"/>
      <c r="AP811" s="208"/>
      <c r="AQ811" s="208"/>
      <c r="AR811" s="226"/>
      <c r="AS811" s="225"/>
      <c r="AT811" s="226"/>
      <c r="AU811" s="225"/>
      <c r="AV811" s="225"/>
      <c r="AW811" s="225"/>
      <c r="AX811" s="225"/>
      <c r="AY811" s="225"/>
    </row>
    <row r="812" spans="33:51" x14ac:dyDescent="0.25">
      <c r="AG812" s="66" t="str">
        <f>IF(AND(Множество[[#This Row],[Y]]=1),ROW()-ROW(Множество[[#Headers],[№]]),"")</f>
        <v/>
      </c>
      <c r="AI812" s="66">
        <v>1</v>
      </c>
      <c r="AJ812" s="66">
        <f>IF(LEN(Множество[[#This Row],[Свёртка]])&gt;0,1,-1)</f>
        <v>1</v>
      </c>
      <c r="AK812" s="66" t="s">
        <v>1781</v>
      </c>
      <c r="AL812" s="209">
        <f>IF(LEN(Множество[[#This Row],[Критерии]])&gt;0,1,-1)</f>
        <v>1</v>
      </c>
      <c r="AM812" s="209">
        <f>IF(AND(LEN(Множество[[#This Row],[Свёртка]])&gt;0,LEN(Множество[[#This Row],[Критерии]])&gt;0,LEN(Множество[[#This Row],[Оценки]])&gt;0),1,-1)</f>
        <v>-1</v>
      </c>
      <c r="AN812" s="230"/>
      <c r="AO812" s="208"/>
      <c r="AP812" s="208"/>
      <c r="AQ812" s="208"/>
      <c r="AR812" s="226"/>
      <c r="AS812" s="225"/>
      <c r="AT812" s="226"/>
      <c r="AU812" s="225"/>
      <c r="AV812" s="225"/>
      <c r="AW812" s="225"/>
      <c r="AX812" s="225"/>
      <c r="AY812" s="225"/>
    </row>
    <row r="813" spans="33:51" x14ac:dyDescent="0.25">
      <c r="AG813" s="66" t="str">
        <f>IF(AND(Множество[[#This Row],[Y]]=1),ROW()-ROW(Множество[[#Headers],[№]]),"")</f>
        <v/>
      </c>
      <c r="AI813" s="66">
        <v>1</v>
      </c>
      <c r="AJ813" s="66">
        <f>IF(LEN(Множество[[#This Row],[Свёртка]])&gt;0,1,-1)</f>
        <v>1</v>
      </c>
      <c r="AK813" s="66" t="s">
        <v>1781</v>
      </c>
      <c r="AL813" s="209">
        <f>IF(LEN(Множество[[#This Row],[Критерии]])&gt;0,1,-1)</f>
        <v>1</v>
      </c>
      <c r="AM813" s="209">
        <f>IF(AND(LEN(Множество[[#This Row],[Свёртка]])&gt;0,LEN(Множество[[#This Row],[Критерии]])&gt;0,LEN(Множество[[#This Row],[Оценки]])&gt;0),1,-1)</f>
        <v>-1</v>
      </c>
      <c r="AN813" s="230"/>
      <c r="AO813" s="208"/>
      <c r="AP813" s="208"/>
      <c r="AQ813" s="208"/>
      <c r="AR813" s="226"/>
      <c r="AS813" s="225"/>
      <c r="AT813" s="226"/>
      <c r="AU813" s="225"/>
      <c r="AV813" s="225"/>
      <c r="AW813" s="225"/>
      <c r="AX813" s="225"/>
      <c r="AY813" s="225"/>
    </row>
    <row r="814" spans="33:51" x14ac:dyDescent="0.25">
      <c r="AG814" s="66" t="str">
        <f>IF(AND(Множество[[#This Row],[Y]]=1),ROW()-ROW(Множество[[#Headers],[№]]),"")</f>
        <v/>
      </c>
      <c r="AI814" s="66">
        <v>1</v>
      </c>
      <c r="AJ814" s="66">
        <f>IF(LEN(Множество[[#This Row],[Свёртка]])&gt;0,1,-1)</f>
        <v>1</v>
      </c>
      <c r="AK814" s="66" t="s">
        <v>1781</v>
      </c>
      <c r="AL814" s="209">
        <f>IF(LEN(Множество[[#This Row],[Критерии]])&gt;0,1,-1)</f>
        <v>1</v>
      </c>
      <c r="AM814" s="209">
        <f>IF(AND(LEN(Множество[[#This Row],[Свёртка]])&gt;0,LEN(Множество[[#This Row],[Критерии]])&gt;0,LEN(Множество[[#This Row],[Оценки]])&gt;0),1,-1)</f>
        <v>-1</v>
      </c>
      <c r="AN814" s="230"/>
      <c r="AO814" s="208"/>
      <c r="AP814" s="208"/>
      <c r="AQ814" s="208"/>
      <c r="AR814" s="226"/>
      <c r="AS814" s="225"/>
      <c r="AT814" s="226"/>
      <c r="AU814" s="225"/>
      <c r="AV814" s="225"/>
      <c r="AW814" s="225"/>
      <c r="AX814" s="225"/>
      <c r="AY814" s="225"/>
    </row>
    <row r="815" spans="33:51" x14ac:dyDescent="0.25">
      <c r="AG815" s="66" t="str">
        <f>IF(AND(Множество[[#This Row],[Y]]=1),ROW()-ROW(Множество[[#Headers],[№]]),"")</f>
        <v/>
      </c>
      <c r="AI815" s="66">
        <v>1</v>
      </c>
      <c r="AJ815" s="66">
        <f>IF(LEN(Множество[[#This Row],[Свёртка]])&gt;0,1,-1)</f>
        <v>1</v>
      </c>
      <c r="AK815" s="66" t="s">
        <v>1781</v>
      </c>
      <c r="AL815" s="209">
        <f>IF(LEN(Множество[[#This Row],[Критерии]])&gt;0,1,-1)</f>
        <v>1</v>
      </c>
      <c r="AM815" s="209">
        <f>IF(AND(LEN(Множество[[#This Row],[Свёртка]])&gt;0,LEN(Множество[[#This Row],[Критерии]])&gt;0,LEN(Множество[[#This Row],[Оценки]])&gt;0),1,-1)</f>
        <v>-1</v>
      </c>
      <c r="AN815" s="230"/>
      <c r="AO815" s="208"/>
      <c r="AP815" s="208"/>
      <c r="AQ815" s="208"/>
      <c r="AR815" s="226"/>
      <c r="AS815" s="225"/>
      <c r="AT815" s="226"/>
      <c r="AU815" s="225"/>
      <c r="AV815" s="225"/>
      <c r="AW815" s="225"/>
      <c r="AX815" s="225"/>
      <c r="AY815" s="225"/>
    </row>
    <row r="816" spans="33:51" x14ac:dyDescent="0.25">
      <c r="AG816" s="66" t="str">
        <f>IF(AND(Множество[[#This Row],[Y]]=1),ROW()-ROW(Множество[[#Headers],[№]]),"")</f>
        <v/>
      </c>
      <c r="AI816" s="66">
        <v>1</v>
      </c>
      <c r="AJ816" s="66">
        <f>IF(LEN(Множество[[#This Row],[Свёртка]])&gt;0,1,-1)</f>
        <v>1</v>
      </c>
      <c r="AK816" s="66" t="s">
        <v>1781</v>
      </c>
      <c r="AL816" s="209">
        <f>IF(LEN(Множество[[#This Row],[Критерии]])&gt;0,1,-1)</f>
        <v>1</v>
      </c>
      <c r="AM816" s="209">
        <f>IF(AND(LEN(Множество[[#This Row],[Свёртка]])&gt;0,LEN(Множество[[#This Row],[Критерии]])&gt;0,LEN(Множество[[#This Row],[Оценки]])&gt;0),1,-1)</f>
        <v>-1</v>
      </c>
      <c r="AN816" s="230"/>
      <c r="AO816" s="208"/>
      <c r="AP816" s="208"/>
      <c r="AQ816" s="208"/>
      <c r="AR816" s="226"/>
      <c r="AS816" s="225"/>
      <c r="AT816" s="226"/>
      <c r="AU816" s="225"/>
      <c r="AV816" s="225"/>
      <c r="AW816" s="225"/>
      <c r="AX816" s="225"/>
      <c r="AY816" s="225"/>
    </row>
    <row r="817" spans="33:51" x14ac:dyDescent="0.25">
      <c r="AG817" s="66" t="str">
        <f>IF(AND(Множество[[#This Row],[Y]]=1),ROW()-ROW(Множество[[#Headers],[№]]),"")</f>
        <v/>
      </c>
      <c r="AI817" s="66">
        <v>1</v>
      </c>
      <c r="AJ817" s="66">
        <f>IF(LEN(Множество[[#This Row],[Свёртка]])&gt;0,1,-1)</f>
        <v>1</v>
      </c>
      <c r="AK817" s="66" t="s">
        <v>1781</v>
      </c>
      <c r="AL817" s="209">
        <f>IF(LEN(Множество[[#This Row],[Критерии]])&gt;0,1,-1)</f>
        <v>1</v>
      </c>
      <c r="AM817" s="209">
        <f>IF(AND(LEN(Множество[[#This Row],[Свёртка]])&gt;0,LEN(Множество[[#This Row],[Критерии]])&gt;0,LEN(Множество[[#This Row],[Оценки]])&gt;0),1,-1)</f>
        <v>-1</v>
      </c>
      <c r="AN817" s="230"/>
      <c r="AO817" s="208"/>
      <c r="AP817" s="208"/>
      <c r="AQ817" s="208"/>
      <c r="AR817" s="226"/>
      <c r="AS817" s="225"/>
      <c r="AT817" s="226"/>
      <c r="AU817" s="225"/>
      <c r="AV817" s="225"/>
      <c r="AW817" s="225"/>
      <c r="AX817" s="225"/>
      <c r="AY817" s="225"/>
    </row>
    <row r="818" spans="33:51" x14ac:dyDescent="0.25">
      <c r="AG818" s="66" t="str">
        <f>IF(AND(Множество[[#This Row],[Y]]=1),ROW()-ROW(Множество[[#Headers],[№]]),"")</f>
        <v/>
      </c>
      <c r="AI818" s="66">
        <v>1</v>
      </c>
      <c r="AJ818" s="66">
        <f>IF(LEN(Множество[[#This Row],[Свёртка]])&gt;0,1,-1)</f>
        <v>1</v>
      </c>
      <c r="AK818" s="66" t="s">
        <v>1781</v>
      </c>
      <c r="AL818" s="209">
        <f>IF(LEN(Множество[[#This Row],[Критерии]])&gt;0,1,-1)</f>
        <v>1</v>
      </c>
      <c r="AM818" s="209">
        <f>IF(AND(LEN(Множество[[#This Row],[Свёртка]])&gt;0,LEN(Множество[[#This Row],[Критерии]])&gt;0,LEN(Множество[[#This Row],[Оценки]])&gt;0),1,-1)</f>
        <v>-1</v>
      </c>
      <c r="AN818" s="230"/>
      <c r="AO818" s="208"/>
      <c r="AP818" s="208"/>
      <c r="AQ818" s="208"/>
      <c r="AR818" s="226"/>
      <c r="AS818" s="225"/>
      <c r="AT818" s="226"/>
      <c r="AU818" s="225"/>
      <c r="AV818" s="225"/>
      <c r="AW818" s="225"/>
      <c r="AX818" s="225"/>
      <c r="AY818" s="225"/>
    </row>
    <row r="819" spans="33:51" x14ac:dyDescent="0.25">
      <c r="AG819" s="66" t="str">
        <f>IF(AND(Множество[[#This Row],[Y]]=1),ROW()-ROW(Множество[[#Headers],[№]]),"")</f>
        <v/>
      </c>
      <c r="AI819" s="66">
        <v>1</v>
      </c>
      <c r="AJ819" s="66">
        <f>IF(LEN(Множество[[#This Row],[Свёртка]])&gt;0,1,-1)</f>
        <v>1</v>
      </c>
      <c r="AK819" s="66" t="s">
        <v>1781</v>
      </c>
      <c r="AL819" s="209">
        <f>IF(LEN(Множество[[#This Row],[Критерии]])&gt;0,1,-1)</f>
        <v>1</v>
      </c>
      <c r="AM819" s="209">
        <f>IF(AND(LEN(Множество[[#This Row],[Свёртка]])&gt;0,LEN(Множество[[#This Row],[Критерии]])&gt;0,LEN(Множество[[#This Row],[Оценки]])&gt;0),1,-1)</f>
        <v>-1</v>
      </c>
      <c r="AN819" s="230"/>
      <c r="AO819" s="208"/>
      <c r="AP819" s="208"/>
      <c r="AQ819" s="208"/>
      <c r="AR819" s="226"/>
      <c r="AS819" s="225"/>
      <c r="AT819" s="226"/>
      <c r="AU819" s="225"/>
      <c r="AV819" s="225"/>
      <c r="AW819" s="225"/>
      <c r="AX819" s="225"/>
      <c r="AY819" s="225"/>
    </row>
    <row r="820" spans="33:51" x14ac:dyDescent="0.25">
      <c r="AG820" s="66" t="str">
        <f>IF(AND(Множество[[#This Row],[Y]]=1),ROW()-ROW(Множество[[#Headers],[№]]),"")</f>
        <v/>
      </c>
      <c r="AI820" s="66">
        <v>1</v>
      </c>
      <c r="AJ820" s="66">
        <f>IF(LEN(Множество[[#This Row],[Свёртка]])&gt;0,1,-1)</f>
        <v>1</v>
      </c>
      <c r="AK820" s="66" t="s">
        <v>1781</v>
      </c>
      <c r="AL820" s="209">
        <f>IF(LEN(Множество[[#This Row],[Критерии]])&gt;0,1,-1)</f>
        <v>1</v>
      </c>
      <c r="AM820" s="209">
        <f>IF(AND(LEN(Множество[[#This Row],[Свёртка]])&gt;0,LEN(Множество[[#This Row],[Критерии]])&gt;0,LEN(Множество[[#This Row],[Оценки]])&gt;0),1,-1)</f>
        <v>-1</v>
      </c>
      <c r="AN820" s="230"/>
      <c r="AO820" s="208"/>
      <c r="AP820" s="208"/>
      <c r="AQ820" s="208"/>
      <c r="AR820" s="226"/>
      <c r="AS820" s="225"/>
      <c r="AT820" s="226"/>
      <c r="AU820" s="225"/>
      <c r="AV820" s="225"/>
      <c r="AW820" s="225"/>
      <c r="AX820" s="225"/>
      <c r="AY820" s="225"/>
    </row>
    <row r="821" spans="33:51" x14ac:dyDescent="0.25">
      <c r="AG821" s="66" t="str">
        <f>IF(AND(Множество[[#This Row],[Y]]=1),ROW()-ROW(Множество[[#Headers],[№]]),"")</f>
        <v/>
      </c>
      <c r="AI821" s="66">
        <v>1</v>
      </c>
      <c r="AJ821" s="66">
        <f>IF(LEN(Множество[[#This Row],[Свёртка]])&gt;0,1,-1)</f>
        <v>1</v>
      </c>
      <c r="AK821" s="66" t="s">
        <v>1781</v>
      </c>
      <c r="AL821" s="209">
        <f>IF(LEN(Множество[[#This Row],[Критерии]])&gt;0,1,-1)</f>
        <v>1</v>
      </c>
      <c r="AM821" s="209">
        <f>IF(AND(LEN(Множество[[#This Row],[Свёртка]])&gt;0,LEN(Множество[[#This Row],[Критерии]])&gt;0,LEN(Множество[[#This Row],[Оценки]])&gt;0),1,-1)</f>
        <v>-1</v>
      </c>
      <c r="AN821" s="230"/>
      <c r="AO821" s="208"/>
      <c r="AP821" s="208"/>
      <c r="AQ821" s="208"/>
      <c r="AR821" s="226"/>
      <c r="AS821" s="225"/>
      <c r="AT821" s="226"/>
      <c r="AU821" s="225"/>
      <c r="AV821" s="225"/>
      <c r="AW821" s="225"/>
      <c r="AX821" s="225"/>
      <c r="AY821" s="225"/>
    </row>
    <row r="822" spans="33:51" x14ac:dyDescent="0.25">
      <c r="AG822" s="66" t="str">
        <f>IF(AND(Множество[[#This Row],[Y]]=1),ROW()-ROW(Множество[[#Headers],[№]]),"")</f>
        <v/>
      </c>
      <c r="AI822" s="66">
        <v>1</v>
      </c>
      <c r="AJ822" s="66">
        <f>IF(LEN(Множество[[#This Row],[Свёртка]])&gt;0,1,-1)</f>
        <v>1</v>
      </c>
      <c r="AK822" s="66" t="s">
        <v>1781</v>
      </c>
      <c r="AL822" s="209">
        <f>IF(LEN(Множество[[#This Row],[Критерии]])&gt;0,1,-1)</f>
        <v>1</v>
      </c>
      <c r="AM822" s="209">
        <f>IF(AND(LEN(Множество[[#This Row],[Свёртка]])&gt;0,LEN(Множество[[#This Row],[Критерии]])&gt;0,LEN(Множество[[#This Row],[Оценки]])&gt;0),1,-1)</f>
        <v>-1</v>
      </c>
      <c r="AN822" s="230"/>
      <c r="AO822" s="208"/>
      <c r="AP822" s="208"/>
      <c r="AQ822" s="208"/>
      <c r="AR822" s="226"/>
      <c r="AS822" s="225"/>
      <c r="AT822" s="226"/>
      <c r="AU822" s="225"/>
      <c r="AV822" s="225"/>
      <c r="AW822" s="225"/>
      <c r="AX822" s="225"/>
      <c r="AY822" s="225"/>
    </row>
    <row r="823" spans="33:51" x14ac:dyDescent="0.25">
      <c r="AG823" s="66" t="str">
        <f>IF(AND(Множество[[#This Row],[Y]]=1),ROW()-ROW(Множество[[#Headers],[№]]),"")</f>
        <v/>
      </c>
      <c r="AI823" s="66">
        <v>1</v>
      </c>
      <c r="AJ823" s="66">
        <f>IF(LEN(Множество[[#This Row],[Свёртка]])&gt;0,1,-1)</f>
        <v>1</v>
      </c>
      <c r="AK823" s="66" t="s">
        <v>1781</v>
      </c>
      <c r="AL823" s="209">
        <f>IF(LEN(Множество[[#This Row],[Критерии]])&gt;0,1,-1)</f>
        <v>1</v>
      </c>
      <c r="AM823" s="209">
        <f>IF(AND(LEN(Множество[[#This Row],[Свёртка]])&gt;0,LEN(Множество[[#This Row],[Критерии]])&gt;0,LEN(Множество[[#This Row],[Оценки]])&gt;0),1,-1)</f>
        <v>-1</v>
      </c>
      <c r="AN823" s="230"/>
      <c r="AO823" s="208"/>
      <c r="AP823" s="208"/>
      <c r="AQ823" s="208"/>
      <c r="AR823" s="226"/>
      <c r="AS823" s="225"/>
      <c r="AT823" s="226"/>
      <c r="AU823" s="225"/>
      <c r="AV823" s="225"/>
      <c r="AW823" s="225"/>
      <c r="AX823" s="225"/>
      <c r="AY823" s="225"/>
    </row>
    <row r="824" spans="33:51" x14ac:dyDescent="0.25">
      <c r="AG824" s="66" t="str">
        <f>IF(AND(Множество[[#This Row],[Y]]=1),ROW()-ROW(Множество[[#Headers],[№]]),"")</f>
        <v/>
      </c>
      <c r="AI824" s="66">
        <v>1</v>
      </c>
      <c r="AJ824" s="66">
        <f>IF(LEN(Множество[[#This Row],[Свёртка]])&gt;0,1,-1)</f>
        <v>1</v>
      </c>
      <c r="AK824" s="66" t="s">
        <v>1781</v>
      </c>
      <c r="AL824" s="209">
        <f>IF(LEN(Множество[[#This Row],[Критерии]])&gt;0,1,-1)</f>
        <v>1</v>
      </c>
      <c r="AM824" s="209">
        <f>IF(AND(LEN(Множество[[#This Row],[Свёртка]])&gt;0,LEN(Множество[[#This Row],[Критерии]])&gt;0,LEN(Множество[[#This Row],[Оценки]])&gt;0),1,-1)</f>
        <v>-1</v>
      </c>
      <c r="AN824" s="230"/>
      <c r="AO824" s="208"/>
      <c r="AP824" s="208"/>
      <c r="AQ824" s="208"/>
      <c r="AR824" s="226"/>
      <c r="AS824" s="225"/>
      <c r="AT824" s="226"/>
      <c r="AU824" s="225"/>
      <c r="AV824" s="225"/>
      <c r="AW824" s="225"/>
      <c r="AX824" s="225"/>
      <c r="AY824" s="225"/>
    </row>
    <row r="825" spans="33:51" x14ac:dyDescent="0.25">
      <c r="AG825" s="66" t="str">
        <f>IF(AND(Множество[[#This Row],[Y]]=1),ROW()-ROW(Множество[[#Headers],[№]]),"")</f>
        <v/>
      </c>
      <c r="AI825" s="66">
        <v>1</v>
      </c>
      <c r="AJ825" s="66">
        <f>IF(LEN(Множество[[#This Row],[Свёртка]])&gt;0,1,-1)</f>
        <v>1</v>
      </c>
      <c r="AK825" s="66" t="s">
        <v>1781</v>
      </c>
      <c r="AL825" s="209">
        <f>IF(LEN(Множество[[#This Row],[Критерии]])&gt;0,1,-1)</f>
        <v>1</v>
      </c>
      <c r="AM825" s="209">
        <f>IF(AND(LEN(Множество[[#This Row],[Свёртка]])&gt;0,LEN(Множество[[#This Row],[Критерии]])&gt;0,LEN(Множество[[#This Row],[Оценки]])&gt;0),1,-1)</f>
        <v>-1</v>
      </c>
      <c r="AN825" s="230"/>
      <c r="AO825" s="208"/>
      <c r="AP825" s="208"/>
      <c r="AQ825" s="208"/>
      <c r="AR825" s="226"/>
      <c r="AS825" s="225"/>
      <c r="AT825" s="226"/>
      <c r="AU825" s="225"/>
      <c r="AV825" s="225"/>
      <c r="AW825" s="225"/>
      <c r="AX825" s="225"/>
      <c r="AY825" s="225"/>
    </row>
    <row r="826" spans="33:51" x14ac:dyDescent="0.25">
      <c r="AG826" s="66" t="str">
        <f>IF(AND(Множество[[#This Row],[Y]]=1),ROW()-ROW(Множество[[#Headers],[№]]),"")</f>
        <v/>
      </c>
      <c r="AI826" s="66">
        <v>1</v>
      </c>
      <c r="AJ826" s="66">
        <f>IF(LEN(Множество[[#This Row],[Свёртка]])&gt;0,1,-1)</f>
        <v>1</v>
      </c>
      <c r="AK826" s="66" t="s">
        <v>1781</v>
      </c>
      <c r="AL826" s="209">
        <f>IF(LEN(Множество[[#This Row],[Критерии]])&gt;0,1,-1)</f>
        <v>1</v>
      </c>
      <c r="AM826" s="209">
        <f>IF(AND(LEN(Множество[[#This Row],[Свёртка]])&gt;0,LEN(Множество[[#This Row],[Критерии]])&gt;0,LEN(Множество[[#This Row],[Оценки]])&gt;0),1,-1)</f>
        <v>-1</v>
      </c>
      <c r="AN826" s="230"/>
      <c r="AO826" s="208"/>
      <c r="AP826" s="208"/>
      <c r="AQ826" s="208"/>
      <c r="AR826" s="226"/>
      <c r="AS826" s="225"/>
      <c r="AT826" s="226"/>
      <c r="AU826" s="225"/>
      <c r="AV826" s="225"/>
      <c r="AW826" s="225"/>
      <c r="AX826" s="225"/>
      <c r="AY826" s="225"/>
    </row>
    <row r="827" spans="33:51" x14ac:dyDescent="0.25">
      <c r="AG827" s="66" t="str">
        <f>IF(AND(Множество[[#This Row],[Y]]=1),ROW()-ROW(Множество[[#Headers],[№]]),"")</f>
        <v/>
      </c>
      <c r="AI827" s="66">
        <v>1</v>
      </c>
      <c r="AJ827" s="66">
        <f>IF(LEN(Множество[[#This Row],[Свёртка]])&gt;0,1,-1)</f>
        <v>1</v>
      </c>
      <c r="AK827" s="66" t="s">
        <v>1781</v>
      </c>
      <c r="AL827" s="209">
        <f>IF(LEN(Множество[[#This Row],[Критерии]])&gt;0,1,-1)</f>
        <v>1</v>
      </c>
      <c r="AM827" s="209">
        <f>IF(AND(LEN(Множество[[#This Row],[Свёртка]])&gt;0,LEN(Множество[[#This Row],[Критерии]])&gt;0,LEN(Множество[[#This Row],[Оценки]])&gt;0),1,-1)</f>
        <v>-1</v>
      </c>
      <c r="AN827" s="230"/>
      <c r="AO827" s="208"/>
      <c r="AP827" s="208"/>
      <c r="AQ827" s="208"/>
      <c r="AR827" s="226"/>
      <c r="AS827" s="225"/>
      <c r="AT827" s="226"/>
      <c r="AU827" s="225"/>
      <c r="AV827" s="225"/>
      <c r="AW827" s="225"/>
      <c r="AX827" s="225"/>
      <c r="AY827" s="225"/>
    </row>
    <row r="828" spans="33:51" x14ac:dyDescent="0.25">
      <c r="AG828" s="66" t="str">
        <f>IF(AND(Множество[[#This Row],[Y]]=1),ROW()-ROW(Множество[[#Headers],[№]]),"")</f>
        <v/>
      </c>
      <c r="AI828" s="66">
        <v>1</v>
      </c>
      <c r="AJ828" s="66">
        <f>IF(LEN(Множество[[#This Row],[Свёртка]])&gt;0,1,-1)</f>
        <v>1</v>
      </c>
      <c r="AK828" s="66" t="s">
        <v>1781</v>
      </c>
      <c r="AL828" s="209">
        <f>IF(LEN(Множество[[#This Row],[Критерии]])&gt;0,1,-1)</f>
        <v>1</v>
      </c>
      <c r="AM828" s="209">
        <f>IF(AND(LEN(Множество[[#This Row],[Свёртка]])&gt;0,LEN(Множество[[#This Row],[Критерии]])&gt;0,LEN(Множество[[#This Row],[Оценки]])&gt;0),1,-1)</f>
        <v>-1</v>
      </c>
      <c r="AN828" s="230"/>
      <c r="AO828" s="208"/>
      <c r="AP828" s="208"/>
      <c r="AQ828" s="208"/>
      <c r="AR828" s="226"/>
      <c r="AS828" s="225"/>
      <c r="AT828" s="226"/>
      <c r="AU828" s="225"/>
      <c r="AV828" s="225"/>
      <c r="AW828" s="225"/>
      <c r="AX828" s="225"/>
      <c r="AY828" s="225"/>
    </row>
    <row r="829" spans="33:51" x14ac:dyDescent="0.25">
      <c r="AG829" s="66" t="str">
        <f>IF(AND(Множество[[#This Row],[Y]]=1),ROW()-ROW(Множество[[#Headers],[№]]),"")</f>
        <v/>
      </c>
      <c r="AI829" s="66">
        <v>1</v>
      </c>
      <c r="AJ829" s="66">
        <f>IF(LEN(Множество[[#This Row],[Свёртка]])&gt;0,1,-1)</f>
        <v>1</v>
      </c>
      <c r="AK829" s="66" t="s">
        <v>1781</v>
      </c>
      <c r="AL829" s="209">
        <f>IF(LEN(Множество[[#This Row],[Критерии]])&gt;0,1,-1)</f>
        <v>1</v>
      </c>
      <c r="AM829" s="209">
        <f>IF(AND(LEN(Множество[[#This Row],[Свёртка]])&gt;0,LEN(Множество[[#This Row],[Критерии]])&gt;0,LEN(Множество[[#This Row],[Оценки]])&gt;0),1,-1)</f>
        <v>-1</v>
      </c>
      <c r="AN829" s="230"/>
      <c r="AO829" s="208"/>
      <c r="AP829" s="208"/>
      <c r="AQ829" s="208"/>
      <c r="AR829" s="226"/>
      <c r="AS829" s="225"/>
      <c r="AT829" s="226"/>
      <c r="AU829" s="225"/>
      <c r="AV829" s="225"/>
      <c r="AW829" s="225"/>
      <c r="AX829" s="225"/>
      <c r="AY829" s="225"/>
    </row>
    <row r="830" spans="33:51" x14ac:dyDescent="0.25">
      <c r="AG830" s="66" t="str">
        <f>IF(AND(Множество[[#This Row],[Y]]=1),ROW()-ROW(Множество[[#Headers],[№]]),"")</f>
        <v/>
      </c>
      <c r="AI830" s="66">
        <v>1</v>
      </c>
      <c r="AJ830" s="66">
        <f>IF(LEN(Множество[[#This Row],[Свёртка]])&gt;0,1,-1)</f>
        <v>1</v>
      </c>
      <c r="AK830" s="66" t="s">
        <v>1781</v>
      </c>
      <c r="AL830" s="209">
        <f>IF(LEN(Множество[[#This Row],[Критерии]])&gt;0,1,-1)</f>
        <v>1</v>
      </c>
      <c r="AM830" s="209">
        <f>IF(AND(LEN(Множество[[#This Row],[Свёртка]])&gt;0,LEN(Множество[[#This Row],[Критерии]])&gt;0,LEN(Множество[[#This Row],[Оценки]])&gt;0),1,-1)</f>
        <v>-1</v>
      </c>
      <c r="AN830" s="230"/>
      <c r="AO830" s="208"/>
      <c r="AP830" s="208"/>
      <c r="AQ830" s="208"/>
      <c r="AR830" s="226"/>
      <c r="AS830" s="225"/>
      <c r="AT830" s="226"/>
      <c r="AU830" s="225"/>
      <c r="AV830" s="225"/>
      <c r="AW830" s="225"/>
      <c r="AX830" s="225"/>
      <c r="AY830" s="225"/>
    </row>
    <row r="831" spans="33:51" x14ac:dyDescent="0.25">
      <c r="AG831" s="66" t="str">
        <f>IF(AND(Множество[[#This Row],[Y]]=1),ROW()-ROW(Множество[[#Headers],[№]]),"")</f>
        <v/>
      </c>
      <c r="AI831" s="66">
        <v>1</v>
      </c>
      <c r="AJ831" s="66">
        <f>IF(LEN(Множество[[#This Row],[Свёртка]])&gt;0,1,-1)</f>
        <v>1</v>
      </c>
      <c r="AK831" s="66" t="s">
        <v>1781</v>
      </c>
      <c r="AL831" s="209">
        <f>IF(LEN(Множество[[#This Row],[Критерии]])&gt;0,1,-1)</f>
        <v>1</v>
      </c>
      <c r="AM831" s="209">
        <f>IF(AND(LEN(Множество[[#This Row],[Свёртка]])&gt;0,LEN(Множество[[#This Row],[Критерии]])&gt;0,LEN(Множество[[#This Row],[Оценки]])&gt;0),1,-1)</f>
        <v>-1</v>
      </c>
      <c r="AN831" s="230"/>
      <c r="AO831" s="208"/>
      <c r="AP831" s="208"/>
      <c r="AQ831" s="208"/>
      <c r="AR831" s="226"/>
      <c r="AS831" s="225"/>
      <c r="AT831" s="226"/>
      <c r="AU831" s="225"/>
      <c r="AV831" s="225"/>
      <c r="AW831" s="225"/>
      <c r="AX831" s="225"/>
      <c r="AY831" s="225"/>
    </row>
    <row r="832" spans="33:51" x14ac:dyDescent="0.25">
      <c r="AG832" s="66" t="str">
        <f>IF(AND(Множество[[#This Row],[Y]]=1),ROW()-ROW(Множество[[#Headers],[№]]),"")</f>
        <v/>
      </c>
      <c r="AI832" s="66">
        <v>1</v>
      </c>
      <c r="AJ832" s="66">
        <f>IF(LEN(Множество[[#This Row],[Свёртка]])&gt;0,1,-1)</f>
        <v>1</v>
      </c>
      <c r="AK832" s="66" t="s">
        <v>1781</v>
      </c>
      <c r="AL832" s="209">
        <f>IF(LEN(Множество[[#This Row],[Критерии]])&gt;0,1,-1)</f>
        <v>1</v>
      </c>
      <c r="AM832" s="209">
        <f>IF(AND(LEN(Множество[[#This Row],[Свёртка]])&gt;0,LEN(Множество[[#This Row],[Критерии]])&gt;0,LEN(Множество[[#This Row],[Оценки]])&gt;0),1,-1)</f>
        <v>-1</v>
      </c>
      <c r="AN832" s="230"/>
      <c r="AO832" s="208"/>
      <c r="AP832" s="208"/>
      <c r="AQ832" s="208"/>
      <c r="AR832" s="226"/>
      <c r="AS832" s="225"/>
      <c r="AT832" s="226"/>
      <c r="AU832" s="225"/>
      <c r="AV832" s="225"/>
      <c r="AW832" s="225"/>
      <c r="AX832" s="225"/>
      <c r="AY832" s="225"/>
    </row>
    <row r="833" spans="33:51" x14ac:dyDescent="0.25">
      <c r="AG833" s="66" t="str">
        <f>IF(AND(Множество[[#This Row],[Y]]=1),ROW()-ROW(Множество[[#Headers],[№]]),"")</f>
        <v/>
      </c>
      <c r="AI833" s="66">
        <v>1</v>
      </c>
      <c r="AJ833" s="66">
        <f>IF(LEN(Множество[[#This Row],[Свёртка]])&gt;0,1,-1)</f>
        <v>1</v>
      </c>
      <c r="AK833" s="66" t="s">
        <v>1781</v>
      </c>
      <c r="AL833" s="209">
        <f>IF(LEN(Множество[[#This Row],[Критерии]])&gt;0,1,-1)</f>
        <v>1</v>
      </c>
      <c r="AM833" s="209">
        <f>IF(AND(LEN(Множество[[#This Row],[Свёртка]])&gt;0,LEN(Множество[[#This Row],[Критерии]])&gt;0,LEN(Множество[[#This Row],[Оценки]])&gt;0),1,-1)</f>
        <v>-1</v>
      </c>
      <c r="AN833" s="230"/>
      <c r="AO833" s="208"/>
      <c r="AP833" s="208"/>
      <c r="AQ833" s="208"/>
      <c r="AR833" s="226"/>
      <c r="AS833" s="225"/>
      <c r="AT833" s="226"/>
      <c r="AU833" s="225"/>
      <c r="AV833" s="225"/>
      <c r="AW833" s="225"/>
      <c r="AX833" s="225"/>
      <c r="AY833" s="225"/>
    </row>
    <row r="834" spans="33:51" x14ac:dyDescent="0.25">
      <c r="AG834" s="66" t="str">
        <f>IF(AND(Множество[[#This Row],[Y]]=1),ROW()-ROW(Множество[[#Headers],[№]]),"")</f>
        <v/>
      </c>
      <c r="AI834" s="66">
        <v>1</v>
      </c>
      <c r="AJ834" s="66">
        <f>IF(LEN(Множество[[#This Row],[Свёртка]])&gt;0,1,-1)</f>
        <v>1</v>
      </c>
      <c r="AK834" s="66" t="s">
        <v>1781</v>
      </c>
      <c r="AL834" s="209">
        <f>IF(LEN(Множество[[#This Row],[Критерии]])&gt;0,1,-1)</f>
        <v>1</v>
      </c>
      <c r="AM834" s="209">
        <f>IF(AND(LEN(Множество[[#This Row],[Свёртка]])&gt;0,LEN(Множество[[#This Row],[Критерии]])&gt;0,LEN(Множество[[#This Row],[Оценки]])&gt;0),1,-1)</f>
        <v>-1</v>
      </c>
      <c r="AN834" s="230"/>
      <c r="AO834" s="208"/>
      <c r="AP834" s="208"/>
      <c r="AQ834" s="208"/>
      <c r="AR834" s="226"/>
      <c r="AS834" s="225"/>
      <c r="AT834" s="226"/>
      <c r="AU834" s="225"/>
      <c r="AV834" s="225"/>
      <c r="AW834" s="225"/>
      <c r="AX834" s="225"/>
      <c r="AY834" s="225"/>
    </row>
    <row r="835" spans="33:51" x14ac:dyDescent="0.25">
      <c r="AG835" s="66" t="str">
        <f>IF(AND(Множество[[#This Row],[Y]]=1),ROW()-ROW(Множество[[#Headers],[№]]),"")</f>
        <v/>
      </c>
      <c r="AI835" s="66">
        <v>1</v>
      </c>
      <c r="AJ835" s="66">
        <f>IF(LEN(Множество[[#This Row],[Свёртка]])&gt;0,1,-1)</f>
        <v>1</v>
      </c>
      <c r="AK835" s="66" t="s">
        <v>1781</v>
      </c>
      <c r="AL835" s="209">
        <f>IF(LEN(Множество[[#This Row],[Критерии]])&gt;0,1,-1)</f>
        <v>1</v>
      </c>
      <c r="AM835" s="209">
        <f>IF(AND(LEN(Множество[[#This Row],[Свёртка]])&gt;0,LEN(Множество[[#This Row],[Критерии]])&gt;0,LEN(Множество[[#This Row],[Оценки]])&gt;0),1,-1)</f>
        <v>-1</v>
      </c>
      <c r="AN835" s="230"/>
      <c r="AO835" s="208"/>
      <c r="AP835" s="208"/>
      <c r="AQ835" s="208"/>
      <c r="AR835" s="226"/>
      <c r="AS835" s="225"/>
      <c r="AT835" s="226"/>
      <c r="AU835" s="225"/>
      <c r="AV835" s="225"/>
      <c r="AW835" s="225"/>
      <c r="AX835" s="225"/>
      <c r="AY835" s="225"/>
    </row>
    <row r="836" spans="33:51" x14ac:dyDescent="0.25">
      <c r="AG836" s="66" t="str">
        <f>IF(AND(Множество[[#This Row],[Y]]=1),ROW()-ROW(Множество[[#Headers],[№]]),"")</f>
        <v/>
      </c>
      <c r="AI836" s="66">
        <v>1</v>
      </c>
      <c r="AJ836" s="66">
        <f>IF(LEN(Множество[[#This Row],[Свёртка]])&gt;0,1,-1)</f>
        <v>1</v>
      </c>
      <c r="AK836" s="66" t="s">
        <v>1781</v>
      </c>
      <c r="AL836" s="209">
        <f>IF(LEN(Множество[[#This Row],[Критерии]])&gt;0,1,-1)</f>
        <v>1</v>
      </c>
      <c r="AM836" s="209">
        <f>IF(AND(LEN(Множество[[#This Row],[Свёртка]])&gt;0,LEN(Множество[[#This Row],[Критерии]])&gt;0,LEN(Множество[[#This Row],[Оценки]])&gt;0),1,-1)</f>
        <v>-1</v>
      </c>
      <c r="AN836" s="230"/>
      <c r="AO836" s="208"/>
      <c r="AP836" s="208"/>
      <c r="AQ836" s="208"/>
      <c r="AR836" s="226"/>
      <c r="AS836" s="225"/>
      <c r="AT836" s="226"/>
      <c r="AU836" s="225"/>
      <c r="AV836" s="225"/>
      <c r="AW836" s="225"/>
      <c r="AX836" s="225"/>
      <c r="AY836" s="225"/>
    </row>
    <row r="837" spans="33:51" x14ac:dyDescent="0.25">
      <c r="AG837" s="66" t="str">
        <f>IF(AND(Множество[[#This Row],[Y]]=1),ROW()-ROW(Множество[[#Headers],[№]]),"")</f>
        <v/>
      </c>
      <c r="AI837" s="66">
        <v>1</v>
      </c>
      <c r="AJ837" s="66">
        <f>IF(LEN(Множество[[#This Row],[Свёртка]])&gt;0,1,-1)</f>
        <v>1</v>
      </c>
      <c r="AK837" s="66" t="s">
        <v>1781</v>
      </c>
      <c r="AL837" s="209">
        <f>IF(LEN(Множество[[#This Row],[Критерии]])&gt;0,1,-1)</f>
        <v>1</v>
      </c>
      <c r="AM837" s="209">
        <f>IF(AND(LEN(Множество[[#This Row],[Свёртка]])&gt;0,LEN(Множество[[#This Row],[Критерии]])&gt;0,LEN(Множество[[#This Row],[Оценки]])&gt;0),1,-1)</f>
        <v>-1</v>
      </c>
      <c r="AN837" s="230"/>
      <c r="AO837" s="208"/>
      <c r="AP837" s="208"/>
      <c r="AQ837" s="208"/>
      <c r="AR837" s="226"/>
      <c r="AS837" s="225"/>
      <c r="AT837" s="226"/>
      <c r="AU837" s="225"/>
      <c r="AV837" s="225"/>
      <c r="AW837" s="225"/>
      <c r="AX837" s="225"/>
      <c r="AY837" s="225"/>
    </row>
    <row r="838" spans="33:51" x14ac:dyDescent="0.25">
      <c r="AG838" s="66" t="str">
        <f>IF(AND(Множество[[#This Row],[Y]]=1),ROW()-ROW(Множество[[#Headers],[№]]),"")</f>
        <v/>
      </c>
      <c r="AI838" s="66">
        <v>1</v>
      </c>
      <c r="AJ838" s="66">
        <f>IF(LEN(Множество[[#This Row],[Свёртка]])&gt;0,1,-1)</f>
        <v>1</v>
      </c>
      <c r="AK838" s="66" t="s">
        <v>1781</v>
      </c>
      <c r="AL838" s="209">
        <f>IF(LEN(Множество[[#This Row],[Критерии]])&gt;0,1,-1)</f>
        <v>1</v>
      </c>
      <c r="AM838" s="209">
        <f>IF(AND(LEN(Множество[[#This Row],[Свёртка]])&gt;0,LEN(Множество[[#This Row],[Критерии]])&gt;0,LEN(Множество[[#This Row],[Оценки]])&gt;0),1,-1)</f>
        <v>-1</v>
      </c>
      <c r="AN838" s="230"/>
      <c r="AO838" s="208"/>
      <c r="AP838" s="208"/>
      <c r="AQ838" s="208"/>
      <c r="AR838" s="226"/>
      <c r="AS838" s="225"/>
      <c r="AT838" s="226"/>
      <c r="AU838" s="225"/>
      <c r="AV838" s="225"/>
      <c r="AW838" s="225"/>
      <c r="AX838" s="225"/>
      <c r="AY838" s="225"/>
    </row>
    <row r="839" spans="33:51" x14ac:dyDescent="0.25">
      <c r="AG839" s="66" t="str">
        <f>IF(AND(Множество[[#This Row],[Y]]=1),ROW()-ROW(Множество[[#Headers],[№]]),"")</f>
        <v/>
      </c>
      <c r="AI839" s="66">
        <v>1</v>
      </c>
      <c r="AJ839" s="66">
        <f>IF(LEN(Множество[[#This Row],[Свёртка]])&gt;0,1,-1)</f>
        <v>1</v>
      </c>
      <c r="AK839" s="66" t="s">
        <v>1781</v>
      </c>
      <c r="AL839" s="209">
        <f>IF(LEN(Множество[[#This Row],[Критерии]])&gt;0,1,-1)</f>
        <v>1</v>
      </c>
      <c r="AM839" s="209">
        <f>IF(AND(LEN(Множество[[#This Row],[Свёртка]])&gt;0,LEN(Множество[[#This Row],[Критерии]])&gt;0,LEN(Множество[[#This Row],[Оценки]])&gt;0),1,-1)</f>
        <v>-1</v>
      </c>
      <c r="AN839" s="230"/>
      <c r="AO839" s="208"/>
      <c r="AP839" s="208"/>
      <c r="AQ839" s="208"/>
      <c r="AR839" s="226"/>
      <c r="AS839" s="225"/>
      <c r="AT839" s="226"/>
      <c r="AU839" s="225"/>
      <c r="AV839" s="225"/>
      <c r="AW839" s="225"/>
      <c r="AX839" s="225"/>
      <c r="AY839" s="225"/>
    </row>
    <row r="840" spans="33:51" x14ac:dyDescent="0.25">
      <c r="AG840" s="66" t="str">
        <f>IF(AND(Множество[[#This Row],[Y]]=1),ROW()-ROW(Множество[[#Headers],[№]]),"")</f>
        <v/>
      </c>
      <c r="AI840" s="66">
        <v>1</v>
      </c>
      <c r="AJ840" s="66">
        <f>IF(LEN(Множество[[#This Row],[Свёртка]])&gt;0,1,-1)</f>
        <v>1</v>
      </c>
      <c r="AK840" s="66" t="s">
        <v>1781</v>
      </c>
      <c r="AL840" s="209">
        <f>IF(LEN(Множество[[#This Row],[Критерии]])&gt;0,1,-1)</f>
        <v>1</v>
      </c>
      <c r="AM840" s="209">
        <f>IF(AND(LEN(Множество[[#This Row],[Свёртка]])&gt;0,LEN(Множество[[#This Row],[Критерии]])&gt;0,LEN(Множество[[#This Row],[Оценки]])&gt;0),1,-1)</f>
        <v>-1</v>
      </c>
      <c r="AN840" s="230"/>
      <c r="AO840" s="208"/>
      <c r="AP840" s="208"/>
      <c r="AQ840" s="208"/>
      <c r="AR840" s="226"/>
      <c r="AS840" s="225"/>
      <c r="AT840" s="226"/>
      <c r="AU840" s="225"/>
      <c r="AV840" s="225"/>
      <c r="AW840" s="225"/>
      <c r="AX840" s="225"/>
      <c r="AY840" s="225"/>
    </row>
    <row r="841" spans="33:51" x14ac:dyDescent="0.25">
      <c r="AG841" s="66" t="str">
        <f>IF(AND(Множество[[#This Row],[Y]]=1),ROW()-ROW(Множество[[#Headers],[№]]),"")</f>
        <v/>
      </c>
      <c r="AI841" s="66">
        <v>1</v>
      </c>
      <c r="AJ841" s="66">
        <f>IF(LEN(Множество[[#This Row],[Свёртка]])&gt;0,1,-1)</f>
        <v>1</v>
      </c>
      <c r="AK841" s="66" t="s">
        <v>1781</v>
      </c>
      <c r="AL841" s="209">
        <f>IF(LEN(Множество[[#This Row],[Критерии]])&gt;0,1,-1)</f>
        <v>1</v>
      </c>
      <c r="AM841" s="209">
        <f>IF(AND(LEN(Множество[[#This Row],[Свёртка]])&gt;0,LEN(Множество[[#This Row],[Критерии]])&gt;0,LEN(Множество[[#This Row],[Оценки]])&gt;0),1,-1)</f>
        <v>-1</v>
      </c>
      <c r="AN841" s="230"/>
      <c r="AO841" s="208"/>
      <c r="AP841" s="208"/>
      <c r="AQ841" s="208"/>
      <c r="AR841" s="226"/>
      <c r="AS841" s="225"/>
      <c r="AT841" s="226"/>
      <c r="AU841" s="225"/>
      <c r="AV841" s="225"/>
      <c r="AW841" s="225"/>
      <c r="AX841" s="225"/>
      <c r="AY841" s="225"/>
    </row>
    <row r="842" spans="33:51" x14ac:dyDescent="0.25">
      <c r="AG842" s="66" t="str">
        <f>IF(AND(Множество[[#This Row],[Y]]=1),ROW()-ROW(Множество[[#Headers],[№]]),"")</f>
        <v/>
      </c>
      <c r="AI842" s="66">
        <v>1</v>
      </c>
      <c r="AJ842" s="66">
        <f>IF(LEN(Множество[[#This Row],[Свёртка]])&gt;0,1,-1)</f>
        <v>1</v>
      </c>
      <c r="AK842" s="66" t="s">
        <v>1781</v>
      </c>
      <c r="AL842" s="209">
        <f>IF(LEN(Множество[[#This Row],[Критерии]])&gt;0,1,-1)</f>
        <v>1</v>
      </c>
      <c r="AM842" s="209">
        <f>IF(AND(LEN(Множество[[#This Row],[Свёртка]])&gt;0,LEN(Множество[[#This Row],[Критерии]])&gt;0,LEN(Множество[[#This Row],[Оценки]])&gt;0),1,-1)</f>
        <v>-1</v>
      </c>
      <c r="AN842" s="230"/>
      <c r="AO842" s="208"/>
      <c r="AP842" s="208"/>
      <c r="AQ842" s="208"/>
      <c r="AR842" s="226"/>
      <c r="AS842" s="225"/>
      <c r="AT842" s="226"/>
      <c r="AU842" s="225"/>
      <c r="AV842" s="225"/>
      <c r="AW842" s="225"/>
      <c r="AX842" s="225"/>
      <c r="AY842" s="225"/>
    </row>
    <row r="843" spans="33:51" x14ac:dyDescent="0.25">
      <c r="AG843" s="66" t="str">
        <f>IF(AND(Множество[[#This Row],[Y]]=1),ROW()-ROW(Множество[[#Headers],[№]]),"")</f>
        <v/>
      </c>
      <c r="AI843" s="66">
        <v>1</v>
      </c>
      <c r="AJ843" s="66">
        <f>IF(LEN(Множество[[#This Row],[Свёртка]])&gt;0,1,-1)</f>
        <v>1</v>
      </c>
      <c r="AK843" s="66" t="s">
        <v>1781</v>
      </c>
      <c r="AL843" s="209">
        <f>IF(LEN(Множество[[#This Row],[Критерии]])&gt;0,1,-1)</f>
        <v>1</v>
      </c>
      <c r="AM843" s="209">
        <f>IF(AND(LEN(Множество[[#This Row],[Свёртка]])&gt;0,LEN(Множество[[#This Row],[Критерии]])&gt;0,LEN(Множество[[#This Row],[Оценки]])&gt;0),1,-1)</f>
        <v>-1</v>
      </c>
      <c r="AN843" s="230"/>
      <c r="AO843" s="208"/>
      <c r="AP843" s="208"/>
      <c r="AQ843" s="208"/>
      <c r="AR843" s="226"/>
      <c r="AS843" s="225"/>
      <c r="AT843" s="226"/>
      <c r="AU843" s="225"/>
      <c r="AV843" s="225"/>
      <c r="AW843" s="225"/>
      <c r="AX843" s="225"/>
      <c r="AY843" s="225"/>
    </row>
    <row r="844" spans="33:51" x14ac:dyDescent="0.25">
      <c r="AG844" s="66" t="str">
        <f>IF(AND(Множество[[#This Row],[Y]]=1),ROW()-ROW(Множество[[#Headers],[№]]),"")</f>
        <v/>
      </c>
      <c r="AI844" s="66">
        <v>1</v>
      </c>
      <c r="AJ844" s="66">
        <f>IF(LEN(Множество[[#This Row],[Свёртка]])&gt;0,1,-1)</f>
        <v>1</v>
      </c>
      <c r="AK844" s="66" t="s">
        <v>1781</v>
      </c>
      <c r="AL844" s="209">
        <f>IF(LEN(Множество[[#This Row],[Критерии]])&gt;0,1,-1)</f>
        <v>1</v>
      </c>
      <c r="AM844" s="209">
        <f>IF(AND(LEN(Множество[[#This Row],[Свёртка]])&gt;0,LEN(Множество[[#This Row],[Критерии]])&gt;0,LEN(Множество[[#This Row],[Оценки]])&gt;0),1,-1)</f>
        <v>-1</v>
      </c>
      <c r="AN844" s="230"/>
      <c r="AO844" s="208"/>
      <c r="AP844" s="208"/>
      <c r="AQ844" s="208"/>
      <c r="AR844" s="226"/>
      <c r="AS844" s="225"/>
      <c r="AT844" s="226"/>
      <c r="AU844" s="225"/>
      <c r="AV844" s="225"/>
      <c r="AW844" s="225"/>
      <c r="AX844" s="225"/>
      <c r="AY844" s="225"/>
    </row>
    <row r="845" spans="33:51" x14ac:dyDescent="0.25">
      <c r="AG845" s="66" t="str">
        <f>IF(AND(Множество[[#This Row],[Y]]=1),ROW()-ROW(Множество[[#Headers],[№]]),"")</f>
        <v/>
      </c>
      <c r="AI845" s="66">
        <v>1</v>
      </c>
      <c r="AJ845" s="66">
        <f>IF(LEN(Множество[[#This Row],[Свёртка]])&gt;0,1,-1)</f>
        <v>1</v>
      </c>
      <c r="AK845" s="66" t="s">
        <v>1781</v>
      </c>
      <c r="AL845" s="209">
        <f>IF(LEN(Множество[[#This Row],[Критерии]])&gt;0,1,-1)</f>
        <v>1</v>
      </c>
      <c r="AM845" s="209">
        <f>IF(AND(LEN(Множество[[#This Row],[Свёртка]])&gt;0,LEN(Множество[[#This Row],[Критерии]])&gt;0,LEN(Множество[[#This Row],[Оценки]])&gt;0),1,-1)</f>
        <v>-1</v>
      </c>
      <c r="AN845" s="230"/>
      <c r="AO845" s="208"/>
      <c r="AP845" s="208"/>
      <c r="AQ845" s="208"/>
      <c r="AR845" s="226"/>
      <c r="AS845" s="225"/>
      <c r="AT845" s="226"/>
      <c r="AU845" s="225"/>
      <c r="AV845" s="225"/>
      <c r="AW845" s="225"/>
      <c r="AX845" s="225"/>
      <c r="AY845" s="225"/>
    </row>
    <row r="846" spans="33:51" x14ac:dyDescent="0.25">
      <c r="AG846" s="66" t="str">
        <f>IF(AND(Множество[[#This Row],[Y]]=1),ROW()-ROW(Множество[[#Headers],[№]]),"")</f>
        <v/>
      </c>
      <c r="AI846" s="66">
        <v>1</v>
      </c>
      <c r="AJ846" s="66">
        <f>IF(LEN(Множество[[#This Row],[Свёртка]])&gt;0,1,-1)</f>
        <v>1</v>
      </c>
      <c r="AK846" s="66" t="s">
        <v>1781</v>
      </c>
      <c r="AL846" s="209">
        <f>IF(LEN(Множество[[#This Row],[Критерии]])&gt;0,1,-1)</f>
        <v>1</v>
      </c>
      <c r="AM846" s="209">
        <f>IF(AND(LEN(Множество[[#This Row],[Свёртка]])&gt;0,LEN(Множество[[#This Row],[Критерии]])&gt;0,LEN(Множество[[#This Row],[Оценки]])&gt;0),1,-1)</f>
        <v>-1</v>
      </c>
      <c r="AN846" s="230"/>
      <c r="AO846" s="208"/>
      <c r="AP846" s="208"/>
      <c r="AQ846" s="208"/>
      <c r="AR846" s="226"/>
      <c r="AS846" s="225"/>
      <c r="AT846" s="226"/>
      <c r="AU846" s="225"/>
      <c r="AV846" s="225"/>
      <c r="AW846" s="225"/>
      <c r="AX846" s="225"/>
      <c r="AY846" s="225"/>
    </row>
    <row r="847" spans="33:51" x14ac:dyDescent="0.25">
      <c r="AG847" s="66" t="str">
        <f>IF(AND(Множество[[#This Row],[Y]]=1),ROW()-ROW(Множество[[#Headers],[№]]),"")</f>
        <v/>
      </c>
      <c r="AI847" s="66">
        <v>1</v>
      </c>
      <c r="AJ847" s="66">
        <f>IF(LEN(Множество[[#This Row],[Свёртка]])&gt;0,1,-1)</f>
        <v>1</v>
      </c>
      <c r="AK847" s="66" t="s">
        <v>1781</v>
      </c>
      <c r="AL847" s="209">
        <f>IF(LEN(Множество[[#This Row],[Критерии]])&gt;0,1,-1)</f>
        <v>1</v>
      </c>
      <c r="AM847" s="209">
        <f>IF(AND(LEN(Множество[[#This Row],[Свёртка]])&gt;0,LEN(Множество[[#This Row],[Критерии]])&gt;0,LEN(Множество[[#This Row],[Оценки]])&gt;0),1,-1)</f>
        <v>-1</v>
      </c>
      <c r="AN847" s="230"/>
      <c r="AO847" s="208"/>
      <c r="AP847" s="208"/>
      <c r="AQ847" s="208"/>
      <c r="AR847" s="226"/>
      <c r="AS847" s="225"/>
      <c r="AT847" s="226"/>
      <c r="AU847" s="225"/>
      <c r="AV847" s="225"/>
      <c r="AW847" s="225"/>
      <c r="AX847" s="225"/>
      <c r="AY847" s="225"/>
    </row>
    <row r="848" spans="33:51" x14ac:dyDescent="0.25">
      <c r="AG848" s="66" t="str">
        <f>IF(AND(Множество[[#This Row],[Y]]=1),ROW()-ROW(Множество[[#Headers],[№]]),"")</f>
        <v/>
      </c>
      <c r="AI848" s="66">
        <v>1</v>
      </c>
      <c r="AJ848" s="66">
        <f>IF(LEN(Множество[[#This Row],[Свёртка]])&gt;0,1,-1)</f>
        <v>1</v>
      </c>
      <c r="AK848" s="66" t="s">
        <v>1781</v>
      </c>
      <c r="AL848" s="209">
        <f>IF(LEN(Множество[[#This Row],[Критерии]])&gt;0,1,-1)</f>
        <v>1</v>
      </c>
      <c r="AM848" s="209">
        <f>IF(AND(LEN(Множество[[#This Row],[Свёртка]])&gt;0,LEN(Множество[[#This Row],[Критерии]])&gt;0,LEN(Множество[[#This Row],[Оценки]])&gt;0),1,-1)</f>
        <v>-1</v>
      </c>
      <c r="AN848" s="230"/>
      <c r="AO848" s="208"/>
      <c r="AP848" s="208"/>
      <c r="AQ848" s="208"/>
      <c r="AR848" s="226"/>
      <c r="AS848" s="225"/>
      <c r="AT848" s="226"/>
      <c r="AU848" s="225"/>
      <c r="AV848" s="225"/>
      <c r="AW848" s="225"/>
      <c r="AX848" s="225"/>
      <c r="AY848" s="225"/>
    </row>
    <row r="849" spans="33:51" x14ac:dyDescent="0.25">
      <c r="AG849" s="66" t="str">
        <f>IF(AND(Множество[[#This Row],[Y]]=1),ROW()-ROW(Множество[[#Headers],[№]]),"")</f>
        <v/>
      </c>
      <c r="AI849" s="66">
        <v>1</v>
      </c>
      <c r="AJ849" s="66">
        <f>IF(LEN(Множество[[#This Row],[Свёртка]])&gt;0,1,-1)</f>
        <v>1</v>
      </c>
      <c r="AK849" s="66" t="s">
        <v>1781</v>
      </c>
      <c r="AL849" s="209">
        <f>IF(LEN(Множество[[#This Row],[Критерии]])&gt;0,1,-1)</f>
        <v>1</v>
      </c>
      <c r="AM849" s="209">
        <f>IF(AND(LEN(Множество[[#This Row],[Свёртка]])&gt;0,LEN(Множество[[#This Row],[Критерии]])&gt;0,LEN(Множество[[#This Row],[Оценки]])&gt;0),1,-1)</f>
        <v>-1</v>
      </c>
      <c r="AN849" s="230"/>
      <c r="AO849" s="208"/>
      <c r="AP849" s="208"/>
      <c r="AQ849" s="208"/>
      <c r="AR849" s="226"/>
      <c r="AS849" s="225"/>
      <c r="AT849" s="226"/>
      <c r="AU849" s="225"/>
      <c r="AV849" s="225"/>
      <c r="AW849" s="225"/>
      <c r="AX849" s="225"/>
      <c r="AY849" s="225"/>
    </row>
    <row r="850" spans="33:51" x14ac:dyDescent="0.25">
      <c r="AG850" s="66" t="str">
        <f>IF(AND(Множество[[#This Row],[Y]]=1),ROW()-ROW(Множество[[#Headers],[№]]),"")</f>
        <v/>
      </c>
      <c r="AI850" s="66">
        <v>1</v>
      </c>
      <c r="AJ850" s="66">
        <f>IF(LEN(Множество[[#This Row],[Свёртка]])&gt;0,1,-1)</f>
        <v>1</v>
      </c>
      <c r="AK850" s="66" t="s">
        <v>1781</v>
      </c>
      <c r="AL850" s="209">
        <f>IF(LEN(Множество[[#This Row],[Критерии]])&gt;0,1,-1)</f>
        <v>1</v>
      </c>
      <c r="AM850" s="209">
        <f>IF(AND(LEN(Множество[[#This Row],[Свёртка]])&gt;0,LEN(Множество[[#This Row],[Критерии]])&gt;0,LEN(Множество[[#This Row],[Оценки]])&gt;0),1,-1)</f>
        <v>-1</v>
      </c>
      <c r="AN850" s="230"/>
      <c r="AO850" s="208"/>
      <c r="AP850" s="208"/>
      <c r="AQ850" s="208"/>
      <c r="AR850" s="226"/>
      <c r="AS850" s="225"/>
      <c r="AT850" s="226"/>
      <c r="AU850" s="225"/>
      <c r="AV850" s="225"/>
      <c r="AW850" s="225"/>
      <c r="AX850" s="225"/>
      <c r="AY850" s="225"/>
    </row>
    <row r="851" spans="33:51" x14ac:dyDescent="0.25">
      <c r="AG851" s="66" t="str">
        <f>IF(AND(Множество[[#This Row],[Y]]=1),ROW()-ROW(Множество[[#Headers],[№]]),"")</f>
        <v/>
      </c>
      <c r="AI851" s="66">
        <v>1</v>
      </c>
      <c r="AJ851" s="66">
        <f>IF(LEN(Множество[[#This Row],[Свёртка]])&gt;0,1,-1)</f>
        <v>1</v>
      </c>
      <c r="AK851" s="66" t="s">
        <v>1781</v>
      </c>
      <c r="AL851" s="209">
        <f>IF(LEN(Множество[[#This Row],[Критерии]])&gt;0,1,-1)</f>
        <v>1</v>
      </c>
      <c r="AM851" s="209">
        <f>IF(AND(LEN(Множество[[#This Row],[Свёртка]])&gt;0,LEN(Множество[[#This Row],[Критерии]])&gt;0,LEN(Множество[[#This Row],[Оценки]])&gt;0),1,-1)</f>
        <v>-1</v>
      </c>
      <c r="AN851" s="230"/>
      <c r="AO851" s="208"/>
      <c r="AP851" s="208"/>
      <c r="AQ851" s="208"/>
      <c r="AR851" s="226"/>
      <c r="AS851" s="225"/>
      <c r="AT851" s="226"/>
      <c r="AU851" s="225"/>
      <c r="AV851" s="225"/>
      <c r="AW851" s="225"/>
      <c r="AX851" s="225"/>
      <c r="AY851" s="225"/>
    </row>
    <row r="852" spans="33:51" x14ac:dyDescent="0.25">
      <c r="AG852" s="66" t="str">
        <f>IF(AND(Множество[[#This Row],[Y]]=1),ROW()-ROW(Множество[[#Headers],[№]]),"")</f>
        <v/>
      </c>
      <c r="AI852" s="66">
        <v>1</v>
      </c>
      <c r="AJ852" s="66">
        <f>IF(LEN(Множество[[#This Row],[Свёртка]])&gt;0,1,-1)</f>
        <v>1</v>
      </c>
      <c r="AK852" s="66" t="s">
        <v>1781</v>
      </c>
      <c r="AL852" s="209">
        <f>IF(LEN(Множество[[#This Row],[Критерии]])&gt;0,1,-1)</f>
        <v>1</v>
      </c>
      <c r="AM852" s="209">
        <f>IF(AND(LEN(Множество[[#This Row],[Свёртка]])&gt;0,LEN(Множество[[#This Row],[Критерии]])&gt;0,LEN(Множество[[#This Row],[Оценки]])&gt;0),1,-1)</f>
        <v>-1</v>
      </c>
      <c r="AN852" s="230"/>
      <c r="AO852" s="208"/>
      <c r="AP852" s="208"/>
      <c r="AQ852" s="208"/>
      <c r="AR852" s="226"/>
      <c r="AS852" s="225"/>
      <c r="AT852" s="226"/>
      <c r="AU852" s="225"/>
      <c r="AV852" s="225"/>
      <c r="AW852" s="225"/>
      <c r="AX852" s="225"/>
      <c r="AY852" s="225"/>
    </row>
    <row r="853" spans="33:51" x14ac:dyDescent="0.25">
      <c r="AG853" s="66" t="str">
        <f>IF(AND(Множество[[#This Row],[Y]]=1),ROW()-ROW(Множество[[#Headers],[№]]),"")</f>
        <v/>
      </c>
      <c r="AI853" s="66">
        <v>1</v>
      </c>
      <c r="AJ853" s="66">
        <f>IF(LEN(Множество[[#This Row],[Свёртка]])&gt;0,1,-1)</f>
        <v>1</v>
      </c>
      <c r="AK853" s="66" t="s">
        <v>1781</v>
      </c>
      <c r="AL853" s="209">
        <f>IF(LEN(Множество[[#This Row],[Критерии]])&gt;0,1,-1)</f>
        <v>1</v>
      </c>
      <c r="AM853" s="209">
        <f>IF(AND(LEN(Множество[[#This Row],[Свёртка]])&gt;0,LEN(Множество[[#This Row],[Критерии]])&gt;0,LEN(Множество[[#This Row],[Оценки]])&gt;0),1,-1)</f>
        <v>-1</v>
      </c>
      <c r="AN853" s="230"/>
      <c r="AO853" s="208"/>
      <c r="AP853" s="208"/>
      <c r="AQ853" s="208"/>
      <c r="AR853" s="226"/>
      <c r="AS853" s="225"/>
      <c r="AT853" s="226"/>
      <c r="AU853" s="225"/>
      <c r="AV853" s="225"/>
      <c r="AW853" s="225"/>
      <c r="AX853" s="225"/>
      <c r="AY853" s="225"/>
    </row>
    <row r="854" spans="33:51" x14ac:dyDescent="0.25">
      <c r="AG854" s="66" t="str">
        <f>IF(AND(Множество[[#This Row],[Y]]=1),ROW()-ROW(Множество[[#Headers],[№]]),"")</f>
        <v/>
      </c>
      <c r="AI854" s="66">
        <v>1</v>
      </c>
      <c r="AJ854" s="66">
        <f>IF(LEN(Множество[[#This Row],[Свёртка]])&gt;0,1,-1)</f>
        <v>1</v>
      </c>
      <c r="AK854" s="66" t="s">
        <v>1781</v>
      </c>
      <c r="AL854" s="209">
        <f>IF(LEN(Множество[[#This Row],[Критерии]])&gt;0,1,-1)</f>
        <v>1</v>
      </c>
      <c r="AM854" s="209">
        <f>IF(AND(LEN(Множество[[#This Row],[Свёртка]])&gt;0,LEN(Множество[[#This Row],[Критерии]])&gt;0,LEN(Множество[[#This Row],[Оценки]])&gt;0),1,-1)</f>
        <v>-1</v>
      </c>
      <c r="AN854" s="230"/>
      <c r="AO854" s="208"/>
      <c r="AP854" s="208"/>
      <c r="AQ854" s="208"/>
      <c r="AR854" s="226"/>
      <c r="AS854" s="225"/>
      <c r="AT854" s="226"/>
      <c r="AU854" s="225"/>
      <c r="AV854" s="225"/>
      <c r="AW854" s="225"/>
      <c r="AX854" s="225"/>
      <c r="AY854" s="225"/>
    </row>
    <row r="855" spans="33:51" x14ac:dyDescent="0.25">
      <c r="AG855" s="66" t="str">
        <f>IF(AND(Множество[[#This Row],[Y]]=1),ROW()-ROW(Множество[[#Headers],[№]]),"")</f>
        <v/>
      </c>
      <c r="AI855" s="66">
        <v>1</v>
      </c>
      <c r="AJ855" s="66">
        <f>IF(LEN(Множество[[#This Row],[Свёртка]])&gt;0,1,-1)</f>
        <v>1</v>
      </c>
      <c r="AK855" s="66" t="s">
        <v>1781</v>
      </c>
      <c r="AL855" s="209">
        <f>IF(LEN(Множество[[#This Row],[Критерии]])&gt;0,1,-1)</f>
        <v>1</v>
      </c>
      <c r="AM855" s="209">
        <f>IF(AND(LEN(Множество[[#This Row],[Свёртка]])&gt;0,LEN(Множество[[#This Row],[Критерии]])&gt;0,LEN(Множество[[#This Row],[Оценки]])&gt;0),1,-1)</f>
        <v>-1</v>
      </c>
      <c r="AN855" s="230"/>
      <c r="AO855" s="208"/>
      <c r="AP855" s="208"/>
      <c r="AQ855" s="208"/>
      <c r="AR855" s="226"/>
      <c r="AS855" s="225"/>
      <c r="AT855" s="226"/>
      <c r="AU855" s="225"/>
      <c r="AV855" s="225"/>
      <c r="AW855" s="225"/>
      <c r="AX855" s="225"/>
      <c r="AY855" s="225"/>
    </row>
    <row r="856" spans="33:51" x14ac:dyDescent="0.25">
      <c r="AG856" s="66" t="str">
        <f>IF(AND(Множество[[#This Row],[Y]]=1),ROW()-ROW(Множество[[#Headers],[№]]),"")</f>
        <v/>
      </c>
      <c r="AI856" s="66">
        <v>1</v>
      </c>
      <c r="AJ856" s="66">
        <f>IF(LEN(Множество[[#This Row],[Свёртка]])&gt;0,1,-1)</f>
        <v>1</v>
      </c>
      <c r="AK856" s="66" t="s">
        <v>1781</v>
      </c>
      <c r="AL856" s="209">
        <f>IF(LEN(Множество[[#This Row],[Критерии]])&gt;0,1,-1)</f>
        <v>1</v>
      </c>
      <c r="AM856" s="209">
        <f>IF(AND(LEN(Множество[[#This Row],[Свёртка]])&gt;0,LEN(Множество[[#This Row],[Критерии]])&gt;0,LEN(Множество[[#This Row],[Оценки]])&gt;0),1,-1)</f>
        <v>-1</v>
      </c>
      <c r="AN856" s="230"/>
      <c r="AO856" s="208"/>
      <c r="AP856" s="208"/>
      <c r="AQ856" s="208"/>
      <c r="AR856" s="226"/>
      <c r="AS856" s="225"/>
      <c r="AT856" s="226"/>
      <c r="AU856" s="225"/>
      <c r="AV856" s="225"/>
      <c r="AW856" s="225"/>
      <c r="AX856" s="225"/>
      <c r="AY856" s="225"/>
    </row>
    <row r="857" spans="33:51" x14ac:dyDescent="0.25">
      <c r="AG857" s="66" t="str">
        <f>IF(AND(Множество[[#This Row],[Y]]=1),ROW()-ROW(Множество[[#Headers],[№]]),"")</f>
        <v/>
      </c>
      <c r="AI857" s="66">
        <v>1</v>
      </c>
      <c r="AJ857" s="66">
        <f>IF(LEN(Множество[[#This Row],[Свёртка]])&gt;0,1,-1)</f>
        <v>1</v>
      </c>
      <c r="AK857" s="66" t="s">
        <v>1781</v>
      </c>
      <c r="AL857" s="209">
        <f>IF(LEN(Множество[[#This Row],[Критерии]])&gt;0,1,-1)</f>
        <v>1</v>
      </c>
      <c r="AM857" s="209">
        <f>IF(AND(LEN(Множество[[#This Row],[Свёртка]])&gt;0,LEN(Множество[[#This Row],[Критерии]])&gt;0,LEN(Множество[[#This Row],[Оценки]])&gt;0),1,-1)</f>
        <v>-1</v>
      </c>
      <c r="AN857" s="230"/>
      <c r="AO857" s="208"/>
      <c r="AP857" s="208"/>
      <c r="AQ857" s="208"/>
      <c r="AR857" s="226"/>
      <c r="AS857" s="225"/>
      <c r="AT857" s="226"/>
      <c r="AU857" s="225"/>
      <c r="AV857" s="225"/>
      <c r="AW857" s="225"/>
      <c r="AX857" s="225"/>
      <c r="AY857" s="225"/>
    </row>
    <row r="858" spans="33:51" x14ac:dyDescent="0.25">
      <c r="AG858" s="66" t="str">
        <f>IF(AND(Множество[[#This Row],[Y]]=1),ROW()-ROW(Множество[[#Headers],[№]]),"")</f>
        <v/>
      </c>
      <c r="AI858" s="66">
        <v>1</v>
      </c>
      <c r="AJ858" s="66">
        <f>IF(LEN(Множество[[#This Row],[Свёртка]])&gt;0,1,-1)</f>
        <v>1</v>
      </c>
      <c r="AK858" s="66" t="s">
        <v>1781</v>
      </c>
      <c r="AL858" s="209">
        <f>IF(LEN(Множество[[#This Row],[Критерии]])&gt;0,1,-1)</f>
        <v>1</v>
      </c>
      <c r="AM858" s="209">
        <f>IF(AND(LEN(Множество[[#This Row],[Свёртка]])&gt;0,LEN(Множество[[#This Row],[Критерии]])&gt;0,LEN(Множество[[#This Row],[Оценки]])&gt;0),1,-1)</f>
        <v>-1</v>
      </c>
      <c r="AN858" s="230"/>
      <c r="AO858" s="208"/>
      <c r="AP858" s="208"/>
      <c r="AQ858" s="208"/>
      <c r="AR858" s="226"/>
      <c r="AS858" s="225"/>
      <c r="AT858" s="226"/>
      <c r="AU858" s="225"/>
      <c r="AV858" s="225"/>
      <c r="AW858" s="225"/>
      <c r="AX858" s="225"/>
      <c r="AY858" s="225"/>
    </row>
    <row r="859" spans="33:51" x14ac:dyDescent="0.25">
      <c r="AG859" s="66" t="str">
        <f>IF(AND(Множество[[#This Row],[Y]]=1),ROW()-ROW(Множество[[#Headers],[№]]),"")</f>
        <v/>
      </c>
      <c r="AI859" s="66">
        <v>1</v>
      </c>
      <c r="AJ859" s="66">
        <f>IF(LEN(Множество[[#This Row],[Свёртка]])&gt;0,1,-1)</f>
        <v>1</v>
      </c>
      <c r="AK859" s="66" t="s">
        <v>1781</v>
      </c>
      <c r="AL859" s="209">
        <f>IF(LEN(Множество[[#This Row],[Критерии]])&gt;0,1,-1)</f>
        <v>1</v>
      </c>
      <c r="AM859" s="209">
        <f>IF(AND(LEN(Множество[[#This Row],[Свёртка]])&gt;0,LEN(Множество[[#This Row],[Критерии]])&gt;0,LEN(Множество[[#This Row],[Оценки]])&gt;0),1,-1)</f>
        <v>-1</v>
      </c>
      <c r="AN859" s="230"/>
      <c r="AO859" s="208"/>
      <c r="AP859" s="208"/>
      <c r="AQ859" s="208"/>
      <c r="AR859" s="226"/>
      <c r="AS859" s="225"/>
      <c r="AT859" s="226"/>
      <c r="AU859" s="225"/>
      <c r="AV859" s="225"/>
      <c r="AW859" s="225"/>
      <c r="AX859" s="225"/>
      <c r="AY859" s="225"/>
    </row>
    <row r="860" spans="33:51" x14ac:dyDescent="0.25">
      <c r="AG860" s="66" t="str">
        <f>IF(AND(Множество[[#This Row],[Y]]=1),ROW()-ROW(Множество[[#Headers],[№]]),"")</f>
        <v/>
      </c>
      <c r="AI860" s="66">
        <v>1</v>
      </c>
      <c r="AJ860" s="66">
        <f>IF(LEN(Множество[[#This Row],[Свёртка]])&gt;0,1,-1)</f>
        <v>1</v>
      </c>
      <c r="AK860" s="66" t="s">
        <v>1781</v>
      </c>
      <c r="AL860" s="209">
        <f>IF(LEN(Множество[[#This Row],[Критерии]])&gt;0,1,-1)</f>
        <v>1</v>
      </c>
      <c r="AM860" s="209">
        <f>IF(AND(LEN(Множество[[#This Row],[Свёртка]])&gt;0,LEN(Множество[[#This Row],[Критерии]])&gt;0,LEN(Множество[[#This Row],[Оценки]])&gt;0),1,-1)</f>
        <v>-1</v>
      </c>
      <c r="AN860" s="230"/>
      <c r="AO860" s="208"/>
      <c r="AP860" s="208"/>
      <c r="AQ860" s="208"/>
      <c r="AR860" s="226"/>
      <c r="AS860" s="225"/>
      <c r="AT860" s="226"/>
      <c r="AU860" s="225"/>
      <c r="AV860" s="225"/>
      <c r="AW860" s="225"/>
      <c r="AX860" s="225"/>
      <c r="AY860" s="225"/>
    </row>
    <row r="861" spans="33:51" x14ac:dyDescent="0.25">
      <c r="AG861" s="66" t="str">
        <f>IF(AND(Множество[[#This Row],[Y]]=1),ROW()-ROW(Множество[[#Headers],[№]]),"")</f>
        <v/>
      </c>
      <c r="AI861" s="66">
        <v>1</v>
      </c>
      <c r="AJ861" s="66">
        <f>IF(LEN(Множество[[#This Row],[Свёртка]])&gt;0,1,-1)</f>
        <v>1</v>
      </c>
      <c r="AK861" s="66" t="s">
        <v>1781</v>
      </c>
      <c r="AL861" s="209">
        <f>IF(LEN(Множество[[#This Row],[Критерии]])&gt;0,1,-1)</f>
        <v>1</v>
      </c>
      <c r="AM861" s="209">
        <f>IF(AND(LEN(Множество[[#This Row],[Свёртка]])&gt;0,LEN(Множество[[#This Row],[Критерии]])&gt;0,LEN(Множество[[#This Row],[Оценки]])&gt;0),1,-1)</f>
        <v>-1</v>
      </c>
      <c r="AN861" s="230"/>
      <c r="AO861" s="208"/>
      <c r="AP861" s="208"/>
      <c r="AQ861" s="208"/>
      <c r="AR861" s="226"/>
      <c r="AS861" s="225"/>
      <c r="AT861" s="226"/>
      <c r="AU861" s="225"/>
      <c r="AV861" s="225"/>
      <c r="AW861" s="225"/>
      <c r="AX861" s="225"/>
      <c r="AY861" s="225"/>
    </row>
    <row r="862" spans="33:51" x14ac:dyDescent="0.25">
      <c r="AG862" s="66" t="str">
        <f>IF(AND(Множество[[#This Row],[Y]]=1),ROW()-ROW(Множество[[#Headers],[№]]),"")</f>
        <v/>
      </c>
      <c r="AI862" s="66">
        <v>1</v>
      </c>
      <c r="AJ862" s="66">
        <f>IF(LEN(Множество[[#This Row],[Свёртка]])&gt;0,1,-1)</f>
        <v>1</v>
      </c>
      <c r="AK862" s="66" t="s">
        <v>1781</v>
      </c>
      <c r="AL862" s="209">
        <f>IF(LEN(Множество[[#This Row],[Критерии]])&gt;0,1,-1)</f>
        <v>1</v>
      </c>
      <c r="AM862" s="209">
        <f>IF(AND(LEN(Множество[[#This Row],[Свёртка]])&gt;0,LEN(Множество[[#This Row],[Критерии]])&gt;0,LEN(Множество[[#This Row],[Оценки]])&gt;0),1,-1)</f>
        <v>-1</v>
      </c>
      <c r="AN862" s="230"/>
      <c r="AO862" s="208"/>
      <c r="AP862" s="208"/>
      <c r="AQ862" s="208"/>
      <c r="AR862" s="226"/>
      <c r="AS862" s="225"/>
      <c r="AT862" s="226"/>
      <c r="AU862" s="225"/>
      <c r="AV862" s="225"/>
      <c r="AW862" s="225"/>
      <c r="AX862" s="225"/>
      <c r="AY862" s="225"/>
    </row>
    <row r="863" spans="33:51" x14ac:dyDescent="0.25">
      <c r="AG863" s="66" t="str">
        <f>IF(AND(Множество[[#This Row],[Y]]=1),ROW()-ROW(Множество[[#Headers],[№]]),"")</f>
        <v/>
      </c>
      <c r="AI863" s="66">
        <v>1</v>
      </c>
      <c r="AJ863" s="66">
        <f>IF(LEN(Множество[[#This Row],[Свёртка]])&gt;0,1,-1)</f>
        <v>1</v>
      </c>
      <c r="AK863" s="66" t="s">
        <v>1781</v>
      </c>
      <c r="AL863" s="209">
        <f>IF(LEN(Множество[[#This Row],[Критерии]])&gt;0,1,-1)</f>
        <v>1</v>
      </c>
      <c r="AM863" s="209">
        <f>IF(AND(LEN(Множество[[#This Row],[Свёртка]])&gt;0,LEN(Множество[[#This Row],[Критерии]])&gt;0,LEN(Множество[[#This Row],[Оценки]])&gt;0),1,-1)</f>
        <v>-1</v>
      </c>
      <c r="AN863" s="230"/>
      <c r="AO863" s="208"/>
      <c r="AP863" s="208"/>
      <c r="AQ863" s="208"/>
      <c r="AR863" s="226"/>
      <c r="AS863" s="225"/>
      <c r="AT863" s="226"/>
      <c r="AU863" s="225"/>
      <c r="AV863" s="225"/>
      <c r="AW863" s="225"/>
      <c r="AX863" s="225"/>
      <c r="AY863" s="225"/>
    </row>
    <row r="864" spans="33:51" x14ac:dyDescent="0.25">
      <c r="AG864" s="66" t="str">
        <f>IF(AND(Множество[[#This Row],[Y]]=1),ROW()-ROW(Множество[[#Headers],[№]]),"")</f>
        <v/>
      </c>
      <c r="AI864" s="66">
        <v>1</v>
      </c>
      <c r="AJ864" s="66">
        <f>IF(LEN(Множество[[#This Row],[Свёртка]])&gt;0,1,-1)</f>
        <v>1</v>
      </c>
      <c r="AK864" s="66" t="s">
        <v>1781</v>
      </c>
      <c r="AL864" s="209">
        <f>IF(LEN(Множество[[#This Row],[Критерии]])&gt;0,1,-1)</f>
        <v>1</v>
      </c>
      <c r="AM864" s="209">
        <f>IF(AND(LEN(Множество[[#This Row],[Свёртка]])&gt;0,LEN(Множество[[#This Row],[Критерии]])&gt;0,LEN(Множество[[#This Row],[Оценки]])&gt;0),1,-1)</f>
        <v>-1</v>
      </c>
      <c r="AN864" s="230"/>
      <c r="AO864" s="208"/>
      <c r="AP864" s="208"/>
      <c r="AQ864" s="208"/>
      <c r="AR864" s="226"/>
      <c r="AS864" s="225"/>
      <c r="AT864" s="226"/>
      <c r="AU864" s="225"/>
      <c r="AV864" s="225"/>
      <c r="AW864" s="225"/>
      <c r="AX864" s="225"/>
      <c r="AY864" s="225"/>
    </row>
    <row r="865" spans="33:51" x14ac:dyDescent="0.25">
      <c r="AG865" s="66" t="str">
        <f>IF(AND(Множество[[#This Row],[Y]]=1),ROW()-ROW(Множество[[#Headers],[№]]),"")</f>
        <v/>
      </c>
      <c r="AI865" s="66">
        <v>1</v>
      </c>
      <c r="AJ865" s="66">
        <f>IF(LEN(Множество[[#This Row],[Свёртка]])&gt;0,1,-1)</f>
        <v>1</v>
      </c>
      <c r="AK865" s="66" t="s">
        <v>1781</v>
      </c>
      <c r="AL865" s="209">
        <f>IF(LEN(Множество[[#This Row],[Критерии]])&gt;0,1,-1)</f>
        <v>1</v>
      </c>
      <c r="AM865" s="209">
        <f>IF(AND(LEN(Множество[[#This Row],[Свёртка]])&gt;0,LEN(Множество[[#This Row],[Критерии]])&gt;0,LEN(Множество[[#This Row],[Оценки]])&gt;0),1,-1)</f>
        <v>-1</v>
      </c>
      <c r="AN865" s="230"/>
      <c r="AO865" s="208"/>
      <c r="AP865" s="208"/>
      <c r="AQ865" s="208"/>
      <c r="AR865" s="226"/>
      <c r="AS865" s="225"/>
      <c r="AT865" s="226"/>
      <c r="AU865" s="225"/>
      <c r="AV865" s="225"/>
      <c r="AW865" s="225"/>
      <c r="AX865" s="225"/>
      <c r="AY865" s="225"/>
    </row>
    <row r="866" spans="33:51" x14ac:dyDescent="0.25">
      <c r="AG866" s="66" t="str">
        <f>IF(AND(Множество[[#This Row],[Y]]=1),ROW()-ROW(Множество[[#Headers],[№]]),"")</f>
        <v/>
      </c>
      <c r="AI866" s="66">
        <v>1</v>
      </c>
      <c r="AJ866" s="66">
        <f>IF(LEN(Множество[[#This Row],[Свёртка]])&gt;0,1,-1)</f>
        <v>1</v>
      </c>
      <c r="AK866" s="66" t="s">
        <v>1781</v>
      </c>
      <c r="AL866" s="209">
        <f>IF(LEN(Множество[[#This Row],[Критерии]])&gt;0,1,-1)</f>
        <v>1</v>
      </c>
      <c r="AM866" s="209">
        <f>IF(AND(LEN(Множество[[#This Row],[Свёртка]])&gt;0,LEN(Множество[[#This Row],[Критерии]])&gt;0,LEN(Множество[[#This Row],[Оценки]])&gt;0),1,-1)</f>
        <v>-1</v>
      </c>
      <c r="AN866" s="230"/>
      <c r="AO866" s="208"/>
      <c r="AP866" s="208"/>
      <c r="AQ866" s="208"/>
      <c r="AR866" s="226"/>
      <c r="AS866" s="225"/>
      <c r="AT866" s="226"/>
      <c r="AU866" s="225"/>
      <c r="AV866" s="225"/>
      <c r="AW866" s="225"/>
      <c r="AX866" s="225"/>
      <c r="AY866" s="225"/>
    </row>
    <row r="867" spans="33:51" x14ac:dyDescent="0.25">
      <c r="AG867" s="66" t="str">
        <f>IF(AND(Множество[[#This Row],[Y]]=1),ROW()-ROW(Множество[[#Headers],[№]]),"")</f>
        <v/>
      </c>
      <c r="AI867" s="66">
        <v>1</v>
      </c>
      <c r="AJ867" s="66">
        <f>IF(LEN(Множество[[#This Row],[Свёртка]])&gt;0,1,-1)</f>
        <v>1</v>
      </c>
      <c r="AK867" s="66" t="s">
        <v>1781</v>
      </c>
      <c r="AL867" s="209">
        <f>IF(LEN(Множество[[#This Row],[Критерии]])&gt;0,1,-1)</f>
        <v>1</v>
      </c>
      <c r="AM867" s="209">
        <f>IF(AND(LEN(Множество[[#This Row],[Свёртка]])&gt;0,LEN(Множество[[#This Row],[Критерии]])&gt;0,LEN(Множество[[#This Row],[Оценки]])&gt;0),1,-1)</f>
        <v>-1</v>
      </c>
      <c r="AN867" s="230"/>
      <c r="AO867" s="208"/>
      <c r="AP867" s="208"/>
      <c r="AQ867" s="208"/>
      <c r="AR867" s="226"/>
      <c r="AS867" s="225"/>
      <c r="AT867" s="226"/>
      <c r="AU867" s="225"/>
      <c r="AV867" s="225"/>
      <c r="AW867" s="225"/>
      <c r="AX867" s="225"/>
      <c r="AY867" s="225"/>
    </row>
    <row r="868" spans="33:51" x14ac:dyDescent="0.25">
      <c r="AG868" s="66" t="str">
        <f>IF(AND(Множество[[#This Row],[Y]]=1),ROW()-ROW(Множество[[#Headers],[№]]),"")</f>
        <v/>
      </c>
      <c r="AI868" s="66">
        <v>1</v>
      </c>
      <c r="AJ868" s="66">
        <f>IF(LEN(Множество[[#This Row],[Свёртка]])&gt;0,1,-1)</f>
        <v>1</v>
      </c>
      <c r="AK868" s="66" t="s">
        <v>1781</v>
      </c>
      <c r="AL868" s="209">
        <f>IF(LEN(Множество[[#This Row],[Критерии]])&gt;0,1,-1)</f>
        <v>1</v>
      </c>
      <c r="AM868" s="209">
        <f>IF(AND(LEN(Множество[[#This Row],[Свёртка]])&gt;0,LEN(Множество[[#This Row],[Критерии]])&gt;0,LEN(Множество[[#This Row],[Оценки]])&gt;0),1,-1)</f>
        <v>-1</v>
      </c>
      <c r="AN868" s="230"/>
      <c r="AO868" s="208"/>
      <c r="AP868" s="208"/>
      <c r="AQ868" s="208"/>
      <c r="AR868" s="226"/>
      <c r="AS868" s="225"/>
      <c r="AT868" s="226"/>
      <c r="AU868" s="225"/>
      <c r="AV868" s="225"/>
      <c r="AW868" s="225"/>
      <c r="AX868" s="225"/>
      <c r="AY868" s="225"/>
    </row>
    <row r="869" spans="33:51" x14ac:dyDescent="0.25">
      <c r="AG869" s="66" t="str">
        <f>IF(AND(Множество[[#This Row],[Y]]=1),ROW()-ROW(Множество[[#Headers],[№]]),"")</f>
        <v/>
      </c>
      <c r="AI869" s="66">
        <v>1</v>
      </c>
      <c r="AJ869" s="66">
        <f>IF(LEN(Множество[[#This Row],[Свёртка]])&gt;0,1,-1)</f>
        <v>1</v>
      </c>
      <c r="AK869" s="66" t="s">
        <v>1781</v>
      </c>
      <c r="AL869" s="209">
        <f>IF(LEN(Множество[[#This Row],[Критерии]])&gt;0,1,-1)</f>
        <v>1</v>
      </c>
      <c r="AM869" s="209">
        <f>IF(AND(LEN(Множество[[#This Row],[Свёртка]])&gt;0,LEN(Множество[[#This Row],[Критерии]])&gt;0,LEN(Множество[[#This Row],[Оценки]])&gt;0),1,-1)</f>
        <v>-1</v>
      </c>
      <c r="AN869" s="230"/>
      <c r="AO869" s="208"/>
      <c r="AP869" s="208"/>
      <c r="AQ869" s="208"/>
      <c r="AR869" s="226"/>
      <c r="AS869" s="225"/>
      <c r="AT869" s="226"/>
      <c r="AU869" s="225"/>
      <c r="AV869" s="225"/>
      <c r="AW869" s="225"/>
      <c r="AX869" s="225"/>
      <c r="AY869" s="225"/>
    </row>
    <row r="870" spans="33:51" x14ac:dyDescent="0.25">
      <c r="AG870" s="66" t="str">
        <f>IF(AND(Множество[[#This Row],[Y]]=1),ROW()-ROW(Множество[[#Headers],[№]]),"")</f>
        <v/>
      </c>
      <c r="AI870" s="66">
        <v>1</v>
      </c>
      <c r="AJ870" s="66">
        <f>IF(LEN(Множество[[#This Row],[Свёртка]])&gt;0,1,-1)</f>
        <v>1</v>
      </c>
      <c r="AK870" s="66" t="s">
        <v>1781</v>
      </c>
      <c r="AL870" s="209">
        <f>IF(LEN(Множество[[#This Row],[Критерии]])&gt;0,1,-1)</f>
        <v>1</v>
      </c>
      <c r="AM870" s="209">
        <f>IF(AND(LEN(Множество[[#This Row],[Свёртка]])&gt;0,LEN(Множество[[#This Row],[Критерии]])&gt;0,LEN(Множество[[#This Row],[Оценки]])&gt;0),1,-1)</f>
        <v>-1</v>
      </c>
      <c r="AN870" s="230"/>
      <c r="AO870" s="208"/>
      <c r="AP870" s="208"/>
      <c r="AQ870" s="208"/>
      <c r="AR870" s="226"/>
      <c r="AS870" s="225"/>
      <c r="AT870" s="226"/>
      <c r="AU870" s="225"/>
      <c r="AV870" s="225"/>
      <c r="AW870" s="225"/>
      <c r="AX870" s="225"/>
      <c r="AY870" s="225"/>
    </row>
    <row r="871" spans="33:51" x14ac:dyDescent="0.25">
      <c r="AG871" s="66" t="str">
        <f>IF(AND(Множество[[#This Row],[Y]]=1),ROW()-ROW(Множество[[#Headers],[№]]),"")</f>
        <v/>
      </c>
      <c r="AI871" s="66">
        <v>1</v>
      </c>
      <c r="AJ871" s="66">
        <f>IF(LEN(Множество[[#This Row],[Свёртка]])&gt;0,1,-1)</f>
        <v>1</v>
      </c>
      <c r="AK871" s="66" t="s">
        <v>1781</v>
      </c>
      <c r="AL871" s="209">
        <f>IF(LEN(Множество[[#This Row],[Критерии]])&gt;0,1,-1)</f>
        <v>1</v>
      </c>
      <c r="AM871" s="209">
        <f>IF(AND(LEN(Множество[[#This Row],[Свёртка]])&gt;0,LEN(Множество[[#This Row],[Критерии]])&gt;0,LEN(Множество[[#This Row],[Оценки]])&gt;0),1,-1)</f>
        <v>-1</v>
      </c>
      <c r="AN871" s="230"/>
      <c r="AO871" s="208"/>
      <c r="AP871" s="208"/>
      <c r="AQ871" s="208"/>
      <c r="AR871" s="226"/>
      <c r="AS871" s="225"/>
      <c r="AT871" s="226"/>
      <c r="AU871" s="225"/>
      <c r="AV871" s="225"/>
      <c r="AW871" s="225"/>
      <c r="AX871" s="225"/>
      <c r="AY871" s="225"/>
    </row>
    <row r="872" spans="33:51" x14ac:dyDescent="0.25">
      <c r="AG872" s="66" t="str">
        <f>IF(AND(Множество[[#This Row],[Y]]=1),ROW()-ROW(Множество[[#Headers],[№]]),"")</f>
        <v/>
      </c>
      <c r="AI872" s="66">
        <v>1</v>
      </c>
      <c r="AJ872" s="66">
        <f>IF(LEN(Множество[[#This Row],[Свёртка]])&gt;0,1,-1)</f>
        <v>1</v>
      </c>
      <c r="AK872" s="66" t="s">
        <v>1781</v>
      </c>
      <c r="AL872" s="209">
        <f>IF(LEN(Множество[[#This Row],[Критерии]])&gt;0,1,-1)</f>
        <v>1</v>
      </c>
      <c r="AM872" s="209">
        <f>IF(AND(LEN(Множество[[#This Row],[Свёртка]])&gt;0,LEN(Множество[[#This Row],[Критерии]])&gt;0,LEN(Множество[[#This Row],[Оценки]])&gt;0),1,-1)</f>
        <v>-1</v>
      </c>
      <c r="AN872" s="230"/>
      <c r="AO872" s="208"/>
      <c r="AP872" s="208"/>
      <c r="AQ872" s="208"/>
      <c r="AR872" s="226"/>
      <c r="AS872" s="225"/>
      <c r="AT872" s="226"/>
      <c r="AU872" s="225"/>
      <c r="AV872" s="225"/>
      <c r="AW872" s="225"/>
      <c r="AX872" s="225"/>
      <c r="AY872" s="225"/>
    </row>
    <row r="873" spans="33:51" x14ac:dyDescent="0.25">
      <c r="AG873" s="66" t="str">
        <f>IF(AND(Множество[[#This Row],[Y]]=1),ROW()-ROW(Множество[[#Headers],[№]]),"")</f>
        <v/>
      </c>
      <c r="AI873" s="66">
        <v>1</v>
      </c>
      <c r="AJ873" s="66">
        <f>IF(LEN(Множество[[#This Row],[Свёртка]])&gt;0,1,-1)</f>
        <v>1</v>
      </c>
      <c r="AK873" s="66" t="s">
        <v>1781</v>
      </c>
      <c r="AL873" s="209">
        <f>IF(LEN(Множество[[#This Row],[Критерии]])&gt;0,1,-1)</f>
        <v>1</v>
      </c>
      <c r="AM873" s="209">
        <f>IF(AND(LEN(Множество[[#This Row],[Свёртка]])&gt;0,LEN(Множество[[#This Row],[Критерии]])&gt;0,LEN(Множество[[#This Row],[Оценки]])&gt;0),1,-1)</f>
        <v>-1</v>
      </c>
      <c r="AN873" s="230"/>
      <c r="AO873" s="208"/>
      <c r="AP873" s="208"/>
      <c r="AQ873" s="208"/>
      <c r="AR873" s="226"/>
      <c r="AS873" s="225"/>
      <c r="AT873" s="226"/>
      <c r="AU873" s="225"/>
      <c r="AV873" s="225"/>
      <c r="AW873" s="225"/>
      <c r="AX873" s="225"/>
      <c r="AY873" s="225"/>
    </row>
    <row r="874" spans="33:51" x14ac:dyDescent="0.25">
      <c r="AG874" s="66" t="str">
        <f>IF(AND(Множество[[#This Row],[Y]]=1),ROW()-ROW(Множество[[#Headers],[№]]),"")</f>
        <v/>
      </c>
      <c r="AI874" s="66">
        <v>1</v>
      </c>
      <c r="AJ874" s="66">
        <f>IF(LEN(Множество[[#This Row],[Свёртка]])&gt;0,1,-1)</f>
        <v>1</v>
      </c>
      <c r="AK874" s="66" t="s">
        <v>1781</v>
      </c>
      <c r="AL874" s="209">
        <f>IF(LEN(Множество[[#This Row],[Критерии]])&gt;0,1,-1)</f>
        <v>1</v>
      </c>
      <c r="AM874" s="209">
        <f>IF(AND(LEN(Множество[[#This Row],[Свёртка]])&gt;0,LEN(Множество[[#This Row],[Критерии]])&gt;0,LEN(Множество[[#This Row],[Оценки]])&gt;0),1,-1)</f>
        <v>-1</v>
      </c>
      <c r="AN874" s="230"/>
      <c r="AO874" s="208"/>
      <c r="AP874" s="208"/>
      <c r="AQ874" s="208"/>
      <c r="AR874" s="226"/>
      <c r="AS874" s="225"/>
      <c r="AT874" s="226"/>
      <c r="AU874" s="225"/>
      <c r="AV874" s="225"/>
      <c r="AW874" s="225"/>
      <c r="AX874" s="225"/>
      <c r="AY874" s="225"/>
    </row>
    <row r="875" spans="33:51" x14ac:dyDescent="0.25">
      <c r="AG875" s="66" t="str">
        <f>IF(AND(Множество[[#This Row],[Y]]=1),ROW()-ROW(Множество[[#Headers],[№]]),"")</f>
        <v/>
      </c>
      <c r="AI875" s="66">
        <v>1</v>
      </c>
      <c r="AJ875" s="66">
        <f>IF(LEN(Множество[[#This Row],[Свёртка]])&gt;0,1,-1)</f>
        <v>1</v>
      </c>
      <c r="AK875" s="66" t="s">
        <v>1781</v>
      </c>
      <c r="AL875" s="209">
        <f>IF(LEN(Множество[[#This Row],[Критерии]])&gt;0,1,-1)</f>
        <v>1</v>
      </c>
      <c r="AM875" s="209">
        <f>IF(AND(LEN(Множество[[#This Row],[Свёртка]])&gt;0,LEN(Множество[[#This Row],[Критерии]])&gt;0,LEN(Множество[[#This Row],[Оценки]])&gt;0),1,-1)</f>
        <v>-1</v>
      </c>
      <c r="AN875" s="230"/>
      <c r="AO875" s="208"/>
      <c r="AP875" s="208"/>
      <c r="AQ875" s="208"/>
      <c r="AR875" s="226"/>
      <c r="AS875" s="225"/>
      <c r="AT875" s="226"/>
      <c r="AU875" s="225"/>
      <c r="AV875" s="225"/>
      <c r="AW875" s="225"/>
      <c r="AX875" s="225"/>
      <c r="AY875" s="225"/>
    </row>
    <row r="876" spans="33:51" x14ac:dyDescent="0.25">
      <c r="AG876" s="66" t="str">
        <f>IF(AND(Множество[[#This Row],[Y]]=1),ROW()-ROW(Множество[[#Headers],[№]]),"")</f>
        <v/>
      </c>
      <c r="AI876" s="66">
        <v>1</v>
      </c>
      <c r="AJ876" s="66">
        <f>IF(LEN(Множество[[#This Row],[Свёртка]])&gt;0,1,-1)</f>
        <v>1</v>
      </c>
      <c r="AK876" s="66" t="s">
        <v>1781</v>
      </c>
      <c r="AL876" s="209">
        <f>IF(LEN(Множество[[#This Row],[Критерии]])&gt;0,1,-1)</f>
        <v>1</v>
      </c>
      <c r="AM876" s="209">
        <f>IF(AND(LEN(Множество[[#This Row],[Свёртка]])&gt;0,LEN(Множество[[#This Row],[Критерии]])&gt;0,LEN(Множество[[#This Row],[Оценки]])&gt;0),1,-1)</f>
        <v>-1</v>
      </c>
      <c r="AN876" s="230"/>
      <c r="AO876" s="208"/>
      <c r="AP876" s="208"/>
      <c r="AQ876" s="208"/>
      <c r="AR876" s="226"/>
      <c r="AS876" s="225"/>
      <c r="AT876" s="226"/>
      <c r="AU876" s="225"/>
      <c r="AV876" s="225"/>
      <c r="AW876" s="225"/>
      <c r="AX876" s="225"/>
      <c r="AY876" s="225"/>
    </row>
    <row r="877" spans="33:51" x14ac:dyDescent="0.25">
      <c r="AG877" s="66" t="str">
        <f>IF(AND(Множество[[#This Row],[Y]]=1),ROW()-ROW(Множество[[#Headers],[№]]),"")</f>
        <v/>
      </c>
      <c r="AI877" s="66">
        <v>1</v>
      </c>
      <c r="AJ877" s="66">
        <f>IF(LEN(Множество[[#This Row],[Свёртка]])&gt;0,1,-1)</f>
        <v>1</v>
      </c>
      <c r="AK877" s="66" t="s">
        <v>1781</v>
      </c>
      <c r="AL877" s="209">
        <f>IF(LEN(Множество[[#This Row],[Критерии]])&gt;0,1,-1)</f>
        <v>1</v>
      </c>
      <c r="AM877" s="209">
        <f>IF(AND(LEN(Множество[[#This Row],[Свёртка]])&gt;0,LEN(Множество[[#This Row],[Критерии]])&gt;0,LEN(Множество[[#This Row],[Оценки]])&gt;0),1,-1)</f>
        <v>-1</v>
      </c>
      <c r="AN877" s="230"/>
      <c r="AO877" s="208"/>
      <c r="AP877" s="208"/>
      <c r="AQ877" s="208"/>
      <c r="AR877" s="226"/>
      <c r="AS877" s="225"/>
      <c r="AT877" s="226"/>
      <c r="AU877" s="225"/>
      <c r="AV877" s="225"/>
      <c r="AW877" s="225"/>
      <c r="AX877" s="225"/>
      <c r="AY877" s="225"/>
    </row>
    <row r="878" spans="33:51" x14ac:dyDescent="0.25">
      <c r="AG878" s="66" t="str">
        <f>IF(AND(Множество[[#This Row],[Y]]=1),ROW()-ROW(Множество[[#Headers],[№]]),"")</f>
        <v/>
      </c>
      <c r="AI878" s="66">
        <v>1</v>
      </c>
      <c r="AJ878" s="66">
        <f>IF(LEN(Множество[[#This Row],[Свёртка]])&gt;0,1,-1)</f>
        <v>1</v>
      </c>
      <c r="AK878" s="66" t="s">
        <v>1781</v>
      </c>
      <c r="AL878" s="209">
        <f>IF(LEN(Множество[[#This Row],[Критерии]])&gt;0,1,-1)</f>
        <v>1</v>
      </c>
      <c r="AM878" s="209">
        <f>IF(AND(LEN(Множество[[#This Row],[Свёртка]])&gt;0,LEN(Множество[[#This Row],[Критерии]])&gt;0,LEN(Множество[[#This Row],[Оценки]])&gt;0),1,-1)</f>
        <v>-1</v>
      </c>
      <c r="AN878" s="230"/>
      <c r="AO878" s="208"/>
      <c r="AP878" s="208"/>
      <c r="AQ878" s="208"/>
      <c r="AR878" s="226"/>
      <c r="AS878" s="225"/>
      <c r="AT878" s="226"/>
      <c r="AU878" s="225"/>
      <c r="AV878" s="225"/>
      <c r="AW878" s="225"/>
      <c r="AX878" s="225"/>
      <c r="AY878" s="225"/>
    </row>
    <row r="879" spans="33:51" x14ac:dyDescent="0.25">
      <c r="AG879" s="66" t="str">
        <f>IF(AND(Множество[[#This Row],[Y]]=1),ROW()-ROW(Множество[[#Headers],[№]]),"")</f>
        <v/>
      </c>
      <c r="AI879" s="66">
        <v>1</v>
      </c>
      <c r="AJ879" s="66">
        <f>IF(LEN(Множество[[#This Row],[Свёртка]])&gt;0,1,-1)</f>
        <v>1</v>
      </c>
      <c r="AK879" s="66" t="s">
        <v>1781</v>
      </c>
      <c r="AL879" s="209">
        <f>IF(LEN(Множество[[#This Row],[Критерии]])&gt;0,1,-1)</f>
        <v>1</v>
      </c>
      <c r="AM879" s="209">
        <f>IF(AND(LEN(Множество[[#This Row],[Свёртка]])&gt;0,LEN(Множество[[#This Row],[Критерии]])&gt;0,LEN(Множество[[#This Row],[Оценки]])&gt;0),1,-1)</f>
        <v>-1</v>
      </c>
      <c r="AN879" s="230"/>
      <c r="AO879" s="208"/>
      <c r="AP879" s="208"/>
      <c r="AQ879" s="208"/>
      <c r="AR879" s="226"/>
      <c r="AS879" s="225"/>
      <c r="AT879" s="226"/>
      <c r="AU879" s="225"/>
      <c r="AV879" s="225"/>
      <c r="AW879" s="225"/>
      <c r="AX879" s="225"/>
      <c r="AY879" s="225"/>
    </row>
    <row r="880" spans="33:51" x14ac:dyDescent="0.25">
      <c r="AG880" s="66" t="str">
        <f>IF(AND(Множество[[#This Row],[Y]]=1),ROW()-ROW(Множество[[#Headers],[№]]),"")</f>
        <v/>
      </c>
      <c r="AI880" s="66">
        <v>1</v>
      </c>
      <c r="AJ880" s="66">
        <f>IF(LEN(Множество[[#This Row],[Свёртка]])&gt;0,1,-1)</f>
        <v>1</v>
      </c>
      <c r="AK880" s="66" t="s">
        <v>1781</v>
      </c>
      <c r="AL880" s="209">
        <f>IF(LEN(Множество[[#This Row],[Критерии]])&gt;0,1,-1)</f>
        <v>1</v>
      </c>
      <c r="AM880" s="209">
        <f>IF(AND(LEN(Множество[[#This Row],[Свёртка]])&gt;0,LEN(Множество[[#This Row],[Критерии]])&gt;0,LEN(Множество[[#This Row],[Оценки]])&gt;0),1,-1)</f>
        <v>-1</v>
      </c>
      <c r="AN880" s="230"/>
      <c r="AO880" s="208"/>
      <c r="AP880" s="208"/>
      <c r="AQ880" s="208"/>
      <c r="AR880" s="226"/>
      <c r="AS880" s="225"/>
      <c r="AT880" s="226"/>
      <c r="AU880" s="225"/>
      <c r="AV880" s="225"/>
      <c r="AW880" s="225"/>
      <c r="AX880" s="225"/>
      <c r="AY880" s="225"/>
    </row>
    <row r="881" spans="33:51" x14ac:dyDescent="0.25">
      <c r="AG881" s="66" t="str">
        <f>IF(AND(Множество[[#This Row],[Y]]=1),ROW()-ROW(Множество[[#Headers],[№]]),"")</f>
        <v/>
      </c>
      <c r="AI881" s="66">
        <v>1</v>
      </c>
      <c r="AJ881" s="66">
        <f>IF(LEN(Множество[[#This Row],[Свёртка]])&gt;0,1,-1)</f>
        <v>1</v>
      </c>
      <c r="AK881" s="66" t="s">
        <v>1781</v>
      </c>
      <c r="AL881" s="209">
        <f>IF(LEN(Множество[[#This Row],[Критерии]])&gt;0,1,-1)</f>
        <v>1</v>
      </c>
      <c r="AM881" s="209">
        <f>IF(AND(LEN(Множество[[#This Row],[Свёртка]])&gt;0,LEN(Множество[[#This Row],[Критерии]])&gt;0,LEN(Множество[[#This Row],[Оценки]])&gt;0),1,-1)</f>
        <v>-1</v>
      </c>
      <c r="AN881" s="230"/>
      <c r="AO881" s="208"/>
      <c r="AP881" s="208"/>
      <c r="AQ881" s="208"/>
      <c r="AR881" s="226"/>
      <c r="AS881" s="225"/>
      <c r="AT881" s="226"/>
      <c r="AU881" s="225"/>
      <c r="AV881" s="225"/>
      <c r="AW881" s="225"/>
      <c r="AX881" s="225"/>
      <c r="AY881" s="225"/>
    </row>
    <row r="882" spans="33:51" x14ac:dyDescent="0.25">
      <c r="AG882" s="66" t="str">
        <f>IF(AND(Множество[[#This Row],[Y]]=1),ROW()-ROW(Множество[[#Headers],[№]]),"")</f>
        <v/>
      </c>
      <c r="AI882" s="66">
        <v>1</v>
      </c>
      <c r="AJ882" s="66">
        <f>IF(LEN(Множество[[#This Row],[Свёртка]])&gt;0,1,-1)</f>
        <v>1</v>
      </c>
      <c r="AK882" s="66" t="s">
        <v>1781</v>
      </c>
      <c r="AL882" s="209">
        <f>IF(LEN(Множество[[#This Row],[Критерии]])&gt;0,1,-1)</f>
        <v>1</v>
      </c>
      <c r="AM882" s="209">
        <f>IF(AND(LEN(Множество[[#This Row],[Свёртка]])&gt;0,LEN(Множество[[#This Row],[Критерии]])&gt;0,LEN(Множество[[#This Row],[Оценки]])&gt;0),1,-1)</f>
        <v>-1</v>
      </c>
      <c r="AN882" s="230"/>
      <c r="AO882" s="208"/>
      <c r="AP882" s="208"/>
      <c r="AQ882" s="208"/>
      <c r="AR882" s="226"/>
      <c r="AS882" s="225"/>
      <c r="AT882" s="226"/>
      <c r="AU882" s="225"/>
      <c r="AV882" s="225"/>
      <c r="AW882" s="225"/>
      <c r="AX882" s="225"/>
      <c r="AY882" s="225"/>
    </row>
    <row r="883" spans="33:51" x14ac:dyDescent="0.25">
      <c r="AG883" s="66" t="str">
        <f>IF(AND(Множество[[#This Row],[Y]]=1),ROW()-ROW(Множество[[#Headers],[№]]),"")</f>
        <v/>
      </c>
      <c r="AI883" s="66">
        <v>1</v>
      </c>
      <c r="AJ883" s="66">
        <f>IF(LEN(Множество[[#This Row],[Свёртка]])&gt;0,1,-1)</f>
        <v>1</v>
      </c>
      <c r="AK883" s="66" t="s">
        <v>1781</v>
      </c>
      <c r="AL883" s="209">
        <f>IF(LEN(Множество[[#This Row],[Критерии]])&gt;0,1,-1)</f>
        <v>1</v>
      </c>
      <c r="AM883" s="209">
        <f>IF(AND(LEN(Множество[[#This Row],[Свёртка]])&gt;0,LEN(Множество[[#This Row],[Критерии]])&gt;0,LEN(Множество[[#This Row],[Оценки]])&gt;0),1,-1)</f>
        <v>-1</v>
      </c>
      <c r="AN883" s="230"/>
      <c r="AO883" s="208"/>
      <c r="AP883" s="208"/>
      <c r="AQ883" s="208"/>
      <c r="AR883" s="226"/>
      <c r="AS883" s="225"/>
      <c r="AT883" s="226"/>
      <c r="AU883" s="225"/>
      <c r="AV883" s="225"/>
      <c r="AW883" s="225"/>
      <c r="AX883" s="225"/>
      <c r="AY883" s="225"/>
    </row>
    <row r="884" spans="33:51" x14ac:dyDescent="0.25">
      <c r="AG884" s="66" t="str">
        <f>IF(AND(Множество[[#This Row],[Y]]=1),ROW()-ROW(Множество[[#Headers],[№]]),"")</f>
        <v/>
      </c>
      <c r="AI884" s="66">
        <v>1</v>
      </c>
      <c r="AJ884" s="66">
        <f>IF(LEN(Множество[[#This Row],[Свёртка]])&gt;0,1,-1)</f>
        <v>1</v>
      </c>
      <c r="AK884" s="66" t="s">
        <v>1781</v>
      </c>
      <c r="AL884" s="209">
        <f>IF(LEN(Множество[[#This Row],[Критерии]])&gt;0,1,-1)</f>
        <v>1</v>
      </c>
      <c r="AM884" s="209">
        <f>IF(AND(LEN(Множество[[#This Row],[Свёртка]])&gt;0,LEN(Множество[[#This Row],[Критерии]])&gt;0,LEN(Множество[[#This Row],[Оценки]])&gt;0),1,-1)</f>
        <v>-1</v>
      </c>
      <c r="AN884" s="230"/>
      <c r="AO884" s="208"/>
      <c r="AP884" s="208"/>
      <c r="AQ884" s="208"/>
      <c r="AR884" s="226"/>
      <c r="AS884" s="225"/>
      <c r="AT884" s="226"/>
      <c r="AU884" s="225"/>
      <c r="AV884" s="225"/>
      <c r="AW884" s="225"/>
      <c r="AX884" s="225"/>
      <c r="AY884" s="225"/>
    </row>
    <row r="885" spans="33:51" x14ac:dyDescent="0.25">
      <c r="AG885" s="66" t="str">
        <f>IF(AND(Множество[[#This Row],[Y]]=1),ROW()-ROW(Множество[[#Headers],[№]]),"")</f>
        <v/>
      </c>
      <c r="AI885" s="66">
        <v>1</v>
      </c>
      <c r="AJ885" s="66">
        <f>IF(LEN(Множество[[#This Row],[Свёртка]])&gt;0,1,-1)</f>
        <v>1</v>
      </c>
      <c r="AK885" s="66" t="s">
        <v>1781</v>
      </c>
      <c r="AL885" s="209">
        <f>IF(LEN(Множество[[#This Row],[Критерии]])&gt;0,1,-1)</f>
        <v>1</v>
      </c>
      <c r="AM885" s="209">
        <f>IF(AND(LEN(Множество[[#This Row],[Свёртка]])&gt;0,LEN(Множество[[#This Row],[Критерии]])&gt;0,LEN(Множество[[#This Row],[Оценки]])&gt;0),1,-1)</f>
        <v>-1</v>
      </c>
      <c r="AN885" s="230"/>
      <c r="AO885" s="208"/>
      <c r="AP885" s="208"/>
      <c r="AQ885" s="208"/>
      <c r="AR885" s="226"/>
      <c r="AS885" s="225"/>
      <c r="AT885" s="226"/>
      <c r="AU885" s="225"/>
      <c r="AV885" s="225"/>
      <c r="AW885" s="225"/>
      <c r="AX885" s="225"/>
      <c r="AY885" s="225"/>
    </row>
    <row r="886" spans="33:51" x14ac:dyDescent="0.25">
      <c r="AG886" s="66" t="str">
        <f>IF(AND(Множество[[#This Row],[Y]]=1),ROW()-ROW(Множество[[#Headers],[№]]),"")</f>
        <v/>
      </c>
      <c r="AI886" s="66">
        <v>1</v>
      </c>
      <c r="AJ886" s="66">
        <f>IF(LEN(Множество[[#This Row],[Свёртка]])&gt;0,1,-1)</f>
        <v>1</v>
      </c>
      <c r="AK886" s="66" t="s">
        <v>1781</v>
      </c>
      <c r="AL886" s="209">
        <f>IF(LEN(Множество[[#This Row],[Критерии]])&gt;0,1,-1)</f>
        <v>1</v>
      </c>
      <c r="AM886" s="209">
        <f>IF(AND(LEN(Множество[[#This Row],[Свёртка]])&gt;0,LEN(Множество[[#This Row],[Критерии]])&gt;0,LEN(Множество[[#This Row],[Оценки]])&gt;0),1,-1)</f>
        <v>-1</v>
      </c>
      <c r="AN886" s="230"/>
      <c r="AO886" s="208"/>
      <c r="AP886" s="208"/>
      <c r="AQ886" s="208"/>
      <c r="AR886" s="226"/>
      <c r="AS886" s="225"/>
      <c r="AT886" s="226"/>
      <c r="AU886" s="225"/>
      <c r="AV886" s="225"/>
      <c r="AW886" s="225"/>
      <c r="AX886" s="225"/>
      <c r="AY886" s="225"/>
    </row>
    <row r="887" spans="33:51" x14ac:dyDescent="0.25">
      <c r="AG887" s="66" t="str">
        <f>IF(AND(Множество[[#This Row],[Y]]=1),ROW()-ROW(Множество[[#Headers],[№]]),"")</f>
        <v/>
      </c>
      <c r="AI887" s="66">
        <v>1</v>
      </c>
      <c r="AJ887" s="66">
        <f>IF(LEN(Множество[[#This Row],[Свёртка]])&gt;0,1,-1)</f>
        <v>1</v>
      </c>
      <c r="AK887" s="66" t="s">
        <v>1781</v>
      </c>
      <c r="AL887" s="209">
        <f>IF(LEN(Множество[[#This Row],[Критерии]])&gt;0,1,-1)</f>
        <v>1</v>
      </c>
      <c r="AM887" s="209">
        <f>IF(AND(LEN(Множество[[#This Row],[Свёртка]])&gt;0,LEN(Множество[[#This Row],[Критерии]])&gt;0,LEN(Множество[[#This Row],[Оценки]])&gt;0),1,-1)</f>
        <v>-1</v>
      </c>
      <c r="AN887" s="230"/>
      <c r="AO887" s="208"/>
      <c r="AP887" s="208"/>
      <c r="AQ887" s="208"/>
      <c r="AR887" s="226"/>
      <c r="AS887" s="225"/>
      <c r="AT887" s="226"/>
      <c r="AU887" s="225"/>
      <c r="AV887" s="225"/>
      <c r="AW887" s="225"/>
      <c r="AX887" s="225"/>
      <c r="AY887" s="225"/>
    </row>
    <row r="888" spans="33:51" x14ac:dyDescent="0.25">
      <c r="AG888" s="66" t="str">
        <f>IF(AND(Множество[[#This Row],[Y]]=1),ROW()-ROW(Множество[[#Headers],[№]]),"")</f>
        <v/>
      </c>
      <c r="AI888" s="66">
        <v>1</v>
      </c>
      <c r="AJ888" s="66">
        <f>IF(LEN(Множество[[#This Row],[Свёртка]])&gt;0,1,-1)</f>
        <v>1</v>
      </c>
      <c r="AK888" s="66" t="s">
        <v>1781</v>
      </c>
      <c r="AL888" s="209">
        <f>IF(LEN(Множество[[#This Row],[Критерии]])&gt;0,1,-1)</f>
        <v>1</v>
      </c>
      <c r="AM888" s="209">
        <f>IF(AND(LEN(Множество[[#This Row],[Свёртка]])&gt;0,LEN(Множество[[#This Row],[Критерии]])&gt;0,LEN(Множество[[#This Row],[Оценки]])&gt;0),1,-1)</f>
        <v>-1</v>
      </c>
      <c r="AN888" s="230"/>
      <c r="AO888" s="208"/>
      <c r="AP888" s="208"/>
      <c r="AQ888" s="208"/>
      <c r="AR888" s="226"/>
      <c r="AS888" s="225"/>
      <c r="AT888" s="226"/>
      <c r="AU888" s="225"/>
      <c r="AV888" s="225"/>
      <c r="AW888" s="225"/>
      <c r="AX888" s="225"/>
      <c r="AY888" s="225"/>
    </row>
    <row r="889" spans="33:51" x14ac:dyDescent="0.25">
      <c r="AG889" s="66" t="str">
        <f>IF(AND(Множество[[#This Row],[Y]]=1),ROW()-ROW(Множество[[#Headers],[№]]),"")</f>
        <v/>
      </c>
      <c r="AI889" s="66">
        <v>1</v>
      </c>
      <c r="AJ889" s="66">
        <f>IF(LEN(Множество[[#This Row],[Свёртка]])&gt;0,1,-1)</f>
        <v>1</v>
      </c>
      <c r="AK889" s="66" t="s">
        <v>1781</v>
      </c>
      <c r="AL889" s="209">
        <f>IF(LEN(Множество[[#This Row],[Критерии]])&gt;0,1,-1)</f>
        <v>1</v>
      </c>
      <c r="AM889" s="209">
        <f>IF(AND(LEN(Множество[[#This Row],[Свёртка]])&gt;0,LEN(Множество[[#This Row],[Критерии]])&gt;0,LEN(Множество[[#This Row],[Оценки]])&gt;0),1,-1)</f>
        <v>-1</v>
      </c>
      <c r="AN889" s="230"/>
      <c r="AO889" s="208"/>
      <c r="AP889" s="208"/>
      <c r="AQ889" s="208"/>
      <c r="AR889" s="226"/>
      <c r="AS889" s="225"/>
      <c r="AT889" s="226"/>
      <c r="AU889" s="225"/>
      <c r="AV889" s="225"/>
      <c r="AW889" s="225"/>
      <c r="AX889" s="225"/>
      <c r="AY889" s="225"/>
    </row>
    <row r="890" spans="33:51" x14ac:dyDescent="0.25">
      <c r="AG890" s="66" t="str">
        <f>IF(AND(Множество[[#This Row],[Y]]=1),ROW()-ROW(Множество[[#Headers],[№]]),"")</f>
        <v/>
      </c>
      <c r="AI890" s="66">
        <v>1</v>
      </c>
      <c r="AJ890" s="66">
        <f>IF(LEN(Множество[[#This Row],[Свёртка]])&gt;0,1,-1)</f>
        <v>1</v>
      </c>
      <c r="AK890" s="66" t="s">
        <v>1781</v>
      </c>
      <c r="AL890" s="209">
        <f>IF(LEN(Множество[[#This Row],[Критерии]])&gt;0,1,-1)</f>
        <v>1</v>
      </c>
      <c r="AM890" s="209">
        <f>IF(AND(LEN(Множество[[#This Row],[Свёртка]])&gt;0,LEN(Множество[[#This Row],[Критерии]])&gt;0,LEN(Множество[[#This Row],[Оценки]])&gt;0),1,-1)</f>
        <v>-1</v>
      </c>
      <c r="AN890" s="230"/>
      <c r="AO890" s="208"/>
      <c r="AP890" s="208"/>
      <c r="AQ890" s="208"/>
      <c r="AR890" s="226"/>
      <c r="AS890" s="225"/>
      <c r="AT890" s="226"/>
      <c r="AU890" s="225"/>
      <c r="AV890" s="225"/>
      <c r="AW890" s="225"/>
      <c r="AX890" s="225"/>
      <c r="AY890" s="225"/>
    </row>
    <row r="891" spans="33:51" x14ac:dyDescent="0.25">
      <c r="AG891" s="66" t="str">
        <f>IF(AND(Множество[[#This Row],[Y]]=1),ROW()-ROW(Множество[[#Headers],[№]]),"")</f>
        <v/>
      </c>
      <c r="AI891" s="66">
        <v>1</v>
      </c>
      <c r="AJ891" s="66">
        <f>IF(LEN(Множество[[#This Row],[Свёртка]])&gt;0,1,-1)</f>
        <v>1</v>
      </c>
      <c r="AK891" s="66" t="s">
        <v>1781</v>
      </c>
      <c r="AL891" s="209">
        <f>IF(LEN(Множество[[#This Row],[Критерии]])&gt;0,1,-1)</f>
        <v>1</v>
      </c>
      <c r="AM891" s="209">
        <f>IF(AND(LEN(Множество[[#This Row],[Свёртка]])&gt;0,LEN(Множество[[#This Row],[Критерии]])&gt;0,LEN(Множество[[#This Row],[Оценки]])&gt;0),1,-1)</f>
        <v>-1</v>
      </c>
      <c r="AN891" s="230"/>
      <c r="AO891" s="208"/>
      <c r="AP891" s="208"/>
      <c r="AQ891" s="208"/>
      <c r="AR891" s="226"/>
      <c r="AS891" s="225"/>
      <c r="AT891" s="226"/>
      <c r="AU891" s="225"/>
      <c r="AV891" s="225"/>
      <c r="AW891" s="225"/>
      <c r="AX891" s="225"/>
      <c r="AY891" s="225"/>
    </row>
    <row r="892" spans="33:51" x14ac:dyDescent="0.25">
      <c r="AG892" s="66" t="str">
        <f>IF(AND(Множество[[#This Row],[Y]]=1),ROW()-ROW(Множество[[#Headers],[№]]),"")</f>
        <v/>
      </c>
      <c r="AI892" s="66">
        <v>1</v>
      </c>
      <c r="AJ892" s="66">
        <f>IF(LEN(Множество[[#This Row],[Свёртка]])&gt;0,1,-1)</f>
        <v>1</v>
      </c>
      <c r="AK892" s="66" t="s">
        <v>1781</v>
      </c>
      <c r="AL892" s="209">
        <f>IF(LEN(Множество[[#This Row],[Критерии]])&gt;0,1,-1)</f>
        <v>1</v>
      </c>
      <c r="AM892" s="209">
        <f>IF(AND(LEN(Множество[[#This Row],[Свёртка]])&gt;0,LEN(Множество[[#This Row],[Критерии]])&gt;0,LEN(Множество[[#This Row],[Оценки]])&gt;0),1,-1)</f>
        <v>-1</v>
      </c>
      <c r="AN892" s="230"/>
      <c r="AO892" s="208"/>
      <c r="AP892" s="208"/>
      <c r="AQ892" s="208"/>
      <c r="AR892" s="226"/>
      <c r="AS892" s="225"/>
      <c r="AT892" s="226"/>
      <c r="AU892" s="225"/>
      <c r="AV892" s="225"/>
      <c r="AW892" s="225"/>
      <c r="AX892" s="225"/>
      <c r="AY892" s="225"/>
    </row>
    <row r="893" spans="33:51" x14ac:dyDescent="0.25">
      <c r="AG893" s="66" t="str">
        <f>IF(AND(Множество[[#This Row],[Y]]=1),ROW()-ROW(Множество[[#Headers],[№]]),"")</f>
        <v/>
      </c>
      <c r="AI893" s="66">
        <v>1</v>
      </c>
      <c r="AJ893" s="66">
        <f>IF(LEN(Множество[[#This Row],[Свёртка]])&gt;0,1,-1)</f>
        <v>1</v>
      </c>
      <c r="AK893" s="66" t="s">
        <v>1781</v>
      </c>
      <c r="AL893" s="209">
        <f>IF(LEN(Множество[[#This Row],[Критерии]])&gt;0,1,-1)</f>
        <v>1</v>
      </c>
      <c r="AM893" s="209">
        <f>IF(AND(LEN(Множество[[#This Row],[Свёртка]])&gt;0,LEN(Множество[[#This Row],[Критерии]])&gt;0,LEN(Множество[[#This Row],[Оценки]])&gt;0),1,-1)</f>
        <v>-1</v>
      </c>
      <c r="AN893" s="230"/>
      <c r="AO893" s="208"/>
      <c r="AP893" s="208"/>
      <c r="AQ893" s="208"/>
      <c r="AR893" s="226"/>
      <c r="AS893" s="225"/>
      <c r="AT893" s="226"/>
      <c r="AU893" s="225"/>
      <c r="AV893" s="225"/>
      <c r="AW893" s="225"/>
      <c r="AX893" s="225"/>
      <c r="AY893" s="225"/>
    </row>
    <row r="894" spans="33:51" x14ac:dyDescent="0.25">
      <c r="AG894" s="66" t="str">
        <f>IF(AND(Множество[[#This Row],[Y]]=1),ROW()-ROW(Множество[[#Headers],[№]]),"")</f>
        <v/>
      </c>
      <c r="AI894" s="66">
        <v>1</v>
      </c>
      <c r="AJ894" s="66">
        <f>IF(LEN(Множество[[#This Row],[Свёртка]])&gt;0,1,-1)</f>
        <v>1</v>
      </c>
      <c r="AK894" s="66" t="s">
        <v>1781</v>
      </c>
      <c r="AL894" s="209">
        <f>IF(LEN(Множество[[#This Row],[Критерии]])&gt;0,1,-1)</f>
        <v>1</v>
      </c>
      <c r="AM894" s="209">
        <f>IF(AND(LEN(Множество[[#This Row],[Свёртка]])&gt;0,LEN(Множество[[#This Row],[Критерии]])&gt;0,LEN(Множество[[#This Row],[Оценки]])&gt;0),1,-1)</f>
        <v>-1</v>
      </c>
      <c r="AN894" s="230"/>
      <c r="AO894" s="208"/>
      <c r="AP894" s="208"/>
      <c r="AQ894" s="208"/>
      <c r="AR894" s="226"/>
      <c r="AS894" s="225"/>
      <c r="AT894" s="226"/>
      <c r="AU894" s="225"/>
      <c r="AV894" s="225"/>
      <c r="AW894" s="225"/>
      <c r="AX894" s="225"/>
      <c r="AY894" s="225"/>
    </row>
    <row r="895" spans="33:51" x14ac:dyDescent="0.25">
      <c r="AG895" s="66" t="str">
        <f>IF(AND(Множество[[#This Row],[Y]]=1),ROW()-ROW(Множество[[#Headers],[№]]),"")</f>
        <v/>
      </c>
      <c r="AI895" s="66">
        <v>1</v>
      </c>
      <c r="AJ895" s="66">
        <f>IF(LEN(Множество[[#This Row],[Свёртка]])&gt;0,1,-1)</f>
        <v>1</v>
      </c>
      <c r="AK895" s="66" t="s">
        <v>1781</v>
      </c>
      <c r="AL895" s="209">
        <f>IF(LEN(Множество[[#This Row],[Критерии]])&gt;0,1,-1)</f>
        <v>1</v>
      </c>
      <c r="AM895" s="209">
        <f>IF(AND(LEN(Множество[[#This Row],[Свёртка]])&gt;0,LEN(Множество[[#This Row],[Критерии]])&gt;0,LEN(Множество[[#This Row],[Оценки]])&gt;0),1,-1)</f>
        <v>-1</v>
      </c>
      <c r="AN895" s="230"/>
      <c r="AO895" s="208"/>
      <c r="AP895" s="208"/>
      <c r="AQ895" s="208"/>
      <c r="AR895" s="226"/>
      <c r="AS895" s="225"/>
      <c r="AT895" s="226"/>
      <c r="AU895" s="225"/>
      <c r="AV895" s="225"/>
      <c r="AW895" s="225"/>
      <c r="AX895" s="225"/>
      <c r="AY895" s="225"/>
    </row>
    <row r="896" spans="33:51" x14ac:dyDescent="0.25">
      <c r="AG896" s="66" t="str">
        <f>IF(AND(Множество[[#This Row],[Y]]=1),ROW()-ROW(Множество[[#Headers],[№]]),"")</f>
        <v/>
      </c>
      <c r="AI896" s="66">
        <v>1</v>
      </c>
      <c r="AJ896" s="66">
        <f>IF(LEN(Множество[[#This Row],[Свёртка]])&gt;0,1,-1)</f>
        <v>1</v>
      </c>
      <c r="AK896" s="66" t="s">
        <v>1781</v>
      </c>
      <c r="AL896" s="209">
        <f>IF(LEN(Множество[[#This Row],[Критерии]])&gt;0,1,-1)</f>
        <v>1</v>
      </c>
      <c r="AM896" s="209">
        <f>IF(AND(LEN(Множество[[#This Row],[Свёртка]])&gt;0,LEN(Множество[[#This Row],[Критерии]])&gt;0,LEN(Множество[[#This Row],[Оценки]])&gt;0),1,-1)</f>
        <v>-1</v>
      </c>
      <c r="AN896" s="230"/>
      <c r="AO896" s="208"/>
      <c r="AP896" s="208"/>
      <c r="AQ896" s="208"/>
      <c r="AR896" s="226"/>
      <c r="AS896" s="225"/>
      <c r="AT896" s="226"/>
      <c r="AU896" s="225"/>
      <c r="AV896" s="225"/>
      <c r="AW896" s="225"/>
      <c r="AX896" s="225"/>
      <c r="AY896" s="225"/>
    </row>
    <row r="897" spans="33:51" x14ac:dyDescent="0.25">
      <c r="AG897" s="66" t="str">
        <f>IF(AND(Множество[[#This Row],[Y]]=1),ROW()-ROW(Множество[[#Headers],[№]]),"")</f>
        <v/>
      </c>
      <c r="AI897" s="66">
        <v>1</v>
      </c>
      <c r="AJ897" s="66">
        <f>IF(LEN(Множество[[#This Row],[Свёртка]])&gt;0,1,-1)</f>
        <v>1</v>
      </c>
      <c r="AK897" s="66" t="s">
        <v>1781</v>
      </c>
      <c r="AL897" s="209">
        <f>IF(LEN(Множество[[#This Row],[Критерии]])&gt;0,1,-1)</f>
        <v>1</v>
      </c>
      <c r="AM897" s="209">
        <f>IF(AND(LEN(Множество[[#This Row],[Свёртка]])&gt;0,LEN(Множество[[#This Row],[Критерии]])&gt;0,LEN(Множество[[#This Row],[Оценки]])&gt;0),1,-1)</f>
        <v>-1</v>
      </c>
      <c r="AN897" s="230"/>
      <c r="AO897" s="208"/>
      <c r="AP897" s="208"/>
      <c r="AQ897" s="208"/>
      <c r="AR897" s="226"/>
      <c r="AS897" s="225"/>
      <c r="AT897" s="226"/>
      <c r="AU897" s="225"/>
      <c r="AV897" s="225"/>
      <c r="AW897" s="225"/>
      <c r="AX897" s="225"/>
      <c r="AY897" s="225"/>
    </row>
    <row r="898" spans="33:51" x14ac:dyDescent="0.25">
      <c r="AG898" s="66" t="str">
        <f>IF(AND(Множество[[#This Row],[Y]]=1),ROW()-ROW(Множество[[#Headers],[№]]),"")</f>
        <v/>
      </c>
      <c r="AI898" s="66">
        <v>1</v>
      </c>
      <c r="AJ898" s="66">
        <f>IF(LEN(Множество[[#This Row],[Свёртка]])&gt;0,1,-1)</f>
        <v>1</v>
      </c>
      <c r="AK898" s="66" t="s">
        <v>1781</v>
      </c>
      <c r="AL898" s="209">
        <f>IF(LEN(Множество[[#This Row],[Критерии]])&gt;0,1,-1)</f>
        <v>1</v>
      </c>
      <c r="AM898" s="209">
        <f>IF(AND(LEN(Множество[[#This Row],[Свёртка]])&gt;0,LEN(Множество[[#This Row],[Критерии]])&gt;0,LEN(Множество[[#This Row],[Оценки]])&gt;0),1,-1)</f>
        <v>-1</v>
      </c>
      <c r="AN898" s="230"/>
      <c r="AO898" s="208"/>
      <c r="AP898" s="208"/>
      <c r="AQ898" s="208"/>
      <c r="AR898" s="226"/>
      <c r="AS898" s="225"/>
      <c r="AT898" s="226"/>
      <c r="AU898" s="225"/>
      <c r="AV898" s="225"/>
      <c r="AW898" s="225"/>
      <c r="AX898" s="225"/>
      <c r="AY898" s="225"/>
    </row>
    <row r="899" spans="33:51" x14ac:dyDescent="0.25">
      <c r="AG899" s="66" t="str">
        <f>IF(AND(Множество[[#This Row],[Y]]=1),ROW()-ROW(Множество[[#Headers],[№]]),"")</f>
        <v/>
      </c>
      <c r="AI899" s="66">
        <v>1</v>
      </c>
      <c r="AJ899" s="66">
        <f>IF(LEN(Множество[[#This Row],[Свёртка]])&gt;0,1,-1)</f>
        <v>1</v>
      </c>
      <c r="AK899" s="66" t="s">
        <v>1781</v>
      </c>
      <c r="AL899" s="209">
        <f>IF(LEN(Множество[[#This Row],[Критерии]])&gt;0,1,-1)</f>
        <v>1</v>
      </c>
      <c r="AM899" s="209">
        <f>IF(AND(LEN(Множество[[#This Row],[Свёртка]])&gt;0,LEN(Множество[[#This Row],[Критерии]])&gt;0,LEN(Множество[[#This Row],[Оценки]])&gt;0),1,-1)</f>
        <v>-1</v>
      </c>
      <c r="AN899" s="230"/>
      <c r="AO899" s="208"/>
      <c r="AP899" s="208"/>
      <c r="AQ899" s="208"/>
      <c r="AR899" s="226"/>
      <c r="AS899" s="225"/>
      <c r="AT899" s="226"/>
      <c r="AU899" s="225"/>
      <c r="AV899" s="225"/>
      <c r="AW899" s="225"/>
      <c r="AX899" s="225"/>
      <c r="AY899" s="225"/>
    </row>
    <row r="900" spans="33:51" x14ac:dyDescent="0.25">
      <c r="AG900" s="66" t="str">
        <f>IF(AND(Множество[[#This Row],[Y]]=1),ROW()-ROW(Множество[[#Headers],[№]]),"")</f>
        <v/>
      </c>
      <c r="AI900" s="66">
        <v>1</v>
      </c>
      <c r="AJ900" s="66">
        <f>IF(LEN(Множество[[#This Row],[Свёртка]])&gt;0,1,-1)</f>
        <v>1</v>
      </c>
      <c r="AK900" s="66" t="s">
        <v>1781</v>
      </c>
      <c r="AL900" s="209">
        <f>IF(LEN(Множество[[#This Row],[Критерии]])&gt;0,1,-1)</f>
        <v>1</v>
      </c>
      <c r="AM900" s="209">
        <f>IF(AND(LEN(Множество[[#This Row],[Свёртка]])&gt;0,LEN(Множество[[#This Row],[Критерии]])&gt;0,LEN(Множество[[#This Row],[Оценки]])&gt;0),1,-1)</f>
        <v>-1</v>
      </c>
      <c r="AN900" s="230"/>
      <c r="AO900" s="208"/>
      <c r="AP900" s="208"/>
      <c r="AQ900" s="208"/>
      <c r="AR900" s="226"/>
      <c r="AS900" s="225"/>
      <c r="AT900" s="226"/>
      <c r="AU900" s="225"/>
      <c r="AV900" s="225"/>
      <c r="AW900" s="225"/>
      <c r="AX900" s="225"/>
      <c r="AY900" s="225"/>
    </row>
    <row r="901" spans="33:51" x14ac:dyDescent="0.25">
      <c r="AG901" s="66" t="str">
        <f>IF(AND(Множество[[#This Row],[Y]]=1),ROW()-ROW(Множество[[#Headers],[№]]),"")</f>
        <v/>
      </c>
      <c r="AI901" s="66">
        <v>1</v>
      </c>
      <c r="AJ901" s="66">
        <f>IF(LEN(Множество[[#This Row],[Свёртка]])&gt;0,1,-1)</f>
        <v>1</v>
      </c>
      <c r="AK901" s="66" t="s">
        <v>1781</v>
      </c>
      <c r="AL901" s="209">
        <f>IF(LEN(Множество[[#This Row],[Критерии]])&gt;0,1,-1)</f>
        <v>1</v>
      </c>
      <c r="AM901" s="209">
        <f>IF(AND(LEN(Множество[[#This Row],[Свёртка]])&gt;0,LEN(Множество[[#This Row],[Критерии]])&gt;0,LEN(Множество[[#This Row],[Оценки]])&gt;0),1,-1)</f>
        <v>-1</v>
      </c>
      <c r="AN901" s="230"/>
      <c r="AO901" s="208"/>
      <c r="AP901" s="208"/>
      <c r="AQ901" s="208"/>
      <c r="AR901" s="226"/>
      <c r="AS901" s="225"/>
      <c r="AT901" s="226"/>
      <c r="AU901" s="225"/>
      <c r="AV901" s="225"/>
      <c r="AW901" s="225"/>
      <c r="AX901" s="225"/>
      <c r="AY901" s="225"/>
    </row>
    <row r="902" spans="33:51" x14ac:dyDescent="0.25">
      <c r="AG902" s="66" t="str">
        <f>IF(AND(Множество[[#This Row],[Y]]=1),ROW()-ROW(Множество[[#Headers],[№]]),"")</f>
        <v/>
      </c>
      <c r="AI902" s="66">
        <v>1</v>
      </c>
      <c r="AJ902" s="66">
        <f>IF(LEN(Множество[[#This Row],[Свёртка]])&gt;0,1,-1)</f>
        <v>1</v>
      </c>
      <c r="AK902" s="66" t="s">
        <v>1781</v>
      </c>
      <c r="AL902" s="209">
        <f>IF(LEN(Множество[[#This Row],[Критерии]])&gt;0,1,-1)</f>
        <v>1</v>
      </c>
      <c r="AM902" s="209">
        <f>IF(AND(LEN(Множество[[#This Row],[Свёртка]])&gt;0,LEN(Множество[[#This Row],[Критерии]])&gt;0,LEN(Множество[[#This Row],[Оценки]])&gt;0),1,-1)</f>
        <v>-1</v>
      </c>
      <c r="AN902" s="230"/>
      <c r="AO902" s="208"/>
      <c r="AP902" s="208"/>
      <c r="AQ902" s="208"/>
      <c r="AR902" s="226"/>
      <c r="AS902" s="225"/>
      <c r="AT902" s="226"/>
      <c r="AU902" s="225"/>
      <c r="AV902" s="225"/>
      <c r="AW902" s="225"/>
      <c r="AX902" s="225"/>
      <c r="AY902" s="225"/>
    </row>
    <row r="903" spans="33:51" x14ac:dyDescent="0.25">
      <c r="AG903" s="66" t="str">
        <f>IF(AND(Множество[[#This Row],[Y]]=1),ROW()-ROW(Множество[[#Headers],[№]]),"")</f>
        <v/>
      </c>
      <c r="AI903" s="66">
        <v>1</v>
      </c>
      <c r="AJ903" s="66">
        <f>IF(LEN(Множество[[#This Row],[Свёртка]])&gt;0,1,-1)</f>
        <v>1</v>
      </c>
      <c r="AK903" s="66" t="s">
        <v>1781</v>
      </c>
      <c r="AL903" s="209">
        <f>IF(LEN(Множество[[#This Row],[Критерии]])&gt;0,1,-1)</f>
        <v>1</v>
      </c>
      <c r="AM903" s="209">
        <f>IF(AND(LEN(Множество[[#This Row],[Свёртка]])&gt;0,LEN(Множество[[#This Row],[Критерии]])&gt;0,LEN(Множество[[#This Row],[Оценки]])&gt;0),1,-1)</f>
        <v>-1</v>
      </c>
      <c r="AN903" s="230"/>
      <c r="AO903" s="208"/>
      <c r="AP903" s="208"/>
      <c r="AQ903" s="208"/>
      <c r="AR903" s="226"/>
      <c r="AS903" s="225"/>
      <c r="AT903" s="226"/>
      <c r="AU903" s="225"/>
      <c r="AV903" s="225"/>
      <c r="AW903" s="225"/>
      <c r="AX903" s="225"/>
      <c r="AY903" s="225"/>
    </row>
    <row r="904" spans="33:51" x14ac:dyDescent="0.25">
      <c r="AG904" s="66" t="str">
        <f>IF(AND(Множество[[#This Row],[Y]]=1),ROW()-ROW(Множество[[#Headers],[№]]),"")</f>
        <v/>
      </c>
      <c r="AI904" s="66">
        <v>1</v>
      </c>
      <c r="AJ904" s="66">
        <f>IF(LEN(Множество[[#This Row],[Свёртка]])&gt;0,1,-1)</f>
        <v>1</v>
      </c>
      <c r="AK904" s="66" t="s">
        <v>1781</v>
      </c>
      <c r="AL904" s="209">
        <f>IF(LEN(Множество[[#This Row],[Критерии]])&gt;0,1,-1)</f>
        <v>1</v>
      </c>
      <c r="AM904" s="209">
        <f>IF(AND(LEN(Множество[[#This Row],[Свёртка]])&gt;0,LEN(Множество[[#This Row],[Критерии]])&gt;0,LEN(Множество[[#This Row],[Оценки]])&gt;0),1,-1)</f>
        <v>-1</v>
      </c>
      <c r="AN904" s="230"/>
      <c r="AO904" s="208"/>
      <c r="AP904" s="208"/>
      <c r="AQ904" s="208"/>
      <c r="AR904" s="226"/>
      <c r="AS904" s="225"/>
      <c r="AT904" s="226"/>
      <c r="AU904" s="225"/>
      <c r="AV904" s="225"/>
      <c r="AW904" s="225"/>
      <c r="AX904" s="225"/>
      <c r="AY904" s="225"/>
    </row>
    <row r="905" spans="33:51" x14ac:dyDescent="0.25">
      <c r="AG905" s="66" t="str">
        <f>IF(AND(Множество[[#This Row],[Y]]=1),ROW()-ROW(Множество[[#Headers],[№]]),"")</f>
        <v/>
      </c>
      <c r="AI905" s="66">
        <v>1</v>
      </c>
      <c r="AJ905" s="66">
        <f>IF(LEN(Множество[[#This Row],[Свёртка]])&gt;0,1,-1)</f>
        <v>1</v>
      </c>
      <c r="AK905" s="66" t="s">
        <v>1781</v>
      </c>
      <c r="AL905" s="209">
        <f>IF(LEN(Множество[[#This Row],[Критерии]])&gt;0,1,-1)</f>
        <v>1</v>
      </c>
      <c r="AM905" s="209">
        <f>IF(AND(LEN(Множество[[#This Row],[Свёртка]])&gt;0,LEN(Множество[[#This Row],[Критерии]])&gt;0,LEN(Множество[[#This Row],[Оценки]])&gt;0),1,-1)</f>
        <v>-1</v>
      </c>
      <c r="AN905" s="230"/>
      <c r="AO905" s="208"/>
      <c r="AP905" s="208"/>
      <c r="AQ905" s="208"/>
      <c r="AR905" s="226"/>
      <c r="AS905" s="225"/>
      <c r="AT905" s="226"/>
      <c r="AU905" s="225"/>
      <c r="AV905" s="225"/>
      <c r="AW905" s="225"/>
      <c r="AX905" s="225"/>
      <c r="AY905" s="225"/>
    </row>
    <row r="906" spans="33:51" x14ac:dyDescent="0.25">
      <c r="AG906" s="66" t="str">
        <f>IF(AND(Множество[[#This Row],[Y]]=1),ROW()-ROW(Множество[[#Headers],[№]]),"")</f>
        <v/>
      </c>
      <c r="AI906" s="66">
        <v>1</v>
      </c>
      <c r="AJ906" s="66">
        <f>IF(LEN(Множество[[#This Row],[Свёртка]])&gt;0,1,-1)</f>
        <v>1</v>
      </c>
      <c r="AK906" s="66" t="s">
        <v>1781</v>
      </c>
      <c r="AL906" s="209">
        <f>IF(LEN(Множество[[#This Row],[Критерии]])&gt;0,1,-1)</f>
        <v>1</v>
      </c>
      <c r="AM906" s="209">
        <f>IF(AND(LEN(Множество[[#This Row],[Свёртка]])&gt;0,LEN(Множество[[#This Row],[Критерии]])&gt;0,LEN(Множество[[#This Row],[Оценки]])&gt;0),1,-1)</f>
        <v>-1</v>
      </c>
      <c r="AN906" s="230"/>
      <c r="AO906" s="208"/>
      <c r="AP906" s="208"/>
      <c r="AQ906" s="208"/>
      <c r="AR906" s="226"/>
      <c r="AS906" s="225"/>
      <c r="AT906" s="226"/>
      <c r="AU906" s="225"/>
      <c r="AV906" s="225"/>
      <c r="AW906" s="225"/>
      <c r="AX906" s="225"/>
      <c r="AY906" s="225"/>
    </row>
    <row r="907" spans="33:51" x14ac:dyDescent="0.25">
      <c r="AG907" s="66" t="str">
        <f>IF(AND(Множество[[#This Row],[Y]]=1),ROW()-ROW(Множество[[#Headers],[№]]),"")</f>
        <v/>
      </c>
      <c r="AI907" s="66">
        <v>1</v>
      </c>
      <c r="AJ907" s="66">
        <f>IF(LEN(Множество[[#This Row],[Свёртка]])&gt;0,1,-1)</f>
        <v>1</v>
      </c>
      <c r="AK907" s="66" t="s">
        <v>1781</v>
      </c>
      <c r="AL907" s="209">
        <f>IF(LEN(Множество[[#This Row],[Критерии]])&gt;0,1,-1)</f>
        <v>1</v>
      </c>
      <c r="AM907" s="209">
        <f>IF(AND(LEN(Множество[[#This Row],[Свёртка]])&gt;0,LEN(Множество[[#This Row],[Критерии]])&gt;0,LEN(Множество[[#This Row],[Оценки]])&gt;0),1,-1)</f>
        <v>-1</v>
      </c>
      <c r="AN907" s="230"/>
      <c r="AO907" s="208"/>
      <c r="AP907" s="208"/>
      <c r="AQ907" s="208"/>
      <c r="AR907" s="226"/>
      <c r="AS907" s="225"/>
      <c r="AT907" s="226"/>
      <c r="AU907" s="225"/>
      <c r="AV907" s="225"/>
      <c r="AW907" s="225"/>
      <c r="AX907" s="225"/>
      <c r="AY907" s="225"/>
    </row>
    <row r="908" spans="33:51" x14ac:dyDescent="0.25">
      <c r="AG908" s="66" t="str">
        <f>IF(AND(Множество[[#This Row],[Y]]=1),ROW()-ROW(Множество[[#Headers],[№]]),"")</f>
        <v/>
      </c>
      <c r="AI908" s="66">
        <v>1</v>
      </c>
      <c r="AJ908" s="66">
        <f>IF(LEN(Множество[[#This Row],[Свёртка]])&gt;0,1,-1)</f>
        <v>1</v>
      </c>
      <c r="AK908" s="66" t="s">
        <v>1781</v>
      </c>
      <c r="AL908" s="209">
        <f>IF(LEN(Множество[[#This Row],[Критерии]])&gt;0,1,-1)</f>
        <v>1</v>
      </c>
      <c r="AM908" s="209">
        <f>IF(AND(LEN(Множество[[#This Row],[Свёртка]])&gt;0,LEN(Множество[[#This Row],[Критерии]])&gt;0,LEN(Множество[[#This Row],[Оценки]])&gt;0),1,-1)</f>
        <v>-1</v>
      </c>
      <c r="AN908" s="230"/>
      <c r="AO908" s="208"/>
      <c r="AP908" s="208"/>
      <c r="AQ908" s="208"/>
      <c r="AR908" s="226"/>
      <c r="AS908" s="225"/>
      <c r="AT908" s="226"/>
      <c r="AU908" s="225"/>
      <c r="AV908" s="225"/>
      <c r="AW908" s="225"/>
      <c r="AX908" s="225"/>
      <c r="AY908" s="225"/>
    </row>
    <row r="909" spans="33:51" x14ac:dyDescent="0.25">
      <c r="AG909" s="66" t="str">
        <f>IF(AND(Множество[[#This Row],[Y]]=1),ROW()-ROW(Множество[[#Headers],[№]]),"")</f>
        <v/>
      </c>
      <c r="AI909" s="66">
        <v>1</v>
      </c>
      <c r="AJ909" s="66">
        <f>IF(LEN(Множество[[#This Row],[Свёртка]])&gt;0,1,-1)</f>
        <v>1</v>
      </c>
      <c r="AK909" s="66" t="s">
        <v>1781</v>
      </c>
      <c r="AL909" s="209">
        <f>IF(LEN(Множество[[#This Row],[Критерии]])&gt;0,1,-1)</f>
        <v>1</v>
      </c>
      <c r="AM909" s="209">
        <f>IF(AND(LEN(Множество[[#This Row],[Свёртка]])&gt;0,LEN(Множество[[#This Row],[Критерии]])&gt;0,LEN(Множество[[#This Row],[Оценки]])&gt;0),1,-1)</f>
        <v>-1</v>
      </c>
      <c r="AN909" s="230"/>
      <c r="AO909" s="208"/>
      <c r="AP909" s="208"/>
      <c r="AQ909" s="208"/>
      <c r="AR909" s="226"/>
      <c r="AS909" s="225"/>
      <c r="AT909" s="226"/>
      <c r="AU909" s="225"/>
      <c r="AV909" s="225"/>
      <c r="AW909" s="225"/>
      <c r="AX909" s="225"/>
      <c r="AY909" s="225"/>
    </row>
    <row r="910" spans="33:51" x14ac:dyDescent="0.25">
      <c r="AG910" s="66" t="str">
        <f>IF(AND(Множество[[#This Row],[Y]]=1),ROW()-ROW(Множество[[#Headers],[№]]),"")</f>
        <v/>
      </c>
      <c r="AI910" s="66">
        <v>1</v>
      </c>
      <c r="AJ910" s="66">
        <f>IF(LEN(Множество[[#This Row],[Свёртка]])&gt;0,1,-1)</f>
        <v>1</v>
      </c>
      <c r="AK910" s="66" t="s">
        <v>1781</v>
      </c>
      <c r="AL910" s="209">
        <f>IF(LEN(Множество[[#This Row],[Критерии]])&gt;0,1,-1)</f>
        <v>1</v>
      </c>
      <c r="AM910" s="209">
        <f>IF(AND(LEN(Множество[[#This Row],[Свёртка]])&gt;0,LEN(Множество[[#This Row],[Критерии]])&gt;0,LEN(Множество[[#This Row],[Оценки]])&gt;0),1,-1)</f>
        <v>-1</v>
      </c>
      <c r="AN910" s="230"/>
      <c r="AO910" s="208"/>
      <c r="AP910" s="208"/>
      <c r="AQ910" s="208"/>
      <c r="AR910" s="226"/>
      <c r="AS910" s="225"/>
      <c r="AT910" s="226"/>
      <c r="AU910" s="225"/>
      <c r="AV910" s="225"/>
      <c r="AW910" s="225"/>
      <c r="AX910" s="225"/>
      <c r="AY910" s="225"/>
    </row>
    <row r="911" spans="33:51" x14ac:dyDescent="0.25">
      <c r="AG911" s="66" t="str">
        <f>IF(AND(Множество[[#This Row],[Y]]=1),ROW()-ROW(Множество[[#Headers],[№]]),"")</f>
        <v/>
      </c>
      <c r="AI911" s="66">
        <v>1</v>
      </c>
      <c r="AJ911" s="66">
        <f>IF(LEN(Множество[[#This Row],[Свёртка]])&gt;0,1,-1)</f>
        <v>1</v>
      </c>
      <c r="AK911" s="66" t="s">
        <v>1781</v>
      </c>
      <c r="AL911" s="209">
        <f>IF(LEN(Множество[[#This Row],[Критерии]])&gt;0,1,-1)</f>
        <v>1</v>
      </c>
      <c r="AM911" s="209">
        <f>IF(AND(LEN(Множество[[#This Row],[Свёртка]])&gt;0,LEN(Множество[[#This Row],[Критерии]])&gt;0,LEN(Множество[[#This Row],[Оценки]])&gt;0),1,-1)</f>
        <v>-1</v>
      </c>
      <c r="AN911" s="230"/>
      <c r="AO911" s="208"/>
      <c r="AP911" s="208"/>
      <c r="AQ911" s="208"/>
      <c r="AR911" s="226"/>
      <c r="AS911" s="225"/>
      <c r="AT911" s="226"/>
      <c r="AU911" s="225"/>
      <c r="AV911" s="225"/>
      <c r="AW911" s="225"/>
      <c r="AX911" s="225"/>
      <c r="AY911" s="225"/>
    </row>
    <row r="912" spans="33:51" x14ac:dyDescent="0.25">
      <c r="AG912" s="66" t="str">
        <f>IF(AND(Множество[[#This Row],[Y]]=1),ROW()-ROW(Множество[[#Headers],[№]]),"")</f>
        <v/>
      </c>
      <c r="AI912" s="66">
        <v>1</v>
      </c>
      <c r="AJ912" s="66">
        <f>IF(LEN(Множество[[#This Row],[Свёртка]])&gt;0,1,-1)</f>
        <v>1</v>
      </c>
      <c r="AK912" s="66" t="s">
        <v>1781</v>
      </c>
      <c r="AL912" s="209">
        <f>IF(LEN(Множество[[#This Row],[Критерии]])&gt;0,1,-1)</f>
        <v>1</v>
      </c>
      <c r="AM912" s="209">
        <f>IF(AND(LEN(Множество[[#This Row],[Свёртка]])&gt;0,LEN(Множество[[#This Row],[Критерии]])&gt;0,LEN(Множество[[#This Row],[Оценки]])&gt;0),1,-1)</f>
        <v>-1</v>
      </c>
      <c r="AN912" s="230"/>
      <c r="AO912" s="208"/>
      <c r="AP912" s="208"/>
      <c r="AQ912" s="208"/>
      <c r="AR912" s="226"/>
      <c r="AS912" s="225"/>
      <c r="AT912" s="226"/>
      <c r="AU912" s="225"/>
      <c r="AV912" s="225"/>
      <c r="AW912" s="225"/>
      <c r="AX912" s="225"/>
      <c r="AY912" s="225"/>
    </row>
    <row r="913" spans="33:51" x14ac:dyDescent="0.25">
      <c r="AG913" s="66" t="str">
        <f>IF(AND(Множество[[#This Row],[Y]]=1),ROW()-ROW(Множество[[#Headers],[№]]),"")</f>
        <v/>
      </c>
      <c r="AI913" s="66">
        <v>1</v>
      </c>
      <c r="AJ913" s="66">
        <f>IF(LEN(Множество[[#This Row],[Свёртка]])&gt;0,1,-1)</f>
        <v>1</v>
      </c>
      <c r="AK913" s="66" t="s">
        <v>1781</v>
      </c>
      <c r="AL913" s="209">
        <f>IF(LEN(Множество[[#This Row],[Критерии]])&gt;0,1,-1)</f>
        <v>1</v>
      </c>
      <c r="AM913" s="209">
        <f>IF(AND(LEN(Множество[[#This Row],[Свёртка]])&gt;0,LEN(Множество[[#This Row],[Критерии]])&gt;0,LEN(Множество[[#This Row],[Оценки]])&gt;0),1,-1)</f>
        <v>-1</v>
      </c>
      <c r="AN913" s="230"/>
      <c r="AO913" s="208"/>
      <c r="AP913" s="208"/>
      <c r="AQ913" s="208"/>
      <c r="AR913" s="226"/>
      <c r="AS913" s="225"/>
      <c r="AT913" s="226"/>
      <c r="AU913" s="225"/>
      <c r="AV913" s="225"/>
      <c r="AW913" s="225"/>
      <c r="AX913" s="225"/>
      <c r="AY913" s="225"/>
    </row>
    <row r="914" spans="33:51" x14ac:dyDescent="0.25">
      <c r="AG914" s="66" t="str">
        <f>IF(AND(Множество[[#This Row],[Y]]=1),ROW()-ROW(Множество[[#Headers],[№]]),"")</f>
        <v/>
      </c>
      <c r="AI914" s="66">
        <v>1</v>
      </c>
      <c r="AJ914" s="66">
        <f>IF(LEN(Множество[[#This Row],[Свёртка]])&gt;0,1,-1)</f>
        <v>1</v>
      </c>
      <c r="AK914" s="66" t="s">
        <v>1781</v>
      </c>
      <c r="AL914" s="209">
        <f>IF(LEN(Множество[[#This Row],[Критерии]])&gt;0,1,-1)</f>
        <v>1</v>
      </c>
      <c r="AM914" s="209">
        <f>IF(AND(LEN(Множество[[#This Row],[Свёртка]])&gt;0,LEN(Множество[[#This Row],[Критерии]])&gt;0,LEN(Множество[[#This Row],[Оценки]])&gt;0),1,-1)</f>
        <v>-1</v>
      </c>
      <c r="AN914" s="230"/>
      <c r="AO914" s="208"/>
      <c r="AP914" s="208"/>
      <c r="AQ914" s="208"/>
      <c r="AR914" s="226"/>
      <c r="AS914" s="225"/>
      <c r="AT914" s="226"/>
      <c r="AU914" s="225"/>
      <c r="AV914" s="225"/>
      <c r="AW914" s="225"/>
      <c r="AX914" s="225"/>
      <c r="AY914" s="225"/>
    </row>
    <row r="915" spans="33:51" x14ac:dyDescent="0.25">
      <c r="AG915" s="66" t="str">
        <f>IF(AND(Множество[[#This Row],[Y]]=1),ROW()-ROW(Множество[[#Headers],[№]]),"")</f>
        <v/>
      </c>
      <c r="AI915" s="66">
        <v>1</v>
      </c>
      <c r="AJ915" s="66">
        <f>IF(LEN(Множество[[#This Row],[Свёртка]])&gt;0,1,-1)</f>
        <v>1</v>
      </c>
      <c r="AK915" s="66" t="s">
        <v>1781</v>
      </c>
      <c r="AL915" s="209">
        <f>IF(LEN(Множество[[#This Row],[Критерии]])&gt;0,1,-1)</f>
        <v>1</v>
      </c>
      <c r="AM915" s="209">
        <f>IF(AND(LEN(Множество[[#This Row],[Свёртка]])&gt;0,LEN(Множество[[#This Row],[Критерии]])&gt;0,LEN(Множество[[#This Row],[Оценки]])&gt;0),1,-1)</f>
        <v>-1</v>
      </c>
      <c r="AN915" s="230"/>
      <c r="AO915" s="208"/>
      <c r="AP915" s="208"/>
      <c r="AQ915" s="208"/>
      <c r="AR915" s="226"/>
      <c r="AS915" s="225"/>
      <c r="AT915" s="226"/>
      <c r="AU915" s="225"/>
      <c r="AV915" s="225"/>
      <c r="AW915" s="225"/>
      <c r="AX915" s="225"/>
      <c r="AY915" s="225"/>
    </row>
    <row r="916" spans="33:51" x14ac:dyDescent="0.25">
      <c r="AG916" s="66" t="str">
        <f>IF(AND(Множество[[#This Row],[Y]]=1),ROW()-ROW(Множество[[#Headers],[№]]),"")</f>
        <v/>
      </c>
      <c r="AI916" s="66">
        <v>1</v>
      </c>
      <c r="AJ916" s="66">
        <f>IF(LEN(Множество[[#This Row],[Свёртка]])&gt;0,1,-1)</f>
        <v>1</v>
      </c>
      <c r="AK916" s="66" t="s">
        <v>1781</v>
      </c>
      <c r="AL916" s="209">
        <f>IF(LEN(Множество[[#This Row],[Критерии]])&gt;0,1,-1)</f>
        <v>1</v>
      </c>
      <c r="AM916" s="209">
        <f>IF(AND(LEN(Множество[[#This Row],[Свёртка]])&gt;0,LEN(Множество[[#This Row],[Критерии]])&gt;0,LEN(Множество[[#This Row],[Оценки]])&gt;0),1,-1)</f>
        <v>-1</v>
      </c>
      <c r="AN916" s="230"/>
      <c r="AO916" s="208"/>
      <c r="AP916" s="208"/>
      <c r="AQ916" s="208"/>
      <c r="AR916" s="226"/>
      <c r="AS916" s="225"/>
      <c r="AT916" s="226"/>
      <c r="AU916" s="225"/>
      <c r="AV916" s="225"/>
      <c r="AW916" s="225"/>
      <c r="AX916" s="225"/>
      <c r="AY916" s="225"/>
    </row>
    <row r="917" spans="33:51" x14ac:dyDescent="0.25">
      <c r="AG917" s="66" t="str">
        <f>IF(AND(Множество[[#This Row],[Y]]=1),ROW()-ROW(Множество[[#Headers],[№]]),"")</f>
        <v/>
      </c>
      <c r="AI917" s="66">
        <v>1</v>
      </c>
      <c r="AJ917" s="66">
        <f>IF(LEN(Множество[[#This Row],[Свёртка]])&gt;0,1,-1)</f>
        <v>1</v>
      </c>
      <c r="AK917" s="66" t="s">
        <v>1781</v>
      </c>
      <c r="AL917" s="209">
        <f>IF(LEN(Множество[[#This Row],[Критерии]])&gt;0,1,-1)</f>
        <v>1</v>
      </c>
      <c r="AM917" s="209">
        <f>IF(AND(LEN(Множество[[#This Row],[Свёртка]])&gt;0,LEN(Множество[[#This Row],[Критерии]])&gt;0,LEN(Множество[[#This Row],[Оценки]])&gt;0),1,-1)</f>
        <v>-1</v>
      </c>
      <c r="AN917" s="230"/>
      <c r="AO917" s="208"/>
      <c r="AP917" s="208"/>
      <c r="AQ917" s="208"/>
      <c r="AR917" s="226"/>
      <c r="AS917" s="225"/>
      <c r="AT917" s="226"/>
      <c r="AU917" s="225"/>
      <c r="AV917" s="225"/>
      <c r="AW917" s="225"/>
      <c r="AX917" s="225"/>
      <c r="AY917" s="225"/>
    </row>
    <row r="918" spans="33:51" x14ac:dyDescent="0.25">
      <c r="AG918" s="66" t="str">
        <f>IF(AND(Множество[[#This Row],[Y]]=1),ROW()-ROW(Множество[[#Headers],[№]]),"")</f>
        <v/>
      </c>
      <c r="AI918" s="66">
        <v>1</v>
      </c>
      <c r="AJ918" s="66">
        <f>IF(LEN(Множество[[#This Row],[Свёртка]])&gt;0,1,-1)</f>
        <v>1</v>
      </c>
      <c r="AK918" s="66" t="s">
        <v>1781</v>
      </c>
      <c r="AL918" s="209">
        <f>IF(LEN(Множество[[#This Row],[Критерии]])&gt;0,1,-1)</f>
        <v>1</v>
      </c>
      <c r="AM918" s="209">
        <f>IF(AND(LEN(Множество[[#This Row],[Свёртка]])&gt;0,LEN(Множество[[#This Row],[Критерии]])&gt;0,LEN(Множество[[#This Row],[Оценки]])&gt;0),1,-1)</f>
        <v>-1</v>
      </c>
      <c r="AN918" s="230"/>
      <c r="AO918" s="208"/>
      <c r="AP918" s="208"/>
      <c r="AQ918" s="208"/>
      <c r="AR918" s="226"/>
      <c r="AS918" s="225"/>
      <c r="AT918" s="226"/>
      <c r="AU918" s="225"/>
      <c r="AV918" s="225"/>
      <c r="AW918" s="225"/>
      <c r="AX918" s="225"/>
      <c r="AY918" s="225"/>
    </row>
    <row r="919" spans="33:51" x14ac:dyDescent="0.25">
      <c r="AG919" s="66" t="str">
        <f>IF(AND(Множество[[#This Row],[Y]]=1),ROW()-ROW(Множество[[#Headers],[№]]),"")</f>
        <v/>
      </c>
      <c r="AI919" s="66">
        <v>1</v>
      </c>
      <c r="AJ919" s="66">
        <f>IF(LEN(Множество[[#This Row],[Свёртка]])&gt;0,1,-1)</f>
        <v>1</v>
      </c>
      <c r="AK919" s="66" t="s">
        <v>1781</v>
      </c>
      <c r="AL919" s="209">
        <f>IF(LEN(Множество[[#This Row],[Критерии]])&gt;0,1,-1)</f>
        <v>1</v>
      </c>
      <c r="AM919" s="209">
        <f>IF(AND(LEN(Множество[[#This Row],[Свёртка]])&gt;0,LEN(Множество[[#This Row],[Критерии]])&gt;0,LEN(Множество[[#This Row],[Оценки]])&gt;0),1,-1)</f>
        <v>-1</v>
      </c>
      <c r="AN919" s="230"/>
      <c r="AO919" s="208"/>
      <c r="AP919" s="208"/>
      <c r="AQ919" s="208"/>
      <c r="AR919" s="226"/>
      <c r="AS919" s="225"/>
      <c r="AT919" s="226"/>
      <c r="AU919" s="225"/>
      <c r="AV919" s="225"/>
      <c r="AW919" s="225"/>
      <c r="AX919" s="225"/>
      <c r="AY919" s="225"/>
    </row>
    <row r="920" spans="33:51" x14ac:dyDescent="0.25">
      <c r="AG920" s="66" t="str">
        <f>IF(AND(Множество[[#This Row],[Y]]=1),ROW()-ROW(Множество[[#Headers],[№]]),"")</f>
        <v/>
      </c>
      <c r="AI920" s="66">
        <v>1</v>
      </c>
      <c r="AJ920" s="66">
        <f>IF(LEN(Множество[[#This Row],[Свёртка]])&gt;0,1,-1)</f>
        <v>1</v>
      </c>
      <c r="AK920" s="66" t="s">
        <v>1781</v>
      </c>
      <c r="AL920" s="209">
        <f>IF(LEN(Множество[[#This Row],[Критерии]])&gt;0,1,-1)</f>
        <v>1</v>
      </c>
      <c r="AM920" s="209">
        <f>IF(AND(LEN(Множество[[#This Row],[Свёртка]])&gt;0,LEN(Множество[[#This Row],[Критерии]])&gt;0,LEN(Множество[[#This Row],[Оценки]])&gt;0),1,-1)</f>
        <v>-1</v>
      </c>
      <c r="AN920" s="230"/>
      <c r="AO920" s="208"/>
      <c r="AP920" s="208"/>
      <c r="AQ920" s="208"/>
      <c r="AR920" s="226"/>
      <c r="AS920" s="225"/>
      <c r="AT920" s="226"/>
      <c r="AU920" s="225"/>
      <c r="AV920" s="225"/>
      <c r="AW920" s="225"/>
      <c r="AX920" s="225"/>
      <c r="AY920" s="225"/>
    </row>
    <row r="921" spans="33:51" x14ac:dyDescent="0.25">
      <c r="AG921" s="66" t="str">
        <f>IF(AND(Множество[[#This Row],[Y]]=1),ROW()-ROW(Множество[[#Headers],[№]]),"")</f>
        <v/>
      </c>
      <c r="AI921" s="66">
        <v>1</v>
      </c>
      <c r="AJ921" s="66">
        <f>IF(LEN(Множество[[#This Row],[Свёртка]])&gt;0,1,-1)</f>
        <v>1</v>
      </c>
      <c r="AK921" s="66" t="s">
        <v>1781</v>
      </c>
      <c r="AL921" s="209">
        <f>IF(LEN(Множество[[#This Row],[Критерии]])&gt;0,1,-1)</f>
        <v>1</v>
      </c>
      <c r="AM921" s="209">
        <f>IF(AND(LEN(Множество[[#This Row],[Свёртка]])&gt;0,LEN(Множество[[#This Row],[Критерии]])&gt;0,LEN(Множество[[#This Row],[Оценки]])&gt;0),1,-1)</f>
        <v>-1</v>
      </c>
      <c r="AN921" s="230"/>
      <c r="AO921" s="208"/>
      <c r="AP921" s="208"/>
      <c r="AQ921" s="208"/>
      <c r="AR921" s="226"/>
      <c r="AS921" s="225"/>
      <c r="AT921" s="226"/>
      <c r="AU921" s="225"/>
      <c r="AV921" s="225"/>
      <c r="AW921" s="225"/>
      <c r="AX921" s="225"/>
      <c r="AY921" s="225"/>
    </row>
    <row r="922" spans="33:51" x14ac:dyDescent="0.25">
      <c r="AG922" s="66" t="str">
        <f>IF(AND(Множество[[#This Row],[Y]]=1),ROW()-ROW(Множество[[#Headers],[№]]),"")</f>
        <v/>
      </c>
      <c r="AI922" s="66">
        <v>1</v>
      </c>
      <c r="AJ922" s="66">
        <f>IF(LEN(Множество[[#This Row],[Свёртка]])&gt;0,1,-1)</f>
        <v>1</v>
      </c>
      <c r="AK922" s="66" t="s">
        <v>1781</v>
      </c>
      <c r="AL922" s="209">
        <f>IF(LEN(Множество[[#This Row],[Критерии]])&gt;0,1,-1)</f>
        <v>1</v>
      </c>
      <c r="AM922" s="209">
        <f>IF(AND(LEN(Множество[[#This Row],[Свёртка]])&gt;0,LEN(Множество[[#This Row],[Критерии]])&gt;0,LEN(Множество[[#This Row],[Оценки]])&gt;0),1,-1)</f>
        <v>-1</v>
      </c>
      <c r="AN922" s="230"/>
      <c r="AO922" s="208"/>
      <c r="AP922" s="208"/>
      <c r="AQ922" s="208"/>
      <c r="AR922" s="226"/>
      <c r="AS922" s="225"/>
      <c r="AT922" s="226"/>
      <c r="AU922" s="225"/>
      <c r="AV922" s="225"/>
      <c r="AW922" s="225"/>
      <c r="AX922" s="225"/>
      <c r="AY922" s="225"/>
    </row>
    <row r="923" spans="33:51" x14ac:dyDescent="0.25">
      <c r="AG923" s="66" t="str">
        <f>IF(AND(Множество[[#This Row],[Y]]=1),ROW()-ROW(Множество[[#Headers],[№]]),"")</f>
        <v/>
      </c>
      <c r="AI923" s="66">
        <v>1</v>
      </c>
      <c r="AJ923" s="66">
        <f>IF(LEN(Множество[[#This Row],[Свёртка]])&gt;0,1,-1)</f>
        <v>1</v>
      </c>
      <c r="AK923" s="66" t="s">
        <v>1781</v>
      </c>
      <c r="AL923" s="209">
        <f>IF(LEN(Множество[[#This Row],[Критерии]])&gt;0,1,-1)</f>
        <v>1</v>
      </c>
      <c r="AM923" s="209">
        <f>IF(AND(LEN(Множество[[#This Row],[Свёртка]])&gt;0,LEN(Множество[[#This Row],[Критерии]])&gt;0,LEN(Множество[[#This Row],[Оценки]])&gt;0),1,-1)</f>
        <v>-1</v>
      </c>
      <c r="AN923" s="230"/>
      <c r="AO923" s="208"/>
      <c r="AP923" s="208"/>
      <c r="AQ923" s="208"/>
      <c r="AR923" s="226"/>
      <c r="AS923" s="225"/>
      <c r="AT923" s="226"/>
      <c r="AU923" s="225"/>
      <c r="AV923" s="225"/>
      <c r="AW923" s="225"/>
      <c r="AX923" s="225"/>
      <c r="AY923" s="225"/>
    </row>
    <row r="924" spans="33:51" x14ac:dyDescent="0.25">
      <c r="AG924" s="66" t="str">
        <f>IF(AND(Множество[[#This Row],[Y]]=1),ROW()-ROW(Множество[[#Headers],[№]]),"")</f>
        <v/>
      </c>
      <c r="AI924" s="66">
        <v>1</v>
      </c>
      <c r="AJ924" s="66">
        <f>IF(LEN(Множество[[#This Row],[Свёртка]])&gt;0,1,-1)</f>
        <v>1</v>
      </c>
      <c r="AK924" s="66" t="s">
        <v>1781</v>
      </c>
      <c r="AL924" s="209">
        <f>IF(LEN(Множество[[#This Row],[Критерии]])&gt;0,1,-1)</f>
        <v>1</v>
      </c>
      <c r="AM924" s="209">
        <f>IF(AND(LEN(Множество[[#This Row],[Свёртка]])&gt;0,LEN(Множество[[#This Row],[Критерии]])&gt;0,LEN(Множество[[#This Row],[Оценки]])&gt;0),1,-1)</f>
        <v>-1</v>
      </c>
      <c r="AN924" s="230"/>
      <c r="AO924" s="208"/>
      <c r="AP924" s="208"/>
      <c r="AQ924" s="208"/>
      <c r="AR924" s="226"/>
      <c r="AS924" s="225"/>
      <c r="AT924" s="226"/>
      <c r="AU924" s="225"/>
      <c r="AV924" s="225"/>
      <c r="AW924" s="225"/>
      <c r="AX924" s="225"/>
      <c r="AY924" s="225"/>
    </row>
    <row r="925" spans="33:51" x14ac:dyDescent="0.25">
      <c r="AG925" s="66" t="str">
        <f>IF(AND(Множество[[#This Row],[Y]]=1),ROW()-ROW(Множество[[#Headers],[№]]),"")</f>
        <v/>
      </c>
      <c r="AI925" s="66">
        <v>1</v>
      </c>
      <c r="AJ925" s="66">
        <f>IF(LEN(Множество[[#This Row],[Свёртка]])&gt;0,1,-1)</f>
        <v>1</v>
      </c>
      <c r="AK925" s="66" t="s">
        <v>1781</v>
      </c>
      <c r="AL925" s="209">
        <f>IF(LEN(Множество[[#This Row],[Критерии]])&gt;0,1,-1)</f>
        <v>1</v>
      </c>
      <c r="AM925" s="209">
        <f>IF(AND(LEN(Множество[[#This Row],[Свёртка]])&gt;0,LEN(Множество[[#This Row],[Критерии]])&gt;0,LEN(Множество[[#This Row],[Оценки]])&gt;0),1,-1)</f>
        <v>-1</v>
      </c>
      <c r="AN925" s="230"/>
      <c r="AO925" s="208"/>
      <c r="AP925" s="208"/>
      <c r="AQ925" s="208"/>
      <c r="AR925" s="226"/>
      <c r="AS925" s="225"/>
      <c r="AT925" s="226"/>
      <c r="AU925" s="225"/>
      <c r="AV925" s="225"/>
      <c r="AW925" s="225"/>
      <c r="AX925" s="225"/>
      <c r="AY925" s="225"/>
    </row>
    <row r="926" spans="33:51" x14ac:dyDescent="0.25">
      <c r="AG926" s="66" t="str">
        <f>IF(AND(Множество[[#This Row],[Y]]=1),ROW()-ROW(Множество[[#Headers],[№]]),"")</f>
        <v/>
      </c>
      <c r="AI926" s="66">
        <v>1</v>
      </c>
      <c r="AJ926" s="66">
        <f>IF(LEN(Множество[[#This Row],[Свёртка]])&gt;0,1,-1)</f>
        <v>1</v>
      </c>
      <c r="AK926" s="66" t="s">
        <v>1781</v>
      </c>
      <c r="AL926" s="209">
        <f>IF(LEN(Множество[[#This Row],[Критерии]])&gt;0,1,-1)</f>
        <v>1</v>
      </c>
      <c r="AM926" s="209">
        <f>IF(AND(LEN(Множество[[#This Row],[Свёртка]])&gt;0,LEN(Множество[[#This Row],[Критерии]])&gt;0,LEN(Множество[[#This Row],[Оценки]])&gt;0),1,-1)</f>
        <v>-1</v>
      </c>
      <c r="AN926" s="230"/>
      <c r="AO926" s="208"/>
      <c r="AP926" s="208"/>
      <c r="AQ926" s="208"/>
      <c r="AR926" s="226"/>
      <c r="AS926" s="225"/>
      <c r="AT926" s="226"/>
      <c r="AU926" s="225"/>
      <c r="AV926" s="225"/>
      <c r="AW926" s="225"/>
      <c r="AX926" s="225"/>
      <c r="AY926" s="225"/>
    </row>
    <row r="927" spans="33:51" x14ac:dyDescent="0.25">
      <c r="AG927" s="66" t="str">
        <f>IF(AND(Множество[[#This Row],[Y]]=1),ROW()-ROW(Множество[[#Headers],[№]]),"")</f>
        <v/>
      </c>
      <c r="AI927" s="66">
        <v>1</v>
      </c>
      <c r="AJ927" s="66">
        <f>IF(LEN(Множество[[#This Row],[Свёртка]])&gt;0,1,-1)</f>
        <v>1</v>
      </c>
      <c r="AK927" s="66" t="s">
        <v>1781</v>
      </c>
      <c r="AL927" s="209">
        <f>IF(LEN(Множество[[#This Row],[Критерии]])&gt;0,1,-1)</f>
        <v>1</v>
      </c>
      <c r="AM927" s="209">
        <f>IF(AND(LEN(Множество[[#This Row],[Свёртка]])&gt;0,LEN(Множество[[#This Row],[Критерии]])&gt;0,LEN(Множество[[#This Row],[Оценки]])&gt;0),1,-1)</f>
        <v>-1</v>
      </c>
      <c r="AN927" s="230"/>
      <c r="AO927" s="208"/>
      <c r="AP927" s="208"/>
      <c r="AQ927" s="208"/>
      <c r="AR927" s="226"/>
      <c r="AS927" s="225"/>
      <c r="AT927" s="226"/>
      <c r="AU927" s="225"/>
      <c r="AV927" s="225"/>
      <c r="AW927" s="225"/>
      <c r="AX927" s="225"/>
      <c r="AY927" s="225"/>
    </row>
    <row r="928" spans="33:51" x14ac:dyDescent="0.25">
      <c r="AG928" s="66" t="str">
        <f>IF(AND(Множество[[#This Row],[Y]]=1),ROW()-ROW(Множество[[#Headers],[№]]),"")</f>
        <v/>
      </c>
      <c r="AI928" s="66">
        <v>1</v>
      </c>
      <c r="AJ928" s="66">
        <f>IF(LEN(Множество[[#This Row],[Свёртка]])&gt;0,1,-1)</f>
        <v>1</v>
      </c>
      <c r="AK928" s="66" t="s">
        <v>1781</v>
      </c>
      <c r="AL928" s="209">
        <f>IF(LEN(Множество[[#This Row],[Критерии]])&gt;0,1,-1)</f>
        <v>1</v>
      </c>
      <c r="AM928" s="209">
        <f>IF(AND(LEN(Множество[[#This Row],[Свёртка]])&gt;0,LEN(Множество[[#This Row],[Критерии]])&gt;0,LEN(Множество[[#This Row],[Оценки]])&gt;0),1,-1)</f>
        <v>-1</v>
      </c>
      <c r="AN928" s="230"/>
      <c r="AO928" s="208"/>
      <c r="AP928" s="208"/>
      <c r="AQ928" s="208"/>
      <c r="AR928" s="226"/>
      <c r="AS928" s="225"/>
      <c r="AT928" s="226"/>
      <c r="AU928" s="225"/>
      <c r="AV928" s="225"/>
      <c r="AW928" s="225"/>
      <c r="AX928" s="225"/>
      <c r="AY928" s="225"/>
    </row>
    <row r="929" spans="33:51" x14ac:dyDescent="0.25">
      <c r="AG929" s="66" t="str">
        <f>IF(AND(Множество[[#This Row],[Y]]=1),ROW()-ROW(Множество[[#Headers],[№]]),"")</f>
        <v/>
      </c>
      <c r="AI929" s="66">
        <v>1</v>
      </c>
      <c r="AJ929" s="66">
        <f>IF(LEN(Множество[[#This Row],[Свёртка]])&gt;0,1,-1)</f>
        <v>1</v>
      </c>
      <c r="AK929" s="66" t="s">
        <v>1781</v>
      </c>
      <c r="AL929" s="209">
        <f>IF(LEN(Множество[[#This Row],[Критерии]])&gt;0,1,-1)</f>
        <v>1</v>
      </c>
      <c r="AM929" s="209">
        <f>IF(AND(LEN(Множество[[#This Row],[Свёртка]])&gt;0,LEN(Множество[[#This Row],[Критерии]])&gt;0,LEN(Множество[[#This Row],[Оценки]])&gt;0),1,-1)</f>
        <v>-1</v>
      </c>
      <c r="AN929" s="230"/>
      <c r="AO929" s="208"/>
      <c r="AP929" s="208"/>
      <c r="AQ929" s="208"/>
      <c r="AR929" s="226"/>
      <c r="AS929" s="225"/>
      <c r="AT929" s="226"/>
      <c r="AU929" s="225"/>
      <c r="AV929" s="225"/>
      <c r="AW929" s="225"/>
      <c r="AX929" s="225"/>
      <c r="AY929" s="225"/>
    </row>
    <row r="930" spans="33:51" x14ac:dyDescent="0.25">
      <c r="AG930" s="66" t="str">
        <f>IF(AND(Множество[[#This Row],[Y]]=1),ROW()-ROW(Множество[[#Headers],[№]]),"")</f>
        <v/>
      </c>
      <c r="AI930" s="66">
        <v>1</v>
      </c>
      <c r="AJ930" s="66">
        <f>IF(LEN(Множество[[#This Row],[Свёртка]])&gt;0,1,-1)</f>
        <v>1</v>
      </c>
      <c r="AK930" s="66" t="s">
        <v>1781</v>
      </c>
      <c r="AL930" s="209">
        <f>IF(LEN(Множество[[#This Row],[Критерии]])&gt;0,1,-1)</f>
        <v>1</v>
      </c>
      <c r="AM930" s="209">
        <f>IF(AND(LEN(Множество[[#This Row],[Свёртка]])&gt;0,LEN(Множество[[#This Row],[Критерии]])&gt;0,LEN(Множество[[#This Row],[Оценки]])&gt;0),1,-1)</f>
        <v>-1</v>
      </c>
      <c r="AN930" s="230"/>
      <c r="AO930" s="208"/>
      <c r="AP930" s="208"/>
      <c r="AQ930" s="208"/>
      <c r="AR930" s="226"/>
      <c r="AS930" s="225"/>
      <c r="AT930" s="226"/>
      <c r="AU930" s="225"/>
      <c r="AV930" s="225"/>
      <c r="AW930" s="225"/>
      <c r="AX930" s="225"/>
      <c r="AY930" s="225"/>
    </row>
    <row r="931" spans="33:51" x14ac:dyDescent="0.25">
      <c r="AG931" s="66" t="str">
        <f>IF(AND(Множество[[#This Row],[Y]]=1),ROW()-ROW(Множество[[#Headers],[№]]),"")</f>
        <v/>
      </c>
      <c r="AI931" s="66">
        <v>1</v>
      </c>
      <c r="AJ931" s="66">
        <f>IF(LEN(Множество[[#This Row],[Свёртка]])&gt;0,1,-1)</f>
        <v>1</v>
      </c>
      <c r="AK931" s="66" t="s">
        <v>1781</v>
      </c>
      <c r="AL931" s="209">
        <f>IF(LEN(Множество[[#This Row],[Критерии]])&gt;0,1,-1)</f>
        <v>1</v>
      </c>
      <c r="AM931" s="209">
        <f>IF(AND(LEN(Множество[[#This Row],[Свёртка]])&gt;0,LEN(Множество[[#This Row],[Критерии]])&gt;0,LEN(Множество[[#This Row],[Оценки]])&gt;0),1,-1)</f>
        <v>-1</v>
      </c>
      <c r="AN931" s="230"/>
      <c r="AO931" s="208"/>
      <c r="AP931" s="208"/>
      <c r="AQ931" s="208"/>
      <c r="AR931" s="226"/>
      <c r="AS931" s="225"/>
      <c r="AT931" s="226"/>
      <c r="AU931" s="225"/>
      <c r="AV931" s="225"/>
      <c r="AW931" s="225"/>
      <c r="AX931" s="225"/>
      <c r="AY931" s="225"/>
    </row>
    <row r="932" spans="33:51" x14ac:dyDescent="0.25">
      <c r="AG932" s="66" t="str">
        <f>IF(AND(Множество[[#This Row],[Y]]=1),ROW()-ROW(Множество[[#Headers],[№]]),"")</f>
        <v/>
      </c>
      <c r="AI932" s="66">
        <v>1</v>
      </c>
      <c r="AJ932" s="66">
        <f>IF(LEN(Множество[[#This Row],[Свёртка]])&gt;0,1,-1)</f>
        <v>1</v>
      </c>
      <c r="AK932" s="66" t="s">
        <v>1781</v>
      </c>
      <c r="AL932" s="209">
        <f>IF(LEN(Множество[[#This Row],[Критерии]])&gt;0,1,-1)</f>
        <v>1</v>
      </c>
      <c r="AM932" s="209">
        <f>IF(AND(LEN(Множество[[#This Row],[Свёртка]])&gt;0,LEN(Множество[[#This Row],[Критерии]])&gt;0,LEN(Множество[[#This Row],[Оценки]])&gt;0),1,-1)</f>
        <v>-1</v>
      </c>
      <c r="AN932" s="230"/>
      <c r="AO932" s="208"/>
      <c r="AP932" s="208"/>
      <c r="AQ932" s="208"/>
      <c r="AR932" s="226"/>
      <c r="AS932" s="225"/>
      <c r="AT932" s="226"/>
      <c r="AU932" s="225"/>
      <c r="AV932" s="225"/>
      <c r="AW932" s="225"/>
      <c r="AX932" s="225"/>
      <c r="AY932" s="225"/>
    </row>
    <row r="933" spans="33:51" x14ac:dyDescent="0.25">
      <c r="AG933" s="66" t="str">
        <f>IF(AND(Множество[[#This Row],[Y]]=1),ROW()-ROW(Множество[[#Headers],[№]]),"")</f>
        <v/>
      </c>
      <c r="AI933" s="66">
        <v>1</v>
      </c>
      <c r="AJ933" s="66">
        <f>IF(LEN(Множество[[#This Row],[Свёртка]])&gt;0,1,-1)</f>
        <v>1</v>
      </c>
      <c r="AK933" s="66" t="s">
        <v>1781</v>
      </c>
      <c r="AL933" s="209">
        <f>IF(LEN(Множество[[#This Row],[Критерии]])&gt;0,1,-1)</f>
        <v>1</v>
      </c>
      <c r="AM933" s="209">
        <f>IF(AND(LEN(Множество[[#This Row],[Свёртка]])&gt;0,LEN(Множество[[#This Row],[Критерии]])&gt;0,LEN(Множество[[#This Row],[Оценки]])&gt;0),1,-1)</f>
        <v>-1</v>
      </c>
      <c r="AN933" s="230"/>
      <c r="AO933" s="208"/>
      <c r="AP933" s="208"/>
      <c r="AQ933" s="208"/>
      <c r="AR933" s="226"/>
      <c r="AS933" s="225"/>
      <c r="AT933" s="226"/>
      <c r="AU933" s="225"/>
      <c r="AV933" s="225"/>
      <c r="AW933" s="225"/>
      <c r="AX933" s="225"/>
      <c r="AY933" s="225"/>
    </row>
    <row r="934" spans="33:51" x14ac:dyDescent="0.25">
      <c r="AG934" s="66" t="str">
        <f>IF(AND(Множество[[#This Row],[Y]]=1),ROW()-ROW(Множество[[#Headers],[№]]),"")</f>
        <v/>
      </c>
      <c r="AI934" s="66">
        <v>1</v>
      </c>
      <c r="AJ934" s="66">
        <f>IF(LEN(Множество[[#This Row],[Свёртка]])&gt;0,1,-1)</f>
        <v>1</v>
      </c>
      <c r="AK934" s="66" t="s">
        <v>1781</v>
      </c>
      <c r="AL934" s="209">
        <f>IF(LEN(Множество[[#This Row],[Критерии]])&gt;0,1,-1)</f>
        <v>1</v>
      </c>
      <c r="AM934" s="209">
        <f>IF(AND(LEN(Множество[[#This Row],[Свёртка]])&gt;0,LEN(Множество[[#This Row],[Критерии]])&gt;0,LEN(Множество[[#This Row],[Оценки]])&gt;0),1,-1)</f>
        <v>-1</v>
      </c>
      <c r="AN934" s="230"/>
      <c r="AO934" s="208"/>
      <c r="AP934" s="208"/>
      <c r="AQ934" s="208"/>
      <c r="AR934" s="226"/>
      <c r="AS934" s="225"/>
      <c r="AT934" s="226"/>
      <c r="AU934" s="225"/>
      <c r="AV934" s="225"/>
      <c r="AW934" s="225"/>
      <c r="AX934" s="225"/>
      <c r="AY934" s="225"/>
    </row>
    <row r="935" spans="33:51" x14ac:dyDescent="0.25">
      <c r="AG935" s="66" t="str">
        <f>IF(AND(Множество[[#This Row],[Y]]=1),ROW()-ROW(Множество[[#Headers],[№]]),"")</f>
        <v/>
      </c>
      <c r="AI935" s="66">
        <v>1</v>
      </c>
      <c r="AJ935" s="66">
        <f>IF(LEN(Множество[[#This Row],[Свёртка]])&gt;0,1,-1)</f>
        <v>1</v>
      </c>
      <c r="AK935" s="66" t="s">
        <v>1781</v>
      </c>
      <c r="AL935" s="209">
        <f>IF(LEN(Множество[[#This Row],[Критерии]])&gt;0,1,-1)</f>
        <v>1</v>
      </c>
      <c r="AM935" s="209">
        <f>IF(AND(LEN(Множество[[#This Row],[Свёртка]])&gt;0,LEN(Множество[[#This Row],[Критерии]])&gt;0,LEN(Множество[[#This Row],[Оценки]])&gt;0),1,-1)</f>
        <v>-1</v>
      </c>
      <c r="AN935" s="230"/>
      <c r="AO935" s="208"/>
      <c r="AP935" s="208"/>
      <c r="AQ935" s="208"/>
      <c r="AR935" s="226"/>
      <c r="AS935" s="225"/>
      <c r="AT935" s="226"/>
      <c r="AU935" s="225"/>
      <c r="AV935" s="225"/>
      <c r="AW935" s="225"/>
      <c r="AX935" s="225"/>
      <c r="AY935" s="225"/>
    </row>
    <row r="936" spans="33:51" x14ac:dyDescent="0.25">
      <c r="AG936" s="66" t="str">
        <f>IF(AND(Множество[[#This Row],[Y]]=1),ROW()-ROW(Множество[[#Headers],[№]]),"")</f>
        <v/>
      </c>
      <c r="AI936" s="66">
        <v>1</v>
      </c>
      <c r="AJ936" s="66">
        <f>IF(LEN(Множество[[#This Row],[Свёртка]])&gt;0,1,-1)</f>
        <v>1</v>
      </c>
      <c r="AK936" s="66" t="s">
        <v>1781</v>
      </c>
      <c r="AL936" s="209">
        <f>IF(LEN(Множество[[#This Row],[Критерии]])&gt;0,1,-1)</f>
        <v>1</v>
      </c>
      <c r="AM936" s="209">
        <f>IF(AND(LEN(Множество[[#This Row],[Свёртка]])&gt;0,LEN(Множество[[#This Row],[Критерии]])&gt;0,LEN(Множество[[#This Row],[Оценки]])&gt;0),1,-1)</f>
        <v>-1</v>
      </c>
      <c r="AN936" s="230"/>
      <c r="AO936" s="208"/>
      <c r="AP936" s="208"/>
      <c r="AQ936" s="208"/>
      <c r="AR936" s="226"/>
      <c r="AS936" s="225"/>
      <c r="AT936" s="226"/>
      <c r="AU936" s="225"/>
      <c r="AV936" s="225"/>
      <c r="AW936" s="225"/>
      <c r="AX936" s="225"/>
      <c r="AY936" s="225"/>
    </row>
    <row r="937" spans="33:51" x14ac:dyDescent="0.25">
      <c r="AG937" s="66" t="str">
        <f>IF(AND(Множество[[#This Row],[Y]]=1),ROW()-ROW(Множество[[#Headers],[№]]),"")</f>
        <v/>
      </c>
      <c r="AI937" s="66">
        <v>1</v>
      </c>
      <c r="AJ937" s="66">
        <f>IF(LEN(Множество[[#This Row],[Свёртка]])&gt;0,1,-1)</f>
        <v>1</v>
      </c>
      <c r="AK937" s="66" t="s">
        <v>1781</v>
      </c>
      <c r="AL937" s="209">
        <f>IF(LEN(Множество[[#This Row],[Критерии]])&gt;0,1,-1)</f>
        <v>1</v>
      </c>
      <c r="AM937" s="209">
        <f>IF(AND(LEN(Множество[[#This Row],[Свёртка]])&gt;0,LEN(Множество[[#This Row],[Критерии]])&gt;0,LEN(Множество[[#This Row],[Оценки]])&gt;0),1,-1)</f>
        <v>-1</v>
      </c>
      <c r="AN937" s="230"/>
      <c r="AO937" s="208"/>
      <c r="AP937" s="208"/>
      <c r="AQ937" s="208"/>
      <c r="AR937" s="226"/>
      <c r="AS937" s="225"/>
      <c r="AT937" s="226"/>
      <c r="AU937" s="225"/>
      <c r="AV937" s="225"/>
      <c r="AW937" s="225"/>
      <c r="AX937" s="225"/>
      <c r="AY937" s="225"/>
    </row>
    <row r="938" spans="33:51" x14ac:dyDescent="0.25">
      <c r="AG938" s="66" t="str">
        <f>IF(AND(Множество[[#This Row],[Y]]=1),ROW()-ROW(Множество[[#Headers],[№]]),"")</f>
        <v/>
      </c>
      <c r="AI938" s="66">
        <v>1</v>
      </c>
      <c r="AJ938" s="66">
        <f>IF(LEN(Множество[[#This Row],[Свёртка]])&gt;0,1,-1)</f>
        <v>1</v>
      </c>
      <c r="AK938" s="66" t="s">
        <v>1781</v>
      </c>
      <c r="AL938" s="209">
        <f>IF(LEN(Множество[[#This Row],[Критерии]])&gt;0,1,-1)</f>
        <v>1</v>
      </c>
      <c r="AM938" s="209">
        <f>IF(AND(LEN(Множество[[#This Row],[Свёртка]])&gt;0,LEN(Множество[[#This Row],[Критерии]])&gt;0,LEN(Множество[[#This Row],[Оценки]])&gt;0),1,-1)</f>
        <v>-1</v>
      </c>
      <c r="AN938" s="230"/>
      <c r="AO938" s="208"/>
      <c r="AP938" s="208"/>
      <c r="AQ938" s="208"/>
      <c r="AR938" s="226"/>
      <c r="AS938" s="225"/>
      <c r="AT938" s="226"/>
      <c r="AU938" s="225"/>
      <c r="AV938" s="225"/>
      <c r="AW938" s="225"/>
      <c r="AX938" s="225"/>
      <c r="AY938" s="225"/>
    </row>
    <row r="939" spans="33:51" x14ac:dyDescent="0.25">
      <c r="AG939" s="66" t="str">
        <f>IF(AND(Множество[[#This Row],[Y]]=1),ROW()-ROW(Множество[[#Headers],[№]]),"")</f>
        <v/>
      </c>
      <c r="AI939" s="66">
        <v>1</v>
      </c>
      <c r="AJ939" s="66">
        <f>IF(LEN(Множество[[#This Row],[Свёртка]])&gt;0,1,-1)</f>
        <v>1</v>
      </c>
      <c r="AK939" s="66" t="s">
        <v>1781</v>
      </c>
      <c r="AL939" s="209">
        <f>IF(LEN(Множество[[#This Row],[Критерии]])&gt;0,1,-1)</f>
        <v>1</v>
      </c>
      <c r="AM939" s="209">
        <f>IF(AND(LEN(Множество[[#This Row],[Свёртка]])&gt;0,LEN(Множество[[#This Row],[Критерии]])&gt;0,LEN(Множество[[#This Row],[Оценки]])&gt;0),1,-1)</f>
        <v>-1</v>
      </c>
      <c r="AN939" s="230"/>
      <c r="AO939" s="208"/>
      <c r="AP939" s="208"/>
      <c r="AQ939" s="208"/>
      <c r="AR939" s="226"/>
      <c r="AS939" s="225"/>
      <c r="AT939" s="226"/>
      <c r="AU939" s="225"/>
      <c r="AV939" s="225"/>
      <c r="AW939" s="225"/>
      <c r="AX939" s="225"/>
      <c r="AY939" s="225"/>
    </row>
    <row r="940" spans="33:51" x14ac:dyDescent="0.25">
      <c r="AG940" s="66" t="str">
        <f>IF(AND(Множество[[#This Row],[Y]]=1),ROW()-ROW(Множество[[#Headers],[№]]),"")</f>
        <v/>
      </c>
      <c r="AI940" s="66">
        <v>1</v>
      </c>
      <c r="AJ940" s="66">
        <f>IF(LEN(Множество[[#This Row],[Свёртка]])&gt;0,1,-1)</f>
        <v>1</v>
      </c>
      <c r="AK940" s="66" t="s">
        <v>1781</v>
      </c>
      <c r="AL940" s="209">
        <f>IF(LEN(Множество[[#This Row],[Критерии]])&gt;0,1,-1)</f>
        <v>1</v>
      </c>
      <c r="AM940" s="209">
        <f>IF(AND(LEN(Множество[[#This Row],[Свёртка]])&gt;0,LEN(Множество[[#This Row],[Критерии]])&gt;0,LEN(Множество[[#This Row],[Оценки]])&gt;0),1,-1)</f>
        <v>-1</v>
      </c>
      <c r="AN940" s="230"/>
      <c r="AO940" s="208"/>
      <c r="AP940" s="208"/>
      <c r="AQ940" s="208"/>
      <c r="AR940" s="226"/>
      <c r="AS940" s="225"/>
      <c r="AT940" s="226"/>
      <c r="AU940" s="225"/>
      <c r="AV940" s="225"/>
      <c r="AW940" s="225"/>
      <c r="AX940" s="225"/>
      <c r="AY940" s="225"/>
    </row>
    <row r="941" spans="33:51" x14ac:dyDescent="0.25">
      <c r="AG941" s="66" t="str">
        <f>IF(AND(Множество[[#This Row],[Y]]=1),ROW()-ROW(Множество[[#Headers],[№]]),"")</f>
        <v/>
      </c>
      <c r="AI941" s="66">
        <v>1</v>
      </c>
      <c r="AJ941" s="66">
        <f>IF(LEN(Множество[[#This Row],[Свёртка]])&gt;0,1,-1)</f>
        <v>1</v>
      </c>
      <c r="AK941" s="66" t="s">
        <v>1781</v>
      </c>
      <c r="AL941" s="209">
        <f>IF(LEN(Множество[[#This Row],[Критерии]])&gt;0,1,-1)</f>
        <v>1</v>
      </c>
      <c r="AM941" s="209">
        <f>IF(AND(LEN(Множество[[#This Row],[Свёртка]])&gt;0,LEN(Множество[[#This Row],[Критерии]])&gt;0,LEN(Множество[[#This Row],[Оценки]])&gt;0),1,-1)</f>
        <v>-1</v>
      </c>
      <c r="AN941" s="230"/>
      <c r="AO941" s="208"/>
      <c r="AP941" s="208"/>
      <c r="AQ941" s="208"/>
      <c r="AR941" s="226"/>
      <c r="AS941" s="225"/>
      <c r="AT941" s="226"/>
      <c r="AU941" s="225"/>
      <c r="AV941" s="225"/>
      <c r="AW941" s="225"/>
      <c r="AX941" s="225"/>
      <c r="AY941" s="225"/>
    </row>
    <row r="942" spans="33:51" x14ac:dyDescent="0.25">
      <c r="AG942" s="66" t="str">
        <f>IF(AND(Множество[[#This Row],[Y]]=1),ROW()-ROW(Множество[[#Headers],[№]]),"")</f>
        <v/>
      </c>
      <c r="AI942" s="66">
        <v>1</v>
      </c>
      <c r="AJ942" s="66">
        <f>IF(LEN(Множество[[#This Row],[Свёртка]])&gt;0,1,-1)</f>
        <v>1</v>
      </c>
      <c r="AK942" s="66" t="s">
        <v>1781</v>
      </c>
      <c r="AL942" s="209">
        <f>IF(LEN(Множество[[#This Row],[Критерии]])&gt;0,1,-1)</f>
        <v>1</v>
      </c>
      <c r="AM942" s="209">
        <f>IF(AND(LEN(Множество[[#This Row],[Свёртка]])&gt;0,LEN(Множество[[#This Row],[Критерии]])&gt;0,LEN(Множество[[#This Row],[Оценки]])&gt;0),1,-1)</f>
        <v>-1</v>
      </c>
      <c r="AN942" s="230"/>
      <c r="AO942" s="208"/>
      <c r="AP942" s="208"/>
      <c r="AQ942" s="208"/>
      <c r="AR942" s="226"/>
      <c r="AS942" s="225"/>
      <c r="AT942" s="226"/>
      <c r="AU942" s="225"/>
      <c r="AV942" s="225"/>
      <c r="AW942" s="225"/>
      <c r="AX942" s="225"/>
      <c r="AY942" s="225"/>
    </row>
    <row r="943" spans="33:51" x14ac:dyDescent="0.25">
      <c r="AG943" s="66" t="str">
        <f>IF(AND(Множество[[#This Row],[Y]]=1),ROW()-ROW(Множество[[#Headers],[№]]),"")</f>
        <v/>
      </c>
      <c r="AI943" s="66">
        <v>1</v>
      </c>
      <c r="AJ943" s="66">
        <f>IF(LEN(Множество[[#This Row],[Свёртка]])&gt;0,1,-1)</f>
        <v>1</v>
      </c>
      <c r="AK943" s="66" t="s">
        <v>1781</v>
      </c>
      <c r="AL943" s="209">
        <f>IF(LEN(Множество[[#This Row],[Критерии]])&gt;0,1,-1)</f>
        <v>1</v>
      </c>
      <c r="AM943" s="209">
        <f>IF(AND(LEN(Множество[[#This Row],[Свёртка]])&gt;0,LEN(Множество[[#This Row],[Критерии]])&gt;0,LEN(Множество[[#This Row],[Оценки]])&gt;0),1,-1)</f>
        <v>-1</v>
      </c>
      <c r="AN943" s="230"/>
      <c r="AO943" s="208"/>
      <c r="AP943" s="208"/>
      <c r="AQ943" s="208"/>
      <c r="AR943" s="226"/>
      <c r="AS943" s="225"/>
      <c r="AT943" s="226"/>
      <c r="AU943" s="225"/>
      <c r="AV943" s="225"/>
      <c r="AW943" s="225"/>
      <c r="AX943" s="225"/>
      <c r="AY943" s="225"/>
    </row>
    <row r="944" spans="33:51" x14ac:dyDescent="0.25">
      <c r="AG944" s="66" t="str">
        <f>IF(AND(Множество[[#This Row],[Y]]=1),ROW()-ROW(Множество[[#Headers],[№]]),"")</f>
        <v/>
      </c>
      <c r="AI944" s="66">
        <v>1</v>
      </c>
      <c r="AJ944" s="66">
        <f>IF(LEN(Множество[[#This Row],[Свёртка]])&gt;0,1,-1)</f>
        <v>1</v>
      </c>
      <c r="AK944" s="66" t="s">
        <v>1781</v>
      </c>
      <c r="AL944" s="209">
        <f>IF(LEN(Множество[[#This Row],[Критерии]])&gt;0,1,-1)</f>
        <v>1</v>
      </c>
      <c r="AM944" s="209">
        <f>IF(AND(LEN(Множество[[#This Row],[Свёртка]])&gt;0,LEN(Множество[[#This Row],[Критерии]])&gt;0,LEN(Множество[[#This Row],[Оценки]])&gt;0),1,-1)</f>
        <v>-1</v>
      </c>
      <c r="AN944" s="230"/>
      <c r="AO944" s="208"/>
      <c r="AP944" s="208"/>
      <c r="AQ944" s="208"/>
      <c r="AR944" s="226"/>
      <c r="AS944" s="225"/>
      <c r="AT944" s="226"/>
      <c r="AU944" s="225"/>
      <c r="AV944" s="225"/>
      <c r="AW944" s="225"/>
      <c r="AX944" s="225"/>
      <c r="AY944" s="225"/>
    </row>
    <row r="945" spans="33:51" x14ac:dyDescent="0.25">
      <c r="AG945" s="66" t="str">
        <f>IF(AND(Множество[[#This Row],[Y]]=1),ROW()-ROW(Множество[[#Headers],[№]]),"")</f>
        <v/>
      </c>
      <c r="AI945" s="66">
        <v>1</v>
      </c>
      <c r="AJ945" s="66">
        <f>IF(LEN(Множество[[#This Row],[Свёртка]])&gt;0,1,-1)</f>
        <v>1</v>
      </c>
      <c r="AK945" s="66" t="s">
        <v>1781</v>
      </c>
      <c r="AL945" s="209">
        <f>IF(LEN(Множество[[#This Row],[Критерии]])&gt;0,1,-1)</f>
        <v>1</v>
      </c>
      <c r="AM945" s="209">
        <f>IF(AND(LEN(Множество[[#This Row],[Свёртка]])&gt;0,LEN(Множество[[#This Row],[Критерии]])&gt;0,LEN(Множество[[#This Row],[Оценки]])&gt;0),1,-1)</f>
        <v>-1</v>
      </c>
      <c r="AN945" s="230"/>
      <c r="AO945" s="208"/>
      <c r="AP945" s="208"/>
      <c r="AQ945" s="208"/>
      <c r="AR945" s="226"/>
      <c r="AS945" s="225"/>
      <c r="AT945" s="226"/>
      <c r="AU945" s="225"/>
      <c r="AV945" s="225"/>
      <c r="AW945" s="225"/>
      <c r="AX945" s="225"/>
      <c r="AY945" s="225"/>
    </row>
    <row r="946" spans="33:51" x14ac:dyDescent="0.25">
      <c r="AG946" s="66" t="str">
        <f>IF(AND(Множество[[#This Row],[Y]]=1),ROW()-ROW(Множество[[#Headers],[№]]),"")</f>
        <v/>
      </c>
      <c r="AI946" s="66">
        <v>1</v>
      </c>
      <c r="AJ946" s="66">
        <f>IF(LEN(Множество[[#This Row],[Свёртка]])&gt;0,1,-1)</f>
        <v>1</v>
      </c>
      <c r="AK946" s="66" t="s">
        <v>1781</v>
      </c>
      <c r="AL946" s="209">
        <f>IF(LEN(Множество[[#This Row],[Критерии]])&gt;0,1,-1)</f>
        <v>1</v>
      </c>
      <c r="AM946" s="209">
        <f>IF(AND(LEN(Множество[[#This Row],[Свёртка]])&gt;0,LEN(Множество[[#This Row],[Критерии]])&gt;0,LEN(Множество[[#This Row],[Оценки]])&gt;0),1,-1)</f>
        <v>-1</v>
      </c>
      <c r="AN946" s="230"/>
      <c r="AO946" s="208"/>
      <c r="AP946" s="208"/>
      <c r="AQ946" s="208"/>
      <c r="AR946" s="226"/>
      <c r="AS946" s="225"/>
      <c r="AT946" s="226"/>
      <c r="AU946" s="225"/>
      <c r="AV946" s="225"/>
      <c r="AW946" s="225"/>
      <c r="AX946" s="225"/>
      <c r="AY946" s="225"/>
    </row>
    <row r="947" spans="33:51" x14ac:dyDescent="0.25">
      <c r="AG947" s="66" t="str">
        <f>IF(AND(Множество[[#This Row],[Y]]=1),ROW()-ROW(Множество[[#Headers],[№]]),"")</f>
        <v/>
      </c>
      <c r="AI947" s="66">
        <v>1</v>
      </c>
      <c r="AJ947" s="66">
        <f>IF(LEN(Множество[[#This Row],[Свёртка]])&gt;0,1,-1)</f>
        <v>1</v>
      </c>
      <c r="AK947" s="66" t="s">
        <v>1781</v>
      </c>
      <c r="AL947" s="209">
        <f>IF(LEN(Множество[[#This Row],[Критерии]])&gt;0,1,-1)</f>
        <v>1</v>
      </c>
      <c r="AM947" s="209">
        <f>IF(AND(LEN(Множество[[#This Row],[Свёртка]])&gt;0,LEN(Множество[[#This Row],[Критерии]])&gt;0,LEN(Множество[[#This Row],[Оценки]])&gt;0),1,-1)</f>
        <v>-1</v>
      </c>
      <c r="AN947" s="230"/>
      <c r="AO947" s="208"/>
      <c r="AP947" s="208"/>
      <c r="AQ947" s="208"/>
      <c r="AR947" s="226"/>
      <c r="AS947" s="225"/>
      <c r="AT947" s="226"/>
      <c r="AU947" s="225"/>
      <c r="AV947" s="225"/>
      <c r="AW947" s="225"/>
      <c r="AX947" s="225"/>
      <c r="AY947" s="225"/>
    </row>
    <row r="948" spans="33:51" x14ac:dyDescent="0.25">
      <c r="AG948" s="66" t="str">
        <f>IF(AND(Множество[[#This Row],[Y]]=1),ROW()-ROW(Множество[[#Headers],[№]]),"")</f>
        <v/>
      </c>
      <c r="AI948" s="66">
        <v>1</v>
      </c>
      <c r="AJ948" s="66">
        <f>IF(LEN(Множество[[#This Row],[Свёртка]])&gt;0,1,-1)</f>
        <v>1</v>
      </c>
      <c r="AK948" s="66" t="s">
        <v>1781</v>
      </c>
      <c r="AL948" s="209">
        <f>IF(LEN(Множество[[#This Row],[Критерии]])&gt;0,1,-1)</f>
        <v>1</v>
      </c>
      <c r="AM948" s="209">
        <f>IF(AND(LEN(Множество[[#This Row],[Свёртка]])&gt;0,LEN(Множество[[#This Row],[Критерии]])&gt;0,LEN(Множество[[#This Row],[Оценки]])&gt;0),1,-1)</f>
        <v>-1</v>
      </c>
      <c r="AN948" s="230"/>
      <c r="AO948" s="208"/>
      <c r="AP948" s="208"/>
      <c r="AQ948" s="208"/>
      <c r="AR948" s="226"/>
      <c r="AS948" s="225"/>
      <c r="AT948" s="226"/>
      <c r="AU948" s="225"/>
      <c r="AV948" s="225"/>
      <c r="AW948" s="225"/>
      <c r="AX948" s="225"/>
      <c r="AY948" s="225"/>
    </row>
    <row r="949" spans="33:51" x14ac:dyDescent="0.25">
      <c r="AG949" s="66" t="str">
        <f>IF(AND(Множество[[#This Row],[Y]]=1),ROW()-ROW(Множество[[#Headers],[№]]),"")</f>
        <v/>
      </c>
      <c r="AI949" s="66">
        <v>1</v>
      </c>
      <c r="AJ949" s="66">
        <f>IF(LEN(Множество[[#This Row],[Свёртка]])&gt;0,1,-1)</f>
        <v>1</v>
      </c>
      <c r="AK949" s="66" t="s">
        <v>1781</v>
      </c>
      <c r="AL949" s="209">
        <f>IF(LEN(Множество[[#This Row],[Критерии]])&gt;0,1,-1)</f>
        <v>1</v>
      </c>
      <c r="AM949" s="209">
        <f>IF(AND(LEN(Множество[[#This Row],[Свёртка]])&gt;0,LEN(Множество[[#This Row],[Критерии]])&gt;0,LEN(Множество[[#This Row],[Оценки]])&gt;0),1,-1)</f>
        <v>-1</v>
      </c>
      <c r="AN949" s="230"/>
      <c r="AO949" s="208"/>
      <c r="AP949" s="208"/>
      <c r="AQ949" s="208"/>
      <c r="AR949" s="226"/>
      <c r="AS949" s="225"/>
      <c r="AT949" s="226"/>
      <c r="AU949" s="225"/>
      <c r="AV949" s="225"/>
      <c r="AW949" s="225"/>
      <c r="AX949" s="225"/>
      <c r="AY949" s="225"/>
    </row>
    <row r="950" spans="33:51" x14ac:dyDescent="0.25">
      <c r="AG950" s="66" t="str">
        <f>IF(AND(Множество[[#This Row],[Y]]=1),ROW()-ROW(Множество[[#Headers],[№]]),"")</f>
        <v/>
      </c>
      <c r="AI950" s="66">
        <v>1</v>
      </c>
      <c r="AJ950" s="66">
        <f>IF(LEN(Множество[[#This Row],[Свёртка]])&gt;0,1,-1)</f>
        <v>1</v>
      </c>
      <c r="AK950" s="66" t="s">
        <v>1781</v>
      </c>
      <c r="AL950" s="209">
        <f>IF(LEN(Множество[[#This Row],[Критерии]])&gt;0,1,-1)</f>
        <v>1</v>
      </c>
      <c r="AM950" s="209">
        <f>IF(AND(LEN(Множество[[#This Row],[Свёртка]])&gt;0,LEN(Множество[[#This Row],[Критерии]])&gt;0,LEN(Множество[[#This Row],[Оценки]])&gt;0),1,-1)</f>
        <v>-1</v>
      </c>
      <c r="AN950" s="230"/>
      <c r="AO950" s="208"/>
      <c r="AP950" s="208"/>
      <c r="AQ950" s="208"/>
      <c r="AR950" s="226"/>
      <c r="AS950" s="225"/>
      <c r="AT950" s="226"/>
      <c r="AU950" s="225"/>
      <c r="AV950" s="225"/>
      <c r="AW950" s="225"/>
      <c r="AX950" s="225"/>
      <c r="AY950" s="225"/>
    </row>
    <row r="951" spans="33:51" x14ac:dyDescent="0.25">
      <c r="AG951" s="66" t="str">
        <f>IF(AND(Множество[[#This Row],[Y]]=1),ROW()-ROW(Множество[[#Headers],[№]]),"")</f>
        <v/>
      </c>
      <c r="AI951" s="66">
        <v>1</v>
      </c>
      <c r="AJ951" s="66">
        <f>IF(LEN(Множество[[#This Row],[Свёртка]])&gt;0,1,-1)</f>
        <v>1</v>
      </c>
      <c r="AK951" s="66" t="s">
        <v>1781</v>
      </c>
      <c r="AL951" s="209">
        <f>IF(LEN(Множество[[#This Row],[Критерии]])&gt;0,1,-1)</f>
        <v>1</v>
      </c>
      <c r="AM951" s="209">
        <f>IF(AND(LEN(Множество[[#This Row],[Свёртка]])&gt;0,LEN(Множество[[#This Row],[Критерии]])&gt;0,LEN(Множество[[#This Row],[Оценки]])&gt;0),1,-1)</f>
        <v>-1</v>
      </c>
      <c r="AN951" s="230"/>
      <c r="AO951" s="208"/>
      <c r="AP951" s="208"/>
      <c r="AQ951" s="208"/>
      <c r="AR951" s="226"/>
      <c r="AS951" s="225"/>
      <c r="AT951" s="226"/>
      <c r="AU951" s="225"/>
      <c r="AV951" s="225"/>
      <c r="AW951" s="225"/>
      <c r="AX951" s="225"/>
      <c r="AY951" s="225"/>
    </row>
    <row r="952" spans="33:51" x14ac:dyDescent="0.25">
      <c r="AG952" s="66" t="str">
        <f>IF(AND(Множество[[#This Row],[Y]]=1),ROW()-ROW(Множество[[#Headers],[№]]),"")</f>
        <v/>
      </c>
      <c r="AI952" s="66">
        <v>1</v>
      </c>
      <c r="AJ952" s="66">
        <f>IF(LEN(Множество[[#This Row],[Свёртка]])&gt;0,1,-1)</f>
        <v>1</v>
      </c>
      <c r="AK952" s="66" t="s">
        <v>1781</v>
      </c>
      <c r="AL952" s="209">
        <f>IF(LEN(Множество[[#This Row],[Критерии]])&gt;0,1,-1)</f>
        <v>1</v>
      </c>
      <c r="AM952" s="209">
        <f>IF(AND(LEN(Множество[[#This Row],[Свёртка]])&gt;0,LEN(Множество[[#This Row],[Критерии]])&gt;0,LEN(Множество[[#This Row],[Оценки]])&gt;0),1,-1)</f>
        <v>-1</v>
      </c>
      <c r="AN952" s="230"/>
      <c r="AO952" s="208"/>
      <c r="AP952" s="208"/>
      <c r="AQ952" s="208"/>
      <c r="AR952" s="226"/>
      <c r="AS952" s="225"/>
      <c r="AT952" s="226"/>
      <c r="AU952" s="225"/>
      <c r="AV952" s="225"/>
      <c r="AW952" s="225"/>
      <c r="AX952" s="225"/>
      <c r="AY952" s="225"/>
    </row>
    <row r="953" spans="33:51" x14ac:dyDescent="0.25">
      <c r="AG953" s="66" t="str">
        <f>IF(AND(Множество[[#This Row],[Y]]=1),ROW()-ROW(Множество[[#Headers],[№]]),"")</f>
        <v/>
      </c>
      <c r="AI953" s="66">
        <v>1</v>
      </c>
      <c r="AJ953" s="66">
        <f>IF(LEN(Множество[[#This Row],[Свёртка]])&gt;0,1,-1)</f>
        <v>1</v>
      </c>
      <c r="AK953" s="66" t="s">
        <v>1781</v>
      </c>
      <c r="AL953" s="209">
        <f>IF(LEN(Множество[[#This Row],[Критерии]])&gt;0,1,-1)</f>
        <v>1</v>
      </c>
      <c r="AM953" s="209">
        <f>IF(AND(LEN(Множество[[#This Row],[Свёртка]])&gt;0,LEN(Множество[[#This Row],[Критерии]])&gt;0,LEN(Множество[[#This Row],[Оценки]])&gt;0),1,-1)</f>
        <v>-1</v>
      </c>
      <c r="AN953" s="230"/>
      <c r="AO953" s="208"/>
      <c r="AP953" s="208"/>
      <c r="AQ953" s="208"/>
      <c r="AR953" s="226"/>
      <c r="AS953" s="225"/>
      <c r="AT953" s="226"/>
      <c r="AU953" s="225"/>
      <c r="AV953" s="225"/>
      <c r="AW953" s="225"/>
      <c r="AX953" s="225"/>
      <c r="AY953" s="225"/>
    </row>
    <row r="954" spans="33:51" x14ac:dyDescent="0.25">
      <c r="AG954" s="66" t="str">
        <f>IF(AND(Множество[[#This Row],[Y]]=1),ROW()-ROW(Множество[[#Headers],[№]]),"")</f>
        <v/>
      </c>
      <c r="AI954" s="66">
        <v>1</v>
      </c>
      <c r="AJ954" s="66">
        <f>IF(LEN(Множество[[#This Row],[Свёртка]])&gt;0,1,-1)</f>
        <v>1</v>
      </c>
      <c r="AK954" s="66" t="s">
        <v>1781</v>
      </c>
      <c r="AL954" s="209">
        <f>IF(LEN(Множество[[#This Row],[Критерии]])&gt;0,1,-1)</f>
        <v>1</v>
      </c>
      <c r="AM954" s="209">
        <f>IF(AND(LEN(Множество[[#This Row],[Свёртка]])&gt;0,LEN(Множество[[#This Row],[Критерии]])&gt;0,LEN(Множество[[#This Row],[Оценки]])&gt;0),1,-1)</f>
        <v>-1</v>
      </c>
      <c r="AN954" s="230"/>
      <c r="AO954" s="208"/>
      <c r="AP954" s="208"/>
      <c r="AQ954" s="208"/>
      <c r="AR954" s="226"/>
      <c r="AS954" s="225"/>
      <c r="AT954" s="226"/>
      <c r="AU954" s="225"/>
      <c r="AV954" s="225"/>
      <c r="AW954" s="225"/>
      <c r="AX954" s="225"/>
      <c r="AY954" s="225"/>
    </row>
    <row r="955" spans="33:51" x14ac:dyDescent="0.25">
      <c r="AG955" s="66" t="str">
        <f>IF(AND(Множество[[#This Row],[Y]]=1),ROW()-ROW(Множество[[#Headers],[№]]),"")</f>
        <v/>
      </c>
      <c r="AI955" s="66">
        <v>1</v>
      </c>
      <c r="AJ955" s="66">
        <f>IF(LEN(Множество[[#This Row],[Свёртка]])&gt;0,1,-1)</f>
        <v>1</v>
      </c>
      <c r="AK955" s="66" t="s">
        <v>1781</v>
      </c>
      <c r="AL955" s="209">
        <f>IF(LEN(Множество[[#This Row],[Критерии]])&gt;0,1,-1)</f>
        <v>1</v>
      </c>
      <c r="AM955" s="209">
        <f>IF(AND(LEN(Множество[[#This Row],[Свёртка]])&gt;0,LEN(Множество[[#This Row],[Критерии]])&gt;0,LEN(Множество[[#This Row],[Оценки]])&gt;0),1,-1)</f>
        <v>-1</v>
      </c>
      <c r="AN955" s="230"/>
      <c r="AO955" s="208"/>
      <c r="AP955" s="208"/>
      <c r="AQ955" s="208"/>
      <c r="AR955" s="226"/>
      <c r="AS955" s="225"/>
      <c r="AT955" s="226"/>
      <c r="AU955" s="225"/>
      <c r="AV955" s="225"/>
      <c r="AW955" s="225"/>
      <c r="AX955" s="225"/>
      <c r="AY955" s="225"/>
    </row>
    <row r="956" spans="33:51" x14ac:dyDescent="0.25">
      <c r="AG956" s="66" t="str">
        <f>IF(AND(Множество[[#This Row],[Y]]=1),ROW()-ROW(Множество[[#Headers],[№]]),"")</f>
        <v/>
      </c>
      <c r="AI956" s="66">
        <v>1</v>
      </c>
      <c r="AJ956" s="66">
        <f>IF(LEN(Множество[[#This Row],[Свёртка]])&gt;0,1,-1)</f>
        <v>1</v>
      </c>
      <c r="AK956" s="66" t="s">
        <v>1781</v>
      </c>
      <c r="AL956" s="209">
        <f>IF(LEN(Множество[[#This Row],[Критерии]])&gt;0,1,-1)</f>
        <v>1</v>
      </c>
      <c r="AM956" s="209">
        <f>IF(AND(LEN(Множество[[#This Row],[Свёртка]])&gt;0,LEN(Множество[[#This Row],[Критерии]])&gt;0,LEN(Множество[[#This Row],[Оценки]])&gt;0),1,-1)</f>
        <v>-1</v>
      </c>
      <c r="AN956" s="230"/>
      <c r="AO956" s="208"/>
      <c r="AP956" s="208"/>
      <c r="AQ956" s="208"/>
      <c r="AR956" s="226"/>
      <c r="AS956" s="225"/>
      <c r="AT956" s="226"/>
      <c r="AU956" s="225"/>
      <c r="AV956" s="225"/>
      <c r="AW956" s="225"/>
      <c r="AX956" s="225"/>
      <c r="AY956" s="225"/>
    </row>
    <row r="957" spans="33:51" x14ac:dyDescent="0.25">
      <c r="AG957" s="66" t="str">
        <f>IF(AND(Множество[[#This Row],[Y]]=1),ROW()-ROW(Множество[[#Headers],[№]]),"")</f>
        <v/>
      </c>
      <c r="AI957" s="66">
        <v>1</v>
      </c>
      <c r="AJ957" s="66">
        <f>IF(LEN(Множество[[#This Row],[Свёртка]])&gt;0,1,-1)</f>
        <v>1</v>
      </c>
      <c r="AK957" s="66" t="s">
        <v>1781</v>
      </c>
      <c r="AL957" s="209">
        <f>IF(LEN(Множество[[#This Row],[Критерии]])&gt;0,1,-1)</f>
        <v>1</v>
      </c>
      <c r="AM957" s="209">
        <f>IF(AND(LEN(Множество[[#This Row],[Свёртка]])&gt;0,LEN(Множество[[#This Row],[Критерии]])&gt;0,LEN(Множество[[#This Row],[Оценки]])&gt;0),1,-1)</f>
        <v>-1</v>
      </c>
      <c r="AN957" s="230"/>
      <c r="AO957" s="208"/>
      <c r="AP957" s="208"/>
      <c r="AQ957" s="208"/>
      <c r="AR957" s="226"/>
      <c r="AS957" s="225"/>
      <c r="AT957" s="226"/>
      <c r="AU957" s="225"/>
      <c r="AV957" s="225"/>
      <c r="AW957" s="225"/>
      <c r="AX957" s="225"/>
      <c r="AY957" s="225"/>
    </row>
    <row r="958" spans="33:51" x14ac:dyDescent="0.25">
      <c r="AG958" s="66" t="str">
        <f>IF(AND(Множество[[#This Row],[Y]]=1),ROW()-ROW(Множество[[#Headers],[№]]),"")</f>
        <v/>
      </c>
      <c r="AI958" s="66">
        <v>1</v>
      </c>
      <c r="AJ958" s="66">
        <f>IF(LEN(Множество[[#This Row],[Свёртка]])&gt;0,1,-1)</f>
        <v>1</v>
      </c>
      <c r="AK958" s="66" t="s">
        <v>1781</v>
      </c>
      <c r="AL958" s="209">
        <f>IF(LEN(Множество[[#This Row],[Критерии]])&gt;0,1,-1)</f>
        <v>1</v>
      </c>
      <c r="AM958" s="209">
        <f>IF(AND(LEN(Множество[[#This Row],[Свёртка]])&gt;0,LEN(Множество[[#This Row],[Критерии]])&gt;0,LEN(Множество[[#This Row],[Оценки]])&gt;0),1,-1)</f>
        <v>-1</v>
      </c>
      <c r="AN958" s="230"/>
      <c r="AO958" s="208"/>
      <c r="AP958" s="208"/>
      <c r="AQ958" s="208"/>
      <c r="AR958" s="226"/>
      <c r="AS958" s="225"/>
      <c r="AT958" s="226"/>
      <c r="AU958" s="225"/>
      <c r="AV958" s="225"/>
      <c r="AW958" s="225"/>
      <c r="AX958" s="225"/>
      <c r="AY958" s="225"/>
    </row>
    <row r="959" spans="33:51" x14ac:dyDescent="0.25">
      <c r="AG959" s="66" t="str">
        <f>IF(AND(Множество[[#This Row],[Y]]=1),ROW()-ROW(Множество[[#Headers],[№]]),"")</f>
        <v/>
      </c>
      <c r="AI959" s="66">
        <v>1</v>
      </c>
      <c r="AJ959" s="66">
        <f>IF(LEN(Множество[[#This Row],[Свёртка]])&gt;0,1,-1)</f>
        <v>1</v>
      </c>
      <c r="AK959" s="66" t="s">
        <v>1781</v>
      </c>
      <c r="AL959" s="209">
        <f>IF(LEN(Множество[[#This Row],[Критерии]])&gt;0,1,-1)</f>
        <v>1</v>
      </c>
      <c r="AM959" s="209">
        <f>IF(AND(LEN(Множество[[#This Row],[Свёртка]])&gt;0,LEN(Множество[[#This Row],[Критерии]])&gt;0,LEN(Множество[[#This Row],[Оценки]])&gt;0),1,-1)</f>
        <v>-1</v>
      </c>
      <c r="AN959" s="230"/>
      <c r="AO959" s="208"/>
      <c r="AP959" s="208"/>
      <c r="AQ959" s="208"/>
      <c r="AR959" s="226"/>
      <c r="AS959" s="225"/>
      <c r="AT959" s="226"/>
      <c r="AU959" s="225"/>
      <c r="AV959" s="225"/>
      <c r="AW959" s="225"/>
      <c r="AX959" s="225"/>
      <c r="AY959" s="225"/>
    </row>
    <row r="960" spans="33:51" x14ac:dyDescent="0.25">
      <c r="AG960" s="66" t="str">
        <f>IF(AND(Множество[[#This Row],[Y]]=1),ROW()-ROW(Множество[[#Headers],[№]]),"")</f>
        <v/>
      </c>
      <c r="AI960" s="66">
        <v>1</v>
      </c>
      <c r="AJ960" s="66">
        <f>IF(LEN(Множество[[#This Row],[Свёртка]])&gt;0,1,-1)</f>
        <v>1</v>
      </c>
      <c r="AK960" s="66" t="s">
        <v>1781</v>
      </c>
      <c r="AL960" s="209">
        <f>IF(LEN(Множество[[#This Row],[Критерии]])&gt;0,1,-1)</f>
        <v>1</v>
      </c>
      <c r="AM960" s="209">
        <f>IF(AND(LEN(Множество[[#This Row],[Свёртка]])&gt;0,LEN(Множество[[#This Row],[Критерии]])&gt;0,LEN(Множество[[#This Row],[Оценки]])&gt;0),1,-1)</f>
        <v>-1</v>
      </c>
      <c r="AN960" s="230"/>
      <c r="AO960" s="208"/>
      <c r="AP960" s="208"/>
      <c r="AQ960" s="208"/>
      <c r="AR960" s="226"/>
      <c r="AS960" s="225"/>
      <c r="AT960" s="226"/>
      <c r="AU960" s="225"/>
      <c r="AV960" s="225"/>
      <c r="AW960" s="225"/>
      <c r="AX960" s="225"/>
      <c r="AY960" s="225"/>
    </row>
    <row r="961" spans="33:51" x14ac:dyDescent="0.25">
      <c r="AG961" s="66" t="str">
        <f>IF(AND(Множество[[#This Row],[Y]]=1),ROW()-ROW(Множество[[#Headers],[№]]),"")</f>
        <v/>
      </c>
      <c r="AI961" s="66">
        <v>1</v>
      </c>
      <c r="AJ961" s="66">
        <f>IF(LEN(Множество[[#This Row],[Свёртка]])&gt;0,1,-1)</f>
        <v>1</v>
      </c>
      <c r="AK961" s="66" t="s">
        <v>1781</v>
      </c>
      <c r="AL961" s="209">
        <f>IF(LEN(Множество[[#This Row],[Критерии]])&gt;0,1,-1)</f>
        <v>1</v>
      </c>
      <c r="AM961" s="209">
        <f>IF(AND(LEN(Множество[[#This Row],[Свёртка]])&gt;0,LEN(Множество[[#This Row],[Критерии]])&gt;0,LEN(Множество[[#This Row],[Оценки]])&gt;0),1,-1)</f>
        <v>-1</v>
      </c>
      <c r="AN961" s="230"/>
      <c r="AO961" s="208"/>
      <c r="AP961" s="208"/>
      <c r="AQ961" s="208"/>
      <c r="AR961" s="226"/>
      <c r="AS961" s="225"/>
      <c r="AT961" s="226"/>
      <c r="AU961" s="225"/>
      <c r="AV961" s="225"/>
      <c r="AW961" s="225"/>
      <c r="AX961" s="225"/>
      <c r="AY961" s="225"/>
    </row>
    <row r="962" spans="33:51" x14ac:dyDescent="0.25">
      <c r="AG962" s="66" t="str">
        <f>IF(AND(Множество[[#This Row],[Y]]=1),ROW()-ROW(Множество[[#Headers],[№]]),"")</f>
        <v/>
      </c>
      <c r="AI962" s="66">
        <v>1</v>
      </c>
      <c r="AJ962" s="66">
        <f>IF(LEN(Множество[[#This Row],[Свёртка]])&gt;0,1,-1)</f>
        <v>1</v>
      </c>
      <c r="AK962" s="66" t="s">
        <v>1781</v>
      </c>
      <c r="AL962" s="209">
        <f>IF(LEN(Множество[[#This Row],[Критерии]])&gt;0,1,-1)</f>
        <v>1</v>
      </c>
      <c r="AM962" s="209">
        <f>IF(AND(LEN(Множество[[#This Row],[Свёртка]])&gt;0,LEN(Множество[[#This Row],[Критерии]])&gt;0,LEN(Множество[[#This Row],[Оценки]])&gt;0),1,-1)</f>
        <v>-1</v>
      </c>
      <c r="AN962" s="230"/>
      <c r="AO962" s="208"/>
      <c r="AP962" s="208"/>
      <c r="AQ962" s="208"/>
      <c r="AR962" s="226"/>
      <c r="AS962" s="225"/>
      <c r="AT962" s="226"/>
      <c r="AU962" s="225"/>
      <c r="AV962" s="225"/>
      <c r="AW962" s="225"/>
      <c r="AX962" s="225"/>
      <c r="AY962" s="225"/>
    </row>
    <row r="963" spans="33:51" x14ac:dyDescent="0.25">
      <c r="AG963" s="66" t="str">
        <f>IF(AND(Множество[[#This Row],[Y]]=1),ROW()-ROW(Множество[[#Headers],[№]]),"")</f>
        <v/>
      </c>
      <c r="AI963" s="66">
        <v>1</v>
      </c>
      <c r="AJ963" s="66">
        <f>IF(LEN(Множество[[#This Row],[Свёртка]])&gt;0,1,-1)</f>
        <v>1</v>
      </c>
      <c r="AK963" s="66" t="s">
        <v>1781</v>
      </c>
      <c r="AL963" s="209">
        <f>IF(LEN(Множество[[#This Row],[Критерии]])&gt;0,1,-1)</f>
        <v>1</v>
      </c>
      <c r="AM963" s="209">
        <f>IF(AND(LEN(Множество[[#This Row],[Свёртка]])&gt;0,LEN(Множество[[#This Row],[Критерии]])&gt;0,LEN(Множество[[#This Row],[Оценки]])&gt;0),1,-1)</f>
        <v>-1</v>
      </c>
      <c r="AN963" s="230"/>
      <c r="AO963" s="208"/>
      <c r="AP963" s="208"/>
      <c r="AQ963" s="208"/>
      <c r="AR963" s="226"/>
      <c r="AS963" s="225"/>
      <c r="AT963" s="226"/>
      <c r="AU963" s="225"/>
      <c r="AV963" s="225"/>
      <c r="AW963" s="225"/>
      <c r="AX963" s="225"/>
      <c r="AY963" s="225"/>
    </row>
    <row r="964" spans="33:51" x14ac:dyDescent="0.25">
      <c r="AG964" s="66" t="str">
        <f>IF(AND(Множество[[#This Row],[Y]]=1),ROW()-ROW(Множество[[#Headers],[№]]),"")</f>
        <v/>
      </c>
      <c r="AI964" s="66">
        <v>1</v>
      </c>
      <c r="AJ964" s="66">
        <f>IF(LEN(Множество[[#This Row],[Свёртка]])&gt;0,1,-1)</f>
        <v>1</v>
      </c>
      <c r="AK964" s="66" t="s">
        <v>1781</v>
      </c>
      <c r="AL964" s="209">
        <f>IF(LEN(Множество[[#This Row],[Критерии]])&gt;0,1,-1)</f>
        <v>1</v>
      </c>
      <c r="AM964" s="209">
        <f>IF(AND(LEN(Множество[[#This Row],[Свёртка]])&gt;0,LEN(Множество[[#This Row],[Критерии]])&gt;0,LEN(Множество[[#This Row],[Оценки]])&gt;0),1,-1)</f>
        <v>-1</v>
      </c>
      <c r="AN964" s="230"/>
      <c r="AO964" s="208"/>
      <c r="AP964" s="208"/>
      <c r="AQ964" s="208"/>
      <c r="AR964" s="226"/>
      <c r="AS964" s="225"/>
      <c r="AT964" s="226"/>
      <c r="AU964" s="225"/>
      <c r="AV964" s="225"/>
      <c r="AW964" s="225"/>
      <c r="AX964" s="225"/>
      <c r="AY964" s="225"/>
    </row>
    <row r="965" spans="33:51" x14ac:dyDescent="0.25">
      <c r="AG965" s="66" t="str">
        <f>IF(AND(Множество[[#This Row],[Y]]=1),ROW()-ROW(Множество[[#Headers],[№]]),"")</f>
        <v/>
      </c>
      <c r="AI965" s="66">
        <v>1</v>
      </c>
      <c r="AJ965" s="66">
        <f>IF(LEN(Множество[[#This Row],[Свёртка]])&gt;0,1,-1)</f>
        <v>1</v>
      </c>
      <c r="AK965" s="66" t="s">
        <v>1781</v>
      </c>
      <c r="AL965" s="209">
        <f>IF(LEN(Множество[[#This Row],[Критерии]])&gt;0,1,-1)</f>
        <v>1</v>
      </c>
      <c r="AM965" s="209">
        <f>IF(AND(LEN(Множество[[#This Row],[Свёртка]])&gt;0,LEN(Множество[[#This Row],[Критерии]])&gt;0,LEN(Множество[[#This Row],[Оценки]])&gt;0),1,-1)</f>
        <v>-1</v>
      </c>
      <c r="AN965" s="230"/>
      <c r="AO965" s="208"/>
      <c r="AP965" s="208"/>
      <c r="AQ965" s="208"/>
      <c r="AR965" s="226"/>
      <c r="AS965" s="225"/>
      <c r="AT965" s="226"/>
      <c r="AU965" s="225"/>
      <c r="AV965" s="225"/>
      <c r="AW965" s="225"/>
      <c r="AX965" s="225"/>
      <c r="AY965" s="225"/>
    </row>
    <row r="966" spans="33:51" x14ac:dyDescent="0.25">
      <c r="AG966" s="66" t="str">
        <f>IF(AND(Множество[[#This Row],[Y]]=1),ROW()-ROW(Множество[[#Headers],[№]]),"")</f>
        <v/>
      </c>
      <c r="AI966" s="66">
        <v>1</v>
      </c>
      <c r="AJ966" s="66">
        <f>IF(LEN(Множество[[#This Row],[Свёртка]])&gt;0,1,-1)</f>
        <v>1</v>
      </c>
      <c r="AK966" s="66" t="s">
        <v>1781</v>
      </c>
      <c r="AL966" s="209">
        <f>IF(LEN(Множество[[#This Row],[Критерии]])&gt;0,1,-1)</f>
        <v>1</v>
      </c>
      <c r="AM966" s="209">
        <f>IF(AND(LEN(Множество[[#This Row],[Свёртка]])&gt;0,LEN(Множество[[#This Row],[Критерии]])&gt;0,LEN(Множество[[#This Row],[Оценки]])&gt;0),1,-1)</f>
        <v>-1</v>
      </c>
      <c r="AN966" s="230"/>
      <c r="AO966" s="208"/>
      <c r="AP966" s="208"/>
      <c r="AQ966" s="208"/>
      <c r="AR966" s="226"/>
      <c r="AS966" s="225"/>
      <c r="AT966" s="226"/>
      <c r="AU966" s="225"/>
      <c r="AV966" s="225"/>
      <c r="AW966" s="225"/>
      <c r="AX966" s="225"/>
      <c r="AY966" s="225"/>
    </row>
    <row r="967" spans="33:51" x14ac:dyDescent="0.25">
      <c r="AG967" s="66" t="str">
        <f>IF(AND(Множество[[#This Row],[Y]]=1),ROW()-ROW(Множество[[#Headers],[№]]),"")</f>
        <v/>
      </c>
      <c r="AI967" s="66">
        <v>1</v>
      </c>
      <c r="AJ967" s="66">
        <f>IF(LEN(Множество[[#This Row],[Свёртка]])&gt;0,1,-1)</f>
        <v>1</v>
      </c>
      <c r="AK967" s="66" t="s">
        <v>1781</v>
      </c>
      <c r="AL967" s="209">
        <f>IF(LEN(Множество[[#This Row],[Критерии]])&gt;0,1,-1)</f>
        <v>1</v>
      </c>
      <c r="AM967" s="209">
        <f>IF(AND(LEN(Множество[[#This Row],[Свёртка]])&gt;0,LEN(Множество[[#This Row],[Критерии]])&gt;0,LEN(Множество[[#This Row],[Оценки]])&gt;0),1,-1)</f>
        <v>-1</v>
      </c>
      <c r="AN967" s="230"/>
      <c r="AO967" s="208"/>
      <c r="AP967" s="208"/>
      <c r="AQ967" s="208"/>
      <c r="AR967" s="226"/>
      <c r="AS967" s="225"/>
      <c r="AT967" s="226"/>
      <c r="AU967" s="225"/>
      <c r="AV967" s="225"/>
      <c r="AW967" s="225"/>
      <c r="AX967" s="225"/>
      <c r="AY967" s="225"/>
    </row>
    <row r="968" spans="33:51" x14ac:dyDescent="0.25">
      <c r="AG968" s="66" t="str">
        <f>IF(AND(Множество[[#This Row],[Y]]=1),ROW()-ROW(Множество[[#Headers],[№]]),"")</f>
        <v/>
      </c>
      <c r="AI968" s="66">
        <v>1</v>
      </c>
      <c r="AJ968" s="66">
        <f>IF(LEN(Множество[[#This Row],[Свёртка]])&gt;0,1,-1)</f>
        <v>1</v>
      </c>
      <c r="AK968" s="66" t="s">
        <v>1781</v>
      </c>
      <c r="AL968" s="209">
        <f>IF(LEN(Множество[[#This Row],[Критерии]])&gt;0,1,-1)</f>
        <v>1</v>
      </c>
      <c r="AM968" s="209">
        <f>IF(AND(LEN(Множество[[#This Row],[Свёртка]])&gt;0,LEN(Множество[[#This Row],[Критерии]])&gt;0,LEN(Множество[[#This Row],[Оценки]])&gt;0),1,-1)</f>
        <v>-1</v>
      </c>
      <c r="AN968" s="230"/>
      <c r="AO968" s="208"/>
      <c r="AP968" s="208"/>
      <c r="AQ968" s="208"/>
      <c r="AR968" s="226"/>
      <c r="AS968" s="225"/>
      <c r="AT968" s="226"/>
      <c r="AU968" s="225"/>
      <c r="AV968" s="225"/>
      <c r="AW968" s="225"/>
      <c r="AX968" s="225"/>
      <c r="AY968" s="225"/>
    </row>
    <row r="969" spans="33:51" x14ac:dyDescent="0.25">
      <c r="AG969" s="66" t="str">
        <f>IF(AND(Множество[[#This Row],[Y]]=1),ROW()-ROW(Множество[[#Headers],[№]]),"")</f>
        <v/>
      </c>
      <c r="AI969" s="66">
        <v>1</v>
      </c>
      <c r="AJ969" s="66">
        <f>IF(LEN(Множество[[#This Row],[Свёртка]])&gt;0,1,-1)</f>
        <v>1</v>
      </c>
      <c r="AK969" s="66" t="s">
        <v>1781</v>
      </c>
      <c r="AL969" s="209">
        <f>IF(LEN(Множество[[#This Row],[Критерии]])&gt;0,1,-1)</f>
        <v>1</v>
      </c>
      <c r="AM969" s="209">
        <f>IF(AND(LEN(Множество[[#This Row],[Свёртка]])&gt;0,LEN(Множество[[#This Row],[Критерии]])&gt;0,LEN(Множество[[#This Row],[Оценки]])&gt;0),1,-1)</f>
        <v>-1</v>
      </c>
      <c r="AN969" s="230"/>
      <c r="AO969" s="208"/>
      <c r="AP969" s="208"/>
      <c r="AQ969" s="208"/>
      <c r="AR969" s="226"/>
      <c r="AS969" s="225"/>
      <c r="AT969" s="226"/>
      <c r="AU969" s="225"/>
      <c r="AV969" s="225"/>
      <c r="AW969" s="225"/>
      <c r="AX969" s="225"/>
      <c r="AY969" s="225"/>
    </row>
    <row r="970" spans="33:51" x14ac:dyDescent="0.25">
      <c r="AG970" s="66" t="str">
        <f>IF(AND(Множество[[#This Row],[Y]]=1),ROW()-ROW(Множество[[#Headers],[№]]),"")</f>
        <v/>
      </c>
      <c r="AI970" s="66">
        <v>1</v>
      </c>
      <c r="AJ970" s="66">
        <f>IF(LEN(Множество[[#This Row],[Свёртка]])&gt;0,1,-1)</f>
        <v>1</v>
      </c>
      <c r="AK970" s="66" t="s">
        <v>1781</v>
      </c>
      <c r="AL970" s="209">
        <f>IF(LEN(Множество[[#This Row],[Критерии]])&gt;0,1,-1)</f>
        <v>1</v>
      </c>
      <c r="AM970" s="209">
        <f>IF(AND(LEN(Множество[[#This Row],[Свёртка]])&gt;0,LEN(Множество[[#This Row],[Критерии]])&gt;0,LEN(Множество[[#This Row],[Оценки]])&gt;0),1,-1)</f>
        <v>-1</v>
      </c>
      <c r="AN970" s="230"/>
      <c r="AO970" s="208"/>
      <c r="AP970" s="208"/>
      <c r="AQ970" s="208"/>
      <c r="AR970" s="226"/>
      <c r="AS970" s="225"/>
      <c r="AT970" s="226"/>
      <c r="AU970" s="225"/>
      <c r="AV970" s="225"/>
      <c r="AW970" s="225"/>
      <c r="AX970" s="225"/>
      <c r="AY970" s="225"/>
    </row>
    <row r="971" spans="33:51" x14ac:dyDescent="0.25">
      <c r="AG971" s="66" t="str">
        <f>IF(AND(Множество[[#This Row],[Y]]=1),ROW()-ROW(Множество[[#Headers],[№]]),"")</f>
        <v/>
      </c>
      <c r="AI971" s="66">
        <v>1</v>
      </c>
      <c r="AJ971" s="66">
        <f>IF(LEN(Множество[[#This Row],[Свёртка]])&gt;0,1,-1)</f>
        <v>1</v>
      </c>
      <c r="AK971" s="66" t="s">
        <v>1781</v>
      </c>
      <c r="AL971" s="209">
        <f>IF(LEN(Множество[[#This Row],[Критерии]])&gt;0,1,-1)</f>
        <v>1</v>
      </c>
      <c r="AM971" s="209">
        <f>IF(AND(LEN(Множество[[#This Row],[Свёртка]])&gt;0,LEN(Множество[[#This Row],[Критерии]])&gt;0,LEN(Множество[[#This Row],[Оценки]])&gt;0),1,-1)</f>
        <v>-1</v>
      </c>
      <c r="AN971" s="230"/>
      <c r="AO971" s="208"/>
      <c r="AP971" s="208"/>
      <c r="AQ971" s="208"/>
      <c r="AR971" s="226"/>
      <c r="AS971" s="225"/>
      <c r="AT971" s="226"/>
      <c r="AU971" s="225"/>
      <c r="AV971" s="225"/>
      <c r="AW971" s="225"/>
      <c r="AX971" s="225"/>
      <c r="AY971" s="225"/>
    </row>
    <row r="972" spans="33:51" x14ac:dyDescent="0.25">
      <c r="AG972" s="66" t="str">
        <f>IF(AND(Множество[[#This Row],[Y]]=1),ROW()-ROW(Множество[[#Headers],[№]]),"")</f>
        <v/>
      </c>
      <c r="AI972" s="66">
        <v>1</v>
      </c>
      <c r="AJ972" s="66">
        <f>IF(LEN(Множество[[#This Row],[Свёртка]])&gt;0,1,-1)</f>
        <v>1</v>
      </c>
      <c r="AK972" s="66" t="s">
        <v>1781</v>
      </c>
      <c r="AL972" s="209">
        <f>IF(LEN(Множество[[#This Row],[Критерии]])&gt;0,1,-1)</f>
        <v>1</v>
      </c>
      <c r="AM972" s="209">
        <f>IF(AND(LEN(Множество[[#This Row],[Свёртка]])&gt;0,LEN(Множество[[#This Row],[Критерии]])&gt;0,LEN(Множество[[#This Row],[Оценки]])&gt;0),1,-1)</f>
        <v>-1</v>
      </c>
      <c r="AN972" s="230"/>
      <c r="AO972" s="208"/>
      <c r="AP972" s="208"/>
      <c r="AQ972" s="208"/>
      <c r="AR972" s="226"/>
      <c r="AS972" s="225"/>
      <c r="AT972" s="226"/>
      <c r="AU972" s="225"/>
      <c r="AV972" s="225"/>
      <c r="AW972" s="225"/>
      <c r="AX972" s="225"/>
      <c r="AY972" s="225"/>
    </row>
    <row r="973" spans="33:51" x14ac:dyDescent="0.25">
      <c r="AG973" s="66" t="str">
        <f>IF(AND(Множество[[#This Row],[Y]]=1),ROW()-ROW(Множество[[#Headers],[№]]),"")</f>
        <v/>
      </c>
      <c r="AI973" s="66">
        <v>1</v>
      </c>
      <c r="AJ973" s="66">
        <f>IF(LEN(Множество[[#This Row],[Свёртка]])&gt;0,1,-1)</f>
        <v>1</v>
      </c>
      <c r="AK973" s="66" t="s">
        <v>1781</v>
      </c>
      <c r="AL973" s="209">
        <f>IF(LEN(Множество[[#This Row],[Критерии]])&gt;0,1,-1)</f>
        <v>1</v>
      </c>
      <c r="AM973" s="209">
        <f>IF(AND(LEN(Множество[[#This Row],[Свёртка]])&gt;0,LEN(Множество[[#This Row],[Критерии]])&gt;0,LEN(Множество[[#This Row],[Оценки]])&gt;0),1,-1)</f>
        <v>-1</v>
      </c>
      <c r="AN973" s="230"/>
      <c r="AO973" s="208"/>
      <c r="AP973" s="208"/>
      <c r="AQ973" s="208"/>
      <c r="AR973" s="226"/>
      <c r="AS973" s="225"/>
      <c r="AT973" s="226"/>
      <c r="AU973" s="225"/>
      <c r="AV973" s="225"/>
      <c r="AW973" s="225"/>
      <c r="AX973" s="225"/>
      <c r="AY973" s="225"/>
    </row>
    <row r="974" spans="33:51" x14ac:dyDescent="0.25">
      <c r="AG974" s="66" t="str">
        <f>IF(AND(Множество[[#This Row],[Y]]=1),ROW()-ROW(Множество[[#Headers],[№]]),"")</f>
        <v/>
      </c>
      <c r="AI974" s="66">
        <v>1</v>
      </c>
      <c r="AJ974" s="66">
        <f>IF(LEN(Множество[[#This Row],[Свёртка]])&gt;0,1,-1)</f>
        <v>1</v>
      </c>
      <c r="AK974" s="66" t="s">
        <v>1781</v>
      </c>
      <c r="AL974" s="209">
        <f>IF(LEN(Множество[[#This Row],[Критерии]])&gt;0,1,-1)</f>
        <v>1</v>
      </c>
      <c r="AM974" s="209">
        <f>IF(AND(LEN(Множество[[#This Row],[Свёртка]])&gt;0,LEN(Множество[[#This Row],[Критерии]])&gt;0,LEN(Множество[[#This Row],[Оценки]])&gt;0),1,-1)</f>
        <v>-1</v>
      </c>
      <c r="AN974" s="230"/>
      <c r="AO974" s="208"/>
      <c r="AP974" s="208"/>
      <c r="AQ974" s="208"/>
      <c r="AR974" s="226"/>
      <c r="AS974" s="225"/>
      <c r="AT974" s="226"/>
      <c r="AU974" s="225"/>
      <c r="AV974" s="225"/>
      <c r="AW974" s="225"/>
      <c r="AX974" s="225"/>
      <c r="AY974" s="225"/>
    </row>
    <row r="975" spans="33:51" x14ac:dyDescent="0.25">
      <c r="AG975" s="66" t="str">
        <f>IF(AND(Множество[[#This Row],[Y]]=1),ROW()-ROW(Множество[[#Headers],[№]]),"")</f>
        <v/>
      </c>
      <c r="AI975" s="66">
        <v>1</v>
      </c>
      <c r="AJ975" s="66">
        <f>IF(LEN(Множество[[#This Row],[Свёртка]])&gt;0,1,-1)</f>
        <v>1</v>
      </c>
      <c r="AK975" s="66" t="s">
        <v>1781</v>
      </c>
      <c r="AL975" s="209">
        <f>IF(LEN(Множество[[#This Row],[Критерии]])&gt;0,1,-1)</f>
        <v>1</v>
      </c>
      <c r="AM975" s="209">
        <f>IF(AND(LEN(Множество[[#This Row],[Свёртка]])&gt;0,LEN(Множество[[#This Row],[Критерии]])&gt;0,LEN(Множество[[#This Row],[Оценки]])&gt;0),1,-1)</f>
        <v>-1</v>
      </c>
      <c r="AN975" s="230"/>
      <c r="AO975" s="208"/>
      <c r="AP975" s="208"/>
      <c r="AQ975" s="208"/>
      <c r="AR975" s="226"/>
      <c r="AS975" s="225"/>
      <c r="AT975" s="226"/>
      <c r="AU975" s="225"/>
      <c r="AV975" s="225"/>
      <c r="AW975" s="225"/>
      <c r="AX975" s="225"/>
      <c r="AY975" s="225"/>
    </row>
    <row r="976" spans="33:51" x14ac:dyDescent="0.25">
      <c r="AG976" s="66" t="str">
        <f>IF(AND(Множество[[#This Row],[Y]]=1),ROW()-ROW(Множество[[#Headers],[№]]),"")</f>
        <v/>
      </c>
      <c r="AI976" s="66">
        <v>1</v>
      </c>
      <c r="AJ976" s="66">
        <f>IF(LEN(Множество[[#This Row],[Свёртка]])&gt;0,1,-1)</f>
        <v>1</v>
      </c>
      <c r="AK976" s="66" t="s">
        <v>1781</v>
      </c>
      <c r="AL976" s="209">
        <f>IF(LEN(Множество[[#This Row],[Критерии]])&gt;0,1,-1)</f>
        <v>1</v>
      </c>
      <c r="AM976" s="209">
        <f>IF(AND(LEN(Множество[[#This Row],[Свёртка]])&gt;0,LEN(Множество[[#This Row],[Критерии]])&gt;0,LEN(Множество[[#This Row],[Оценки]])&gt;0),1,-1)</f>
        <v>-1</v>
      </c>
      <c r="AN976" s="230"/>
      <c r="AO976" s="208"/>
      <c r="AP976" s="208"/>
      <c r="AQ976" s="208"/>
      <c r="AR976" s="226"/>
      <c r="AS976" s="225"/>
      <c r="AT976" s="226"/>
      <c r="AU976" s="225"/>
      <c r="AV976" s="225"/>
      <c r="AW976" s="225"/>
      <c r="AX976" s="225"/>
      <c r="AY976" s="225"/>
    </row>
    <row r="977" spans="33:51" x14ac:dyDescent="0.25">
      <c r="AG977" s="66" t="str">
        <f>IF(AND(Множество[[#This Row],[Y]]=1),ROW()-ROW(Множество[[#Headers],[№]]),"")</f>
        <v/>
      </c>
      <c r="AI977" s="66">
        <v>1</v>
      </c>
      <c r="AJ977" s="66">
        <f>IF(LEN(Множество[[#This Row],[Свёртка]])&gt;0,1,-1)</f>
        <v>1</v>
      </c>
      <c r="AK977" s="66" t="s">
        <v>1781</v>
      </c>
      <c r="AL977" s="209">
        <f>IF(LEN(Множество[[#This Row],[Критерии]])&gt;0,1,-1)</f>
        <v>1</v>
      </c>
      <c r="AM977" s="209">
        <f>IF(AND(LEN(Множество[[#This Row],[Свёртка]])&gt;0,LEN(Множество[[#This Row],[Критерии]])&gt;0,LEN(Множество[[#This Row],[Оценки]])&gt;0),1,-1)</f>
        <v>-1</v>
      </c>
      <c r="AN977" s="230"/>
      <c r="AO977" s="208"/>
      <c r="AP977" s="208"/>
      <c r="AQ977" s="208"/>
      <c r="AR977" s="226"/>
      <c r="AS977" s="225"/>
      <c r="AT977" s="226"/>
      <c r="AU977" s="225"/>
      <c r="AV977" s="225"/>
      <c r="AW977" s="225"/>
      <c r="AX977" s="225"/>
      <c r="AY977" s="225"/>
    </row>
    <row r="978" spans="33:51" x14ac:dyDescent="0.25">
      <c r="AG978" s="66" t="str">
        <f>IF(AND(Множество[[#This Row],[Y]]=1),ROW()-ROW(Множество[[#Headers],[№]]),"")</f>
        <v/>
      </c>
      <c r="AI978" s="66">
        <v>1</v>
      </c>
      <c r="AJ978" s="66">
        <f>IF(LEN(Множество[[#This Row],[Свёртка]])&gt;0,1,-1)</f>
        <v>1</v>
      </c>
      <c r="AK978" s="66" t="s">
        <v>1781</v>
      </c>
      <c r="AL978" s="209">
        <f>IF(LEN(Множество[[#This Row],[Критерии]])&gt;0,1,-1)</f>
        <v>1</v>
      </c>
      <c r="AM978" s="209">
        <f>IF(AND(LEN(Множество[[#This Row],[Свёртка]])&gt;0,LEN(Множество[[#This Row],[Критерии]])&gt;0,LEN(Множество[[#This Row],[Оценки]])&gt;0),1,-1)</f>
        <v>-1</v>
      </c>
      <c r="AN978" s="230"/>
      <c r="AO978" s="208"/>
      <c r="AP978" s="208"/>
      <c r="AQ978" s="208"/>
      <c r="AR978" s="226"/>
      <c r="AS978" s="225"/>
      <c r="AT978" s="226"/>
      <c r="AU978" s="225"/>
      <c r="AV978" s="225"/>
      <c r="AW978" s="225"/>
      <c r="AX978" s="225"/>
      <c r="AY978" s="225"/>
    </row>
    <row r="979" spans="33:51" x14ac:dyDescent="0.25">
      <c r="AG979" s="66" t="str">
        <f>IF(AND(Множество[[#This Row],[Y]]=1),ROW()-ROW(Множество[[#Headers],[№]]),"")</f>
        <v/>
      </c>
      <c r="AI979" s="66">
        <v>1</v>
      </c>
      <c r="AJ979" s="66">
        <f>IF(LEN(Множество[[#This Row],[Свёртка]])&gt;0,1,-1)</f>
        <v>1</v>
      </c>
      <c r="AK979" s="66" t="s">
        <v>1781</v>
      </c>
      <c r="AL979" s="209">
        <f>IF(LEN(Множество[[#This Row],[Критерии]])&gt;0,1,-1)</f>
        <v>1</v>
      </c>
      <c r="AM979" s="209">
        <f>IF(AND(LEN(Множество[[#This Row],[Свёртка]])&gt;0,LEN(Множество[[#This Row],[Критерии]])&gt;0,LEN(Множество[[#This Row],[Оценки]])&gt;0),1,-1)</f>
        <v>-1</v>
      </c>
      <c r="AN979" s="230"/>
      <c r="AO979" s="208"/>
      <c r="AP979" s="208"/>
      <c r="AQ979" s="208"/>
      <c r="AR979" s="226"/>
      <c r="AS979" s="225"/>
      <c r="AT979" s="226"/>
      <c r="AU979" s="225"/>
      <c r="AV979" s="225"/>
      <c r="AW979" s="225"/>
      <c r="AX979" s="225"/>
      <c r="AY979" s="225"/>
    </row>
    <row r="980" spans="33:51" x14ac:dyDescent="0.25">
      <c r="AG980" s="66" t="str">
        <f>IF(AND(Множество[[#This Row],[Y]]=1),ROW()-ROW(Множество[[#Headers],[№]]),"")</f>
        <v/>
      </c>
      <c r="AI980" s="66">
        <v>1</v>
      </c>
      <c r="AJ980" s="66">
        <f>IF(LEN(Множество[[#This Row],[Свёртка]])&gt;0,1,-1)</f>
        <v>1</v>
      </c>
      <c r="AK980" s="66" t="s">
        <v>1781</v>
      </c>
      <c r="AL980" s="209">
        <f>IF(LEN(Множество[[#This Row],[Критерии]])&gt;0,1,-1)</f>
        <v>1</v>
      </c>
      <c r="AM980" s="209">
        <f>IF(AND(LEN(Множество[[#This Row],[Свёртка]])&gt;0,LEN(Множество[[#This Row],[Критерии]])&gt;0,LEN(Множество[[#This Row],[Оценки]])&gt;0),1,-1)</f>
        <v>-1</v>
      </c>
      <c r="AN980" s="230"/>
      <c r="AO980" s="208"/>
      <c r="AP980" s="208"/>
      <c r="AQ980" s="208"/>
      <c r="AR980" s="226"/>
      <c r="AS980" s="225"/>
      <c r="AT980" s="226"/>
      <c r="AU980" s="225"/>
      <c r="AV980" s="225"/>
      <c r="AW980" s="225"/>
      <c r="AX980" s="225"/>
      <c r="AY980" s="225"/>
    </row>
    <row r="981" spans="33:51" x14ac:dyDescent="0.25">
      <c r="AG981" s="66" t="str">
        <f>IF(AND(Множество[[#This Row],[Y]]=1),ROW()-ROW(Множество[[#Headers],[№]]),"")</f>
        <v/>
      </c>
      <c r="AI981" s="66">
        <v>1</v>
      </c>
      <c r="AJ981" s="66">
        <f>IF(LEN(Множество[[#This Row],[Свёртка]])&gt;0,1,-1)</f>
        <v>1</v>
      </c>
      <c r="AK981" s="66" t="s">
        <v>1781</v>
      </c>
      <c r="AL981" s="209">
        <f>IF(LEN(Множество[[#This Row],[Критерии]])&gt;0,1,-1)</f>
        <v>1</v>
      </c>
      <c r="AM981" s="209">
        <f>IF(AND(LEN(Множество[[#This Row],[Свёртка]])&gt;0,LEN(Множество[[#This Row],[Критерии]])&gt;0,LEN(Множество[[#This Row],[Оценки]])&gt;0),1,-1)</f>
        <v>-1</v>
      </c>
      <c r="AN981" s="230"/>
      <c r="AO981" s="208"/>
      <c r="AP981" s="208"/>
      <c r="AQ981" s="208"/>
      <c r="AR981" s="226"/>
      <c r="AS981" s="225"/>
      <c r="AT981" s="226"/>
      <c r="AU981" s="225"/>
      <c r="AV981" s="225"/>
      <c r="AW981" s="225"/>
      <c r="AX981" s="225"/>
      <c r="AY981" s="225"/>
    </row>
    <row r="982" spans="33:51" x14ac:dyDescent="0.25">
      <c r="AG982" s="66" t="str">
        <f>IF(AND(Множество[[#This Row],[Y]]=1),ROW()-ROW(Множество[[#Headers],[№]]),"")</f>
        <v/>
      </c>
      <c r="AI982" s="66">
        <v>1</v>
      </c>
      <c r="AJ982" s="66">
        <f>IF(LEN(Множество[[#This Row],[Свёртка]])&gt;0,1,-1)</f>
        <v>1</v>
      </c>
      <c r="AK982" s="66" t="s">
        <v>1781</v>
      </c>
      <c r="AL982" s="209">
        <f>IF(LEN(Множество[[#This Row],[Критерии]])&gt;0,1,-1)</f>
        <v>1</v>
      </c>
      <c r="AM982" s="209">
        <f>IF(AND(LEN(Множество[[#This Row],[Свёртка]])&gt;0,LEN(Множество[[#This Row],[Критерии]])&gt;0,LEN(Множество[[#This Row],[Оценки]])&gt;0),1,-1)</f>
        <v>-1</v>
      </c>
      <c r="AN982" s="230"/>
      <c r="AO982" s="208"/>
      <c r="AP982" s="208"/>
      <c r="AQ982" s="208"/>
      <c r="AR982" s="226"/>
      <c r="AS982" s="225"/>
      <c r="AT982" s="226"/>
      <c r="AU982" s="225"/>
      <c r="AV982" s="225"/>
      <c r="AW982" s="225"/>
      <c r="AX982" s="225"/>
      <c r="AY982" s="225"/>
    </row>
    <row r="983" spans="33:51" x14ac:dyDescent="0.25">
      <c r="AG983" s="66" t="str">
        <f>IF(AND(Множество[[#This Row],[Y]]=1),ROW()-ROW(Множество[[#Headers],[№]]),"")</f>
        <v/>
      </c>
      <c r="AI983" s="66">
        <v>1</v>
      </c>
      <c r="AJ983" s="66">
        <f>IF(LEN(Множество[[#This Row],[Свёртка]])&gt;0,1,-1)</f>
        <v>1</v>
      </c>
      <c r="AK983" s="66" t="s">
        <v>1781</v>
      </c>
      <c r="AL983" s="209">
        <f>IF(LEN(Множество[[#This Row],[Критерии]])&gt;0,1,-1)</f>
        <v>1</v>
      </c>
      <c r="AM983" s="209">
        <f>IF(AND(LEN(Множество[[#This Row],[Свёртка]])&gt;0,LEN(Множество[[#This Row],[Критерии]])&gt;0,LEN(Множество[[#This Row],[Оценки]])&gt;0),1,-1)</f>
        <v>-1</v>
      </c>
      <c r="AN983" s="230"/>
      <c r="AO983" s="208"/>
      <c r="AP983" s="208"/>
      <c r="AQ983" s="208"/>
      <c r="AR983" s="226"/>
      <c r="AS983" s="225"/>
      <c r="AT983" s="226"/>
      <c r="AU983" s="225"/>
      <c r="AV983" s="225"/>
      <c r="AW983" s="225"/>
      <c r="AX983" s="225"/>
      <c r="AY983" s="225"/>
    </row>
    <row r="984" spans="33:51" x14ac:dyDescent="0.25">
      <c r="AG984" s="66" t="str">
        <f>IF(AND(Множество[[#This Row],[Y]]=1),ROW()-ROW(Множество[[#Headers],[№]]),"")</f>
        <v/>
      </c>
      <c r="AI984" s="66">
        <v>1</v>
      </c>
      <c r="AJ984" s="66">
        <f>IF(LEN(Множество[[#This Row],[Свёртка]])&gt;0,1,-1)</f>
        <v>1</v>
      </c>
      <c r="AK984" s="66" t="s">
        <v>1781</v>
      </c>
      <c r="AL984" s="209">
        <f>IF(LEN(Множество[[#This Row],[Критерии]])&gt;0,1,-1)</f>
        <v>1</v>
      </c>
      <c r="AM984" s="209">
        <f>IF(AND(LEN(Множество[[#This Row],[Свёртка]])&gt;0,LEN(Множество[[#This Row],[Критерии]])&gt;0,LEN(Множество[[#This Row],[Оценки]])&gt;0),1,-1)</f>
        <v>-1</v>
      </c>
      <c r="AN984" s="230"/>
      <c r="AO984" s="208"/>
      <c r="AP984" s="208"/>
      <c r="AQ984" s="208"/>
      <c r="AR984" s="226"/>
      <c r="AS984" s="225"/>
      <c r="AT984" s="226"/>
      <c r="AU984" s="225"/>
      <c r="AV984" s="225"/>
      <c r="AW984" s="225"/>
      <c r="AX984" s="225"/>
      <c r="AY984" s="225"/>
    </row>
    <row r="985" spans="33:51" x14ac:dyDescent="0.25">
      <c r="AG985" s="66" t="str">
        <f>IF(AND(Множество[[#This Row],[Y]]=1),ROW()-ROW(Множество[[#Headers],[№]]),"")</f>
        <v/>
      </c>
      <c r="AI985" s="66">
        <v>1</v>
      </c>
      <c r="AJ985" s="66">
        <f>IF(LEN(Множество[[#This Row],[Свёртка]])&gt;0,1,-1)</f>
        <v>1</v>
      </c>
      <c r="AK985" s="66" t="s">
        <v>1781</v>
      </c>
      <c r="AL985" s="209">
        <f>IF(LEN(Множество[[#This Row],[Критерии]])&gt;0,1,-1)</f>
        <v>1</v>
      </c>
      <c r="AM985" s="209">
        <f>IF(AND(LEN(Множество[[#This Row],[Свёртка]])&gt;0,LEN(Множество[[#This Row],[Критерии]])&gt;0,LEN(Множество[[#This Row],[Оценки]])&gt;0),1,-1)</f>
        <v>-1</v>
      </c>
      <c r="AN985" s="230"/>
      <c r="AO985" s="208"/>
      <c r="AP985" s="208"/>
      <c r="AQ985" s="208"/>
      <c r="AR985" s="226"/>
      <c r="AS985" s="225"/>
      <c r="AT985" s="226"/>
      <c r="AU985" s="225"/>
      <c r="AV985" s="225"/>
      <c r="AW985" s="225"/>
      <c r="AX985" s="225"/>
      <c r="AY985" s="225"/>
    </row>
    <row r="986" spans="33:51" x14ac:dyDescent="0.25">
      <c r="AG986" s="66" t="str">
        <f>IF(AND(Множество[[#This Row],[Y]]=1),ROW()-ROW(Множество[[#Headers],[№]]),"")</f>
        <v/>
      </c>
      <c r="AI986" s="66">
        <v>1</v>
      </c>
      <c r="AJ986" s="66">
        <f>IF(LEN(Множество[[#This Row],[Свёртка]])&gt;0,1,-1)</f>
        <v>1</v>
      </c>
      <c r="AK986" s="66" t="s">
        <v>1781</v>
      </c>
      <c r="AL986" s="209">
        <f>IF(LEN(Множество[[#This Row],[Критерии]])&gt;0,1,-1)</f>
        <v>1</v>
      </c>
      <c r="AM986" s="209">
        <f>IF(AND(LEN(Множество[[#This Row],[Свёртка]])&gt;0,LEN(Множество[[#This Row],[Критерии]])&gt;0,LEN(Множество[[#This Row],[Оценки]])&gt;0),1,-1)</f>
        <v>-1</v>
      </c>
      <c r="AN986" s="230"/>
      <c r="AO986" s="208"/>
      <c r="AP986" s="208"/>
      <c r="AQ986" s="208"/>
      <c r="AR986" s="226"/>
      <c r="AS986" s="225"/>
      <c r="AT986" s="226"/>
      <c r="AU986" s="225"/>
      <c r="AV986" s="225"/>
      <c r="AW986" s="225"/>
      <c r="AX986" s="225"/>
      <c r="AY986" s="225"/>
    </row>
    <row r="987" spans="33:51" x14ac:dyDescent="0.25">
      <c r="AG987" s="66" t="str">
        <f>IF(AND(Множество[[#This Row],[Y]]=1),ROW()-ROW(Множество[[#Headers],[№]]),"")</f>
        <v/>
      </c>
      <c r="AI987" s="66">
        <v>1</v>
      </c>
      <c r="AJ987" s="66">
        <f>IF(LEN(Множество[[#This Row],[Свёртка]])&gt;0,1,-1)</f>
        <v>1</v>
      </c>
      <c r="AK987" s="66" t="s">
        <v>1781</v>
      </c>
      <c r="AL987" s="209">
        <f>IF(LEN(Множество[[#This Row],[Критерии]])&gt;0,1,-1)</f>
        <v>1</v>
      </c>
      <c r="AM987" s="209">
        <f>IF(AND(LEN(Множество[[#This Row],[Свёртка]])&gt;0,LEN(Множество[[#This Row],[Критерии]])&gt;0,LEN(Множество[[#This Row],[Оценки]])&gt;0),1,-1)</f>
        <v>-1</v>
      </c>
      <c r="AN987" s="230"/>
      <c r="AO987" s="208"/>
      <c r="AP987" s="208"/>
      <c r="AQ987" s="208"/>
      <c r="AR987" s="226"/>
      <c r="AS987" s="225"/>
      <c r="AT987" s="226"/>
      <c r="AU987" s="225"/>
      <c r="AV987" s="225"/>
      <c r="AW987" s="225"/>
      <c r="AX987" s="225"/>
      <c r="AY987" s="225"/>
    </row>
    <row r="988" spans="33:51" x14ac:dyDescent="0.25">
      <c r="AG988" s="66" t="str">
        <f>IF(AND(Множество[[#This Row],[Y]]=1),ROW()-ROW(Множество[[#Headers],[№]]),"")</f>
        <v/>
      </c>
      <c r="AI988" s="66">
        <v>1</v>
      </c>
      <c r="AJ988" s="66">
        <f>IF(LEN(Множество[[#This Row],[Свёртка]])&gt;0,1,-1)</f>
        <v>1</v>
      </c>
      <c r="AK988" s="66" t="s">
        <v>1781</v>
      </c>
      <c r="AL988" s="209">
        <f>IF(LEN(Множество[[#This Row],[Критерии]])&gt;0,1,-1)</f>
        <v>1</v>
      </c>
      <c r="AM988" s="209">
        <f>IF(AND(LEN(Множество[[#This Row],[Свёртка]])&gt;0,LEN(Множество[[#This Row],[Критерии]])&gt;0,LEN(Множество[[#This Row],[Оценки]])&gt;0),1,-1)</f>
        <v>-1</v>
      </c>
      <c r="AN988" s="230"/>
      <c r="AO988" s="208"/>
      <c r="AP988" s="208"/>
      <c r="AQ988" s="208"/>
      <c r="AR988" s="226"/>
      <c r="AS988" s="225"/>
      <c r="AT988" s="226"/>
      <c r="AU988" s="225"/>
      <c r="AV988" s="225"/>
      <c r="AW988" s="225"/>
      <c r="AX988" s="225"/>
      <c r="AY988" s="225"/>
    </row>
    <row r="989" spans="33:51" x14ac:dyDescent="0.25">
      <c r="AG989" s="66" t="str">
        <f>IF(AND(Множество[[#This Row],[Y]]=1),ROW()-ROW(Множество[[#Headers],[№]]),"")</f>
        <v/>
      </c>
      <c r="AI989" s="66">
        <v>1</v>
      </c>
      <c r="AJ989" s="66">
        <f>IF(LEN(Множество[[#This Row],[Свёртка]])&gt;0,1,-1)</f>
        <v>1</v>
      </c>
      <c r="AK989" s="66" t="s">
        <v>1781</v>
      </c>
      <c r="AL989" s="209">
        <f>IF(LEN(Множество[[#This Row],[Критерии]])&gt;0,1,-1)</f>
        <v>1</v>
      </c>
      <c r="AM989" s="209">
        <f>IF(AND(LEN(Множество[[#This Row],[Свёртка]])&gt;0,LEN(Множество[[#This Row],[Критерии]])&gt;0,LEN(Множество[[#This Row],[Оценки]])&gt;0),1,-1)</f>
        <v>-1</v>
      </c>
      <c r="AN989" s="230"/>
      <c r="AO989" s="208"/>
      <c r="AP989" s="208"/>
      <c r="AQ989" s="208"/>
      <c r="AR989" s="226"/>
      <c r="AS989" s="225"/>
      <c r="AT989" s="226"/>
      <c r="AU989" s="225"/>
      <c r="AV989" s="225"/>
      <c r="AW989" s="225"/>
      <c r="AX989" s="225"/>
      <c r="AY989" s="225"/>
    </row>
    <row r="990" spans="33:51" x14ac:dyDescent="0.25">
      <c r="AG990" s="66" t="str">
        <f>IF(AND(Множество[[#This Row],[Y]]=1),ROW()-ROW(Множество[[#Headers],[№]]),"")</f>
        <v/>
      </c>
      <c r="AI990" s="66">
        <v>1</v>
      </c>
      <c r="AJ990" s="66">
        <f>IF(LEN(Множество[[#This Row],[Свёртка]])&gt;0,1,-1)</f>
        <v>1</v>
      </c>
      <c r="AK990" s="66" t="s">
        <v>1781</v>
      </c>
      <c r="AL990" s="209">
        <f>IF(LEN(Множество[[#This Row],[Критерии]])&gt;0,1,-1)</f>
        <v>1</v>
      </c>
      <c r="AM990" s="209">
        <f>IF(AND(LEN(Множество[[#This Row],[Свёртка]])&gt;0,LEN(Множество[[#This Row],[Критерии]])&gt;0,LEN(Множество[[#This Row],[Оценки]])&gt;0),1,-1)</f>
        <v>-1</v>
      </c>
      <c r="AN990" s="230"/>
      <c r="AO990" s="208"/>
      <c r="AP990" s="208"/>
      <c r="AQ990" s="208"/>
      <c r="AR990" s="226"/>
      <c r="AS990" s="225"/>
      <c r="AT990" s="226"/>
      <c r="AU990" s="225"/>
      <c r="AV990" s="225"/>
      <c r="AW990" s="225"/>
      <c r="AX990" s="225"/>
      <c r="AY990" s="225"/>
    </row>
    <row r="991" spans="33:51" x14ac:dyDescent="0.25">
      <c r="AG991" s="66" t="str">
        <f>IF(AND(Множество[[#This Row],[Y]]=1),ROW()-ROW(Множество[[#Headers],[№]]),"")</f>
        <v/>
      </c>
      <c r="AI991" s="66">
        <v>1</v>
      </c>
      <c r="AJ991" s="66">
        <f>IF(LEN(Множество[[#This Row],[Свёртка]])&gt;0,1,-1)</f>
        <v>1</v>
      </c>
      <c r="AK991" s="66" t="s">
        <v>1781</v>
      </c>
      <c r="AL991" s="209">
        <f>IF(LEN(Множество[[#This Row],[Критерии]])&gt;0,1,-1)</f>
        <v>1</v>
      </c>
      <c r="AM991" s="209">
        <f>IF(AND(LEN(Множество[[#This Row],[Свёртка]])&gt;0,LEN(Множество[[#This Row],[Критерии]])&gt;0,LEN(Множество[[#This Row],[Оценки]])&gt;0),1,-1)</f>
        <v>-1</v>
      </c>
      <c r="AN991" s="230"/>
      <c r="AO991" s="208"/>
      <c r="AP991" s="208"/>
      <c r="AQ991" s="208"/>
      <c r="AR991" s="226"/>
      <c r="AS991" s="225"/>
      <c r="AT991" s="226"/>
      <c r="AU991" s="225"/>
      <c r="AV991" s="225"/>
      <c r="AW991" s="225"/>
      <c r="AX991" s="225"/>
      <c r="AY991" s="225"/>
    </row>
    <row r="992" spans="33:51" x14ac:dyDescent="0.25">
      <c r="AG992" s="66" t="str">
        <f>IF(AND(Множество[[#This Row],[Y]]=1),ROW()-ROW(Множество[[#Headers],[№]]),"")</f>
        <v/>
      </c>
      <c r="AI992" s="66">
        <v>1</v>
      </c>
      <c r="AJ992" s="66">
        <f>IF(LEN(Множество[[#This Row],[Свёртка]])&gt;0,1,-1)</f>
        <v>1</v>
      </c>
      <c r="AK992" s="66" t="s">
        <v>1781</v>
      </c>
      <c r="AL992" s="209">
        <f>IF(LEN(Множество[[#This Row],[Критерии]])&gt;0,1,-1)</f>
        <v>1</v>
      </c>
      <c r="AM992" s="209">
        <f>IF(AND(LEN(Множество[[#This Row],[Свёртка]])&gt;0,LEN(Множество[[#This Row],[Критерии]])&gt;0,LEN(Множество[[#This Row],[Оценки]])&gt;0),1,-1)</f>
        <v>-1</v>
      </c>
      <c r="AN992" s="230"/>
      <c r="AO992" s="208"/>
      <c r="AP992" s="208"/>
      <c r="AQ992" s="208"/>
      <c r="AR992" s="226"/>
      <c r="AS992" s="225"/>
      <c r="AT992" s="226"/>
      <c r="AU992" s="225"/>
      <c r="AV992" s="225"/>
      <c r="AW992" s="225"/>
      <c r="AX992" s="225"/>
      <c r="AY992" s="225"/>
    </row>
    <row r="993" spans="33:51" x14ac:dyDescent="0.25">
      <c r="AG993" s="66" t="str">
        <f>IF(AND(Множество[[#This Row],[Y]]=1),ROW()-ROW(Множество[[#Headers],[№]]),"")</f>
        <v/>
      </c>
      <c r="AI993" s="66">
        <v>1</v>
      </c>
      <c r="AJ993" s="66">
        <f>IF(LEN(Множество[[#This Row],[Свёртка]])&gt;0,1,-1)</f>
        <v>1</v>
      </c>
      <c r="AK993" s="66" t="s">
        <v>1781</v>
      </c>
      <c r="AL993" s="209">
        <f>IF(LEN(Множество[[#This Row],[Критерии]])&gt;0,1,-1)</f>
        <v>1</v>
      </c>
      <c r="AM993" s="209">
        <f>IF(AND(LEN(Множество[[#This Row],[Свёртка]])&gt;0,LEN(Множество[[#This Row],[Критерии]])&gt;0,LEN(Множество[[#This Row],[Оценки]])&gt;0),1,-1)</f>
        <v>-1</v>
      </c>
      <c r="AN993" s="230"/>
      <c r="AO993" s="208"/>
      <c r="AP993" s="208"/>
      <c r="AQ993" s="208"/>
      <c r="AR993" s="226"/>
      <c r="AS993" s="225"/>
      <c r="AT993" s="226"/>
      <c r="AU993" s="225"/>
      <c r="AV993" s="225"/>
      <c r="AW993" s="225"/>
      <c r="AX993" s="225"/>
      <c r="AY993" s="225"/>
    </row>
    <row r="994" spans="33:51" x14ac:dyDescent="0.25">
      <c r="AG994" s="66" t="str">
        <f>IF(AND(Множество[[#This Row],[Y]]=1),ROW()-ROW(Множество[[#Headers],[№]]),"")</f>
        <v/>
      </c>
      <c r="AI994" s="66">
        <v>1</v>
      </c>
      <c r="AJ994" s="66">
        <f>IF(LEN(Множество[[#This Row],[Свёртка]])&gt;0,1,-1)</f>
        <v>1</v>
      </c>
      <c r="AK994" s="66" t="s">
        <v>1781</v>
      </c>
      <c r="AL994" s="209">
        <f>IF(LEN(Множество[[#This Row],[Критерии]])&gt;0,1,-1)</f>
        <v>1</v>
      </c>
      <c r="AM994" s="209">
        <f>IF(AND(LEN(Множество[[#This Row],[Свёртка]])&gt;0,LEN(Множество[[#This Row],[Критерии]])&gt;0,LEN(Множество[[#This Row],[Оценки]])&gt;0),1,-1)</f>
        <v>-1</v>
      </c>
      <c r="AN994" s="230"/>
      <c r="AO994" s="208"/>
      <c r="AP994" s="208"/>
      <c r="AQ994" s="208"/>
      <c r="AR994" s="226"/>
      <c r="AS994" s="225"/>
      <c r="AT994" s="226"/>
      <c r="AU994" s="225"/>
      <c r="AV994" s="225"/>
      <c r="AW994" s="225"/>
      <c r="AX994" s="225"/>
      <c r="AY994" s="225"/>
    </row>
    <row r="995" spans="33:51" x14ac:dyDescent="0.25">
      <c r="AG995" s="66" t="str">
        <f>IF(AND(Множество[[#This Row],[Y]]=1),ROW()-ROW(Множество[[#Headers],[№]]),"")</f>
        <v/>
      </c>
      <c r="AI995" s="66">
        <v>1</v>
      </c>
      <c r="AJ995" s="66">
        <f>IF(LEN(Множество[[#This Row],[Свёртка]])&gt;0,1,-1)</f>
        <v>1</v>
      </c>
      <c r="AK995" s="66" t="s">
        <v>1781</v>
      </c>
      <c r="AL995" s="209">
        <f>IF(LEN(Множество[[#This Row],[Критерии]])&gt;0,1,-1)</f>
        <v>1</v>
      </c>
      <c r="AM995" s="209">
        <f>IF(AND(LEN(Множество[[#This Row],[Свёртка]])&gt;0,LEN(Множество[[#This Row],[Критерии]])&gt;0,LEN(Множество[[#This Row],[Оценки]])&gt;0),1,-1)</f>
        <v>-1</v>
      </c>
      <c r="AN995" s="230"/>
      <c r="AO995" s="208"/>
      <c r="AP995" s="208"/>
      <c r="AQ995" s="208"/>
      <c r="AR995" s="226"/>
      <c r="AS995" s="225"/>
      <c r="AT995" s="226"/>
      <c r="AU995" s="225"/>
      <c r="AV995" s="225"/>
      <c r="AW995" s="225"/>
      <c r="AX995" s="225"/>
      <c r="AY995" s="225"/>
    </row>
    <row r="996" spans="33:51" x14ac:dyDescent="0.25">
      <c r="AG996" s="66" t="str">
        <f>IF(AND(Множество[[#This Row],[Y]]=1),ROW()-ROW(Множество[[#Headers],[№]]),"")</f>
        <v/>
      </c>
      <c r="AI996" s="66">
        <v>1</v>
      </c>
      <c r="AJ996" s="66">
        <f>IF(LEN(Множество[[#This Row],[Свёртка]])&gt;0,1,-1)</f>
        <v>1</v>
      </c>
      <c r="AK996" s="66" t="s">
        <v>1781</v>
      </c>
      <c r="AL996" s="209">
        <f>IF(LEN(Множество[[#This Row],[Критерии]])&gt;0,1,-1)</f>
        <v>1</v>
      </c>
      <c r="AM996" s="209">
        <f>IF(AND(LEN(Множество[[#This Row],[Свёртка]])&gt;0,LEN(Множество[[#This Row],[Критерии]])&gt;0,LEN(Множество[[#This Row],[Оценки]])&gt;0),1,-1)</f>
        <v>-1</v>
      </c>
      <c r="AN996" s="230"/>
      <c r="AO996" s="208"/>
      <c r="AP996" s="208"/>
      <c r="AQ996" s="208"/>
      <c r="AR996" s="226"/>
      <c r="AS996" s="225"/>
      <c r="AT996" s="226"/>
      <c r="AU996" s="225"/>
      <c r="AV996" s="225"/>
      <c r="AW996" s="225"/>
      <c r="AX996" s="225"/>
      <c r="AY996" s="225"/>
    </row>
    <row r="997" spans="33:51" x14ac:dyDescent="0.25">
      <c r="AG997" s="66" t="str">
        <f>IF(AND(Множество[[#This Row],[Y]]=1),ROW()-ROW(Множество[[#Headers],[№]]),"")</f>
        <v/>
      </c>
      <c r="AI997" s="66">
        <v>1</v>
      </c>
      <c r="AJ997" s="66">
        <f>IF(LEN(Множество[[#This Row],[Свёртка]])&gt;0,1,-1)</f>
        <v>1</v>
      </c>
      <c r="AK997" s="66" t="s">
        <v>1781</v>
      </c>
      <c r="AL997" s="209">
        <f>IF(LEN(Множество[[#This Row],[Критерии]])&gt;0,1,-1)</f>
        <v>1</v>
      </c>
      <c r="AM997" s="209">
        <f>IF(AND(LEN(Множество[[#This Row],[Свёртка]])&gt;0,LEN(Множество[[#This Row],[Критерии]])&gt;0,LEN(Множество[[#This Row],[Оценки]])&gt;0),1,-1)</f>
        <v>-1</v>
      </c>
      <c r="AN997" s="230"/>
      <c r="AO997" s="208"/>
      <c r="AP997" s="208"/>
      <c r="AQ997" s="208"/>
      <c r="AR997" s="226"/>
      <c r="AS997" s="225"/>
      <c r="AT997" s="226"/>
      <c r="AU997" s="225"/>
      <c r="AV997" s="225"/>
      <c r="AW997" s="225"/>
      <c r="AX997" s="225"/>
      <c r="AY997" s="225"/>
    </row>
    <row r="998" spans="33:51" x14ac:dyDescent="0.25">
      <c r="AG998" s="66" t="str">
        <f>IF(AND(Множество[[#This Row],[Y]]=1),ROW()-ROW(Множество[[#Headers],[№]]),"")</f>
        <v/>
      </c>
      <c r="AI998" s="66">
        <v>1</v>
      </c>
      <c r="AJ998" s="66">
        <f>IF(LEN(Множество[[#This Row],[Свёртка]])&gt;0,1,-1)</f>
        <v>1</v>
      </c>
      <c r="AK998" s="66" t="s">
        <v>1781</v>
      </c>
      <c r="AL998" s="209">
        <f>IF(LEN(Множество[[#This Row],[Критерии]])&gt;0,1,-1)</f>
        <v>1</v>
      </c>
      <c r="AM998" s="209">
        <f>IF(AND(LEN(Множество[[#This Row],[Свёртка]])&gt;0,LEN(Множество[[#This Row],[Критерии]])&gt;0,LEN(Множество[[#This Row],[Оценки]])&gt;0),1,-1)</f>
        <v>-1</v>
      </c>
      <c r="AN998" s="230"/>
      <c r="AO998" s="208"/>
      <c r="AP998" s="208"/>
      <c r="AQ998" s="208"/>
      <c r="AR998" s="226"/>
      <c r="AS998" s="225"/>
      <c r="AT998" s="226"/>
      <c r="AU998" s="225"/>
      <c r="AV998" s="225"/>
      <c r="AW998" s="225"/>
      <c r="AX998" s="225"/>
      <c r="AY998" s="225"/>
    </row>
    <row r="999" spans="33:51" x14ac:dyDescent="0.25">
      <c r="AG999" s="66" t="str">
        <f>IF(AND(Множество[[#This Row],[Y]]=1),ROW()-ROW(Множество[[#Headers],[№]]),"")</f>
        <v/>
      </c>
      <c r="AI999" s="66">
        <v>1</v>
      </c>
      <c r="AJ999" s="66">
        <f>IF(LEN(Множество[[#This Row],[Свёртка]])&gt;0,1,-1)</f>
        <v>1</v>
      </c>
      <c r="AK999" s="66" t="s">
        <v>1781</v>
      </c>
      <c r="AL999" s="209">
        <f>IF(LEN(Множество[[#This Row],[Критерии]])&gt;0,1,-1)</f>
        <v>1</v>
      </c>
      <c r="AM999" s="209">
        <f>IF(AND(LEN(Множество[[#This Row],[Свёртка]])&gt;0,LEN(Множество[[#This Row],[Критерии]])&gt;0,LEN(Множество[[#This Row],[Оценки]])&gt;0),1,-1)</f>
        <v>-1</v>
      </c>
      <c r="AN999" s="230"/>
      <c r="AO999" s="208"/>
      <c r="AP999" s="208"/>
      <c r="AQ999" s="208"/>
      <c r="AR999" s="226"/>
      <c r="AS999" s="225"/>
      <c r="AT999" s="226"/>
      <c r="AU999" s="225"/>
      <c r="AV999" s="225"/>
      <c r="AW999" s="225"/>
      <c r="AX999" s="225"/>
      <c r="AY999" s="225"/>
    </row>
    <row r="1000" spans="33:51" x14ac:dyDescent="0.25">
      <c r="AG1000" s="66" t="str">
        <f>IF(AND(Множество[[#This Row],[Y]]=1),ROW()-ROW(Множество[[#Headers],[№]]),"")</f>
        <v/>
      </c>
      <c r="AI1000" s="66">
        <v>1</v>
      </c>
      <c r="AJ1000" s="66">
        <f>IF(LEN(Множество[[#This Row],[Свёртка]])&gt;0,1,-1)</f>
        <v>1</v>
      </c>
      <c r="AK1000" s="66" t="s">
        <v>1781</v>
      </c>
      <c r="AL1000" s="209">
        <f>IF(LEN(Множество[[#This Row],[Критерии]])&gt;0,1,-1)</f>
        <v>1</v>
      </c>
      <c r="AM1000" s="209">
        <f>IF(AND(LEN(Множество[[#This Row],[Свёртка]])&gt;0,LEN(Множество[[#This Row],[Критерии]])&gt;0,LEN(Множество[[#This Row],[Оценки]])&gt;0),1,-1)</f>
        <v>-1</v>
      </c>
      <c r="AN1000" s="230"/>
      <c r="AO1000" s="208"/>
      <c r="AP1000" s="208"/>
      <c r="AQ1000" s="208"/>
      <c r="AR1000" s="226"/>
      <c r="AS1000" s="225"/>
      <c r="AT1000" s="226"/>
      <c r="AU1000" s="225"/>
      <c r="AV1000" s="225"/>
      <c r="AW1000" s="225"/>
      <c r="AX1000" s="225"/>
      <c r="AY1000" s="225"/>
    </row>
    <row r="1001" spans="33:51" x14ac:dyDescent="0.25">
      <c r="AG1001" s="66" t="str">
        <f>IF(AND(Множество[[#This Row],[Y]]=1),ROW()-ROW(Множество[[#Headers],[№]]),"")</f>
        <v/>
      </c>
      <c r="AI1001" s="66">
        <v>1</v>
      </c>
      <c r="AJ1001" s="66">
        <f>IF(LEN(Множество[[#This Row],[Свёртка]])&gt;0,1,-1)</f>
        <v>1</v>
      </c>
      <c r="AK1001" s="66" t="s">
        <v>1781</v>
      </c>
      <c r="AL1001" s="209">
        <f>IF(LEN(Множество[[#This Row],[Критерии]])&gt;0,1,-1)</f>
        <v>1</v>
      </c>
      <c r="AM1001" s="209">
        <f>IF(AND(LEN(Множество[[#This Row],[Свёртка]])&gt;0,LEN(Множество[[#This Row],[Критерии]])&gt;0,LEN(Множество[[#This Row],[Оценки]])&gt;0),1,-1)</f>
        <v>-1</v>
      </c>
      <c r="AN1001" s="230"/>
      <c r="AO1001" s="208"/>
      <c r="AP1001" s="208"/>
      <c r="AQ1001" s="208"/>
      <c r="AR1001" s="226"/>
      <c r="AS1001" s="225"/>
      <c r="AT1001" s="226"/>
      <c r="AU1001" s="225"/>
      <c r="AV1001" s="225"/>
      <c r="AW1001" s="225"/>
      <c r="AX1001" s="225"/>
      <c r="AY1001" s="225"/>
    </row>
    <row r="1002" spans="33:51" x14ac:dyDescent="0.25">
      <c r="AG1002" s="66" t="str">
        <f>IF(AND(Множество[[#This Row],[Y]]=1),ROW()-ROW(Множество[[#Headers],[№]]),"")</f>
        <v/>
      </c>
      <c r="AI1002" s="66">
        <v>1</v>
      </c>
      <c r="AJ1002" s="66">
        <f>IF(LEN(Множество[[#This Row],[Свёртка]])&gt;0,1,-1)</f>
        <v>1</v>
      </c>
      <c r="AK1002" s="66" t="s">
        <v>1781</v>
      </c>
      <c r="AL1002" s="209">
        <f>IF(LEN(Множество[[#This Row],[Критерии]])&gt;0,1,-1)</f>
        <v>1</v>
      </c>
      <c r="AM1002" s="209">
        <f>IF(AND(LEN(Множество[[#This Row],[Свёртка]])&gt;0,LEN(Множество[[#This Row],[Критерии]])&gt;0,LEN(Множество[[#This Row],[Оценки]])&gt;0),1,-1)</f>
        <v>-1</v>
      </c>
      <c r="AN1002" s="230"/>
      <c r="AO1002" s="208"/>
      <c r="AP1002" s="208"/>
      <c r="AQ1002" s="208"/>
      <c r="AR1002" s="226"/>
      <c r="AS1002" s="225"/>
      <c r="AT1002" s="226"/>
      <c r="AU1002" s="225"/>
      <c r="AV1002" s="225"/>
      <c r="AW1002" s="225"/>
      <c r="AX1002" s="225"/>
      <c r="AY1002" s="225"/>
    </row>
    <row r="1003" spans="33:51" x14ac:dyDescent="0.25">
      <c r="AG1003" s="66" t="str">
        <f>IF(AND(Множество[[#This Row],[Y]]=1),ROW()-ROW(Множество[[#Headers],[№]]),"")</f>
        <v/>
      </c>
      <c r="AI1003" s="66">
        <v>1</v>
      </c>
      <c r="AJ1003" s="66">
        <f>IF(LEN(Множество[[#This Row],[Свёртка]])&gt;0,1,-1)</f>
        <v>1</v>
      </c>
      <c r="AK1003" s="66" t="s">
        <v>1781</v>
      </c>
      <c r="AL1003" s="209">
        <f>IF(LEN(Множество[[#This Row],[Критерии]])&gt;0,1,-1)</f>
        <v>1</v>
      </c>
      <c r="AM1003" s="209">
        <f>IF(AND(LEN(Множество[[#This Row],[Свёртка]])&gt;0,LEN(Множество[[#This Row],[Критерии]])&gt;0,LEN(Множество[[#This Row],[Оценки]])&gt;0),1,-1)</f>
        <v>-1</v>
      </c>
      <c r="AN1003" s="230"/>
      <c r="AO1003" s="208"/>
      <c r="AP1003" s="208"/>
      <c r="AQ1003" s="208"/>
      <c r="AR1003" s="226"/>
      <c r="AS1003" s="225"/>
      <c r="AT1003" s="226"/>
      <c r="AU1003" s="225"/>
      <c r="AV1003" s="225"/>
      <c r="AW1003" s="225"/>
      <c r="AX1003" s="225"/>
      <c r="AY1003" s="225"/>
    </row>
    <row r="1004" spans="33:51" x14ac:dyDescent="0.25">
      <c r="AG1004" s="66" t="str">
        <f>IF(AND(Множество[[#This Row],[Y]]=1),ROW()-ROW(Множество[[#Headers],[№]]),"")</f>
        <v/>
      </c>
      <c r="AI1004" s="66">
        <v>1</v>
      </c>
      <c r="AJ1004" s="66">
        <f>IF(LEN(Множество[[#This Row],[Свёртка]])&gt;0,1,-1)</f>
        <v>1</v>
      </c>
      <c r="AK1004" s="66" t="s">
        <v>1781</v>
      </c>
      <c r="AL1004" s="209">
        <f>IF(LEN(Множество[[#This Row],[Критерии]])&gt;0,1,-1)</f>
        <v>1</v>
      </c>
      <c r="AM1004" s="209">
        <f>IF(AND(LEN(Множество[[#This Row],[Свёртка]])&gt;0,LEN(Множество[[#This Row],[Критерии]])&gt;0,LEN(Множество[[#This Row],[Оценки]])&gt;0),1,-1)</f>
        <v>-1</v>
      </c>
      <c r="AN1004" s="230"/>
      <c r="AO1004" s="208"/>
      <c r="AP1004" s="208"/>
      <c r="AQ1004" s="208"/>
      <c r="AR1004" s="226"/>
      <c r="AS1004" s="225"/>
      <c r="AT1004" s="226"/>
      <c r="AU1004" s="225"/>
      <c r="AV1004" s="225"/>
      <c r="AW1004" s="225"/>
      <c r="AX1004" s="225"/>
      <c r="AY1004" s="225"/>
    </row>
    <row r="1005" spans="33:51" x14ac:dyDescent="0.25">
      <c r="AG1005" s="66" t="str">
        <f>IF(AND(Множество[[#This Row],[Y]]=1),ROW()-ROW(Множество[[#Headers],[№]]),"")</f>
        <v/>
      </c>
      <c r="AI1005" s="66">
        <v>1</v>
      </c>
      <c r="AJ1005" s="66">
        <f>IF(LEN(Множество[[#This Row],[Свёртка]])&gt;0,1,-1)</f>
        <v>1</v>
      </c>
      <c r="AK1005" s="66" t="s">
        <v>1781</v>
      </c>
      <c r="AL1005" s="209">
        <f>IF(LEN(Множество[[#This Row],[Критерии]])&gt;0,1,-1)</f>
        <v>1</v>
      </c>
      <c r="AM1005" s="209">
        <f>IF(AND(LEN(Множество[[#This Row],[Свёртка]])&gt;0,LEN(Множество[[#This Row],[Критерии]])&gt;0,LEN(Множество[[#This Row],[Оценки]])&gt;0),1,-1)</f>
        <v>-1</v>
      </c>
      <c r="AN1005" s="230"/>
      <c r="AO1005" s="208"/>
      <c r="AP1005" s="208"/>
      <c r="AQ1005" s="208"/>
      <c r="AR1005" s="226"/>
      <c r="AS1005" s="225"/>
      <c r="AT1005" s="226"/>
      <c r="AU1005" s="225"/>
      <c r="AV1005" s="225"/>
      <c r="AW1005" s="225"/>
      <c r="AX1005" s="225"/>
      <c r="AY1005" s="225"/>
    </row>
    <row r="1006" spans="33:51" x14ac:dyDescent="0.25">
      <c r="AG1006" s="66" t="str">
        <f>IF(AND(Множество[[#This Row],[Y]]=1),ROW()-ROW(Множество[[#Headers],[№]]),"")</f>
        <v/>
      </c>
      <c r="AI1006" s="66">
        <v>1</v>
      </c>
      <c r="AJ1006" s="66">
        <f>IF(LEN(Множество[[#This Row],[Свёртка]])&gt;0,1,-1)</f>
        <v>1</v>
      </c>
      <c r="AK1006" s="66" t="s">
        <v>1781</v>
      </c>
      <c r="AL1006" s="209">
        <f>IF(LEN(Множество[[#This Row],[Критерии]])&gt;0,1,-1)</f>
        <v>1</v>
      </c>
      <c r="AM1006" s="209">
        <f>IF(AND(LEN(Множество[[#This Row],[Свёртка]])&gt;0,LEN(Множество[[#This Row],[Критерии]])&gt;0,LEN(Множество[[#This Row],[Оценки]])&gt;0),1,-1)</f>
        <v>-1</v>
      </c>
      <c r="AN1006" s="230"/>
      <c r="AO1006" s="208"/>
      <c r="AP1006" s="208"/>
      <c r="AQ1006" s="208"/>
      <c r="AR1006" s="226"/>
      <c r="AS1006" s="225"/>
      <c r="AT1006" s="226"/>
      <c r="AU1006" s="225"/>
      <c r="AV1006" s="225"/>
      <c r="AW1006" s="225"/>
      <c r="AX1006" s="225"/>
      <c r="AY1006" s="225"/>
    </row>
    <row r="1007" spans="33:51" x14ac:dyDescent="0.25">
      <c r="AG1007" s="66" t="str">
        <f>IF(AND(Множество[[#This Row],[Y]]=1),ROW()-ROW(Множество[[#Headers],[№]]),"")</f>
        <v/>
      </c>
      <c r="AI1007" s="66">
        <v>1</v>
      </c>
      <c r="AJ1007" s="66">
        <f>IF(LEN(Множество[[#This Row],[Свёртка]])&gt;0,1,-1)</f>
        <v>1</v>
      </c>
      <c r="AK1007" s="66" t="s">
        <v>1781</v>
      </c>
      <c r="AL1007" s="209">
        <f>IF(LEN(Множество[[#This Row],[Критерии]])&gt;0,1,-1)</f>
        <v>1</v>
      </c>
      <c r="AM1007" s="209">
        <f>IF(AND(LEN(Множество[[#This Row],[Свёртка]])&gt;0,LEN(Множество[[#This Row],[Критерии]])&gt;0,LEN(Множество[[#This Row],[Оценки]])&gt;0),1,-1)</f>
        <v>-1</v>
      </c>
      <c r="AN1007" s="230"/>
      <c r="AO1007" s="208"/>
      <c r="AP1007" s="208"/>
      <c r="AQ1007" s="208"/>
      <c r="AR1007" s="226"/>
      <c r="AS1007" s="225"/>
      <c r="AT1007" s="226"/>
      <c r="AU1007" s="225"/>
      <c r="AV1007" s="225"/>
      <c r="AW1007" s="225"/>
      <c r="AX1007" s="225"/>
      <c r="AY1007" s="225"/>
    </row>
    <row r="1008" spans="33:51" x14ac:dyDescent="0.25">
      <c r="AG1008" s="66" t="str">
        <f>IF(AND(Множество[[#This Row],[Y]]=1),ROW()-ROW(Множество[[#Headers],[№]]),"")</f>
        <v/>
      </c>
      <c r="AI1008" s="66">
        <v>1</v>
      </c>
      <c r="AJ1008" s="66">
        <f>IF(LEN(Множество[[#This Row],[Свёртка]])&gt;0,1,-1)</f>
        <v>1</v>
      </c>
      <c r="AK1008" s="66" t="s">
        <v>1781</v>
      </c>
      <c r="AL1008" s="209">
        <f>IF(LEN(Множество[[#This Row],[Критерии]])&gt;0,1,-1)</f>
        <v>1</v>
      </c>
      <c r="AM1008" s="209">
        <f>IF(AND(LEN(Множество[[#This Row],[Свёртка]])&gt;0,LEN(Множество[[#This Row],[Критерии]])&gt;0,LEN(Множество[[#This Row],[Оценки]])&gt;0),1,-1)</f>
        <v>-1</v>
      </c>
      <c r="AN1008" s="230"/>
      <c r="AO1008" s="208"/>
      <c r="AP1008" s="208"/>
      <c r="AQ1008" s="208"/>
      <c r="AR1008" s="226"/>
      <c r="AS1008" s="225"/>
      <c r="AT1008" s="226"/>
      <c r="AU1008" s="225"/>
      <c r="AV1008" s="225"/>
      <c r="AW1008" s="225"/>
      <c r="AX1008" s="225"/>
      <c r="AY1008" s="225"/>
    </row>
    <row r="1009" spans="33:51" x14ac:dyDescent="0.25">
      <c r="AG1009" s="66" t="str">
        <f>IF(AND(Множество[[#This Row],[Y]]=1),ROW()-ROW(Множество[[#Headers],[№]]),"")</f>
        <v/>
      </c>
      <c r="AI1009" s="66">
        <v>1</v>
      </c>
      <c r="AJ1009" s="66">
        <f>IF(LEN(Множество[[#This Row],[Свёртка]])&gt;0,1,-1)</f>
        <v>1</v>
      </c>
      <c r="AK1009" s="66" t="s">
        <v>1781</v>
      </c>
      <c r="AL1009" s="209">
        <f>IF(LEN(Множество[[#This Row],[Критерии]])&gt;0,1,-1)</f>
        <v>1</v>
      </c>
      <c r="AM1009" s="209">
        <f>IF(AND(LEN(Множество[[#This Row],[Свёртка]])&gt;0,LEN(Множество[[#This Row],[Критерии]])&gt;0,LEN(Множество[[#This Row],[Оценки]])&gt;0),1,-1)</f>
        <v>-1</v>
      </c>
      <c r="AN1009" s="230"/>
      <c r="AO1009" s="208"/>
      <c r="AP1009" s="208"/>
      <c r="AQ1009" s="208"/>
      <c r="AR1009" s="226"/>
      <c r="AS1009" s="225"/>
      <c r="AT1009" s="226"/>
      <c r="AU1009" s="225"/>
      <c r="AV1009" s="225"/>
      <c r="AW1009" s="225"/>
      <c r="AX1009" s="225"/>
      <c r="AY1009" s="225"/>
    </row>
  </sheetData>
  <phoneticPr fontId="31" type="noConversion"/>
  <conditionalFormatting sqref="S10:S123">
    <cfRule type="iconSet" priority="26">
      <iconSet showValue="0">
        <cfvo type="percent" val="0"/>
        <cfvo type="num" val="0"/>
        <cfvo type="num" val="1"/>
      </iconSet>
    </cfRule>
  </conditionalFormatting>
  <conditionalFormatting sqref="C10:C123">
    <cfRule type="cellIs" dxfId="795" priority="25" operator="notBetween">
      <formula>1</formula>
      <formula>4</formula>
    </cfRule>
  </conditionalFormatting>
  <conditionalFormatting sqref="AB14:AB17">
    <cfRule type="iconSet" priority="24">
      <iconSet showValue="0">
        <cfvo type="percent" val="0"/>
        <cfvo type="num" val="0"/>
        <cfvo type="num" val="1"/>
      </iconSet>
    </cfRule>
  </conditionalFormatting>
  <conditionalFormatting sqref="V10:V66">
    <cfRule type="cellIs" dxfId="794" priority="22" operator="notBetween">
      <formula>1</formula>
      <formula>4</formula>
    </cfRule>
  </conditionalFormatting>
  <conditionalFormatting sqref="AB12:AB13">
    <cfRule type="iconSet" priority="23">
      <iconSet showValue="0">
        <cfvo type="percent" val="0"/>
        <cfvo type="num" val="0"/>
        <cfvo type="num" val="1"/>
      </iconSet>
    </cfRule>
  </conditionalFormatting>
  <conditionalFormatting sqref="AB10:AB66">
    <cfRule type="iconSet" priority="21">
      <iconSet showValue="0">
        <cfvo type="percent" val="0"/>
        <cfvo type="num" val="0"/>
        <cfvo type="num" val="1"/>
      </iconSet>
    </cfRule>
  </conditionalFormatting>
  <conditionalFormatting sqref="AZ10:BL1009">
    <cfRule type="expression" dxfId="793" priority="20">
      <formula>IF(AND(LEN($AK10)&gt;0,LEN($AK10)-LEN(SUBSTITUTE($AK10,";",""))+1&gt;=COLUMN()-39),0,1)</formula>
    </cfRule>
  </conditionalFormatting>
  <conditionalFormatting sqref="AH290:AI1009 AK10:AK1009">
    <cfRule type="containsBlanks" dxfId="792" priority="18">
      <formula>LEN(TRIM(AH10))=0</formula>
    </cfRule>
  </conditionalFormatting>
  <conditionalFormatting sqref="AH290:AI1008 AI380:AI1009 AH336:AH1009 AK10:AK1009">
    <cfRule type="containsBlanks" dxfId="791" priority="16">
      <formula>LEN(TRIM(AH10))=0</formula>
    </cfRule>
  </conditionalFormatting>
  <conditionalFormatting sqref="AI290:AI1009 AK10:AK1009">
    <cfRule type="containsBlanks" dxfId="790" priority="15">
      <formula>LEN(TRIM(AI10))=0</formula>
    </cfRule>
  </conditionalFormatting>
  <conditionalFormatting sqref="AK1009">
    <cfRule type="containsBlanks" dxfId="789" priority="14">
      <formula>LEN(TRIM(AK1009))=0</formula>
    </cfRule>
  </conditionalFormatting>
  <conditionalFormatting sqref="AK1009">
    <cfRule type="containsBlanks" dxfId="788" priority="13">
      <formula>LEN(TRIM(AK1009))=0</formula>
    </cfRule>
  </conditionalFormatting>
  <conditionalFormatting sqref="AM290:AM1009">
    <cfRule type="iconSet" priority="400">
      <iconSet showValue="0">
        <cfvo type="percent" val="0"/>
        <cfvo type="percent" val="0" gte="0"/>
        <cfvo type="num" val="1"/>
      </iconSet>
    </cfRule>
  </conditionalFormatting>
  <conditionalFormatting sqref="AH10:AI289 AI10:AI1009 AH172:AH1009 AK10:AK1009">
    <cfRule type="containsBlanks" dxfId="787" priority="3">
      <formula>LEN(TRIM(AH10))=0</formula>
    </cfRule>
  </conditionalFormatting>
  <conditionalFormatting sqref="AK12:AK289 AH12:AI289 AH172:AH1009">
    <cfRule type="containsBlanks" dxfId="786" priority="2">
      <formula>LEN(TRIM(AH12))=0</formula>
    </cfRule>
  </conditionalFormatting>
  <conditionalFormatting sqref="AH11:AI11 AI12:AI289 AK11:AK289 AK291 AK293 AK295 AK297 AK299 AK301 AK303 AK305 AK307 AK309 AK311 AK313 AK315 AK317 AK319 AK321 AK323 AK325 AK327 AK329 AK331 AK333 AK335 AK337 AK339 AK341 AK343 AK345 AK347 AK349 AK351 AK353 AK355 AK357 AK359 AK361 AK363 AK365 AK367 AK369 AK371 AK373 AK375 AK377 AK379 AK381 AK383 AK385 AK387 AK389 AK391 AK393 AK395 AK397 AK399 AK401 AK403 AK405 AK407 AK409 AK411 AK413 AK415 AK417 AK419 AK421 AK423 AK425 AK427 AK429 AK431 AK433 AK435 AK437 AK439 AK441 AK443 AK445 AK447 AK449 AK451 AK453 AK455 AK457 AK459 AK461 AK463 AK465 AK467 AK469 AK471 AK473 AK475 AK477 AK479 AK481 AK483 AK485 AK487 AK489 AK491 AK493 AK495 AK497 AK499 AK501 AK503 AK505 AK507 AK509 AK511 AK513 AK515 AK517 AK519 AK521 AK523 AK525 AK527 AK529 AK531 AK533 AK535 AK537 AK539 AK541 AK543 AK545 AK547 AK549 AK551 AK553 AK555 AK557 AK559 AK561 AK563 AK565 AK567 AK569 AK571 AK573 AK575 AK577 AK579 AK581 AK583 AK585 AK587 AK589 AK591 AK593 AK595 AK597 AK599 AK601 AK603 AK605 AK607 AK609 AK611 AK613 AK615 AK617 AK619 AK621 AK623 AK625 AK627 AK629 AK631 AK633 AK635 AK637 AK639 AK641 AK643 AK645 AK647 AK649 AK651 AK653 AK655 AK657 AK659 AK661 AK663 AK665 AK667 AK669 AK671 AK673 AK675 AK677 AK679 AK681 AK683 AK685 AK687 AK689 AK691 AK693 AK695 AK697 AK699 AK701 AK703 AK705 AK707 AK709 AK711 AK713 AK715 AK717 AK719 AK721 AK723 AK725 AK727 AK729 AK731 AK733 AK735 AK737 AK739 AK741 AK743 AK745 AK747 AK749 AK751 AK753 AK755 AK757 AK759 AK761 AK763 AK765 AK767 AK769 AK771 AK773 AK775 AK777 AK779 AK781 AK783 AK785 AK787 AK789 AK791 AK793 AK795 AK797 AK799 AK801 AK803 AK805 AK807 AK809 AK811 AK813 AK815 AK817 AK819 AK821 AK823 AK825 AK827 AK829 AK831 AK833 AK835 AK837 AK839 AK841 AK843 AK845 AK847 AK849 AK851 AK853 AK855 AK857 AK859 AK861 AK863 AK865 AK867 AK869 AK871 AK873 AK875 AK877 AK879 AK881 AK883 AK885 AK887 AK889 AK891 AK893 AK895 AK897 AK899 AK901 AK903 AK905 AK907 AK909 AK911 AK913 AK915 AK917 AK919 AK921 AK923 AK925 AK927 AK929 AK931 AK933 AK935 AK937 AK939 AK941 AK943 AK945 AK947 AK949 AK951 AK953 AK955 AK957 AK959 AK961 AK963 AK965 AK967 AK969 AK971 AK973 AK975 AK977 AK979 AK981 AK983 AK985 AK987 AK989 AK991 AK993 AK995 AK997 AK999 AK1001 AK1003 AK1005 AK1007 AK1009">
    <cfRule type="containsBlanks" dxfId="785" priority="1">
      <formula>LEN(TRIM(AH11))=0</formula>
    </cfRule>
  </conditionalFormatting>
  <conditionalFormatting sqref="AM10:AM289">
    <cfRule type="iconSet" priority="5">
      <iconSet showValue="0">
        <cfvo type="percent" val="0"/>
        <cfvo type="percent" val="0" gte="0"/>
        <cfvo type="num" val="1"/>
      </iconSet>
    </cfRule>
  </conditionalFormatting>
  <dataValidations count="2">
    <dataValidation type="list" allowBlank="1" showInputMessage="1" showErrorMessage="1" sqref="AH10:AH1009" xr:uid="{A2C8A1CD-C918-43A9-B930-EB4E8084BB34}">
      <formula1>"Качественные, Количественные"</formula1>
    </dataValidation>
    <dataValidation type="list" allowBlank="1" showInputMessage="1" showErrorMessage="1" sqref="AI10:AI1009" xr:uid="{69AF2F6A-0794-4460-BAA6-ED857EED6441}">
      <formula1>INDIRECT("Свёртка[№]")</formula1>
    </dataValidation>
  </dataValidations>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8C421-6557-4AA0-B29A-CDD8D28CEC02}">
  <sheetPr codeName="Лист23"/>
  <dimension ref="A1:H350"/>
  <sheetViews>
    <sheetView workbookViewId="0">
      <selection activeCell="L6" sqref="L6"/>
    </sheetView>
  </sheetViews>
  <sheetFormatPr defaultRowHeight="15" x14ac:dyDescent="0.25"/>
  <cols>
    <col min="1" max="1" width="11.85546875" customWidth="1"/>
  </cols>
  <sheetData>
    <row r="1" spans="1:8" x14ac:dyDescent="0.25">
      <c r="A1" t="s">
        <v>395</v>
      </c>
      <c r="B1" t="s">
        <v>411</v>
      </c>
      <c r="C1" t="s">
        <v>619</v>
      </c>
      <c r="D1" t="s">
        <v>417</v>
      </c>
      <c r="E1" t="s">
        <v>620</v>
      </c>
      <c r="F1" s="213" t="s">
        <v>100</v>
      </c>
      <c r="G1" t="s">
        <v>101</v>
      </c>
      <c r="H1" t="s">
        <v>418</v>
      </c>
    </row>
    <row r="2" spans="1:8" x14ac:dyDescent="0.25">
      <c r="A2" t="s">
        <v>100</v>
      </c>
      <c r="B2" t="s">
        <v>100</v>
      </c>
      <c r="C2" t="s">
        <v>621</v>
      </c>
      <c r="D2" t="s">
        <v>1781</v>
      </c>
      <c r="E2" t="s">
        <v>582</v>
      </c>
      <c r="F2" s="213" t="s">
        <v>749</v>
      </c>
      <c r="G2" t="s">
        <v>1785</v>
      </c>
      <c r="H2" t="s">
        <v>1786</v>
      </c>
    </row>
    <row r="3" spans="1:8" x14ac:dyDescent="0.25">
      <c r="A3" t="s">
        <v>101</v>
      </c>
      <c r="B3" t="s">
        <v>100</v>
      </c>
      <c r="C3" t="s">
        <v>621</v>
      </c>
      <c r="D3" t="s">
        <v>1781</v>
      </c>
      <c r="E3" t="s">
        <v>582</v>
      </c>
      <c r="F3" s="213" t="s">
        <v>749</v>
      </c>
      <c r="G3" t="s">
        <v>1787</v>
      </c>
      <c r="H3" t="s">
        <v>1788</v>
      </c>
    </row>
    <row r="4" spans="1:8" x14ac:dyDescent="0.25">
      <c r="A4" t="s">
        <v>418</v>
      </c>
      <c r="B4" t="s">
        <v>100</v>
      </c>
      <c r="C4" t="s">
        <v>621</v>
      </c>
      <c r="D4" t="s">
        <v>1781</v>
      </c>
      <c r="E4" t="s">
        <v>582</v>
      </c>
      <c r="F4" s="213" t="s">
        <v>749</v>
      </c>
      <c r="G4" t="s">
        <v>1789</v>
      </c>
      <c r="H4" t="s">
        <v>1790</v>
      </c>
    </row>
    <row r="5" spans="1:8" x14ac:dyDescent="0.25">
      <c r="A5" t="s">
        <v>419</v>
      </c>
      <c r="B5" t="s">
        <v>100</v>
      </c>
      <c r="C5" t="s">
        <v>621</v>
      </c>
      <c r="D5" t="s">
        <v>1781</v>
      </c>
      <c r="E5" t="s">
        <v>582</v>
      </c>
      <c r="F5" s="213" t="s">
        <v>749</v>
      </c>
      <c r="G5" t="s">
        <v>1791</v>
      </c>
      <c r="H5" t="s">
        <v>1792</v>
      </c>
    </row>
    <row r="6" spans="1:8" x14ac:dyDescent="0.25">
      <c r="A6" t="s">
        <v>420</v>
      </c>
      <c r="B6" t="s">
        <v>100</v>
      </c>
      <c r="C6" t="s">
        <v>621</v>
      </c>
      <c r="D6" t="s">
        <v>1781</v>
      </c>
      <c r="E6" t="s">
        <v>582</v>
      </c>
      <c r="F6" s="213" t="s">
        <v>749</v>
      </c>
      <c r="G6" t="s">
        <v>1793</v>
      </c>
      <c r="H6" t="s">
        <v>1794</v>
      </c>
    </row>
    <row r="7" spans="1:8" x14ac:dyDescent="0.25">
      <c r="A7" t="s">
        <v>421</v>
      </c>
      <c r="B7" t="s">
        <v>100</v>
      </c>
      <c r="C7" t="s">
        <v>621</v>
      </c>
      <c r="D7" t="s">
        <v>1781</v>
      </c>
      <c r="E7" t="s">
        <v>582</v>
      </c>
      <c r="F7" s="213" t="s">
        <v>749</v>
      </c>
      <c r="G7" t="s">
        <v>1795</v>
      </c>
      <c r="H7" t="s">
        <v>1796</v>
      </c>
    </row>
    <row r="8" spans="1:8" x14ac:dyDescent="0.25">
      <c r="A8" t="s">
        <v>422</v>
      </c>
      <c r="B8" t="s">
        <v>100</v>
      </c>
      <c r="C8" t="s">
        <v>621</v>
      </c>
      <c r="D8" t="s">
        <v>1781</v>
      </c>
      <c r="E8" t="s">
        <v>582</v>
      </c>
      <c r="F8" s="213" t="s">
        <v>749</v>
      </c>
      <c r="G8" t="s">
        <v>1797</v>
      </c>
      <c r="H8" t="s">
        <v>1798</v>
      </c>
    </row>
    <row r="9" spans="1:8" x14ac:dyDescent="0.25">
      <c r="A9" t="s">
        <v>423</v>
      </c>
      <c r="B9" t="s">
        <v>100</v>
      </c>
      <c r="C9" t="s">
        <v>621</v>
      </c>
      <c r="D9" t="s">
        <v>1781</v>
      </c>
      <c r="E9" t="s">
        <v>582</v>
      </c>
      <c r="F9" s="213" t="s">
        <v>749</v>
      </c>
      <c r="G9" t="s">
        <v>1799</v>
      </c>
      <c r="H9" t="s">
        <v>1800</v>
      </c>
    </row>
    <row r="10" spans="1:8" x14ac:dyDescent="0.25">
      <c r="A10" t="s">
        <v>424</v>
      </c>
      <c r="B10" t="s">
        <v>100</v>
      </c>
      <c r="C10" t="s">
        <v>621</v>
      </c>
      <c r="D10" t="s">
        <v>1781</v>
      </c>
      <c r="E10" t="s">
        <v>582</v>
      </c>
      <c r="F10" s="213" t="s">
        <v>749</v>
      </c>
      <c r="G10" t="s">
        <v>1801</v>
      </c>
      <c r="H10" t="s">
        <v>1802</v>
      </c>
    </row>
    <row r="11" spans="1:8" x14ac:dyDescent="0.25">
      <c r="A11" t="s">
        <v>425</v>
      </c>
      <c r="B11" t="s">
        <v>100</v>
      </c>
      <c r="C11" t="s">
        <v>621</v>
      </c>
      <c r="D11" t="s">
        <v>1781</v>
      </c>
      <c r="E11" t="s">
        <v>582</v>
      </c>
      <c r="F11" s="213" t="s">
        <v>749</v>
      </c>
      <c r="G11" t="s">
        <v>1801</v>
      </c>
      <c r="H11" t="s">
        <v>1803</v>
      </c>
    </row>
    <row r="12" spans="1:8" x14ac:dyDescent="0.25">
      <c r="A12" t="s">
        <v>426</v>
      </c>
      <c r="B12" t="s">
        <v>100</v>
      </c>
      <c r="C12" t="s">
        <v>621</v>
      </c>
      <c r="D12" t="s">
        <v>1781</v>
      </c>
      <c r="E12" t="s">
        <v>582</v>
      </c>
      <c r="F12" s="213" t="s">
        <v>749</v>
      </c>
      <c r="G12" t="s">
        <v>1804</v>
      </c>
      <c r="H12" t="s">
        <v>1805</v>
      </c>
    </row>
    <row r="13" spans="1:8" x14ac:dyDescent="0.25">
      <c r="A13" t="s">
        <v>427</v>
      </c>
      <c r="B13" t="s">
        <v>100</v>
      </c>
      <c r="C13" t="s">
        <v>621</v>
      </c>
      <c r="D13" t="s">
        <v>1781</v>
      </c>
      <c r="E13" t="s">
        <v>582</v>
      </c>
      <c r="F13" s="213" t="s">
        <v>749</v>
      </c>
      <c r="G13" t="s">
        <v>1806</v>
      </c>
      <c r="H13" t="s">
        <v>1807</v>
      </c>
    </row>
    <row r="14" spans="1:8" x14ac:dyDescent="0.25">
      <c r="A14" t="s">
        <v>428</v>
      </c>
      <c r="B14" t="s">
        <v>100</v>
      </c>
      <c r="C14" t="s">
        <v>621</v>
      </c>
      <c r="D14" t="s">
        <v>1781</v>
      </c>
      <c r="E14" t="s">
        <v>582</v>
      </c>
      <c r="F14" s="213" t="s">
        <v>749</v>
      </c>
      <c r="G14" t="s">
        <v>1808</v>
      </c>
      <c r="H14" t="s">
        <v>1809</v>
      </c>
    </row>
    <row r="15" spans="1:8" x14ac:dyDescent="0.25">
      <c r="A15" t="s">
        <v>429</v>
      </c>
      <c r="B15" t="s">
        <v>100</v>
      </c>
      <c r="C15" t="s">
        <v>621</v>
      </c>
      <c r="D15" t="s">
        <v>1781</v>
      </c>
      <c r="E15" t="s">
        <v>582</v>
      </c>
      <c r="F15" s="213" t="s">
        <v>749</v>
      </c>
      <c r="G15" t="s">
        <v>1785</v>
      </c>
      <c r="H15" t="s">
        <v>1810</v>
      </c>
    </row>
    <row r="16" spans="1:8" x14ac:dyDescent="0.25">
      <c r="A16" t="s">
        <v>430</v>
      </c>
      <c r="B16" t="s">
        <v>100</v>
      </c>
      <c r="C16" t="s">
        <v>621</v>
      </c>
      <c r="D16" t="s">
        <v>1781</v>
      </c>
      <c r="E16" t="s">
        <v>582</v>
      </c>
      <c r="F16" s="213" t="s">
        <v>749</v>
      </c>
      <c r="G16" t="s">
        <v>1811</v>
      </c>
      <c r="H16" t="s">
        <v>1812</v>
      </c>
    </row>
    <row r="17" spans="1:8" x14ac:dyDescent="0.25">
      <c r="A17" t="s">
        <v>431</v>
      </c>
      <c r="B17" t="s">
        <v>100</v>
      </c>
      <c r="C17" t="s">
        <v>621</v>
      </c>
      <c r="D17" t="s">
        <v>1781</v>
      </c>
      <c r="E17" t="s">
        <v>582</v>
      </c>
      <c r="F17" s="213" t="s">
        <v>749</v>
      </c>
      <c r="G17" t="s">
        <v>1789</v>
      </c>
      <c r="H17" t="s">
        <v>1813</v>
      </c>
    </row>
    <row r="18" spans="1:8" x14ac:dyDescent="0.25">
      <c r="A18" t="s">
        <v>432</v>
      </c>
      <c r="B18" t="s">
        <v>100</v>
      </c>
      <c r="C18" t="s">
        <v>621</v>
      </c>
      <c r="D18" t="s">
        <v>1781</v>
      </c>
      <c r="E18" t="s">
        <v>582</v>
      </c>
      <c r="F18" s="213" t="s">
        <v>749</v>
      </c>
      <c r="G18" t="s">
        <v>1814</v>
      </c>
      <c r="H18" t="s">
        <v>1815</v>
      </c>
    </row>
    <row r="19" spans="1:8" x14ac:dyDescent="0.25">
      <c r="A19" t="s">
        <v>433</v>
      </c>
      <c r="B19" t="s">
        <v>100</v>
      </c>
      <c r="C19" t="s">
        <v>621</v>
      </c>
      <c r="D19" t="s">
        <v>1781</v>
      </c>
      <c r="E19" t="s">
        <v>582</v>
      </c>
      <c r="F19" s="213" t="s">
        <v>749</v>
      </c>
      <c r="G19" t="s">
        <v>1799</v>
      </c>
      <c r="H19" t="s">
        <v>1816</v>
      </c>
    </row>
    <row r="20" spans="1:8" x14ac:dyDescent="0.25">
      <c r="A20" t="s">
        <v>434</v>
      </c>
      <c r="B20" t="s">
        <v>100</v>
      </c>
      <c r="C20" t="s">
        <v>621</v>
      </c>
      <c r="D20" t="s">
        <v>1781</v>
      </c>
      <c r="E20" t="s">
        <v>582</v>
      </c>
      <c r="F20" s="213" t="s">
        <v>749</v>
      </c>
      <c r="G20" t="s">
        <v>1795</v>
      </c>
      <c r="H20" t="s">
        <v>1817</v>
      </c>
    </row>
    <row r="21" spans="1:8" x14ac:dyDescent="0.25">
      <c r="A21" t="s">
        <v>435</v>
      </c>
      <c r="B21" t="s">
        <v>100</v>
      </c>
      <c r="C21" t="s">
        <v>621</v>
      </c>
      <c r="D21" t="s">
        <v>1781</v>
      </c>
      <c r="E21" t="s">
        <v>582</v>
      </c>
      <c r="F21" s="213" t="s">
        <v>749</v>
      </c>
      <c r="G21" t="s">
        <v>1818</v>
      </c>
      <c r="H21" t="s">
        <v>1819</v>
      </c>
    </row>
    <row r="22" spans="1:8" x14ac:dyDescent="0.25">
      <c r="A22" t="s">
        <v>436</v>
      </c>
      <c r="B22" t="s">
        <v>100</v>
      </c>
      <c r="C22" t="s">
        <v>621</v>
      </c>
      <c r="D22" t="s">
        <v>1781</v>
      </c>
      <c r="E22" t="s">
        <v>582</v>
      </c>
      <c r="F22" s="213" t="s">
        <v>749</v>
      </c>
      <c r="G22" t="s">
        <v>1787</v>
      </c>
      <c r="H22" t="s">
        <v>1820</v>
      </c>
    </row>
    <row r="23" spans="1:8" x14ac:dyDescent="0.25">
      <c r="A23" t="s">
        <v>437</v>
      </c>
      <c r="B23" t="s">
        <v>100</v>
      </c>
      <c r="C23" t="s">
        <v>621</v>
      </c>
      <c r="D23" t="s">
        <v>1781</v>
      </c>
      <c r="E23" t="s">
        <v>582</v>
      </c>
      <c r="F23" s="213" t="s">
        <v>749</v>
      </c>
      <c r="G23" t="s">
        <v>1793</v>
      </c>
      <c r="H23" t="s">
        <v>1821</v>
      </c>
    </row>
    <row r="24" spans="1:8" x14ac:dyDescent="0.25">
      <c r="A24" t="s">
        <v>438</v>
      </c>
      <c r="B24" t="s">
        <v>100</v>
      </c>
      <c r="C24" t="s">
        <v>621</v>
      </c>
      <c r="D24" t="s">
        <v>1781</v>
      </c>
      <c r="E24" t="s">
        <v>582</v>
      </c>
      <c r="F24" s="213" t="s">
        <v>749</v>
      </c>
      <c r="G24" t="s">
        <v>1797</v>
      </c>
      <c r="H24" t="s">
        <v>1822</v>
      </c>
    </row>
    <row r="25" spans="1:8" x14ac:dyDescent="0.25">
      <c r="A25" t="s">
        <v>439</v>
      </c>
      <c r="B25" t="s">
        <v>100</v>
      </c>
      <c r="C25" t="s">
        <v>621</v>
      </c>
      <c r="D25" t="s">
        <v>1781</v>
      </c>
      <c r="E25" t="s">
        <v>582</v>
      </c>
      <c r="F25" s="213" t="s">
        <v>749</v>
      </c>
      <c r="G25" t="s">
        <v>1791</v>
      </c>
      <c r="H25" t="s">
        <v>1823</v>
      </c>
    </row>
    <row r="26" spans="1:8" x14ac:dyDescent="0.25">
      <c r="A26" t="s">
        <v>440</v>
      </c>
      <c r="B26" t="s">
        <v>100</v>
      </c>
      <c r="C26" t="s">
        <v>621</v>
      </c>
      <c r="D26" t="s">
        <v>1781</v>
      </c>
      <c r="E26" t="s">
        <v>582</v>
      </c>
      <c r="F26" s="213" t="s">
        <v>749</v>
      </c>
      <c r="G26" t="s">
        <v>1824</v>
      </c>
      <c r="H26" t="s">
        <v>1825</v>
      </c>
    </row>
    <row r="27" spans="1:8" x14ac:dyDescent="0.25">
      <c r="A27" t="s">
        <v>648</v>
      </c>
      <c r="B27" t="s">
        <v>100</v>
      </c>
      <c r="C27" t="s">
        <v>621</v>
      </c>
      <c r="D27" t="s">
        <v>1781</v>
      </c>
      <c r="E27" t="s">
        <v>582</v>
      </c>
      <c r="F27" s="213" t="s">
        <v>749</v>
      </c>
      <c r="G27" t="s">
        <v>1826</v>
      </c>
      <c r="H27" t="s">
        <v>1827</v>
      </c>
    </row>
    <row r="28" spans="1:8" x14ac:dyDescent="0.25">
      <c r="A28" t="s">
        <v>649</v>
      </c>
      <c r="B28" t="s">
        <v>100</v>
      </c>
      <c r="C28" t="s">
        <v>621</v>
      </c>
      <c r="D28" t="s">
        <v>1781</v>
      </c>
      <c r="E28" t="s">
        <v>582</v>
      </c>
      <c r="F28" s="213" t="s">
        <v>749</v>
      </c>
      <c r="G28" t="s">
        <v>1828</v>
      </c>
      <c r="H28" t="s">
        <v>1829</v>
      </c>
    </row>
    <row r="29" spans="1:8" x14ac:dyDescent="0.25">
      <c r="A29" t="s">
        <v>651</v>
      </c>
      <c r="B29" t="s">
        <v>100</v>
      </c>
      <c r="C29" t="s">
        <v>621</v>
      </c>
      <c r="D29" t="s">
        <v>1781</v>
      </c>
      <c r="E29" t="s">
        <v>582</v>
      </c>
      <c r="F29" s="213" t="s">
        <v>749</v>
      </c>
      <c r="G29" t="s">
        <v>421</v>
      </c>
      <c r="H29" t="s">
        <v>1830</v>
      </c>
    </row>
    <row r="30" spans="1:8" x14ac:dyDescent="0.25">
      <c r="A30" t="s">
        <v>653</v>
      </c>
      <c r="B30" t="s">
        <v>100</v>
      </c>
      <c r="C30" t="s">
        <v>621</v>
      </c>
      <c r="D30" t="s">
        <v>1781</v>
      </c>
      <c r="E30" t="s">
        <v>582</v>
      </c>
      <c r="F30" s="213" t="s">
        <v>749</v>
      </c>
      <c r="G30" t="s">
        <v>1831</v>
      </c>
      <c r="H30" t="s">
        <v>1830</v>
      </c>
    </row>
    <row r="31" spans="1:8" x14ac:dyDescent="0.25">
      <c r="A31" t="s">
        <v>655</v>
      </c>
      <c r="B31" t="s">
        <v>100</v>
      </c>
      <c r="C31" t="s">
        <v>621</v>
      </c>
      <c r="D31" t="s">
        <v>1781</v>
      </c>
      <c r="E31" t="s">
        <v>582</v>
      </c>
      <c r="F31" s="213" t="s">
        <v>749</v>
      </c>
      <c r="G31" t="s">
        <v>1832</v>
      </c>
      <c r="H31" t="s">
        <v>1833</v>
      </c>
    </row>
    <row r="32" spans="1:8" x14ac:dyDescent="0.25">
      <c r="A32" t="s">
        <v>657</v>
      </c>
      <c r="B32" t="s">
        <v>100</v>
      </c>
      <c r="C32" t="s">
        <v>621</v>
      </c>
      <c r="D32" t="s">
        <v>1781</v>
      </c>
      <c r="E32" t="s">
        <v>582</v>
      </c>
      <c r="F32" s="213" t="s">
        <v>749</v>
      </c>
      <c r="G32" t="s">
        <v>1834</v>
      </c>
      <c r="H32" t="s">
        <v>1835</v>
      </c>
    </row>
    <row r="33" spans="1:8" x14ac:dyDescent="0.25">
      <c r="A33" t="s">
        <v>658</v>
      </c>
      <c r="B33" t="s">
        <v>100</v>
      </c>
      <c r="C33" t="s">
        <v>621</v>
      </c>
      <c r="D33" t="s">
        <v>1781</v>
      </c>
      <c r="E33" t="s">
        <v>582</v>
      </c>
      <c r="F33" s="213" t="s">
        <v>749</v>
      </c>
      <c r="G33" t="s">
        <v>1836</v>
      </c>
      <c r="H33" t="s">
        <v>1837</v>
      </c>
    </row>
    <row r="34" spans="1:8" x14ac:dyDescent="0.25">
      <c r="A34" t="s">
        <v>659</v>
      </c>
      <c r="B34" t="s">
        <v>100</v>
      </c>
      <c r="C34" t="s">
        <v>621</v>
      </c>
      <c r="D34" t="s">
        <v>1781</v>
      </c>
      <c r="E34" t="s">
        <v>582</v>
      </c>
      <c r="F34" s="213" t="s">
        <v>749</v>
      </c>
      <c r="G34" t="s">
        <v>1838</v>
      </c>
      <c r="H34" t="s">
        <v>1839</v>
      </c>
    </row>
    <row r="35" spans="1:8" x14ac:dyDescent="0.25">
      <c r="A35" t="s">
        <v>660</v>
      </c>
      <c r="B35" t="s">
        <v>100</v>
      </c>
      <c r="C35" t="s">
        <v>621</v>
      </c>
      <c r="D35" t="s">
        <v>1781</v>
      </c>
      <c r="E35" t="s">
        <v>582</v>
      </c>
      <c r="F35" s="213" t="s">
        <v>749</v>
      </c>
      <c r="G35" t="s">
        <v>1840</v>
      </c>
      <c r="H35" t="s">
        <v>1841</v>
      </c>
    </row>
    <row r="36" spans="1:8" x14ac:dyDescent="0.25">
      <c r="A36" t="s">
        <v>661</v>
      </c>
      <c r="B36" t="s">
        <v>100</v>
      </c>
      <c r="C36" t="s">
        <v>621</v>
      </c>
      <c r="D36" t="s">
        <v>1781</v>
      </c>
      <c r="E36" t="s">
        <v>582</v>
      </c>
      <c r="F36" s="213" t="s">
        <v>749</v>
      </c>
      <c r="G36" t="s">
        <v>1842</v>
      </c>
      <c r="H36" t="s">
        <v>1843</v>
      </c>
    </row>
    <row r="37" spans="1:8" x14ac:dyDescent="0.25">
      <c r="A37" t="s">
        <v>663</v>
      </c>
      <c r="B37" t="s">
        <v>100</v>
      </c>
      <c r="C37" t="s">
        <v>621</v>
      </c>
      <c r="D37" t="s">
        <v>1781</v>
      </c>
      <c r="E37" t="s">
        <v>582</v>
      </c>
      <c r="F37" s="213" t="s">
        <v>749</v>
      </c>
      <c r="G37" t="s">
        <v>1844</v>
      </c>
      <c r="H37" t="s">
        <v>1845</v>
      </c>
    </row>
    <row r="38" spans="1:8" x14ac:dyDescent="0.25">
      <c r="A38" t="s">
        <v>664</v>
      </c>
      <c r="B38" t="s">
        <v>100</v>
      </c>
      <c r="C38" t="s">
        <v>621</v>
      </c>
      <c r="D38" t="s">
        <v>1781</v>
      </c>
      <c r="E38" t="s">
        <v>582</v>
      </c>
      <c r="F38" s="213" t="s">
        <v>749</v>
      </c>
      <c r="G38" t="s">
        <v>1846</v>
      </c>
      <c r="H38" t="s">
        <v>1847</v>
      </c>
    </row>
    <row r="39" spans="1:8" x14ac:dyDescent="0.25">
      <c r="A39" t="s">
        <v>666</v>
      </c>
      <c r="B39" t="s">
        <v>100</v>
      </c>
      <c r="C39" t="s">
        <v>621</v>
      </c>
      <c r="D39" t="s">
        <v>1781</v>
      </c>
      <c r="E39" t="s">
        <v>582</v>
      </c>
      <c r="F39" s="213" t="s">
        <v>749</v>
      </c>
      <c r="G39" t="s">
        <v>1848</v>
      </c>
      <c r="H39" t="s">
        <v>1845</v>
      </c>
    </row>
    <row r="40" spans="1:8" x14ac:dyDescent="0.25">
      <c r="A40" t="s">
        <v>668</v>
      </c>
      <c r="B40" t="s">
        <v>100</v>
      </c>
      <c r="C40" t="s">
        <v>621</v>
      </c>
      <c r="D40" t="s">
        <v>1781</v>
      </c>
      <c r="E40" t="s">
        <v>582</v>
      </c>
      <c r="F40" s="213" t="s">
        <v>749</v>
      </c>
      <c r="G40" t="s">
        <v>1849</v>
      </c>
      <c r="H40" t="s">
        <v>1850</v>
      </c>
    </row>
    <row r="41" spans="1:8" x14ac:dyDescent="0.25">
      <c r="A41" t="s">
        <v>669</v>
      </c>
      <c r="B41" t="s">
        <v>100</v>
      </c>
      <c r="C41" t="s">
        <v>621</v>
      </c>
      <c r="D41" t="s">
        <v>1781</v>
      </c>
      <c r="E41" t="s">
        <v>582</v>
      </c>
      <c r="F41" s="213" t="s">
        <v>749</v>
      </c>
      <c r="G41" t="s">
        <v>1851</v>
      </c>
      <c r="H41" t="s">
        <v>1852</v>
      </c>
    </row>
    <row r="42" spans="1:8" x14ac:dyDescent="0.25">
      <c r="A42" t="s">
        <v>670</v>
      </c>
      <c r="B42" t="s">
        <v>100</v>
      </c>
      <c r="C42" t="s">
        <v>621</v>
      </c>
      <c r="D42" t="s">
        <v>1781</v>
      </c>
      <c r="E42" t="s">
        <v>582</v>
      </c>
      <c r="F42" s="213" t="s">
        <v>749</v>
      </c>
      <c r="G42" t="s">
        <v>1853</v>
      </c>
      <c r="H42" t="s">
        <v>1854</v>
      </c>
    </row>
    <row r="43" spans="1:8" x14ac:dyDescent="0.25">
      <c r="A43" t="s">
        <v>671</v>
      </c>
      <c r="B43" t="s">
        <v>100</v>
      </c>
      <c r="C43" t="s">
        <v>621</v>
      </c>
      <c r="D43" t="s">
        <v>1781</v>
      </c>
      <c r="E43" t="s">
        <v>582</v>
      </c>
      <c r="F43" s="213" t="s">
        <v>749</v>
      </c>
      <c r="G43" t="s">
        <v>1855</v>
      </c>
      <c r="H43" t="s">
        <v>1856</v>
      </c>
    </row>
    <row r="44" spans="1:8" x14ac:dyDescent="0.25">
      <c r="A44" t="s">
        <v>673</v>
      </c>
      <c r="B44" t="s">
        <v>100</v>
      </c>
      <c r="C44" t="s">
        <v>621</v>
      </c>
      <c r="D44" t="s">
        <v>1781</v>
      </c>
      <c r="E44" t="s">
        <v>582</v>
      </c>
      <c r="F44" s="213" t="s">
        <v>749</v>
      </c>
      <c r="G44" t="s">
        <v>1857</v>
      </c>
      <c r="H44" t="s">
        <v>1858</v>
      </c>
    </row>
    <row r="45" spans="1:8" x14ac:dyDescent="0.25">
      <c r="A45" t="s">
        <v>675</v>
      </c>
      <c r="B45" t="s">
        <v>100</v>
      </c>
      <c r="C45" t="s">
        <v>621</v>
      </c>
      <c r="D45" t="s">
        <v>1781</v>
      </c>
      <c r="E45" t="s">
        <v>582</v>
      </c>
      <c r="F45" s="213" t="s">
        <v>749</v>
      </c>
      <c r="G45" t="s">
        <v>1859</v>
      </c>
      <c r="H45" t="s">
        <v>1860</v>
      </c>
    </row>
    <row r="46" spans="1:8" x14ac:dyDescent="0.25">
      <c r="A46" t="s">
        <v>676</v>
      </c>
      <c r="B46" t="s">
        <v>100</v>
      </c>
      <c r="C46" t="s">
        <v>621</v>
      </c>
      <c r="D46" t="s">
        <v>1781</v>
      </c>
      <c r="E46" t="s">
        <v>582</v>
      </c>
      <c r="F46" s="213" t="s">
        <v>749</v>
      </c>
      <c r="G46" t="s">
        <v>1861</v>
      </c>
      <c r="H46" t="s">
        <v>1860</v>
      </c>
    </row>
    <row r="47" spans="1:8" x14ac:dyDescent="0.25">
      <c r="A47" t="s">
        <v>678</v>
      </c>
      <c r="B47" t="s">
        <v>100</v>
      </c>
      <c r="C47" t="s">
        <v>621</v>
      </c>
      <c r="D47" t="s">
        <v>1781</v>
      </c>
      <c r="E47" t="s">
        <v>582</v>
      </c>
      <c r="F47" s="213" t="s">
        <v>749</v>
      </c>
      <c r="G47" t="s">
        <v>1862</v>
      </c>
      <c r="H47" t="s">
        <v>1863</v>
      </c>
    </row>
    <row r="48" spans="1:8" x14ac:dyDescent="0.25">
      <c r="A48" t="s">
        <v>679</v>
      </c>
      <c r="B48" t="s">
        <v>100</v>
      </c>
      <c r="C48" t="s">
        <v>621</v>
      </c>
      <c r="D48" t="s">
        <v>1781</v>
      </c>
      <c r="E48" t="s">
        <v>582</v>
      </c>
      <c r="F48" s="213" t="s">
        <v>749</v>
      </c>
      <c r="G48" t="s">
        <v>1864</v>
      </c>
      <c r="H48" t="s">
        <v>1865</v>
      </c>
    </row>
    <row r="49" spans="1:8" x14ac:dyDescent="0.25">
      <c r="A49" t="s">
        <v>681</v>
      </c>
      <c r="B49" t="s">
        <v>100</v>
      </c>
      <c r="C49" t="s">
        <v>621</v>
      </c>
      <c r="D49" t="s">
        <v>1781</v>
      </c>
      <c r="E49" t="s">
        <v>582</v>
      </c>
      <c r="F49" s="213" t="s">
        <v>749</v>
      </c>
      <c r="G49" t="s">
        <v>1866</v>
      </c>
      <c r="H49" t="s">
        <v>1867</v>
      </c>
    </row>
    <row r="50" spans="1:8" x14ac:dyDescent="0.25">
      <c r="A50" t="s">
        <v>683</v>
      </c>
      <c r="B50" t="s">
        <v>100</v>
      </c>
      <c r="C50" t="s">
        <v>621</v>
      </c>
      <c r="D50" t="s">
        <v>1781</v>
      </c>
      <c r="E50" t="s">
        <v>582</v>
      </c>
      <c r="F50" s="213" t="s">
        <v>749</v>
      </c>
      <c r="G50" t="s">
        <v>1868</v>
      </c>
      <c r="H50" t="s">
        <v>1869</v>
      </c>
    </row>
    <row r="51" spans="1:8" x14ac:dyDescent="0.25">
      <c r="A51" t="s">
        <v>684</v>
      </c>
      <c r="B51" t="s">
        <v>100</v>
      </c>
      <c r="C51" t="s">
        <v>621</v>
      </c>
      <c r="D51" t="s">
        <v>1781</v>
      </c>
      <c r="E51" t="s">
        <v>582</v>
      </c>
      <c r="F51" s="213" t="s">
        <v>749</v>
      </c>
      <c r="G51" t="s">
        <v>1870</v>
      </c>
      <c r="H51" t="s">
        <v>1869</v>
      </c>
    </row>
    <row r="52" spans="1:8" x14ac:dyDescent="0.25">
      <c r="A52" t="s">
        <v>686</v>
      </c>
      <c r="B52" t="s">
        <v>100</v>
      </c>
      <c r="C52" t="s">
        <v>621</v>
      </c>
      <c r="D52" t="s">
        <v>1781</v>
      </c>
      <c r="E52" t="s">
        <v>582</v>
      </c>
      <c r="F52" s="213" t="s">
        <v>749</v>
      </c>
      <c r="G52" t="s">
        <v>1871</v>
      </c>
      <c r="H52" t="s">
        <v>1872</v>
      </c>
    </row>
    <row r="53" spans="1:8" x14ac:dyDescent="0.25">
      <c r="A53" t="s">
        <v>688</v>
      </c>
      <c r="B53" t="s">
        <v>100</v>
      </c>
      <c r="C53" t="s">
        <v>621</v>
      </c>
      <c r="D53" t="s">
        <v>1781</v>
      </c>
      <c r="E53" t="s">
        <v>582</v>
      </c>
      <c r="F53" s="213" t="s">
        <v>749</v>
      </c>
      <c r="G53" t="s">
        <v>1873</v>
      </c>
      <c r="H53" t="s">
        <v>1874</v>
      </c>
    </row>
    <row r="54" spans="1:8" x14ac:dyDescent="0.25">
      <c r="A54" t="s">
        <v>689</v>
      </c>
      <c r="B54" t="s">
        <v>100</v>
      </c>
      <c r="C54" t="s">
        <v>621</v>
      </c>
      <c r="D54" t="s">
        <v>1781</v>
      </c>
      <c r="E54" t="s">
        <v>582</v>
      </c>
      <c r="F54" s="213" t="s">
        <v>749</v>
      </c>
      <c r="G54" t="s">
        <v>1875</v>
      </c>
      <c r="H54" t="s">
        <v>1876</v>
      </c>
    </row>
    <row r="55" spans="1:8" x14ac:dyDescent="0.25">
      <c r="A55" t="s">
        <v>690</v>
      </c>
      <c r="B55" t="s">
        <v>100</v>
      </c>
      <c r="C55" t="s">
        <v>621</v>
      </c>
      <c r="D55" t="s">
        <v>1781</v>
      </c>
      <c r="E55" t="s">
        <v>582</v>
      </c>
      <c r="F55" s="213" t="s">
        <v>749</v>
      </c>
      <c r="G55" t="s">
        <v>1877</v>
      </c>
      <c r="H55" t="s">
        <v>1876</v>
      </c>
    </row>
    <row r="56" spans="1:8" x14ac:dyDescent="0.25">
      <c r="A56" t="s">
        <v>691</v>
      </c>
      <c r="B56" t="s">
        <v>100</v>
      </c>
      <c r="C56" t="s">
        <v>621</v>
      </c>
      <c r="D56" t="s">
        <v>1781</v>
      </c>
      <c r="E56" t="s">
        <v>582</v>
      </c>
      <c r="F56" s="213" t="s">
        <v>749</v>
      </c>
      <c r="G56" t="s">
        <v>1878</v>
      </c>
      <c r="H56" t="s">
        <v>1879</v>
      </c>
    </row>
    <row r="57" spans="1:8" x14ac:dyDescent="0.25">
      <c r="A57" t="s">
        <v>692</v>
      </c>
      <c r="B57" t="s">
        <v>100</v>
      </c>
      <c r="C57" t="s">
        <v>621</v>
      </c>
      <c r="D57" t="s">
        <v>1781</v>
      </c>
      <c r="E57" t="s">
        <v>582</v>
      </c>
      <c r="F57" s="213" t="s">
        <v>749</v>
      </c>
      <c r="G57" t="s">
        <v>1880</v>
      </c>
      <c r="H57" t="s">
        <v>1881</v>
      </c>
    </row>
    <row r="58" spans="1:8" x14ac:dyDescent="0.25">
      <c r="A58" t="s">
        <v>694</v>
      </c>
      <c r="B58" t="s">
        <v>100</v>
      </c>
      <c r="C58" t="s">
        <v>621</v>
      </c>
      <c r="D58" t="s">
        <v>1781</v>
      </c>
      <c r="E58" t="s">
        <v>582</v>
      </c>
      <c r="F58" s="213" t="s">
        <v>749</v>
      </c>
      <c r="G58" t="s">
        <v>1882</v>
      </c>
      <c r="H58" t="s">
        <v>1883</v>
      </c>
    </row>
    <row r="59" spans="1:8" x14ac:dyDescent="0.25">
      <c r="A59" t="s">
        <v>696</v>
      </c>
      <c r="B59" t="s">
        <v>100</v>
      </c>
      <c r="C59" t="s">
        <v>621</v>
      </c>
      <c r="D59" t="s">
        <v>1781</v>
      </c>
      <c r="E59" t="s">
        <v>582</v>
      </c>
      <c r="F59" s="213" t="s">
        <v>749</v>
      </c>
      <c r="G59" t="s">
        <v>1884</v>
      </c>
      <c r="H59" t="s">
        <v>1885</v>
      </c>
    </row>
    <row r="60" spans="1:8" x14ac:dyDescent="0.25">
      <c r="A60" t="s">
        <v>697</v>
      </c>
      <c r="B60" t="s">
        <v>100</v>
      </c>
      <c r="C60" t="s">
        <v>621</v>
      </c>
      <c r="D60" t="s">
        <v>1781</v>
      </c>
      <c r="E60" t="s">
        <v>582</v>
      </c>
      <c r="F60" s="213" t="s">
        <v>749</v>
      </c>
      <c r="G60" t="s">
        <v>1886</v>
      </c>
      <c r="H60" t="s">
        <v>1887</v>
      </c>
    </row>
    <row r="61" spans="1:8" x14ac:dyDescent="0.25">
      <c r="A61" t="s">
        <v>699</v>
      </c>
      <c r="B61" t="s">
        <v>100</v>
      </c>
      <c r="C61" t="s">
        <v>621</v>
      </c>
      <c r="D61" t="s">
        <v>1781</v>
      </c>
      <c r="E61" t="s">
        <v>582</v>
      </c>
      <c r="F61" s="213" t="s">
        <v>749</v>
      </c>
      <c r="G61" t="s">
        <v>1888</v>
      </c>
      <c r="H61" t="s">
        <v>1889</v>
      </c>
    </row>
    <row r="62" spans="1:8" x14ac:dyDescent="0.25">
      <c r="A62" t="s">
        <v>700</v>
      </c>
      <c r="B62" t="s">
        <v>100</v>
      </c>
      <c r="C62" t="s">
        <v>621</v>
      </c>
      <c r="D62" t="s">
        <v>1781</v>
      </c>
      <c r="E62" t="s">
        <v>582</v>
      </c>
      <c r="F62" s="213" t="s">
        <v>749</v>
      </c>
      <c r="G62" t="s">
        <v>1804</v>
      </c>
      <c r="H62" t="s">
        <v>1890</v>
      </c>
    </row>
    <row r="63" spans="1:8" x14ac:dyDescent="0.25">
      <c r="A63" t="s">
        <v>702</v>
      </c>
      <c r="B63" t="s">
        <v>100</v>
      </c>
      <c r="C63" t="s">
        <v>621</v>
      </c>
      <c r="D63" t="s">
        <v>1781</v>
      </c>
      <c r="E63" t="s">
        <v>582</v>
      </c>
      <c r="F63" s="213" t="s">
        <v>749</v>
      </c>
      <c r="G63" t="s">
        <v>1801</v>
      </c>
      <c r="H63" t="s">
        <v>1891</v>
      </c>
    </row>
    <row r="64" spans="1:8" x14ac:dyDescent="0.25">
      <c r="A64" t="s">
        <v>703</v>
      </c>
      <c r="B64" t="s">
        <v>100</v>
      </c>
      <c r="C64" t="s">
        <v>621</v>
      </c>
      <c r="D64" t="s">
        <v>1781</v>
      </c>
      <c r="E64" t="s">
        <v>582</v>
      </c>
      <c r="F64" s="213" t="s">
        <v>749</v>
      </c>
      <c r="G64" t="s">
        <v>1892</v>
      </c>
      <c r="H64" t="s">
        <v>1893</v>
      </c>
    </row>
    <row r="65" spans="1:8" x14ac:dyDescent="0.25">
      <c r="A65" t="s">
        <v>704</v>
      </c>
      <c r="B65" t="s">
        <v>100</v>
      </c>
      <c r="C65" t="s">
        <v>621</v>
      </c>
      <c r="D65" t="s">
        <v>1781</v>
      </c>
      <c r="E65" t="s">
        <v>582</v>
      </c>
      <c r="F65" s="213" t="s">
        <v>749</v>
      </c>
      <c r="G65" t="s">
        <v>1894</v>
      </c>
      <c r="H65" t="s">
        <v>1895</v>
      </c>
    </row>
    <row r="66" spans="1:8" x14ac:dyDescent="0.25">
      <c r="A66" t="s">
        <v>706</v>
      </c>
      <c r="B66" t="s">
        <v>100</v>
      </c>
      <c r="C66" t="s">
        <v>621</v>
      </c>
      <c r="D66" t="s">
        <v>1781</v>
      </c>
      <c r="E66" t="s">
        <v>582</v>
      </c>
      <c r="F66" s="213" t="s">
        <v>749</v>
      </c>
      <c r="G66" t="s">
        <v>1808</v>
      </c>
      <c r="H66" t="s">
        <v>1896</v>
      </c>
    </row>
    <row r="67" spans="1:8" x14ac:dyDescent="0.25">
      <c r="A67" t="s">
        <v>707</v>
      </c>
      <c r="B67" t="s">
        <v>100</v>
      </c>
      <c r="C67" t="s">
        <v>621</v>
      </c>
      <c r="D67" t="s">
        <v>1781</v>
      </c>
      <c r="E67" t="s">
        <v>582</v>
      </c>
      <c r="F67" s="213" t="s">
        <v>749</v>
      </c>
      <c r="G67" t="s">
        <v>1806</v>
      </c>
      <c r="H67" t="s">
        <v>1897</v>
      </c>
    </row>
    <row r="68" spans="1:8" x14ac:dyDescent="0.25">
      <c r="A68" t="s">
        <v>708</v>
      </c>
      <c r="B68" t="s">
        <v>100</v>
      </c>
      <c r="C68" t="s">
        <v>621</v>
      </c>
      <c r="D68" t="s">
        <v>1781</v>
      </c>
      <c r="E68" t="s">
        <v>582</v>
      </c>
      <c r="F68" s="213" t="s">
        <v>749</v>
      </c>
      <c r="G68" t="s">
        <v>1494</v>
      </c>
      <c r="H68" t="s">
        <v>1898</v>
      </c>
    </row>
    <row r="69" spans="1:8" x14ac:dyDescent="0.25">
      <c r="A69" t="s">
        <v>709</v>
      </c>
      <c r="B69" t="s">
        <v>100</v>
      </c>
      <c r="C69" t="s">
        <v>621</v>
      </c>
      <c r="D69" t="s">
        <v>1781</v>
      </c>
      <c r="E69" t="s">
        <v>582</v>
      </c>
      <c r="F69" s="213" t="s">
        <v>749</v>
      </c>
      <c r="G69" t="s">
        <v>1814</v>
      </c>
      <c r="H69" t="s">
        <v>1899</v>
      </c>
    </row>
    <row r="70" spans="1:8" x14ac:dyDescent="0.25">
      <c r="A70" t="s">
        <v>710</v>
      </c>
      <c r="B70" t="s">
        <v>100</v>
      </c>
      <c r="C70" t="s">
        <v>621</v>
      </c>
      <c r="D70" t="s">
        <v>1781</v>
      </c>
      <c r="E70" t="s">
        <v>582</v>
      </c>
      <c r="F70" s="213" t="s">
        <v>749</v>
      </c>
      <c r="G70" t="s">
        <v>1818</v>
      </c>
      <c r="H70" t="s">
        <v>1900</v>
      </c>
    </row>
    <row r="71" spans="1:8" x14ac:dyDescent="0.25">
      <c r="A71" t="s">
        <v>711</v>
      </c>
      <c r="B71" t="s">
        <v>100</v>
      </c>
      <c r="C71" t="s">
        <v>621</v>
      </c>
      <c r="D71" t="s">
        <v>1781</v>
      </c>
      <c r="E71" t="s">
        <v>582</v>
      </c>
      <c r="F71" s="213" t="s">
        <v>749</v>
      </c>
      <c r="G71" t="s">
        <v>1901</v>
      </c>
      <c r="H71" t="s">
        <v>1902</v>
      </c>
    </row>
    <row r="72" spans="1:8" x14ac:dyDescent="0.25">
      <c r="A72" t="s">
        <v>713</v>
      </c>
      <c r="B72" t="s">
        <v>100</v>
      </c>
      <c r="C72" t="s">
        <v>621</v>
      </c>
      <c r="D72" t="s">
        <v>1781</v>
      </c>
      <c r="E72" t="s">
        <v>582</v>
      </c>
      <c r="F72" s="213" t="s">
        <v>749</v>
      </c>
      <c r="G72" t="s">
        <v>1785</v>
      </c>
      <c r="H72" t="s">
        <v>1903</v>
      </c>
    </row>
    <row r="73" spans="1:8" x14ac:dyDescent="0.25">
      <c r="A73" t="s">
        <v>715</v>
      </c>
      <c r="B73" t="s">
        <v>100</v>
      </c>
      <c r="C73" t="s">
        <v>621</v>
      </c>
      <c r="D73" t="s">
        <v>1781</v>
      </c>
      <c r="E73" t="s">
        <v>582</v>
      </c>
      <c r="F73" s="213" t="s">
        <v>749</v>
      </c>
      <c r="G73" t="s">
        <v>1789</v>
      </c>
      <c r="H73" t="s">
        <v>1904</v>
      </c>
    </row>
    <row r="74" spans="1:8" x14ac:dyDescent="0.25">
      <c r="A74" t="s">
        <v>717</v>
      </c>
      <c r="B74" t="s">
        <v>100</v>
      </c>
      <c r="C74" t="s">
        <v>621</v>
      </c>
      <c r="D74" t="s">
        <v>1781</v>
      </c>
      <c r="E74" t="s">
        <v>582</v>
      </c>
      <c r="F74" s="213" t="s">
        <v>749</v>
      </c>
      <c r="G74" t="s">
        <v>1811</v>
      </c>
      <c r="H74" t="s">
        <v>1905</v>
      </c>
    </row>
    <row r="75" spans="1:8" x14ac:dyDescent="0.25">
      <c r="A75" t="s">
        <v>719</v>
      </c>
      <c r="B75" t="s">
        <v>100</v>
      </c>
      <c r="C75" t="s">
        <v>621</v>
      </c>
      <c r="D75" t="s">
        <v>1781</v>
      </c>
      <c r="E75" t="s">
        <v>582</v>
      </c>
      <c r="F75" s="213" t="s">
        <v>749</v>
      </c>
      <c r="G75" t="s">
        <v>1824</v>
      </c>
      <c r="H75" t="s">
        <v>1906</v>
      </c>
    </row>
    <row r="76" spans="1:8" x14ac:dyDescent="0.25">
      <c r="A76" t="s">
        <v>721</v>
      </c>
      <c r="B76" t="s">
        <v>100</v>
      </c>
      <c r="C76" t="s">
        <v>621</v>
      </c>
      <c r="D76" t="s">
        <v>1781</v>
      </c>
      <c r="E76" t="s">
        <v>582</v>
      </c>
      <c r="F76" s="213" t="s">
        <v>749</v>
      </c>
      <c r="G76" t="s">
        <v>1795</v>
      </c>
      <c r="H76" t="s">
        <v>1907</v>
      </c>
    </row>
    <row r="77" spans="1:8" x14ac:dyDescent="0.25">
      <c r="A77" t="s">
        <v>722</v>
      </c>
      <c r="B77" t="s">
        <v>100</v>
      </c>
      <c r="C77" t="s">
        <v>621</v>
      </c>
      <c r="D77" t="s">
        <v>1781</v>
      </c>
      <c r="E77" t="s">
        <v>582</v>
      </c>
      <c r="F77" s="213" t="s">
        <v>749</v>
      </c>
      <c r="G77" t="s">
        <v>1908</v>
      </c>
      <c r="H77" t="s">
        <v>1909</v>
      </c>
    </row>
    <row r="78" spans="1:8" x14ac:dyDescent="0.25">
      <c r="A78" t="s">
        <v>723</v>
      </c>
      <c r="B78" t="s">
        <v>100</v>
      </c>
      <c r="C78" t="s">
        <v>621</v>
      </c>
      <c r="D78" t="s">
        <v>1781</v>
      </c>
      <c r="E78" t="s">
        <v>582</v>
      </c>
      <c r="F78" s="213" t="s">
        <v>749</v>
      </c>
      <c r="G78" t="s">
        <v>1799</v>
      </c>
      <c r="H78" t="s">
        <v>1910</v>
      </c>
    </row>
    <row r="79" spans="1:8" x14ac:dyDescent="0.25">
      <c r="A79" t="s">
        <v>724</v>
      </c>
      <c r="B79" t="s">
        <v>100</v>
      </c>
      <c r="C79" t="s">
        <v>621</v>
      </c>
      <c r="D79" t="s">
        <v>1781</v>
      </c>
      <c r="E79" t="s">
        <v>582</v>
      </c>
      <c r="F79" s="213" t="s">
        <v>749</v>
      </c>
      <c r="G79" t="s">
        <v>1793</v>
      </c>
      <c r="H79" t="s">
        <v>1911</v>
      </c>
    </row>
    <row r="80" spans="1:8" x14ac:dyDescent="0.25">
      <c r="A80" t="s">
        <v>725</v>
      </c>
      <c r="B80" t="s">
        <v>100</v>
      </c>
      <c r="C80" t="s">
        <v>621</v>
      </c>
      <c r="D80" t="s">
        <v>1781</v>
      </c>
      <c r="E80" t="s">
        <v>582</v>
      </c>
      <c r="F80" s="213" t="s">
        <v>749</v>
      </c>
      <c r="G80" t="s">
        <v>1912</v>
      </c>
      <c r="H80" t="s">
        <v>1913</v>
      </c>
    </row>
    <row r="81" spans="1:8" x14ac:dyDescent="0.25">
      <c r="A81" t="s">
        <v>727</v>
      </c>
      <c r="B81" t="s">
        <v>100</v>
      </c>
      <c r="C81" t="s">
        <v>621</v>
      </c>
      <c r="D81" t="s">
        <v>1781</v>
      </c>
      <c r="E81" t="s">
        <v>582</v>
      </c>
      <c r="F81" s="213" t="s">
        <v>749</v>
      </c>
      <c r="G81" t="s">
        <v>1914</v>
      </c>
      <c r="H81" t="s">
        <v>1915</v>
      </c>
    </row>
    <row r="82" spans="1:8" x14ac:dyDescent="0.25">
      <c r="A82" t="s">
        <v>728</v>
      </c>
      <c r="B82" t="s">
        <v>100</v>
      </c>
      <c r="C82" t="s">
        <v>621</v>
      </c>
      <c r="D82" t="s">
        <v>1781</v>
      </c>
      <c r="E82" t="s">
        <v>582</v>
      </c>
      <c r="F82" s="213" t="s">
        <v>749</v>
      </c>
      <c r="G82" t="s">
        <v>1787</v>
      </c>
      <c r="H82" t="s">
        <v>1916</v>
      </c>
    </row>
    <row r="83" spans="1:8" x14ac:dyDescent="0.25">
      <c r="A83" t="s">
        <v>730</v>
      </c>
      <c r="B83" t="s">
        <v>100</v>
      </c>
      <c r="C83" t="s">
        <v>621</v>
      </c>
      <c r="D83" t="s">
        <v>1781</v>
      </c>
      <c r="E83" t="s">
        <v>582</v>
      </c>
      <c r="F83" s="213" t="s">
        <v>749</v>
      </c>
      <c r="G83" t="s">
        <v>1797</v>
      </c>
      <c r="H83" t="s">
        <v>1917</v>
      </c>
    </row>
    <row r="84" spans="1:8" x14ac:dyDescent="0.25">
      <c r="A84" t="s">
        <v>732</v>
      </c>
      <c r="B84" t="s">
        <v>100</v>
      </c>
      <c r="C84" t="s">
        <v>621</v>
      </c>
      <c r="D84" t="s">
        <v>1781</v>
      </c>
      <c r="E84" t="s">
        <v>582</v>
      </c>
      <c r="F84" s="213" t="s">
        <v>749</v>
      </c>
      <c r="G84" t="s">
        <v>1791</v>
      </c>
      <c r="H84" t="s">
        <v>1918</v>
      </c>
    </row>
    <row r="85" spans="1:8" x14ac:dyDescent="0.25">
      <c r="A85" t="s">
        <v>733</v>
      </c>
      <c r="B85" t="s">
        <v>100</v>
      </c>
      <c r="C85" t="s">
        <v>621</v>
      </c>
      <c r="D85" t="s">
        <v>1781</v>
      </c>
      <c r="E85" t="s">
        <v>582</v>
      </c>
      <c r="F85" s="213" t="s">
        <v>749</v>
      </c>
      <c r="G85" t="s">
        <v>1828</v>
      </c>
      <c r="H85" t="s">
        <v>1919</v>
      </c>
    </row>
    <row r="86" spans="1:8" x14ac:dyDescent="0.25">
      <c r="A86" t="s">
        <v>734</v>
      </c>
      <c r="B86" t="s">
        <v>100</v>
      </c>
      <c r="C86" t="s">
        <v>621</v>
      </c>
      <c r="D86" t="s">
        <v>1781</v>
      </c>
      <c r="E86" t="s">
        <v>582</v>
      </c>
      <c r="F86" s="213" t="s">
        <v>749</v>
      </c>
      <c r="G86" t="s">
        <v>1826</v>
      </c>
      <c r="H86" t="s">
        <v>1920</v>
      </c>
    </row>
    <row r="87" spans="1:8" x14ac:dyDescent="0.25">
      <c r="A87" t="s">
        <v>736</v>
      </c>
      <c r="B87" t="s">
        <v>100</v>
      </c>
      <c r="C87" t="s">
        <v>621</v>
      </c>
      <c r="D87" t="s">
        <v>1781</v>
      </c>
      <c r="E87" t="s">
        <v>582</v>
      </c>
      <c r="F87" s="213" t="s">
        <v>749</v>
      </c>
      <c r="G87" t="s">
        <v>1832</v>
      </c>
      <c r="H87" t="s">
        <v>1921</v>
      </c>
    </row>
    <row r="88" spans="1:8" x14ac:dyDescent="0.25">
      <c r="A88" t="s">
        <v>737</v>
      </c>
      <c r="B88" t="s">
        <v>100</v>
      </c>
      <c r="C88" t="s">
        <v>621</v>
      </c>
      <c r="D88" t="s">
        <v>1781</v>
      </c>
      <c r="E88" t="s">
        <v>582</v>
      </c>
      <c r="F88" s="213" t="s">
        <v>749</v>
      </c>
      <c r="G88" t="s">
        <v>421</v>
      </c>
      <c r="H88" t="s">
        <v>1922</v>
      </c>
    </row>
    <row r="89" spans="1:8" x14ac:dyDescent="0.25">
      <c r="A89" t="s">
        <v>738</v>
      </c>
      <c r="B89" t="s">
        <v>100</v>
      </c>
      <c r="C89" t="s">
        <v>621</v>
      </c>
      <c r="D89" t="s">
        <v>1781</v>
      </c>
      <c r="E89" t="s">
        <v>582</v>
      </c>
      <c r="F89" s="213" t="s">
        <v>749</v>
      </c>
      <c r="G89" t="s">
        <v>1831</v>
      </c>
      <c r="H89" t="s">
        <v>1922</v>
      </c>
    </row>
    <row r="90" spans="1:8" x14ac:dyDescent="0.25">
      <c r="A90" t="s">
        <v>740</v>
      </c>
      <c r="B90" t="s">
        <v>100</v>
      </c>
      <c r="C90" t="s">
        <v>621</v>
      </c>
      <c r="D90" t="s">
        <v>1781</v>
      </c>
      <c r="E90" t="s">
        <v>582</v>
      </c>
      <c r="F90" s="213" t="s">
        <v>749</v>
      </c>
      <c r="G90" t="s">
        <v>1923</v>
      </c>
      <c r="H90" t="s">
        <v>1924</v>
      </c>
    </row>
    <row r="91" spans="1:8" x14ac:dyDescent="0.25">
      <c r="A91" t="s">
        <v>742</v>
      </c>
      <c r="B91" t="s">
        <v>100</v>
      </c>
      <c r="C91" t="s">
        <v>621</v>
      </c>
      <c r="D91" t="s">
        <v>1781</v>
      </c>
      <c r="E91" t="s">
        <v>582</v>
      </c>
      <c r="F91" s="213" t="s">
        <v>749</v>
      </c>
      <c r="G91" t="s">
        <v>1133</v>
      </c>
      <c r="H91" t="s">
        <v>1925</v>
      </c>
    </row>
    <row r="92" spans="1:8" x14ac:dyDescent="0.25">
      <c r="A92" t="s">
        <v>743</v>
      </c>
      <c r="B92" t="s">
        <v>100</v>
      </c>
      <c r="C92" t="s">
        <v>621</v>
      </c>
      <c r="D92" t="s">
        <v>1781</v>
      </c>
      <c r="E92" t="s">
        <v>582</v>
      </c>
      <c r="F92" s="213" t="s">
        <v>749</v>
      </c>
      <c r="G92" t="s">
        <v>1836</v>
      </c>
      <c r="H92" t="s">
        <v>1926</v>
      </c>
    </row>
    <row r="93" spans="1:8" x14ac:dyDescent="0.25">
      <c r="A93" t="s">
        <v>744</v>
      </c>
      <c r="B93" t="s">
        <v>100</v>
      </c>
      <c r="C93" t="s">
        <v>621</v>
      </c>
      <c r="D93" t="s">
        <v>1781</v>
      </c>
      <c r="E93" t="s">
        <v>582</v>
      </c>
      <c r="F93" s="213" t="s">
        <v>749</v>
      </c>
      <c r="G93" t="s">
        <v>1834</v>
      </c>
      <c r="H93" t="s">
        <v>1927</v>
      </c>
    </row>
    <row r="94" spans="1:8" x14ac:dyDescent="0.25">
      <c r="A94" t="s">
        <v>745</v>
      </c>
      <c r="B94" t="s">
        <v>100</v>
      </c>
      <c r="C94" t="s">
        <v>621</v>
      </c>
      <c r="D94" t="s">
        <v>1781</v>
      </c>
      <c r="E94" t="s">
        <v>582</v>
      </c>
      <c r="F94" s="213" t="s">
        <v>749</v>
      </c>
      <c r="G94" t="s">
        <v>1838</v>
      </c>
      <c r="H94" t="s">
        <v>1928</v>
      </c>
    </row>
    <row r="95" spans="1:8" x14ac:dyDescent="0.25">
      <c r="A95" t="s">
        <v>746</v>
      </c>
      <c r="B95" t="s">
        <v>100</v>
      </c>
      <c r="C95" t="s">
        <v>621</v>
      </c>
      <c r="D95" t="s">
        <v>1781</v>
      </c>
      <c r="E95" t="s">
        <v>582</v>
      </c>
      <c r="F95" s="213" t="s">
        <v>749</v>
      </c>
      <c r="G95" t="s">
        <v>1929</v>
      </c>
      <c r="H95" t="s">
        <v>1930</v>
      </c>
    </row>
    <row r="96" spans="1:8" x14ac:dyDescent="0.25">
      <c r="A96" t="s">
        <v>747</v>
      </c>
      <c r="B96" t="s">
        <v>100</v>
      </c>
      <c r="C96" t="s">
        <v>621</v>
      </c>
      <c r="D96" t="s">
        <v>1781</v>
      </c>
      <c r="E96" t="s">
        <v>582</v>
      </c>
      <c r="F96" s="213" t="s">
        <v>749</v>
      </c>
      <c r="G96" t="s">
        <v>1931</v>
      </c>
      <c r="H96" t="s">
        <v>1932</v>
      </c>
    </row>
    <row r="97" spans="1:8" x14ac:dyDescent="0.25">
      <c r="A97" t="s">
        <v>748</v>
      </c>
      <c r="B97" t="s">
        <v>100</v>
      </c>
      <c r="C97" t="s">
        <v>621</v>
      </c>
      <c r="D97" t="s">
        <v>1781</v>
      </c>
      <c r="E97" t="s">
        <v>582</v>
      </c>
      <c r="F97" s="213" t="s">
        <v>749</v>
      </c>
      <c r="G97" t="s">
        <v>1844</v>
      </c>
      <c r="H97" t="s">
        <v>1933</v>
      </c>
    </row>
    <row r="98" spans="1:8" x14ac:dyDescent="0.25">
      <c r="A98" t="s">
        <v>750</v>
      </c>
      <c r="B98" t="s">
        <v>100</v>
      </c>
      <c r="C98" t="s">
        <v>621</v>
      </c>
      <c r="D98" t="s">
        <v>1781</v>
      </c>
      <c r="E98" t="s">
        <v>582</v>
      </c>
      <c r="F98" s="213" t="s">
        <v>749</v>
      </c>
      <c r="G98" t="s">
        <v>1842</v>
      </c>
      <c r="H98" t="s">
        <v>1934</v>
      </c>
    </row>
    <row r="99" spans="1:8" x14ac:dyDescent="0.25">
      <c r="A99" t="s">
        <v>751</v>
      </c>
      <c r="B99" t="s">
        <v>100</v>
      </c>
      <c r="C99" t="s">
        <v>621</v>
      </c>
      <c r="D99" t="s">
        <v>1781</v>
      </c>
      <c r="E99" t="s">
        <v>582</v>
      </c>
      <c r="F99" s="213" t="s">
        <v>749</v>
      </c>
      <c r="G99" t="s">
        <v>1840</v>
      </c>
      <c r="H99" t="s">
        <v>1935</v>
      </c>
    </row>
    <row r="100" spans="1:8" x14ac:dyDescent="0.25">
      <c r="A100" t="s">
        <v>752</v>
      </c>
      <c r="B100" t="s">
        <v>100</v>
      </c>
      <c r="C100" t="s">
        <v>621</v>
      </c>
      <c r="D100" t="s">
        <v>1781</v>
      </c>
      <c r="E100" t="s">
        <v>582</v>
      </c>
      <c r="F100" s="213" t="s">
        <v>749</v>
      </c>
      <c r="G100" t="s">
        <v>1936</v>
      </c>
      <c r="H100" t="s">
        <v>1937</v>
      </c>
    </row>
    <row r="101" spans="1:8" x14ac:dyDescent="0.25">
      <c r="A101" t="s">
        <v>753</v>
      </c>
      <c r="B101" t="s">
        <v>100</v>
      </c>
      <c r="C101" t="s">
        <v>621</v>
      </c>
      <c r="D101" t="s">
        <v>1781</v>
      </c>
      <c r="E101" t="s">
        <v>582</v>
      </c>
      <c r="F101" s="213" t="s">
        <v>749</v>
      </c>
      <c r="G101" t="s">
        <v>1846</v>
      </c>
      <c r="H101" t="s">
        <v>1938</v>
      </c>
    </row>
    <row r="102" spans="1:8" x14ac:dyDescent="0.25">
      <c r="A102" t="s">
        <v>754</v>
      </c>
      <c r="B102" t="s">
        <v>100</v>
      </c>
      <c r="C102" t="s">
        <v>621</v>
      </c>
      <c r="D102" t="s">
        <v>1781</v>
      </c>
      <c r="E102" t="s">
        <v>582</v>
      </c>
      <c r="F102" s="213" t="s">
        <v>749</v>
      </c>
      <c r="G102" t="s">
        <v>1939</v>
      </c>
      <c r="H102" t="s">
        <v>1940</v>
      </c>
    </row>
    <row r="103" spans="1:8" x14ac:dyDescent="0.25">
      <c r="A103" t="s">
        <v>756</v>
      </c>
      <c r="B103" t="s">
        <v>100</v>
      </c>
      <c r="C103" t="s">
        <v>621</v>
      </c>
      <c r="D103" t="s">
        <v>1781</v>
      </c>
      <c r="E103" t="s">
        <v>582</v>
      </c>
      <c r="F103" s="213" t="s">
        <v>749</v>
      </c>
      <c r="G103" t="s">
        <v>1848</v>
      </c>
      <c r="H103" t="s">
        <v>1933</v>
      </c>
    </row>
    <row r="104" spans="1:8" x14ac:dyDescent="0.25">
      <c r="A104" t="s">
        <v>757</v>
      </c>
      <c r="B104" t="s">
        <v>100</v>
      </c>
      <c r="C104" t="s">
        <v>621</v>
      </c>
      <c r="D104" t="s">
        <v>1781</v>
      </c>
      <c r="E104" t="s">
        <v>582</v>
      </c>
      <c r="F104" s="213" t="s">
        <v>749</v>
      </c>
      <c r="G104" t="s">
        <v>1851</v>
      </c>
      <c r="H104" t="s">
        <v>1941</v>
      </c>
    </row>
    <row r="105" spans="1:8" x14ac:dyDescent="0.25">
      <c r="A105" t="s">
        <v>758</v>
      </c>
      <c r="B105" t="s">
        <v>100</v>
      </c>
      <c r="C105" t="s">
        <v>621</v>
      </c>
      <c r="D105" t="s">
        <v>1781</v>
      </c>
      <c r="E105" t="s">
        <v>582</v>
      </c>
      <c r="F105" s="213" t="s">
        <v>749</v>
      </c>
      <c r="G105" t="s">
        <v>1849</v>
      </c>
      <c r="H105" t="s">
        <v>1942</v>
      </c>
    </row>
    <row r="106" spans="1:8" x14ac:dyDescent="0.25">
      <c r="A106" t="s">
        <v>759</v>
      </c>
      <c r="B106" t="s">
        <v>100</v>
      </c>
      <c r="C106" t="s">
        <v>621</v>
      </c>
      <c r="D106" t="s">
        <v>1781</v>
      </c>
      <c r="E106" t="s">
        <v>582</v>
      </c>
      <c r="F106" s="213" t="s">
        <v>749</v>
      </c>
      <c r="G106" t="s">
        <v>1943</v>
      </c>
      <c r="H106" t="s">
        <v>1944</v>
      </c>
    </row>
    <row r="107" spans="1:8" x14ac:dyDescent="0.25">
      <c r="A107" t="s">
        <v>760</v>
      </c>
      <c r="B107" t="s">
        <v>100</v>
      </c>
      <c r="C107" t="s">
        <v>621</v>
      </c>
      <c r="D107" t="s">
        <v>1781</v>
      </c>
      <c r="E107" t="s">
        <v>582</v>
      </c>
      <c r="F107" s="213" t="s">
        <v>749</v>
      </c>
      <c r="G107" t="s">
        <v>645</v>
      </c>
      <c r="H107" t="s">
        <v>1945</v>
      </c>
    </row>
    <row r="108" spans="1:8" x14ac:dyDescent="0.25">
      <c r="A108" t="s">
        <v>762</v>
      </c>
      <c r="B108" t="s">
        <v>100</v>
      </c>
      <c r="C108" t="s">
        <v>621</v>
      </c>
      <c r="D108" t="s">
        <v>1781</v>
      </c>
      <c r="E108" t="s">
        <v>582</v>
      </c>
      <c r="F108" s="213" t="s">
        <v>749</v>
      </c>
      <c r="G108" t="s">
        <v>1946</v>
      </c>
      <c r="H108" t="s">
        <v>1947</v>
      </c>
    </row>
    <row r="109" spans="1:8" x14ac:dyDescent="0.25">
      <c r="A109" t="s">
        <v>763</v>
      </c>
      <c r="B109" t="s">
        <v>100</v>
      </c>
      <c r="C109" t="s">
        <v>621</v>
      </c>
      <c r="D109" t="s">
        <v>1781</v>
      </c>
      <c r="E109" t="s">
        <v>582</v>
      </c>
      <c r="F109" s="213" t="s">
        <v>749</v>
      </c>
      <c r="G109" t="s">
        <v>1853</v>
      </c>
      <c r="H109" t="s">
        <v>1948</v>
      </c>
    </row>
    <row r="110" spans="1:8" x14ac:dyDescent="0.25">
      <c r="A110" t="s">
        <v>764</v>
      </c>
      <c r="B110" t="s">
        <v>100</v>
      </c>
      <c r="C110" t="s">
        <v>621</v>
      </c>
      <c r="D110" t="s">
        <v>1781</v>
      </c>
      <c r="E110" t="s">
        <v>582</v>
      </c>
      <c r="F110" s="213" t="s">
        <v>749</v>
      </c>
      <c r="G110" t="s">
        <v>1859</v>
      </c>
      <c r="H110" t="s">
        <v>1949</v>
      </c>
    </row>
    <row r="111" spans="1:8" x14ac:dyDescent="0.25">
      <c r="A111" t="s">
        <v>766</v>
      </c>
      <c r="B111" t="s">
        <v>100</v>
      </c>
      <c r="C111" t="s">
        <v>621</v>
      </c>
      <c r="D111" t="s">
        <v>1781</v>
      </c>
      <c r="E111" t="s">
        <v>582</v>
      </c>
      <c r="F111" s="213" t="s">
        <v>749</v>
      </c>
      <c r="G111" t="s">
        <v>1857</v>
      </c>
      <c r="H111" t="s">
        <v>1950</v>
      </c>
    </row>
    <row r="112" spans="1:8" x14ac:dyDescent="0.25">
      <c r="A112" t="s">
        <v>767</v>
      </c>
      <c r="B112" t="s">
        <v>100</v>
      </c>
      <c r="C112" t="s">
        <v>621</v>
      </c>
      <c r="D112" t="s">
        <v>1781</v>
      </c>
      <c r="E112" t="s">
        <v>582</v>
      </c>
      <c r="F112" s="213" t="s">
        <v>749</v>
      </c>
      <c r="G112" t="s">
        <v>1855</v>
      </c>
      <c r="H112" t="s">
        <v>1951</v>
      </c>
    </row>
    <row r="113" spans="1:8" x14ac:dyDescent="0.25">
      <c r="A113" t="s">
        <v>768</v>
      </c>
      <c r="B113" t="s">
        <v>100</v>
      </c>
      <c r="C113" t="s">
        <v>621</v>
      </c>
      <c r="D113" t="s">
        <v>1781</v>
      </c>
      <c r="E113" t="s">
        <v>582</v>
      </c>
      <c r="F113" s="213" t="s">
        <v>749</v>
      </c>
      <c r="G113" t="s">
        <v>1952</v>
      </c>
      <c r="H113" t="s">
        <v>1953</v>
      </c>
    </row>
    <row r="114" spans="1:8" x14ac:dyDescent="0.25">
      <c r="A114" t="s">
        <v>769</v>
      </c>
      <c r="B114" t="s">
        <v>100</v>
      </c>
      <c r="C114" t="s">
        <v>621</v>
      </c>
      <c r="D114" t="s">
        <v>1781</v>
      </c>
      <c r="E114" t="s">
        <v>582</v>
      </c>
      <c r="F114" s="213" t="s">
        <v>749</v>
      </c>
      <c r="G114" t="s">
        <v>1954</v>
      </c>
      <c r="H114" t="s">
        <v>1955</v>
      </c>
    </row>
    <row r="115" spans="1:8" x14ac:dyDescent="0.25">
      <c r="A115" t="s">
        <v>771</v>
      </c>
      <c r="B115" t="s">
        <v>100</v>
      </c>
      <c r="C115" t="s">
        <v>621</v>
      </c>
      <c r="D115" t="s">
        <v>1781</v>
      </c>
      <c r="E115" t="s">
        <v>582</v>
      </c>
      <c r="F115" s="213" t="s">
        <v>749</v>
      </c>
      <c r="G115" t="s">
        <v>1861</v>
      </c>
      <c r="H115" t="s">
        <v>1949</v>
      </c>
    </row>
    <row r="116" spans="1:8" x14ac:dyDescent="0.25">
      <c r="A116" t="s">
        <v>772</v>
      </c>
      <c r="B116" t="s">
        <v>100</v>
      </c>
      <c r="C116" t="s">
        <v>621</v>
      </c>
      <c r="D116" t="s">
        <v>1781</v>
      </c>
      <c r="E116" t="s">
        <v>582</v>
      </c>
      <c r="F116" s="213" t="s">
        <v>749</v>
      </c>
      <c r="G116" t="s">
        <v>1862</v>
      </c>
      <c r="H116" t="s">
        <v>1956</v>
      </c>
    </row>
    <row r="117" spans="1:8" x14ac:dyDescent="0.25">
      <c r="A117" t="s">
        <v>773</v>
      </c>
      <c r="B117" t="s">
        <v>100</v>
      </c>
      <c r="C117" t="s">
        <v>621</v>
      </c>
      <c r="D117" t="s">
        <v>1781</v>
      </c>
      <c r="E117" t="s">
        <v>582</v>
      </c>
      <c r="F117" s="213" t="s">
        <v>749</v>
      </c>
      <c r="G117" t="s">
        <v>1957</v>
      </c>
      <c r="H117" t="s">
        <v>1958</v>
      </c>
    </row>
    <row r="118" spans="1:8" x14ac:dyDescent="0.25">
      <c r="A118" t="s">
        <v>774</v>
      </c>
      <c r="B118" t="s">
        <v>100</v>
      </c>
      <c r="C118" t="s">
        <v>621</v>
      </c>
      <c r="D118" t="s">
        <v>1781</v>
      </c>
      <c r="E118" t="s">
        <v>582</v>
      </c>
      <c r="F118" s="213" t="s">
        <v>749</v>
      </c>
      <c r="G118" t="s">
        <v>1959</v>
      </c>
      <c r="H118" t="s">
        <v>1960</v>
      </c>
    </row>
    <row r="119" spans="1:8" x14ac:dyDescent="0.25">
      <c r="A119" t="s">
        <v>775</v>
      </c>
      <c r="B119" t="s">
        <v>100</v>
      </c>
      <c r="C119" t="s">
        <v>621</v>
      </c>
      <c r="D119" t="s">
        <v>1781</v>
      </c>
      <c r="E119" t="s">
        <v>582</v>
      </c>
      <c r="F119" s="213" t="s">
        <v>749</v>
      </c>
      <c r="G119" t="s">
        <v>1866</v>
      </c>
      <c r="H119" t="s">
        <v>1961</v>
      </c>
    </row>
    <row r="120" spans="1:8" x14ac:dyDescent="0.25">
      <c r="A120" t="s">
        <v>776</v>
      </c>
      <c r="B120" t="s">
        <v>100</v>
      </c>
      <c r="C120" t="s">
        <v>621</v>
      </c>
      <c r="D120" t="s">
        <v>1781</v>
      </c>
      <c r="E120" t="s">
        <v>582</v>
      </c>
      <c r="F120" s="213" t="s">
        <v>749</v>
      </c>
      <c r="G120" t="s">
        <v>1864</v>
      </c>
      <c r="H120" t="s">
        <v>1962</v>
      </c>
    </row>
    <row r="121" spans="1:8" x14ac:dyDescent="0.25">
      <c r="A121" t="s">
        <v>777</v>
      </c>
      <c r="B121" t="s">
        <v>100</v>
      </c>
      <c r="C121" t="s">
        <v>621</v>
      </c>
      <c r="D121" t="s">
        <v>1781</v>
      </c>
      <c r="E121" t="s">
        <v>582</v>
      </c>
      <c r="F121" s="213" t="s">
        <v>749</v>
      </c>
      <c r="G121" t="s">
        <v>1870</v>
      </c>
      <c r="H121" t="s">
        <v>1963</v>
      </c>
    </row>
    <row r="122" spans="1:8" x14ac:dyDescent="0.25">
      <c r="A122" t="s">
        <v>778</v>
      </c>
      <c r="B122" t="s">
        <v>100</v>
      </c>
      <c r="C122" t="s">
        <v>621</v>
      </c>
      <c r="D122" t="s">
        <v>1781</v>
      </c>
      <c r="E122" t="s">
        <v>582</v>
      </c>
      <c r="F122" s="213" t="s">
        <v>749</v>
      </c>
      <c r="G122" t="s">
        <v>1868</v>
      </c>
      <c r="H122" t="s">
        <v>1963</v>
      </c>
    </row>
    <row r="123" spans="1:8" x14ac:dyDescent="0.25">
      <c r="A123" t="s">
        <v>779</v>
      </c>
      <c r="B123" t="s">
        <v>100</v>
      </c>
      <c r="C123" t="s">
        <v>621</v>
      </c>
      <c r="D123" t="s">
        <v>1781</v>
      </c>
      <c r="E123" t="s">
        <v>582</v>
      </c>
      <c r="F123" s="213" t="s">
        <v>749</v>
      </c>
      <c r="G123" t="s">
        <v>1964</v>
      </c>
      <c r="H123" t="s">
        <v>1965</v>
      </c>
    </row>
    <row r="124" spans="1:8" x14ac:dyDescent="0.25">
      <c r="A124" t="s">
        <v>780</v>
      </c>
      <c r="B124" t="s">
        <v>100</v>
      </c>
      <c r="C124" t="s">
        <v>621</v>
      </c>
      <c r="D124" t="s">
        <v>1781</v>
      </c>
      <c r="E124" t="s">
        <v>582</v>
      </c>
      <c r="F124" s="213" t="s">
        <v>749</v>
      </c>
      <c r="G124" t="s">
        <v>1875</v>
      </c>
      <c r="H124" t="s">
        <v>1966</v>
      </c>
    </row>
    <row r="125" spans="1:8" x14ac:dyDescent="0.25">
      <c r="A125" t="s">
        <v>782</v>
      </c>
      <c r="B125" t="s">
        <v>100</v>
      </c>
      <c r="C125" t="s">
        <v>621</v>
      </c>
      <c r="D125" t="s">
        <v>1781</v>
      </c>
      <c r="E125" t="s">
        <v>582</v>
      </c>
      <c r="F125" s="213" t="s">
        <v>749</v>
      </c>
      <c r="G125" t="s">
        <v>1967</v>
      </c>
      <c r="H125" t="s">
        <v>1968</v>
      </c>
    </row>
    <row r="126" spans="1:8" x14ac:dyDescent="0.25">
      <c r="A126" t="s">
        <v>783</v>
      </c>
      <c r="B126" t="s">
        <v>100</v>
      </c>
      <c r="C126" t="s">
        <v>621</v>
      </c>
      <c r="D126" t="s">
        <v>1781</v>
      </c>
      <c r="E126" t="s">
        <v>582</v>
      </c>
      <c r="F126" s="213" t="s">
        <v>749</v>
      </c>
      <c r="G126" t="s">
        <v>1873</v>
      </c>
      <c r="H126" t="s">
        <v>1969</v>
      </c>
    </row>
    <row r="127" spans="1:8" x14ac:dyDescent="0.25">
      <c r="A127" t="s">
        <v>784</v>
      </c>
      <c r="B127" t="s">
        <v>100</v>
      </c>
      <c r="C127" t="s">
        <v>621</v>
      </c>
      <c r="D127" t="s">
        <v>1781</v>
      </c>
      <c r="E127" t="s">
        <v>582</v>
      </c>
      <c r="F127" s="213" t="s">
        <v>749</v>
      </c>
      <c r="G127" t="s">
        <v>1871</v>
      </c>
      <c r="H127" t="s">
        <v>1970</v>
      </c>
    </row>
    <row r="128" spans="1:8" x14ac:dyDescent="0.25">
      <c r="A128" t="s">
        <v>785</v>
      </c>
      <c r="B128" t="s">
        <v>100</v>
      </c>
      <c r="C128" t="s">
        <v>621</v>
      </c>
      <c r="D128" t="s">
        <v>1781</v>
      </c>
      <c r="E128" t="s">
        <v>582</v>
      </c>
      <c r="F128" s="213" t="s">
        <v>749</v>
      </c>
      <c r="G128" t="s">
        <v>1801</v>
      </c>
      <c r="H128" t="s">
        <v>1971</v>
      </c>
    </row>
    <row r="129" spans="1:8" x14ac:dyDescent="0.25">
      <c r="A129" t="s">
        <v>787</v>
      </c>
      <c r="B129" t="s">
        <v>100</v>
      </c>
      <c r="C129" t="s">
        <v>621</v>
      </c>
      <c r="D129" t="s">
        <v>1781</v>
      </c>
      <c r="E129" t="s">
        <v>582</v>
      </c>
      <c r="F129" s="213" t="s">
        <v>749</v>
      </c>
      <c r="G129" t="s">
        <v>1878</v>
      </c>
      <c r="H129" t="s">
        <v>1972</v>
      </c>
    </row>
    <row r="130" spans="1:8" x14ac:dyDescent="0.25">
      <c r="A130" t="s">
        <v>788</v>
      </c>
      <c r="B130" t="s">
        <v>100</v>
      </c>
      <c r="C130" t="s">
        <v>621</v>
      </c>
      <c r="D130" t="s">
        <v>1781</v>
      </c>
      <c r="E130" t="s">
        <v>582</v>
      </c>
      <c r="F130" s="213" t="s">
        <v>749</v>
      </c>
      <c r="G130" t="s">
        <v>1877</v>
      </c>
      <c r="H130" t="s">
        <v>1966</v>
      </c>
    </row>
    <row r="131" spans="1:8" x14ac:dyDescent="0.25">
      <c r="A131" t="s">
        <v>790</v>
      </c>
      <c r="B131" t="s">
        <v>100</v>
      </c>
      <c r="C131" t="s">
        <v>621</v>
      </c>
      <c r="D131" t="s">
        <v>1781</v>
      </c>
      <c r="E131" t="s">
        <v>582</v>
      </c>
      <c r="F131" s="213" t="s">
        <v>749</v>
      </c>
      <c r="G131" t="s">
        <v>1973</v>
      </c>
      <c r="H131" t="s">
        <v>1974</v>
      </c>
    </row>
    <row r="132" spans="1:8" x14ac:dyDescent="0.25">
      <c r="A132" t="s">
        <v>791</v>
      </c>
      <c r="B132" t="s">
        <v>100</v>
      </c>
      <c r="C132" t="s">
        <v>621</v>
      </c>
      <c r="D132" t="s">
        <v>1781</v>
      </c>
      <c r="E132" t="s">
        <v>582</v>
      </c>
      <c r="F132" s="213" t="s">
        <v>749</v>
      </c>
      <c r="G132" t="s">
        <v>1975</v>
      </c>
      <c r="H132" t="s">
        <v>1976</v>
      </c>
    </row>
    <row r="133" spans="1:8" x14ac:dyDescent="0.25">
      <c r="A133" t="s">
        <v>792</v>
      </c>
      <c r="B133" t="s">
        <v>100</v>
      </c>
      <c r="C133" t="s">
        <v>621</v>
      </c>
      <c r="D133" t="s">
        <v>1781</v>
      </c>
      <c r="E133" t="s">
        <v>582</v>
      </c>
      <c r="F133" s="213" t="s">
        <v>749</v>
      </c>
      <c r="G133" t="s">
        <v>1977</v>
      </c>
      <c r="H133" t="s">
        <v>1978</v>
      </c>
    </row>
    <row r="134" spans="1:8" x14ac:dyDescent="0.25">
      <c r="A134" t="s">
        <v>794</v>
      </c>
      <c r="B134" t="s">
        <v>100</v>
      </c>
      <c r="C134" t="s">
        <v>621</v>
      </c>
      <c r="D134" t="s">
        <v>1781</v>
      </c>
      <c r="E134" t="s">
        <v>582</v>
      </c>
      <c r="F134" s="213" t="s">
        <v>749</v>
      </c>
      <c r="G134" t="s">
        <v>1882</v>
      </c>
      <c r="H134" t="s">
        <v>1979</v>
      </c>
    </row>
    <row r="135" spans="1:8" x14ac:dyDescent="0.25">
      <c r="A135" t="s">
        <v>795</v>
      </c>
      <c r="B135" t="s">
        <v>100</v>
      </c>
      <c r="C135" t="s">
        <v>621</v>
      </c>
      <c r="D135" t="s">
        <v>1781</v>
      </c>
      <c r="E135" t="s">
        <v>582</v>
      </c>
      <c r="F135" s="213" t="s">
        <v>749</v>
      </c>
      <c r="G135" t="s">
        <v>1880</v>
      </c>
      <c r="H135" t="s">
        <v>1980</v>
      </c>
    </row>
    <row r="136" spans="1:8" x14ac:dyDescent="0.25">
      <c r="A136" t="s">
        <v>796</v>
      </c>
      <c r="B136" t="s">
        <v>100</v>
      </c>
      <c r="C136" t="s">
        <v>621</v>
      </c>
      <c r="D136" t="s">
        <v>1781</v>
      </c>
      <c r="E136" t="s">
        <v>582</v>
      </c>
      <c r="F136" s="213" t="s">
        <v>749</v>
      </c>
      <c r="G136" t="s">
        <v>1888</v>
      </c>
      <c r="H136" t="s">
        <v>1981</v>
      </c>
    </row>
    <row r="137" spans="1:8" x14ac:dyDescent="0.25">
      <c r="A137" t="s">
        <v>797</v>
      </c>
      <c r="B137" t="s">
        <v>100</v>
      </c>
      <c r="C137" t="s">
        <v>621</v>
      </c>
      <c r="D137" t="s">
        <v>1781</v>
      </c>
      <c r="E137" t="s">
        <v>582</v>
      </c>
      <c r="F137" s="213" t="s">
        <v>749</v>
      </c>
      <c r="G137" t="s">
        <v>1884</v>
      </c>
      <c r="H137" t="s">
        <v>1982</v>
      </c>
    </row>
    <row r="138" spans="1:8" x14ac:dyDescent="0.25">
      <c r="A138" t="s">
        <v>798</v>
      </c>
      <c r="B138" t="s">
        <v>100</v>
      </c>
      <c r="C138" t="s">
        <v>621</v>
      </c>
      <c r="D138" t="s">
        <v>1781</v>
      </c>
      <c r="E138" t="s">
        <v>582</v>
      </c>
      <c r="F138" s="213" t="s">
        <v>749</v>
      </c>
      <c r="G138" t="s">
        <v>1886</v>
      </c>
      <c r="H138" t="s">
        <v>1983</v>
      </c>
    </row>
    <row r="139" spans="1:8" x14ac:dyDescent="0.25">
      <c r="A139" t="s">
        <v>799</v>
      </c>
      <c r="B139" t="s">
        <v>100</v>
      </c>
      <c r="C139" t="s">
        <v>621</v>
      </c>
      <c r="D139" t="s">
        <v>1781</v>
      </c>
      <c r="E139" t="s">
        <v>582</v>
      </c>
      <c r="F139" s="213" t="s">
        <v>749</v>
      </c>
      <c r="G139" t="s">
        <v>1785</v>
      </c>
      <c r="H139" t="s">
        <v>1984</v>
      </c>
    </row>
    <row r="140" spans="1:8" x14ac:dyDescent="0.25">
      <c r="A140" t="s">
        <v>800</v>
      </c>
      <c r="B140" t="s">
        <v>100</v>
      </c>
      <c r="C140" t="s">
        <v>621</v>
      </c>
      <c r="D140" t="s">
        <v>1781</v>
      </c>
      <c r="E140" t="s">
        <v>582</v>
      </c>
      <c r="F140" s="213" t="s">
        <v>749</v>
      </c>
      <c r="G140" t="s">
        <v>1985</v>
      </c>
      <c r="H140" t="s">
        <v>1986</v>
      </c>
    </row>
    <row r="141" spans="1:8" x14ac:dyDescent="0.25">
      <c r="A141" t="s">
        <v>801</v>
      </c>
      <c r="B141" t="s">
        <v>100</v>
      </c>
      <c r="C141" t="s">
        <v>621</v>
      </c>
      <c r="D141" t="s">
        <v>1781</v>
      </c>
      <c r="E141" t="s">
        <v>582</v>
      </c>
      <c r="F141" s="213" t="s">
        <v>749</v>
      </c>
      <c r="G141" t="s">
        <v>1811</v>
      </c>
      <c r="H141" t="s">
        <v>1987</v>
      </c>
    </row>
    <row r="142" spans="1:8" x14ac:dyDescent="0.25">
      <c r="A142" t="s">
        <v>802</v>
      </c>
      <c r="B142" t="s">
        <v>100</v>
      </c>
      <c r="C142" t="s">
        <v>621</v>
      </c>
      <c r="D142" t="s">
        <v>1781</v>
      </c>
      <c r="E142" t="s">
        <v>582</v>
      </c>
      <c r="F142" s="213" t="s">
        <v>749</v>
      </c>
      <c r="G142" t="s">
        <v>1789</v>
      </c>
      <c r="H142" t="s">
        <v>1988</v>
      </c>
    </row>
    <row r="143" spans="1:8" x14ac:dyDescent="0.25">
      <c r="A143" t="s">
        <v>803</v>
      </c>
      <c r="B143" t="s">
        <v>100</v>
      </c>
      <c r="C143" t="s">
        <v>621</v>
      </c>
      <c r="D143" t="s">
        <v>1781</v>
      </c>
      <c r="E143" t="s">
        <v>582</v>
      </c>
      <c r="F143" s="213" t="s">
        <v>749</v>
      </c>
      <c r="G143" t="s">
        <v>1799</v>
      </c>
      <c r="H143" t="s">
        <v>1989</v>
      </c>
    </row>
    <row r="144" spans="1:8" x14ac:dyDescent="0.25">
      <c r="A144" t="s">
        <v>804</v>
      </c>
      <c r="B144" t="s">
        <v>100</v>
      </c>
      <c r="C144" t="s">
        <v>621</v>
      </c>
      <c r="D144" t="s">
        <v>1781</v>
      </c>
      <c r="E144" t="s">
        <v>582</v>
      </c>
      <c r="F144" s="213" t="s">
        <v>749</v>
      </c>
      <c r="G144" t="s">
        <v>1795</v>
      </c>
      <c r="H144" t="s">
        <v>1990</v>
      </c>
    </row>
    <row r="145" spans="1:8" x14ac:dyDescent="0.25">
      <c r="A145" t="s">
        <v>805</v>
      </c>
      <c r="B145" t="s">
        <v>100</v>
      </c>
      <c r="C145" t="s">
        <v>621</v>
      </c>
      <c r="D145" t="s">
        <v>1781</v>
      </c>
      <c r="E145" t="s">
        <v>582</v>
      </c>
      <c r="F145" s="213" t="s">
        <v>749</v>
      </c>
      <c r="G145" t="s">
        <v>1894</v>
      </c>
      <c r="H145" t="s">
        <v>1991</v>
      </c>
    </row>
    <row r="146" spans="1:8" x14ac:dyDescent="0.25">
      <c r="A146" t="s">
        <v>806</v>
      </c>
      <c r="B146" t="s">
        <v>100</v>
      </c>
      <c r="C146" t="s">
        <v>621</v>
      </c>
      <c r="D146" t="s">
        <v>1781</v>
      </c>
      <c r="E146" t="s">
        <v>582</v>
      </c>
      <c r="F146" s="213" t="s">
        <v>749</v>
      </c>
      <c r="G146" t="s">
        <v>1793</v>
      </c>
      <c r="H146" t="s">
        <v>1992</v>
      </c>
    </row>
    <row r="147" spans="1:8" x14ac:dyDescent="0.25">
      <c r="A147" t="s">
        <v>808</v>
      </c>
      <c r="B147" t="s">
        <v>100</v>
      </c>
      <c r="C147" t="s">
        <v>621</v>
      </c>
      <c r="D147" t="s">
        <v>1781</v>
      </c>
      <c r="E147" t="s">
        <v>582</v>
      </c>
      <c r="F147" s="213" t="s">
        <v>749</v>
      </c>
      <c r="G147" t="s">
        <v>1892</v>
      </c>
      <c r="H147" t="s">
        <v>1993</v>
      </c>
    </row>
    <row r="148" spans="1:8" x14ac:dyDescent="0.25">
      <c r="A148" t="s">
        <v>810</v>
      </c>
      <c r="B148" t="s">
        <v>100</v>
      </c>
      <c r="C148" t="s">
        <v>621</v>
      </c>
      <c r="D148" t="s">
        <v>1781</v>
      </c>
      <c r="E148" t="s">
        <v>582</v>
      </c>
      <c r="F148" s="213" t="s">
        <v>749</v>
      </c>
      <c r="G148" t="s">
        <v>646</v>
      </c>
      <c r="H148" t="s">
        <v>1994</v>
      </c>
    </row>
    <row r="149" spans="1:8" x14ac:dyDescent="0.25">
      <c r="A149" t="s">
        <v>811</v>
      </c>
      <c r="B149" t="s">
        <v>100</v>
      </c>
      <c r="C149" t="s">
        <v>621</v>
      </c>
      <c r="D149" t="s">
        <v>1781</v>
      </c>
      <c r="E149" t="s">
        <v>582</v>
      </c>
      <c r="F149" s="213" t="s">
        <v>749</v>
      </c>
      <c r="G149" t="s">
        <v>646</v>
      </c>
      <c r="H149" t="s">
        <v>1994</v>
      </c>
    </row>
    <row r="150" spans="1:8" x14ac:dyDescent="0.25">
      <c r="A150" t="s">
        <v>813</v>
      </c>
      <c r="B150" t="s">
        <v>100</v>
      </c>
      <c r="C150" t="s">
        <v>621</v>
      </c>
      <c r="D150" t="s">
        <v>1781</v>
      </c>
      <c r="E150" t="s">
        <v>582</v>
      </c>
      <c r="F150" s="213" t="s">
        <v>749</v>
      </c>
      <c r="G150" t="s">
        <v>1787</v>
      </c>
      <c r="H150" t="s">
        <v>1995</v>
      </c>
    </row>
    <row r="151" spans="1:8" x14ac:dyDescent="0.25">
      <c r="A151" t="s">
        <v>815</v>
      </c>
      <c r="B151" t="s">
        <v>100</v>
      </c>
      <c r="C151" t="s">
        <v>621</v>
      </c>
      <c r="D151" t="s">
        <v>1781</v>
      </c>
      <c r="E151" t="s">
        <v>582</v>
      </c>
      <c r="F151" s="213" t="s">
        <v>749</v>
      </c>
      <c r="G151" t="s">
        <v>1791</v>
      </c>
      <c r="H151" t="s">
        <v>1996</v>
      </c>
    </row>
    <row r="152" spans="1:8" x14ac:dyDescent="0.25">
      <c r="A152" t="s">
        <v>817</v>
      </c>
      <c r="B152" t="s">
        <v>100</v>
      </c>
      <c r="C152" t="s">
        <v>621</v>
      </c>
      <c r="D152" t="s">
        <v>1781</v>
      </c>
      <c r="E152" t="s">
        <v>582</v>
      </c>
      <c r="F152" s="213" t="s">
        <v>749</v>
      </c>
      <c r="G152" t="s">
        <v>1797</v>
      </c>
      <c r="H152" t="s">
        <v>1997</v>
      </c>
    </row>
    <row r="153" spans="1:8" x14ac:dyDescent="0.25">
      <c r="A153" t="s">
        <v>819</v>
      </c>
      <c r="B153" t="s">
        <v>100</v>
      </c>
      <c r="C153" t="s">
        <v>621</v>
      </c>
      <c r="D153" t="s">
        <v>1781</v>
      </c>
      <c r="E153" t="s">
        <v>582</v>
      </c>
      <c r="F153" s="213" t="s">
        <v>749</v>
      </c>
      <c r="G153" t="s">
        <v>1901</v>
      </c>
      <c r="H153" t="s">
        <v>1998</v>
      </c>
    </row>
    <row r="154" spans="1:8" x14ac:dyDescent="0.25">
      <c r="A154" t="s">
        <v>820</v>
      </c>
      <c r="B154" t="s">
        <v>100</v>
      </c>
      <c r="C154" t="s">
        <v>621</v>
      </c>
      <c r="D154" t="s">
        <v>1781</v>
      </c>
      <c r="E154" t="s">
        <v>582</v>
      </c>
      <c r="F154" s="213" t="s">
        <v>749</v>
      </c>
      <c r="G154" t="s">
        <v>1147</v>
      </c>
      <c r="H154" t="s">
        <v>1978</v>
      </c>
    </row>
    <row r="155" spans="1:8" x14ac:dyDescent="0.25">
      <c r="A155" t="s">
        <v>821</v>
      </c>
      <c r="B155" t="s">
        <v>100</v>
      </c>
      <c r="C155" t="s">
        <v>621</v>
      </c>
      <c r="D155" t="s">
        <v>1781</v>
      </c>
      <c r="E155" t="s">
        <v>582</v>
      </c>
      <c r="F155" s="213" t="s">
        <v>749</v>
      </c>
      <c r="G155" t="s">
        <v>1494</v>
      </c>
      <c r="H155" t="s">
        <v>1999</v>
      </c>
    </row>
    <row r="156" spans="1:8" x14ac:dyDescent="0.25">
      <c r="A156" t="s">
        <v>823</v>
      </c>
      <c r="B156" t="s">
        <v>100</v>
      </c>
      <c r="C156" t="s">
        <v>621</v>
      </c>
      <c r="D156" t="s">
        <v>1781</v>
      </c>
      <c r="E156" t="s">
        <v>582</v>
      </c>
      <c r="F156" s="213" t="s">
        <v>749</v>
      </c>
      <c r="G156" t="s">
        <v>2000</v>
      </c>
      <c r="H156" t="s">
        <v>1986</v>
      </c>
    </row>
    <row r="157" spans="1:8" x14ac:dyDescent="0.25">
      <c r="A157" t="s">
        <v>824</v>
      </c>
      <c r="B157" t="s">
        <v>100</v>
      </c>
      <c r="C157" t="s">
        <v>621</v>
      </c>
      <c r="D157" t="s">
        <v>1781</v>
      </c>
      <c r="E157" t="s">
        <v>582</v>
      </c>
      <c r="F157" s="213" t="s">
        <v>749</v>
      </c>
      <c r="G157" t="s">
        <v>1912</v>
      </c>
      <c r="H157" t="s">
        <v>2001</v>
      </c>
    </row>
    <row r="158" spans="1:8" x14ac:dyDescent="0.25">
      <c r="A158" t="s">
        <v>826</v>
      </c>
      <c r="B158" t="s">
        <v>100</v>
      </c>
      <c r="C158" t="s">
        <v>621</v>
      </c>
      <c r="D158" t="s">
        <v>1781</v>
      </c>
      <c r="E158" t="s">
        <v>582</v>
      </c>
      <c r="F158" s="213" t="s">
        <v>749</v>
      </c>
      <c r="G158" t="s">
        <v>1914</v>
      </c>
      <c r="H158" t="s">
        <v>2002</v>
      </c>
    </row>
    <row r="159" spans="1:8" x14ac:dyDescent="0.25">
      <c r="A159" t="s">
        <v>828</v>
      </c>
      <c r="B159" t="s">
        <v>100</v>
      </c>
      <c r="C159" t="s">
        <v>621</v>
      </c>
      <c r="D159" t="s">
        <v>1781</v>
      </c>
      <c r="E159" t="s">
        <v>582</v>
      </c>
      <c r="F159" s="213" t="s">
        <v>749</v>
      </c>
      <c r="G159" t="s">
        <v>1908</v>
      </c>
      <c r="H159" t="s">
        <v>2003</v>
      </c>
    </row>
    <row r="160" spans="1:8" x14ac:dyDescent="0.25">
      <c r="A160" t="s">
        <v>829</v>
      </c>
      <c r="B160" t="s">
        <v>100</v>
      </c>
      <c r="C160" t="s">
        <v>621</v>
      </c>
      <c r="D160" t="s">
        <v>1781</v>
      </c>
      <c r="E160" t="s">
        <v>582</v>
      </c>
      <c r="F160" s="213" t="s">
        <v>749</v>
      </c>
      <c r="G160" t="s">
        <v>2004</v>
      </c>
      <c r="H160" t="s">
        <v>1976</v>
      </c>
    </row>
    <row r="161" spans="1:8" x14ac:dyDescent="0.25">
      <c r="A161" t="s">
        <v>830</v>
      </c>
      <c r="B161" t="s">
        <v>100</v>
      </c>
      <c r="C161" t="s">
        <v>621</v>
      </c>
      <c r="D161" t="s">
        <v>1781</v>
      </c>
      <c r="E161" t="s">
        <v>582</v>
      </c>
      <c r="F161" s="213" t="s">
        <v>749</v>
      </c>
      <c r="G161" t="s">
        <v>1133</v>
      </c>
      <c r="H161" t="s">
        <v>2005</v>
      </c>
    </row>
    <row r="162" spans="1:8" x14ac:dyDescent="0.25">
      <c r="A162" t="s">
        <v>831</v>
      </c>
      <c r="B162" t="s">
        <v>100</v>
      </c>
      <c r="C162" t="s">
        <v>621</v>
      </c>
      <c r="D162" t="s">
        <v>1781</v>
      </c>
      <c r="E162" t="s">
        <v>582</v>
      </c>
      <c r="F162" s="213" t="s">
        <v>749</v>
      </c>
      <c r="G162" t="s">
        <v>1923</v>
      </c>
      <c r="H162" t="s">
        <v>2006</v>
      </c>
    </row>
    <row r="163" spans="1:8" x14ac:dyDescent="0.25">
      <c r="A163" t="s">
        <v>832</v>
      </c>
      <c r="B163" t="s">
        <v>100</v>
      </c>
      <c r="C163" t="s">
        <v>621</v>
      </c>
      <c r="D163" t="s">
        <v>1781</v>
      </c>
      <c r="E163" t="s">
        <v>582</v>
      </c>
      <c r="F163" s="213" t="s">
        <v>749</v>
      </c>
      <c r="G163" t="s">
        <v>2007</v>
      </c>
      <c r="H163" t="s">
        <v>1968</v>
      </c>
    </row>
    <row r="164" spans="1:8" x14ac:dyDescent="0.25">
      <c r="A164" t="s">
        <v>833</v>
      </c>
      <c r="B164" t="s">
        <v>100</v>
      </c>
      <c r="C164" t="s">
        <v>621</v>
      </c>
      <c r="D164" t="s">
        <v>1781</v>
      </c>
      <c r="E164" t="s">
        <v>582</v>
      </c>
      <c r="F164" s="213" t="s">
        <v>749</v>
      </c>
      <c r="G164" t="s">
        <v>818</v>
      </c>
      <c r="H164" t="s">
        <v>1974</v>
      </c>
    </row>
    <row r="165" spans="1:8" x14ac:dyDescent="0.25">
      <c r="A165" t="s">
        <v>834</v>
      </c>
      <c r="B165" t="s">
        <v>100</v>
      </c>
      <c r="C165" t="s">
        <v>621</v>
      </c>
      <c r="D165" t="s">
        <v>1781</v>
      </c>
      <c r="E165" t="s">
        <v>582</v>
      </c>
      <c r="F165" s="213" t="s">
        <v>749</v>
      </c>
      <c r="G165" t="s">
        <v>1931</v>
      </c>
      <c r="H165" t="s">
        <v>2008</v>
      </c>
    </row>
    <row r="166" spans="1:8" x14ac:dyDescent="0.25">
      <c r="A166" t="s">
        <v>835</v>
      </c>
      <c r="B166" t="s">
        <v>100</v>
      </c>
      <c r="C166" t="s">
        <v>621</v>
      </c>
      <c r="D166" t="s">
        <v>1781</v>
      </c>
      <c r="E166" t="s">
        <v>582</v>
      </c>
      <c r="F166" s="213" t="s">
        <v>749</v>
      </c>
      <c r="G166" t="s">
        <v>2009</v>
      </c>
      <c r="H166" t="s">
        <v>1958</v>
      </c>
    </row>
    <row r="167" spans="1:8" x14ac:dyDescent="0.25">
      <c r="A167" t="s">
        <v>836</v>
      </c>
      <c r="B167" t="s">
        <v>100</v>
      </c>
      <c r="C167" t="s">
        <v>621</v>
      </c>
      <c r="D167" t="s">
        <v>1781</v>
      </c>
      <c r="E167" t="s">
        <v>582</v>
      </c>
      <c r="F167" s="213" t="s">
        <v>749</v>
      </c>
      <c r="G167" t="s">
        <v>1929</v>
      </c>
      <c r="H167" t="s">
        <v>2010</v>
      </c>
    </row>
    <row r="168" spans="1:8" x14ac:dyDescent="0.25">
      <c r="A168" t="s">
        <v>837</v>
      </c>
      <c r="B168" t="s">
        <v>100</v>
      </c>
      <c r="C168" t="s">
        <v>621</v>
      </c>
      <c r="D168" t="s">
        <v>1781</v>
      </c>
      <c r="E168" t="s">
        <v>582</v>
      </c>
      <c r="F168" s="213" t="s">
        <v>749</v>
      </c>
      <c r="G168" t="s">
        <v>2011</v>
      </c>
      <c r="H168" t="s">
        <v>1965</v>
      </c>
    </row>
    <row r="169" spans="1:8" x14ac:dyDescent="0.25">
      <c r="A169" t="s">
        <v>838</v>
      </c>
      <c r="B169" t="s">
        <v>100</v>
      </c>
      <c r="C169" t="s">
        <v>621</v>
      </c>
      <c r="D169" t="s">
        <v>1781</v>
      </c>
      <c r="E169" t="s">
        <v>582</v>
      </c>
      <c r="F169" s="213" t="s">
        <v>749</v>
      </c>
      <c r="G169" t="s">
        <v>1939</v>
      </c>
      <c r="H169" t="s">
        <v>2012</v>
      </c>
    </row>
    <row r="170" spans="1:8" x14ac:dyDescent="0.25">
      <c r="A170" t="s">
        <v>839</v>
      </c>
      <c r="B170" t="s">
        <v>100</v>
      </c>
      <c r="C170" t="s">
        <v>621</v>
      </c>
      <c r="D170" t="s">
        <v>1781</v>
      </c>
      <c r="E170" t="s">
        <v>582</v>
      </c>
      <c r="F170" s="213" t="s">
        <v>749</v>
      </c>
      <c r="G170" t="s">
        <v>1936</v>
      </c>
      <c r="H170" t="s">
        <v>2013</v>
      </c>
    </row>
    <row r="171" spans="1:8" x14ac:dyDescent="0.25">
      <c r="A171" t="s">
        <v>840</v>
      </c>
      <c r="B171" t="s">
        <v>100</v>
      </c>
      <c r="C171" t="s">
        <v>621</v>
      </c>
      <c r="D171" t="s">
        <v>1781</v>
      </c>
      <c r="E171" t="s">
        <v>582</v>
      </c>
      <c r="F171" s="213" t="s">
        <v>749</v>
      </c>
      <c r="G171" t="s">
        <v>2014</v>
      </c>
      <c r="H171" t="s">
        <v>1955</v>
      </c>
    </row>
    <row r="172" spans="1:8" x14ac:dyDescent="0.25">
      <c r="A172" t="s">
        <v>841</v>
      </c>
      <c r="B172" t="s">
        <v>100</v>
      </c>
      <c r="C172" t="s">
        <v>621</v>
      </c>
      <c r="D172" t="s">
        <v>1781</v>
      </c>
      <c r="E172" t="s">
        <v>582</v>
      </c>
      <c r="F172" s="213" t="s">
        <v>749</v>
      </c>
      <c r="G172" t="s">
        <v>1946</v>
      </c>
      <c r="H172" t="s">
        <v>2015</v>
      </c>
    </row>
    <row r="173" spans="1:8" x14ac:dyDescent="0.25">
      <c r="A173" t="s">
        <v>842</v>
      </c>
      <c r="B173" t="s">
        <v>100</v>
      </c>
      <c r="C173" t="s">
        <v>621</v>
      </c>
      <c r="D173" t="s">
        <v>1781</v>
      </c>
      <c r="E173" t="s">
        <v>582</v>
      </c>
      <c r="F173" s="213" t="s">
        <v>749</v>
      </c>
      <c r="G173" t="s">
        <v>89</v>
      </c>
      <c r="H173" t="s">
        <v>1960</v>
      </c>
    </row>
    <row r="174" spans="1:8" x14ac:dyDescent="0.25">
      <c r="A174" t="s">
        <v>843</v>
      </c>
      <c r="B174" t="s">
        <v>100</v>
      </c>
      <c r="C174" t="s">
        <v>621</v>
      </c>
      <c r="D174" t="s">
        <v>1781</v>
      </c>
      <c r="E174" t="s">
        <v>582</v>
      </c>
      <c r="F174" s="213" t="s">
        <v>749</v>
      </c>
      <c r="G174" t="s">
        <v>1943</v>
      </c>
      <c r="H174" t="s">
        <v>2016</v>
      </c>
    </row>
    <row r="175" spans="1:8" x14ac:dyDescent="0.25">
      <c r="A175" t="s">
        <v>844</v>
      </c>
      <c r="B175" t="s">
        <v>100</v>
      </c>
      <c r="C175" t="s">
        <v>621</v>
      </c>
      <c r="D175" t="s">
        <v>1781</v>
      </c>
      <c r="E175" t="s">
        <v>582</v>
      </c>
      <c r="F175" s="213" t="s">
        <v>749</v>
      </c>
      <c r="G175" t="s">
        <v>645</v>
      </c>
      <c r="H175" t="s">
        <v>2017</v>
      </c>
    </row>
    <row r="176" spans="1:8" x14ac:dyDescent="0.25">
      <c r="A176" t="s">
        <v>845</v>
      </c>
      <c r="B176" t="s">
        <v>100</v>
      </c>
      <c r="C176" t="s">
        <v>621</v>
      </c>
      <c r="D176" t="s">
        <v>1781</v>
      </c>
      <c r="E176" t="s">
        <v>582</v>
      </c>
      <c r="F176" s="213" t="s">
        <v>749</v>
      </c>
      <c r="G176" t="s">
        <v>2018</v>
      </c>
      <c r="H176" t="s">
        <v>1947</v>
      </c>
    </row>
    <row r="177" spans="1:8" x14ac:dyDescent="0.25">
      <c r="A177" t="s">
        <v>846</v>
      </c>
      <c r="B177" t="s">
        <v>100</v>
      </c>
      <c r="C177" t="s">
        <v>621</v>
      </c>
      <c r="D177" t="s">
        <v>1781</v>
      </c>
      <c r="E177" t="s">
        <v>582</v>
      </c>
      <c r="F177" s="213" t="s">
        <v>749</v>
      </c>
      <c r="G177" t="s">
        <v>74</v>
      </c>
      <c r="H177" t="s">
        <v>1953</v>
      </c>
    </row>
    <row r="178" spans="1:8" x14ac:dyDescent="0.25">
      <c r="A178" t="s">
        <v>847</v>
      </c>
      <c r="B178" t="s">
        <v>100</v>
      </c>
      <c r="C178" t="s">
        <v>621</v>
      </c>
      <c r="D178" t="s">
        <v>1781</v>
      </c>
      <c r="E178" t="s">
        <v>582</v>
      </c>
      <c r="F178" s="213" t="s">
        <v>749</v>
      </c>
      <c r="G178" t="s">
        <v>1952</v>
      </c>
      <c r="H178" t="s">
        <v>2019</v>
      </c>
    </row>
    <row r="179" spans="1:8" x14ac:dyDescent="0.25">
      <c r="A179" t="s">
        <v>848</v>
      </c>
      <c r="B179" t="s">
        <v>100</v>
      </c>
      <c r="C179" t="s">
        <v>621</v>
      </c>
      <c r="D179" t="s">
        <v>1781</v>
      </c>
      <c r="E179" t="s">
        <v>582</v>
      </c>
      <c r="F179" s="213" t="s">
        <v>749</v>
      </c>
      <c r="G179" t="s">
        <v>1954</v>
      </c>
      <c r="H179" t="s">
        <v>2020</v>
      </c>
    </row>
    <row r="180" spans="1:8" x14ac:dyDescent="0.25">
      <c r="A180" t="s">
        <v>849</v>
      </c>
      <c r="B180" t="s">
        <v>100</v>
      </c>
      <c r="C180" t="s">
        <v>621</v>
      </c>
      <c r="D180" t="s">
        <v>1781</v>
      </c>
      <c r="E180" t="s">
        <v>582</v>
      </c>
      <c r="F180" s="213" t="s">
        <v>749</v>
      </c>
      <c r="G180" t="s">
        <v>1957</v>
      </c>
      <c r="H180" t="s">
        <v>2021</v>
      </c>
    </row>
    <row r="181" spans="1:8" x14ac:dyDescent="0.25">
      <c r="A181" t="s">
        <v>850</v>
      </c>
      <c r="B181" t="s">
        <v>100</v>
      </c>
      <c r="C181" t="s">
        <v>621</v>
      </c>
      <c r="D181" t="s">
        <v>1781</v>
      </c>
      <c r="E181" t="s">
        <v>582</v>
      </c>
      <c r="F181" s="213" t="s">
        <v>749</v>
      </c>
      <c r="G181" t="s">
        <v>1959</v>
      </c>
      <c r="H181" t="s">
        <v>2022</v>
      </c>
    </row>
    <row r="182" spans="1:8" x14ac:dyDescent="0.25">
      <c r="A182" t="s">
        <v>851</v>
      </c>
      <c r="B182" t="s">
        <v>100</v>
      </c>
      <c r="C182" t="s">
        <v>621</v>
      </c>
      <c r="D182" t="s">
        <v>1781</v>
      </c>
      <c r="E182" t="s">
        <v>582</v>
      </c>
      <c r="F182" s="213" t="s">
        <v>749</v>
      </c>
      <c r="G182" t="s">
        <v>59</v>
      </c>
      <c r="H182" t="s">
        <v>1945</v>
      </c>
    </row>
    <row r="183" spans="1:8" x14ac:dyDescent="0.25">
      <c r="A183" t="s">
        <v>852</v>
      </c>
      <c r="B183" t="s">
        <v>100</v>
      </c>
      <c r="C183" t="s">
        <v>621</v>
      </c>
      <c r="D183" t="s">
        <v>1781</v>
      </c>
      <c r="E183" t="s">
        <v>582</v>
      </c>
      <c r="F183" s="213" t="s">
        <v>749</v>
      </c>
      <c r="G183" t="s">
        <v>1967</v>
      </c>
      <c r="H183" t="s">
        <v>2023</v>
      </c>
    </row>
    <row r="184" spans="1:8" x14ac:dyDescent="0.25">
      <c r="A184" t="s">
        <v>853</v>
      </c>
      <c r="B184" t="s">
        <v>100</v>
      </c>
      <c r="C184" t="s">
        <v>621</v>
      </c>
      <c r="D184" t="s">
        <v>1781</v>
      </c>
      <c r="E184" t="s">
        <v>582</v>
      </c>
      <c r="F184" s="213" t="s">
        <v>749</v>
      </c>
      <c r="G184" t="s">
        <v>44</v>
      </c>
      <c r="H184" t="s">
        <v>1940</v>
      </c>
    </row>
    <row r="185" spans="1:8" x14ac:dyDescent="0.25">
      <c r="A185" t="s">
        <v>854</v>
      </c>
      <c r="B185" t="s">
        <v>100</v>
      </c>
      <c r="C185" t="s">
        <v>621</v>
      </c>
      <c r="D185" t="s">
        <v>1781</v>
      </c>
      <c r="E185" t="s">
        <v>582</v>
      </c>
      <c r="F185" s="213" t="s">
        <v>749</v>
      </c>
      <c r="G185" t="s">
        <v>2024</v>
      </c>
      <c r="H185" t="s">
        <v>1944</v>
      </c>
    </row>
    <row r="186" spans="1:8" x14ac:dyDescent="0.25">
      <c r="A186" t="s">
        <v>855</v>
      </c>
      <c r="B186" t="s">
        <v>100</v>
      </c>
      <c r="C186" t="s">
        <v>621</v>
      </c>
      <c r="D186" t="s">
        <v>1781</v>
      </c>
      <c r="E186" t="s">
        <v>582</v>
      </c>
      <c r="F186" s="213" t="s">
        <v>749</v>
      </c>
      <c r="G186" t="s">
        <v>1964</v>
      </c>
      <c r="H186" t="s">
        <v>2025</v>
      </c>
    </row>
    <row r="187" spans="1:8" x14ac:dyDescent="0.25">
      <c r="A187" t="s">
        <v>856</v>
      </c>
      <c r="B187" t="s">
        <v>100</v>
      </c>
      <c r="C187" t="s">
        <v>621</v>
      </c>
      <c r="D187" t="s">
        <v>1781</v>
      </c>
      <c r="E187" t="s">
        <v>582</v>
      </c>
      <c r="F187" s="213" t="s">
        <v>749</v>
      </c>
      <c r="G187" t="s">
        <v>2026</v>
      </c>
      <c r="H187" t="s">
        <v>1937</v>
      </c>
    </row>
    <row r="188" spans="1:8" x14ac:dyDescent="0.25">
      <c r="A188" t="s">
        <v>857</v>
      </c>
      <c r="B188" t="s">
        <v>100</v>
      </c>
      <c r="C188" t="s">
        <v>621</v>
      </c>
      <c r="D188" t="s">
        <v>1781</v>
      </c>
      <c r="E188" t="s">
        <v>582</v>
      </c>
      <c r="F188" s="213" t="s">
        <v>749</v>
      </c>
      <c r="G188" t="s">
        <v>29</v>
      </c>
      <c r="H188" t="s">
        <v>1932</v>
      </c>
    </row>
    <row r="189" spans="1:8" x14ac:dyDescent="0.25">
      <c r="A189" t="s">
        <v>858</v>
      </c>
      <c r="B189" t="s">
        <v>100</v>
      </c>
      <c r="C189" t="s">
        <v>621</v>
      </c>
      <c r="D189" t="s">
        <v>1781</v>
      </c>
      <c r="E189" t="s">
        <v>582</v>
      </c>
      <c r="F189" s="213" t="s">
        <v>749</v>
      </c>
      <c r="G189" t="s">
        <v>1977</v>
      </c>
      <c r="H189" t="s">
        <v>2027</v>
      </c>
    </row>
    <row r="190" spans="1:8" x14ac:dyDescent="0.25">
      <c r="A190" t="s">
        <v>859</v>
      </c>
      <c r="B190" t="s">
        <v>100</v>
      </c>
      <c r="C190" t="s">
        <v>621</v>
      </c>
      <c r="D190" t="s">
        <v>1781</v>
      </c>
      <c r="E190" t="s">
        <v>582</v>
      </c>
      <c r="F190" s="213" t="s">
        <v>749</v>
      </c>
      <c r="G190" t="s">
        <v>1975</v>
      </c>
      <c r="H190" t="s">
        <v>2028</v>
      </c>
    </row>
    <row r="191" spans="1:8" x14ac:dyDescent="0.25">
      <c r="A191" t="s">
        <v>860</v>
      </c>
      <c r="B191" t="s">
        <v>100</v>
      </c>
      <c r="C191" t="s">
        <v>621</v>
      </c>
      <c r="D191" t="s">
        <v>1781</v>
      </c>
      <c r="E191" t="s">
        <v>582</v>
      </c>
      <c r="F191" s="213" t="s">
        <v>749</v>
      </c>
      <c r="G191" t="s">
        <v>1973</v>
      </c>
      <c r="H191" t="s">
        <v>2029</v>
      </c>
    </row>
    <row r="192" spans="1:8" x14ac:dyDescent="0.25">
      <c r="A192" t="s">
        <v>861</v>
      </c>
      <c r="B192" t="s">
        <v>100</v>
      </c>
      <c r="C192" t="s">
        <v>621</v>
      </c>
      <c r="D192" t="s">
        <v>1781</v>
      </c>
      <c r="E192" t="s">
        <v>582</v>
      </c>
      <c r="F192" s="213" t="s">
        <v>749</v>
      </c>
      <c r="G192" t="s">
        <v>646</v>
      </c>
      <c r="H192" t="s">
        <v>2030</v>
      </c>
    </row>
    <row r="193" spans="1:8" x14ac:dyDescent="0.25">
      <c r="A193" t="s">
        <v>862</v>
      </c>
      <c r="B193" t="s">
        <v>100</v>
      </c>
      <c r="C193" t="s">
        <v>621</v>
      </c>
      <c r="D193" t="s">
        <v>1781</v>
      </c>
      <c r="E193" t="s">
        <v>582</v>
      </c>
      <c r="F193" s="213" t="s">
        <v>749</v>
      </c>
      <c r="G193" t="s">
        <v>14</v>
      </c>
      <c r="H193" t="s">
        <v>1925</v>
      </c>
    </row>
    <row r="194" spans="1:8" x14ac:dyDescent="0.25">
      <c r="A194" t="s">
        <v>863</v>
      </c>
      <c r="B194" t="s">
        <v>100</v>
      </c>
      <c r="C194" t="s">
        <v>621</v>
      </c>
      <c r="D194" t="s">
        <v>1781</v>
      </c>
      <c r="E194" t="s">
        <v>582</v>
      </c>
      <c r="F194" s="213" t="s">
        <v>749</v>
      </c>
      <c r="G194" t="s">
        <v>1985</v>
      </c>
      <c r="H194" t="s">
        <v>2031</v>
      </c>
    </row>
    <row r="195" spans="1:8" x14ac:dyDescent="0.25">
      <c r="A195" t="s">
        <v>864</v>
      </c>
      <c r="B195" t="s">
        <v>100</v>
      </c>
      <c r="C195" t="s">
        <v>621</v>
      </c>
      <c r="D195" t="s">
        <v>1781</v>
      </c>
      <c r="E195" t="s">
        <v>582</v>
      </c>
      <c r="F195" s="213" t="s">
        <v>749</v>
      </c>
      <c r="G195" t="s">
        <v>2032</v>
      </c>
      <c r="H195" t="s">
        <v>1930</v>
      </c>
    </row>
    <row r="196" spans="1:8" x14ac:dyDescent="0.25">
      <c r="A196" t="s">
        <v>865</v>
      </c>
      <c r="B196" t="s">
        <v>100</v>
      </c>
      <c r="C196" t="s">
        <v>621</v>
      </c>
      <c r="D196" t="s">
        <v>1781</v>
      </c>
      <c r="E196" t="s">
        <v>582</v>
      </c>
      <c r="F196" s="213" t="s">
        <v>749</v>
      </c>
      <c r="G196" t="s">
        <v>2033</v>
      </c>
      <c r="H196" t="s">
        <v>1924</v>
      </c>
    </row>
    <row r="197" spans="1:8" x14ac:dyDescent="0.25">
      <c r="A197" t="s">
        <v>866</v>
      </c>
      <c r="B197" t="s">
        <v>100</v>
      </c>
      <c r="C197" t="s">
        <v>621</v>
      </c>
      <c r="D197" t="s">
        <v>1781</v>
      </c>
      <c r="E197" t="s">
        <v>582</v>
      </c>
      <c r="F197" s="213" t="s">
        <v>749</v>
      </c>
      <c r="G197" t="s">
        <v>2000</v>
      </c>
      <c r="H197" t="s">
        <v>2031</v>
      </c>
    </row>
    <row r="198" spans="1:8" x14ac:dyDescent="0.25">
      <c r="A198" t="s">
        <v>867</v>
      </c>
      <c r="B198" t="s">
        <v>100</v>
      </c>
      <c r="C198" t="s">
        <v>621</v>
      </c>
      <c r="D198" t="s">
        <v>1781</v>
      </c>
      <c r="E198" t="s">
        <v>582</v>
      </c>
      <c r="F198" s="213" t="s">
        <v>749</v>
      </c>
      <c r="G198" t="s">
        <v>1147</v>
      </c>
      <c r="H198" t="s">
        <v>2027</v>
      </c>
    </row>
    <row r="199" spans="1:8" x14ac:dyDescent="0.25">
      <c r="A199" t="s">
        <v>868</v>
      </c>
      <c r="B199" t="s">
        <v>100</v>
      </c>
      <c r="C199" t="s">
        <v>621</v>
      </c>
      <c r="D199" t="s">
        <v>1781</v>
      </c>
      <c r="E199" t="s">
        <v>582</v>
      </c>
      <c r="F199" s="213" t="s">
        <v>749</v>
      </c>
      <c r="G199" t="s">
        <v>2034</v>
      </c>
      <c r="H199" t="s">
        <v>1913</v>
      </c>
    </row>
    <row r="200" spans="1:8" x14ac:dyDescent="0.25">
      <c r="A200" t="s">
        <v>869</v>
      </c>
      <c r="B200" t="s">
        <v>100</v>
      </c>
      <c r="C200" t="s">
        <v>621</v>
      </c>
      <c r="D200" t="s">
        <v>1781</v>
      </c>
      <c r="E200" t="s">
        <v>582</v>
      </c>
      <c r="F200" s="213" t="s">
        <v>749</v>
      </c>
      <c r="G200" t="s">
        <v>2035</v>
      </c>
      <c r="H200" t="s">
        <v>1915</v>
      </c>
    </row>
    <row r="201" spans="1:8" x14ac:dyDescent="0.25">
      <c r="A201" t="s">
        <v>870</v>
      </c>
      <c r="B201" t="s">
        <v>100</v>
      </c>
      <c r="C201" t="s">
        <v>621</v>
      </c>
      <c r="D201" t="s">
        <v>1781</v>
      </c>
      <c r="E201" t="s">
        <v>582</v>
      </c>
      <c r="F201" s="213" t="s">
        <v>749</v>
      </c>
      <c r="G201" t="s">
        <v>2036</v>
      </c>
      <c r="H201" t="s">
        <v>1909</v>
      </c>
    </row>
    <row r="202" spans="1:8" x14ac:dyDescent="0.25">
      <c r="A202" t="s">
        <v>871</v>
      </c>
      <c r="B202" t="s">
        <v>100</v>
      </c>
      <c r="C202" t="s">
        <v>621</v>
      </c>
      <c r="D202" t="s">
        <v>1781</v>
      </c>
      <c r="E202" t="s">
        <v>582</v>
      </c>
      <c r="F202" s="213" t="s">
        <v>749</v>
      </c>
      <c r="G202" t="s">
        <v>2037</v>
      </c>
      <c r="H202" t="s">
        <v>1902</v>
      </c>
    </row>
    <row r="203" spans="1:8" x14ac:dyDescent="0.25">
      <c r="A203" t="s">
        <v>872</v>
      </c>
      <c r="B203" t="s">
        <v>100</v>
      </c>
      <c r="C203" t="s">
        <v>621</v>
      </c>
      <c r="D203" t="s">
        <v>1781</v>
      </c>
      <c r="E203" t="s">
        <v>582</v>
      </c>
      <c r="F203" s="213" t="s">
        <v>749</v>
      </c>
      <c r="G203" t="s">
        <v>2004</v>
      </c>
      <c r="H203" t="s">
        <v>2028</v>
      </c>
    </row>
    <row r="204" spans="1:8" x14ac:dyDescent="0.25">
      <c r="A204" t="s">
        <v>873</v>
      </c>
      <c r="B204" t="s">
        <v>100</v>
      </c>
      <c r="C204" t="s">
        <v>621</v>
      </c>
      <c r="D204" t="s">
        <v>1781</v>
      </c>
      <c r="E204" t="s">
        <v>582</v>
      </c>
      <c r="F204" s="213" t="s">
        <v>749</v>
      </c>
      <c r="G204" t="s">
        <v>2038</v>
      </c>
      <c r="H204" t="s">
        <v>1893</v>
      </c>
    </row>
    <row r="205" spans="1:8" x14ac:dyDescent="0.25">
      <c r="A205" t="s">
        <v>874</v>
      </c>
      <c r="B205" t="s">
        <v>100</v>
      </c>
      <c r="C205" t="s">
        <v>621</v>
      </c>
      <c r="D205" t="s">
        <v>1781</v>
      </c>
      <c r="E205" t="s">
        <v>582</v>
      </c>
      <c r="F205" s="213" t="s">
        <v>749</v>
      </c>
      <c r="G205" t="s">
        <v>2039</v>
      </c>
      <c r="H205" t="s">
        <v>1898</v>
      </c>
    </row>
    <row r="206" spans="1:8" x14ac:dyDescent="0.25">
      <c r="A206" t="s">
        <v>876</v>
      </c>
      <c r="B206" t="s">
        <v>100</v>
      </c>
      <c r="C206" t="s">
        <v>621</v>
      </c>
      <c r="D206" t="s">
        <v>1781</v>
      </c>
      <c r="E206" t="s">
        <v>582</v>
      </c>
      <c r="F206" s="213" t="s">
        <v>749</v>
      </c>
      <c r="G206" t="s">
        <v>818</v>
      </c>
      <c r="H206" t="s">
        <v>2029</v>
      </c>
    </row>
    <row r="207" spans="1:8" x14ac:dyDescent="0.25">
      <c r="A207" t="s">
        <v>877</v>
      </c>
      <c r="B207" t="s">
        <v>100</v>
      </c>
      <c r="C207" t="s">
        <v>621</v>
      </c>
      <c r="D207" t="s">
        <v>1781</v>
      </c>
      <c r="E207" t="s">
        <v>582</v>
      </c>
      <c r="F207" s="213" t="s">
        <v>749</v>
      </c>
      <c r="G207" t="s">
        <v>2007</v>
      </c>
      <c r="H207" t="s">
        <v>2023</v>
      </c>
    </row>
    <row r="208" spans="1:8" x14ac:dyDescent="0.25">
      <c r="A208" t="s">
        <v>879</v>
      </c>
      <c r="B208" t="s">
        <v>100</v>
      </c>
      <c r="C208" t="s">
        <v>621</v>
      </c>
      <c r="D208" t="s">
        <v>1781</v>
      </c>
      <c r="E208" t="s">
        <v>582</v>
      </c>
      <c r="F208" s="213" t="s">
        <v>749</v>
      </c>
      <c r="G208" t="s">
        <v>2040</v>
      </c>
      <c r="H208" t="s">
        <v>1889</v>
      </c>
    </row>
    <row r="209" spans="1:8" x14ac:dyDescent="0.25">
      <c r="A209" t="s">
        <v>880</v>
      </c>
      <c r="B209" t="s">
        <v>100</v>
      </c>
      <c r="C209" t="s">
        <v>621</v>
      </c>
      <c r="D209" t="s">
        <v>1781</v>
      </c>
      <c r="E209" t="s">
        <v>582</v>
      </c>
      <c r="F209" s="213" t="s">
        <v>749</v>
      </c>
      <c r="G209" t="s">
        <v>2041</v>
      </c>
      <c r="H209" t="s">
        <v>1895</v>
      </c>
    </row>
    <row r="210" spans="1:8" x14ac:dyDescent="0.25">
      <c r="A210" t="s">
        <v>881</v>
      </c>
      <c r="B210" t="s">
        <v>100</v>
      </c>
      <c r="C210" t="s">
        <v>621</v>
      </c>
      <c r="D210" t="s">
        <v>1781</v>
      </c>
      <c r="E210" t="s">
        <v>582</v>
      </c>
      <c r="F210" s="213" t="s">
        <v>749</v>
      </c>
      <c r="G210" t="s">
        <v>2042</v>
      </c>
      <c r="H210" t="s">
        <v>1887</v>
      </c>
    </row>
    <row r="211" spans="1:8" x14ac:dyDescent="0.25">
      <c r="A211" t="s">
        <v>882</v>
      </c>
      <c r="B211" t="s">
        <v>100</v>
      </c>
      <c r="C211" t="s">
        <v>621</v>
      </c>
      <c r="D211" t="s">
        <v>1781</v>
      </c>
      <c r="E211" t="s">
        <v>582</v>
      </c>
      <c r="F211" s="213" t="s">
        <v>749</v>
      </c>
      <c r="G211" t="s">
        <v>2009</v>
      </c>
      <c r="H211" t="s">
        <v>2021</v>
      </c>
    </row>
    <row r="212" spans="1:8" x14ac:dyDescent="0.25">
      <c r="A212" t="s">
        <v>884</v>
      </c>
      <c r="B212" t="s">
        <v>100</v>
      </c>
      <c r="C212" t="s">
        <v>621</v>
      </c>
      <c r="D212" t="s">
        <v>1781</v>
      </c>
      <c r="E212" t="s">
        <v>582</v>
      </c>
      <c r="F212" s="213" t="s">
        <v>749</v>
      </c>
      <c r="G212" t="s">
        <v>2011</v>
      </c>
      <c r="H212" t="s">
        <v>2025</v>
      </c>
    </row>
    <row r="213" spans="1:8" x14ac:dyDescent="0.25">
      <c r="A213" t="s">
        <v>885</v>
      </c>
      <c r="B213" t="s">
        <v>100</v>
      </c>
      <c r="C213" t="s">
        <v>621</v>
      </c>
      <c r="D213" t="s">
        <v>1781</v>
      </c>
      <c r="E213" t="s">
        <v>582</v>
      </c>
      <c r="F213" s="213" t="s">
        <v>749</v>
      </c>
      <c r="G213" t="s">
        <v>2043</v>
      </c>
      <c r="H213" t="s">
        <v>1885</v>
      </c>
    </row>
    <row r="214" spans="1:8" x14ac:dyDescent="0.25">
      <c r="A214" t="s">
        <v>886</v>
      </c>
      <c r="B214" t="s">
        <v>100</v>
      </c>
      <c r="C214" t="s">
        <v>621</v>
      </c>
      <c r="D214" t="s">
        <v>1781</v>
      </c>
      <c r="E214" t="s">
        <v>582</v>
      </c>
      <c r="F214" s="213" t="s">
        <v>749</v>
      </c>
      <c r="G214" t="s">
        <v>2044</v>
      </c>
      <c r="H214" t="s">
        <v>1883</v>
      </c>
    </row>
    <row r="215" spans="1:8" x14ac:dyDescent="0.25">
      <c r="A215" t="s">
        <v>887</v>
      </c>
      <c r="B215" t="s">
        <v>100</v>
      </c>
      <c r="C215" t="s">
        <v>621</v>
      </c>
      <c r="D215" t="s">
        <v>1781</v>
      </c>
      <c r="E215" t="s">
        <v>582</v>
      </c>
      <c r="F215" s="213" t="s">
        <v>749</v>
      </c>
      <c r="G215" t="s">
        <v>2045</v>
      </c>
      <c r="H215" t="s">
        <v>1881</v>
      </c>
    </row>
    <row r="216" spans="1:8" x14ac:dyDescent="0.25">
      <c r="A216" t="s">
        <v>889</v>
      </c>
      <c r="B216" t="s">
        <v>100</v>
      </c>
      <c r="C216" t="s">
        <v>621</v>
      </c>
      <c r="D216" t="s">
        <v>1781</v>
      </c>
      <c r="E216" t="s">
        <v>582</v>
      </c>
      <c r="F216" s="213" t="s">
        <v>749</v>
      </c>
      <c r="G216" t="s">
        <v>2046</v>
      </c>
      <c r="H216" t="s">
        <v>1879</v>
      </c>
    </row>
    <row r="217" spans="1:8" x14ac:dyDescent="0.25">
      <c r="A217" t="s">
        <v>890</v>
      </c>
      <c r="B217" t="s">
        <v>100</v>
      </c>
      <c r="C217" t="s">
        <v>621</v>
      </c>
      <c r="D217" t="s">
        <v>1781</v>
      </c>
      <c r="E217" t="s">
        <v>582</v>
      </c>
      <c r="F217" s="213" t="s">
        <v>749</v>
      </c>
      <c r="G217" t="s">
        <v>89</v>
      </c>
      <c r="H217" t="s">
        <v>2022</v>
      </c>
    </row>
    <row r="218" spans="1:8" x14ac:dyDescent="0.25">
      <c r="A218" t="s">
        <v>891</v>
      </c>
      <c r="B218" t="s">
        <v>100</v>
      </c>
      <c r="C218" t="s">
        <v>621</v>
      </c>
      <c r="D218" t="s">
        <v>1781</v>
      </c>
      <c r="E218" t="s">
        <v>582</v>
      </c>
      <c r="F218" s="213" t="s">
        <v>749</v>
      </c>
      <c r="G218" t="s">
        <v>2014</v>
      </c>
      <c r="H218" t="s">
        <v>2020</v>
      </c>
    </row>
    <row r="219" spans="1:8" x14ac:dyDescent="0.25">
      <c r="A219" t="s">
        <v>892</v>
      </c>
      <c r="B219" t="s">
        <v>100</v>
      </c>
      <c r="C219" t="s">
        <v>621</v>
      </c>
      <c r="D219" t="s">
        <v>1781</v>
      </c>
      <c r="E219" t="s">
        <v>582</v>
      </c>
      <c r="F219" s="213" t="s">
        <v>749</v>
      </c>
      <c r="G219" t="s">
        <v>2047</v>
      </c>
      <c r="H219" t="s">
        <v>1876</v>
      </c>
    </row>
    <row r="220" spans="1:8" x14ac:dyDescent="0.25">
      <c r="A220" t="s">
        <v>893</v>
      </c>
      <c r="B220" t="s">
        <v>100</v>
      </c>
      <c r="C220" t="s">
        <v>621</v>
      </c>
      <c r="D220" t="s">
        <v>1781</v>
      </c>
      <c r="E220" t="s">
        <v>582</v>
      </c>
      <c r="F220" s="213" t="s">
        <v>749</v>
      </c>
      <c r="G220" t="s">
        <v>2048</v>
      </c>
      <c r="H220" t="s">
        <v>1876</v>
      </c>
    </row>
    <row r="221" spans="1:8" x14ac:dyDescent="0.25">
      <c r="A221" t="s">
        <v>894</v>
      </c>
      <c r="B221" t="s">
        <v>100</v>
      </c>
      <c r="C221" t="s">
        <v>621</v>
      </c>
      <c r="D221" t="s">
        <v>1781</v>
      </c>
      <c r="E221" t="s">
        <v>582</v>
      </c>
      <c r="F221" s="213" t="s">
        <v>749</v>
      </c>
      <c r="G221" t="s">
        <v>74</v>
      </c>
      <c r="H221" t="s">
        <v>2019</v>
      </c>
    </row>
    <row r="222" spans="1:8" x14ac:dyDescent="0.25">
      <c r="A222" t="s">
        <v>895</v>
      </c>
      <c r="B222" t="s">
        <v>100</v>
      </c>
      <c r="C222" t="s">
        <v>621</v>
      </c>
      <c r="D222" t="s">
        <v>1781</v>
      </c>
      <c r="E222" t="s">
        <v>582</v>
      </c>
      <c r="F222" s="213" t="s">
        <v>749</v>
      </c>
      <c r="G222" t="s">
        <v>2049</v>
      </c>
      <c r="H222" t="s">
        <v>1872</v>
      </c>
    </row>
    <row r="223" spans="1:8" x14ac:dyDescent="0.25">
      <c r="A223" t="s">
        <v>896</v>
      </c>
      <c r="B223" t="s">
        <v>100</v>
      </c>
      <c r="C223" t="s">
        <v>621</v>
      </c>
      <c r="D223" t="s">
        <v>1781</v>
      </c>
      <c r="E223" t="s">
        <v>582</v>
      </c>
      <c r="F223" s="213" t="s">
        <v>749</v>
      </c>
      <c r="G223" t="s">
        <v>2018</v>
      </c>
      <c r="H223" t="s">
        <v>2015</v>
      </c>
    </row>
    <row r="224" spans="1:8" x14ac:dyDescent="0.25">
      <c r="A224" t="s">
        <v>897</v>
      </c>
      <c r="B224" t="s">
        <v>100</v>
      </c>
      <c r="C224" t="s">
        <v>621</v>
      </c>
      <c r="D224" t="s">
        <v>1781</v>
      </c>
      <c r="E224" t="s">
        <v>582</v>
      </c>
      <c r="F224" s="213" t="s">
        <v>749</v>
      </c>
      <c r="G224" t="s">
        <v>2050</v>
      </c>
      <c r="H224" t="s">
        <v>1869</v>
      </c>
    </row>
    <row r="225" spans="1:8" x14ac:dyDescent="0.25">
      <c r="A225" t="s">
        <v>898</v>
      </c>
      <c r="B225" t="s">
        <v>100</v>
      </c>
      <c r="C225" t="s">
        <v>621</v>
      </c>
      <c r="D225" t="s">
        <v>1781</v>
      </c>
      <c r="E225" t="s">
        <v>582</v>
      </c>
      <c r="F225" s="213" t="s">
        <v>749</v>
      </c>
      <c r="G225" t="s">
        <v>2051</v>
      </c>
      <c r="H225" t="s">
        <v>1874</v>
      </c>
    </row>
    <row r="226" spans="1:8" x14ac:dyDescent="0.25">
      <c r="A226" t="s">
        <v>899</v>
      </c>
      <c r="B226" t="s">
        <v>100</v>
      </c>
      <c r="C226" t="s">
        <v>621</v>
      </c>
      <c r="D226" t="s">
        <v>1781</v>
      </c>
      <c r="E226" t="s">
        <v>582</v>
      </c>
      <c r="F226" s="213" t="s">
        <v>749</v>
      </c>
      <c r="G226" t="s">
        <v>59</v>
      </c>
      <c r="H226" t="s">
        <v>2017</v>
      </c>
    </row>
    <row r="227" spans="1:8" x14ac:dyDescent="0.25">
      <c r="A227" t="s">
        <v>901</v>
      </c>
      <c r="B227" t="s">
        <v>100</v>
      </c>
      <c r="C227" t="s">
        <v>621</v>
      </c>
      <c r="D227" t="s">
        <v>1781</v>
      </c>
      <c r="E227" t="s">
        <v>582</v>
      </c>
      <c r="F227" s="213" t="s">
        <v>749</v>
      </c>
      <c r="G227" t="s">
        <v>2052</v>
      </c>
      <c r="H227" t="s">
        <v>1867</v>
      </c>
    </row>
    <row r="228" spans="1:8" x14ac:dyDescent="0.25">
      <c r="A228" t="s">
        <v>902</v>
      </c>
      <c r="B228" t="s">
        <v>100</v>
      </c>
      <c r="C228" t="s">
        <v>621</v>
      </c>
      <c r="D228" t="s">
        <v>1781</v>
      </c>
      <c r="E228" t="s">
        <v>582</v>
      </c>
      <c r="F228" s="213" t="s">
        <v>749</v>
      </c>
      <c r="G228" t="s">
        <v>2053</v>
      </c>
      <c r="H228" t="s">
        <v>1869</v>
      </c>
    </row>
    <row r="229" spans="1:8" x14ac:dyDescent="0.25">
      <c r="A229" t="s">
        <v>903</v>
      </c>
      <c r="B229" t="s">
        <v>100</v>
      </c>
      <c r="C229" t="s">
        <v>621</v>
      </c>
      <c r="D229" t="s">
        <v>1781</v>
      </c>
      <c r="E229" t="s">
        <v>582</v>
      </c>
      <c r="F229" s="213" t="s">
        <v>749</v>
      </c>
      <c r="G229" t="s">
        <v>2054</v>
      </c>
      <c r="H229" t="s">
        <v>1865</v>
      </c>
    </row>
    <row r="230" spans="1:8" x14ac:dyDescent="0.25">
      <c r="A230" t="s">
        <v>904</v>
      </c>
      <c r="B230" t="s">
        <v>100</v>
      </c>
      <c r="C230" t="s">
        <v>621</v>
      </c>
      <c r="D230" t="s">
        <v>1781</v>
      </c>
      <c r="E230" t="s">
        <v>582</v>
      </c>
      <c r="F230" s="213" t="s">
        <v>749</v>
      </c>
      <c r="G230" t="s">
        <v>2024</v>
      </c>
      <c r="H230" t="s">
        <v>2016</v>
      </c>
    </row>
    <row r="231" spans="1:8" x14ac:dyDescent="0.25">
      <c r="A231" t="s">
        <v>905</v>
      </c>
      <c r="B231" t="s">
        <v>100</v>
      </c>
      <c r="C231" t="s">
        <v>621</v>
      </c>
      <c r="D231" t="s">
        <v>1781</v>
      </c>
      <c r="E231" t="s">
        <v>582</v>
      </c>
      <c r="F231" s="213" t="s">
        <v>749</v>
      </c>
      <c r="G231" t="s">
        <v>2055</v>
      </c>
      <c r="H231" t="s">
        <v>1863</v>
      </c>
    </row>
    <row r="232" spans="1:8" x14ac:dyDescent="0.25">
      <c r="A232" t="s">
        <v>906</v>
      </c>
      <c r="B232" t="s">
        <v>100</v>
      </c>
      <c r="C232" t="s">
        <v>621</v>
      </c>
      <c r="D232" t="s">
        <v>1781</v>
      </c>
      <c r="E232" t="s">
        <v>582</v>
      </c>
      <c r="F232" s="213" t="s">
        <v>749</v>
      </c>
      <c r="G232" t="s">
        <v>44</v>
      </c>
      <c r="H232" t="s">
        <v>2012</v>
      </c>
    </row>
    <row r="233" spans="1:8" x14ac:dyDescent="0.25">
      <c r="A233" t="s">
        <v>907</v>
      </c>
      <c r="B233" t="s">
        <v>100</v>
      </c>
      <c r="C233" t="s">
        <v>621</v>
      </c>
      <c r="D233" t="s">
        <v>1781</v>
      </c>
      <c r="E233" t="s">
        <v>582</v>
      </c>
      <c r="F233" s="213" t="s">
        <v>749</v>
      </c>
      <c r="G233" t="s">
        <v>2056</v>
      </c>
      <c r="H233" t="s">
        <v>1860</v>
      </c>
    </row>
    <row r="234" spans="1:8" x14ac:dyDescent="0.25">
      <c r="A234" t="s">
        <v>908</v>
      </c>
      <c r="B234" t="s">
        <v>100</v>
      </c>
      <c r="C234" t="s">
        <v>621</v>
      </c>
      <c r="D234" t="s">
        <v>1781</v>
      </c>
      <c r="E234" t="s">
        <v>582</v>
      </c>
      <c r="F234" s="213" t="s">
        <v>749</v>
      </c>
      <c r="G234" t="s">
        <v>2057</v>
      </c>
      <c r="H234" t="s">
        <v>1860</v>
      </c>
    </row>
    <row r="235" spans="1:8" x14ac:dyDescent="0.25">
      <c r="A235" t="s">
        <v>909</v>
      </c>
      <c r="B235" t="s">
        <v>100</v>
      </c>
      <c r="C235" t="s">
        <v>621</v>
      </c>
      <c r="D235" t="s">
        <v>1781</v>
      </c>
      <c r="E235" t="s">
        <v>582</v>
      </c>
      <c r="F235" s="213" t="s">
        <v>749</v>
      </c>
      <c r="G235" t="s">
        <v>29</v>
      </c>
      <c r="H235" t="s">
        <v>2008</v>
      </c>
    </row>
    <row r="236" spans="1:8" x14ac:dyDescent="0.25">
      <c r="A236" t="s">
        <v>910</v>
      </c>
      <c r="B236" t="s">
        <v>100</v>
      </c>
      <c r="C236" t="s">
        <v>621</v>
      </c>
      <c r="D236" t="s">
        <v>1781</v>
      </c>
      <c r="E236" t="s">
        <v>582</v>
      </c>
      <c r="F236" s="213" t="s">
        <v>749</v>
      </c>
      <c r="G236" t="s">
        <v>2026</v>
      </c>
      <c r="H236" t="s">
        <v>2013</v>
      </c>
    </row>
    <row r="237" spans="1:8" x14ac:dyDescent="0.25">
      <c r="A237" t="s">
        <v>911</v>
      </c>
      <c r="B237" t="s">
        <v>100</v>
      </c>
      <c r="C237" t="s">
        <v>621</v>
      </c>
      <c r="D237" t="s">
        <v>1781</v>
      </c>
      <c r="E237" t="s">
        <v>582</v>
      </c>
      <c r="F237" s="213" t="s">
        <v>749</v>
      </c>
      <c r="G237" t="s">
        <v>2058</v>
      </c>
      <c r="H237" t="s">
        <v>1858</v>
      </c>
    </row>
    <row r="238" spans="1:8" x14ac:dyDescent="0.25">
      <c r="A238" t="s">
        <v>912</v>
      </c>
      <c r="B238" t="s">
        <v>100</v>
      </c>
      <c r="C238" t="s">
        <v>621</v>
      </c>
      <c r="D238" t="s">
        <v>1781</v>
      </c>
      <c r="E238" t="s">
        <v>582</v>
      </c>
      <c r="F238" s="213" t="s">
        <v>749</v>
      </c>
      <c r="G238" t="s">
        <v>2059</v>
      </c>
      <c r="H238" t="s">
        <v>1856</v>
      </c>
    </row>
    <row r="239" spans="1:8" x14ac:dyDescent="0.25">
      <c r="A239" t="s">
        <v>913</v>
      </c>
      <c r="B239" t="s">
        <v>100</v>
      </c>
      <c r="C239" t="s">
        <v>621</v>
      </c>
      <c r="D239" t="s">
        <v>1781</v>
      </c>
      <c r="E239" t="s">
        <v>582</v>
      </c>
      <c r="F239" s="213" t="s">
        <v>749</v>
      </c>
      <c r="G239" t="s">
        <v>2060</v>
      </c>
      <c r="H239" t="s">
        <v>1854</v>
      </c>
    </row>
    <row r="240" spans="1:8" x14ac:dyDescent="0.25">
      <c r="A240" t="s">
        <v>914</v>
      </c>
      <c r="B240" t="s">
        <v>100</v>
      </c>
      <c r="C240" t="s">
        <v>621</v>
      </c>
      <c r="D240" t="s">
        <v>1781</v>
      </c>
      <c r="E240" t="s">
        <v>582</v>
      </c>
      <c r="F240" s="213" t="s">
        <v>749</v>
      </c>
      <c r="G240" t="s">
        <v>14</v>
      </c>
      <c r="H240" t="s">
        <v>2005</v>
      </c>
    </row>
    <row r="241" spans="1:8" x14ac:dyDescent="0.25">
      <c r="A241" t="s">
        <v>915</v>
      </c>
      <c r="B241" t="s">
        <v>100</v>
      </c>
      <c r="C241" t="s">
        <v>621</v>
      </c>
      <c r="D241" t="s">
        <v>1781</v>
      </c>
      <c r="E241" t="s">
        <v>582</v>
      </c>
      <c r="F241" s="213" t="s">
        <v>749</v>
      </c>
      <c r="G241" t="s">
        <v>2032</v>
      </c>
      <c r="H241" t="s">
        <v>2010</v>
      </c>
    </row>
    <row r="242" spans="1:8" x14ac:dyDescent="0.25">
      <c r="A242" t="s">
        <v>916</v>
      </c>
      <c r="B242" t="s">
        <v>100</v>
      </c>
      <c r="C242" t="s">
        <v>621</v>
      </c>
      <c r="D242" t="s">
        <v>1781</v>
      </c>
      <c r="E242" t="s">
        <v>582</v>
      </c>
      <c r="F242" s="213" t="s">
        <v>749</v>
      </c>
      <c r="G242" t="s">
        <v>2061</v>
      </c>
      <c r="H242" t="s">
        <v>1852</v>
      </c>
    </row>
    <row r="243" spans="1:8" x14ac:dyDescent="0.25">
      <c r="A243" t="s">
        <v>917</v>
      </c>
      <c r="B243" t="s">
        <v>100</v>
      </c>
      <c r="C243" t="s">
        <v>621</v>
      </c>
      <c r="D243" t="s">
        <v>1781</v>
      </c>
      <c r="E243" t="s">
        <v>582</v>
      </c>
      <c r="F243" s="213" t="s">
        <v>749</v>
      </c>
      <c r="G243" t="s">
        <v>2062</v>
      </c>
      <c r="H243" t="s">
        <v>1847</v>
      </c>
    </row>
    <row r="244" spans="1:8" x14ac:dyDescent="0.25">
      <c r="A244" t="s">
        <v>918</v>
      </c>
      <c r="B244" t="s">
        <v>100</v>
      </c>
      <c r="C244" t="s">
        <v>621</v>
      </c>
      <c r="D244" t="s">
        <v>1781</v>
      </c>
      <c r="E244" t="s">
        <v>582</v>
      </c>
      <c r="F244" s="213" t="s">
        <v>749</v>
      </c>
      <c r="G244" t="s">
        <v>2033</v>
      </c>
      <c r="H244" t="s">
        <v>2006</v>
      </c>
    </row>
    <row r="245" spans="1:8" x14ac:dyDescent="0.25">
      <c r="A245" t="s">
        <v>919</v>
      </c>
      <c r="B245" t="s">
        <v>100</v>
      </c>
      <c r="C245" t="s">
        <v>621</v>
      </c>
      <c r="D245" t="s">
        <v>1781</v>
      </c>
      <c r="E245" t="s">
        <v>582</v>
      </c>
      <c r="F245" s="213" t="s">
        <v>749</v>
      </c>
      <c r="G245" t="s">
        <v>2063</v>
      </c>
      <c r="H245" t="s">
        <v>1850</v>
      </c>
    </row>
    <row r="246" spans="1:8" x14ac:dyDescent="0.25">
      <c r="A246" t="s">
        <v>920</v>
      </c>
      <c r="B246" t="s">
        <v>100</v>
      </c>
      <c r="C246" t="s">
        <v>621</v>
      </c>
      <c r="D246" t="s">
        <v>1781</v>
      </c>
      <c r="E246" t="s">
        <v>582</v>
      </c>
      <c r="F246" s="213" t="s">
        <v>749</v>
      </c>
      <c r="G246" t="s">
        <v>2064</v>
      </c>
      <c r="H246" t="s">
        <v>1845</v>
      </c>
    </row>
    <row r="247" spans="1:8" x14ac:dyDescent="0.25">
      <c r="A247" t="s">
        <v>921</v>
      </c>
      <c r="B247" t="s">
        <v>100</v>
      </c>
      <c r="C247" t="s">
        <v>621</v>
      </c>
      <c r="D247" t="s">
        <v>1781</v>
      </c>
      <c r="E247" t="s">
        <v>582</v>
      </c>
      <c r="F247" s="213" t="s">
        <v>749</v>
      </c>
      <c r="G247" t="s">
        <v>2065</v>
      </c>
      <c r="H247" t="s">
        <v>1845</v>
      </c>
    </row>
    <row r="248" spans="1:8" x14ac:dyDescent="0.25">
      <c r="A248" t="s">
        <v>922</v>
      </c>
      <c r="B248" t="s">
        <v>100</v>
      </c>
      <c r="C248" t="s">
        <v>621</v>
      </c>
      <c r="D248" t="s">
        <v>1781</v>
      </c>
      <c r="E248" t="s">
        <v>582</v>
      </c>
      <c r="F248" s="213" t="s">
        <v>749</v>
      </c>
      <c r="G248" t="s">
        <v>2034</v>
      </c>
      <c r="H248" t="s">
        <v>2001</v>
      </c>
    </row>
    <row r="249" spans="1:8" x14ac:dyDescent="0.25">
      <c r="A249" t="s">
        <v>923</v>
      </c>
      <c r="B249" t="s">
        <v>100</v>
      </c>
      <c r="C249" t="s">
        <v>621</v>
      </c>
      <c r="D249" t="s">
        <v>1781</v>
      </c>
      <c r="E249" t="s">
        <v>582</v>
      </c>
      <c r="F249" s="213" t="s">
        <v>749</v>
      </c>
      <c r="G249" t="s">
        <v>2035</v>
      </c>
      <c r="H249" t="s">
        <v>2002</v>
      </c>
    </row>
    <row r="250" spans="1:8" x14ac:dyDescent="0.25">
      <c r="A250" t="s">
        <v>924</v>
      </c>
      <c r="B250" t="s">
        <v>100</v>
      </c>
      <c r="C250" t="s">
        <v>621</v>
      </c>
      <c r="D250" t="s">
        <v>1781</v>
      </c>
      <c r="E250" t="s">
        <v>582</v>
      </c>
      <c r="F250" s="213" t="s">
        <v>749</v>
      </c>
      <c r="G250" t="s">
        <v>2066</v>
      </c>
      <c r="H250" t="s">
        <v>1843</v>
      </c>
    </row>
    <row r="251" spans="1:8" x14ac:dyDescent="0.25">
      <c r="A251" t="s">
        <v>925</v>
      </c>
      <c r="B251" t="s">
        <v>100</v>
      </c>
      <c r="C251" t="s">
        <v>621</v>
      </c>
      <c r="D251" t="s">
        <v>1781</v>
      </c>
      <c r="E251" t="s">
        <v>582</v>
      </c>
      <c r="F251" s="213" t="s">
        <v>749</v>
      </c>
      <c r="G251" t="s">
        <v>2036</v>
      </c>
      <c r="H251" t="s">
        <v>2003</v>
      </c>
    </row>
    <row r="252" spans="1:8" x14ac:dyDescent="0.25">
      <c r="A252" t="s">
        <v>926</v>
      </c>
      <c r="B252" t="s">
        <v>100</v>
      </c>
      <c r="C252" t="s">
        <v>621</v>
      </c>
      <c r="D252" t="s">
        <v>1781</v>
      </c>
      <c r="E252" t="s">
        <v>582</v>
      </c>
      <c r="F252" s="213" t="s">
        <v>749</v>
      </c>
      <c r="G252" t="s">
        <v>2037</v>
      </c>
      <c r="H252" t="s">
        <v>1998</v>
      </c>
    </row>
    <row r="253" spans="1:8" x14ac:dyDescent="0.25">
      <c r="A253" t="s">
        <v>927</v>
      </c>
      <c r="B253" t="s">
        <v>100</v>
      </c>
      <c r="C253" t="s">
        <v>621</v>
      </c>
      <c r="D253" t="s">
        <v>1781</v>
      </c>
      <c r="E253" t="s">
        <v>582</v>
      </c>
      <c r="F253" s="213" t="s">
        <v>749</v>
      </c>
      <c r="G253" t="s">
        <v>2067</v>
      </c>
      <c r="H253" t="s">
        <v>1841</v>
      </c>
    </row>
    <row r="254" spans="1:8" x14ac:dyDescent="0.25">
      <c r="A254" t="s">
        <v>928</v>
      </c>
      <c r="B254" t="s">
        <v>100</v>
      </c>
      <c r="C254" t="s">
        <v>621</v>
      </c>
      <c r="D254" t="s">
        <v>1781</v>
      </c>
      <c r="E254" t="s">
        <v>582</v>
      </c>
      <c r="F254" s="213" t="s">
        <v>749</v>
      </c>
      <c r="G254" t="s">
        <v>2068</v>
      </c>
      <c r="H254" t="s">
        <v>1839</v>
      </c>
    </row>
    <row r="255" spans="1:8" x14ac:dyDescent="0.25">
      <c r="A255" t="s">
        <v>929</v>
      </c>
      <c r="B255" t="s">
        <v>100</v>
      </c>
      <c r="C255" t="s">
        <v>621</v>
      </c>
      <c r="D255" t="s">
        <v>1781</v>
      </c>
      <c r="E255" t="s">
        <v>582</v>
      </c>
      <c r="F255" s="213" t="s">
        <v>749</v>
      </c>
      <c r="G255" t="s">
        <v>2069</v>
      </c>
      <c r="H255" t="s">
        <v>1837</v>
      </c>
    </row>
    <row r="256" spans="1:8" x14ac:dyDescent="0.25">
      <c r="A256" t="s">
        <v>930</v>
      </c>
      <c r="B256" t="s">
        <v>100</v>
      </c>
      <c r="C256" t="s">
        <v>621</v>
      </c>
      <c r="D256" t="s">
        <v>1781</v>
      </c>
      <c r="E256" t="s">
        <v>582</v>
      </c>
      <c r="F256" s="213" t="s">
        <v>749</v>
      </c>
      <c r="G256" t="s">
        <v>2039</v>
      </c>
      <c r="H256" t="s">
        <v>1999</v>
      </c>
    </row>
    <row r="257" spans="1:8" x14ac:dyDescent="0.25">
      <c r="A257" t="s">
        <v>931</v>
      </c>
      <c r="B257" t="s">
        <v>100</v>
      </c>
      <c r="C257" t="s">
        <v>621</v>
      </c>
      <c r="D257" t="s">
        <v>1781</v>
      </c>
      <c r="E257" t="s">
        <v>582</v>
      </c>
      <c r="F257" s="213" t="s">
        <v>749</v>
      </c>
      <c r="G257" t="s">
        <v>2038</v>
      </c>
      <c r="H257" t="s">
        <v>1993</v>
      </c>
    </row>
    <row r="258" spans="1:8" x14ac:dyDescent="0.25">
      <c r="A258" t="s">
        <v>932</v>
      </c>
      <c r="B258" t="s">
        <v>100</v>
      </c>
      <c r="C258" t="s">
        <v>621</v>
      </c>
      <c r="D258" t="s">
        <v>1781</v>
      </c>
      <c r="E258" t="s">
        <v>582</v>
      </c>
      <c r="F258" s="213" t="s">
        <v>749</v>
      </c>
      <c r="G258" t="s">
        <v>2070</v>
      </c>
      <c r="H258" t="s">
        <v>1833</v>
      </c>
    </row>
    <row r="259" spans="1:8" x14ac:dyDescent="0.25">
      <c r="A259" t="s">
        <v>933</v>
      </c>
      <c r="B259" t="s">
        <v>100</v>
      </c>
      <c r="C259" t="s">
        <v>621</v>
      </c>
      <c r="D259" t="s">
        <v>1781</v>
      </c>
      <c r="E259" t="s">
        <v>582</v>
      </c>
      <c r="F259" s="213" t="s">
        <v>749</v>
      </c>
      <c r="G259" t="s">
        <v>2071</v>
      </c>
      <c r="H259" t="s">
        <v>1835</v>
      </c>
    </row>
    <row r="260" spans="1:8" x14ac:dyDescent="0.25">
      <c r="A260" t="s">
        <v>934</v>
      </c>
      <c r="B260" t="s">
        <v>100</v>
      </c>
      <c r="C260" t="s">
        <v>621</v>
      </c>
      <c r="D260" t="s">
        <v>1781</v>
      </c>
      <c r="E260" t="s">
        <v>582</v>
      </c>
      <c r="F260" s="213" t="s">
        <v>749</v>
      </c>
      <c r="G260" t="s">
        <v>2041</v>
      </c>
      <c r="H260" t="s">
        <v>1991</v>
      </c>
    </row>
    <row r="261" spans="1:8" x14ac:dyDescent="0.25">
      <c r="A261" t="s">
        <v>935</v>
      </c>
      <c r="B261" t="s">
        <v>100</v>
      </c>
      <c r="C261" t="s">
        <v>621</v>
      </c>
      <c r="D261" t="s">
        <v>1781</v>
      </c>
      <c r="E261" t="s">
        <v>582</v>
      </c>
      <c r="F261" s="213" t="s">
        <v>749</v>
      </c>
      <c r="G261" t="s">
        <v>2072</v>
      </c>
      <c r="H261" t="s">
        <v>1830</v>
      </c>
    </row>
    <row r="262" spans="1:8" x14ac:dyDescent="0.25">
      <c r="A262" t="s">
        <v>936</v>
      </c>
      <c r="B262" t="s">
        <v>100</v>
      </c>
      <c r="C262" t="s">
        <v>621</v>
      </c>
      <c r="D262" t="s">
        <v>1781</v>
      </c>
      <c r="E262" t="s">
        <v>582</v>
      </c>
      <c r="F262" s="213" t="s">
        <v>749</v>
      </c>
      <c r="G262" t="s">
        <v>2040</v>
      </c>
      <c r="H262" t="s">
        <v>1981</v>
      </c>
    </row>
    <row r="263" spans="1:8" x14ac:dyDescent="0.25">
      <c r="A263" t="s">
        <v>937</v>
      </c>
      <c r="B263" t="s">
        <v>100</v>
      </c>
      <c r="C263" t="s">
        <v>621</v>
      </c>
      <c r="D263" t="s">
        <v>1781</v>
      </c>
      <c r="E263" t="s">
        <v>582</v>
      </c>
      <c r="F263" s="213" t="s">
        <v>749</v>
      </c>
      <c r="G263" t="s">
        <v>2073</v>
      </c>
      <c r="H263" t="s">
        <v>1829</v>
      </c>
    </row>
    <row r="264" spans="1:8" x14ac:dyDescent="0.25">
      <c r="A264" t="s">
        <v>938</v>
      </c>
      <c r="B264" t="s">
        <v>100</v>
      </c>
      <c r="C264" t="s">
        <v>621</v>
      </c>
      <c r="D264" t="s">
        <v>1781</v>
      </c>
      <c r="E264" t="s">
        <v>582</v>
      </c>
      <c r="F264" s="213" t="s">
        <v>749</v>
      </c>
      <c r="G264" t="s">
        <v>2074</v>
      </c>
      <c r="H264" t="s">
        <v>1830</v>
      </c>
    </row>
    <row r="265" spans="1:8" x14ac:dyDescent="0.25">
      <c r="A265" t="s">
        <v>939</v>
      </c>
      <c r="B265" t="s">
        <v>100</v>
      </c>
      <c r="C265" t="s">
        <v>621</v>
      </c>
      <c r="D265" t="s">
        <v>1781</v>
      </c>
      <c r="E265" t="s">
        <v>582</v>
      </c>
      <c r="F265" s="213" t="s">
        <v>749</v>
      </c>
      <c r="G265" t="s">
        <v>2042</v>
      </c>
      <c r="H265" t="s">
        <v>1983</v>
      </c>
    </row>
    <row r="266" spans="1:8" x14ac:dyDescent="0.25">
      <c r="A266" t="s">
        <v>940</v>
      </c>
      <c r="B266" t="s">
        <v>100</v>
      </c>
      <c r="C266" t="s">
        <v>621</v>
      </c>
      <c r="D266" t="s">
        <v>1781</v>
      </c>
      <c r="E266" t="s">
        <v>582</v>
      </c>
      <c r="F266" s="213" t="s">
        <v>749</v>
      </c>
      <c r="G266" t="s">
        <v>2075</v>
      </c>
      <c r="H266" t="s">
        <v>1827</v>
      </c>
    </row>
    <row r="267" spans="1:8" x14ac:dyDescent="0.25">
      <c r="A267" t="s">
        <v>941</v>
      </c>
      <c r="B267" t="s">
        <v>100</v>
      </c>
      <c r="C267" t="s">
        <v>621</v>
      </c>
      <c r="D267" t="s">
        <v>1781</v>
      </c>
      <c r="E267" t="s">
        <v>582</v>
      </c>
      <c r="F267" s="213" t="s">
        <v>749</v>
      </c>
      <c r="G267" t="s">
        <v>2076</v>
      </c>
      <c r="H267" t="s">
        <v>1825</v>
      </c>
    </row>
    <row r="268" spans="1:8" x14ac:dyDescent="0.25">
      <c r="A268" t="s">
        <v>942</v>
      </c>
      <c r="B268" t="s">
        <v>100</v>
      </c>
      <c r="C268" t="s">
        <v>621</v>
      </c>
      <c r="D268" t="s">
        <v>1781</v>
      </c>
      <c r="E268" t="s">
        <v>582</v>
      </c>
      <c r="F268" s="213" t="s">
        <v>749</v>
      </c>
      <c r="G268" t="s">
        <v>2077</v>
      </c>
      <c r="H268" t="s">
        <v>1796</v>
      </c>
    </row>
    <row r="269" spans="1:8" x14ac:dyDescent="0.25">
      <c r="A269" t="s">
        <v>943</v>
      </c>
      <c r="B269" t="s">
        <v>100</v>
      </c>
      <c r="C269" t="s">
        <v>621</v>
      </c>
      <c r="D269" t="s">
        <v>1781</v>
      </c>
      <c r="E269" t="s">
        <v>582</v>
      </c>
      <c r="F269" s="213" t="s">
        <v>749</v>
      </c>
      <c r="G269" t="s">
        <v>2078</v>
      </c>
      <c r="H269" t="s">
        <v>1815</v>
      </c>
    </row>
    <row r="270" spans="1:8" x14ac:dyDescent="0.25">
      <c r="A270" t="s">
        <v>944</v>
      </c>
      <c r="B270" t="s">
        <v>100</v>
      </c>
      <c r="C270" t="s">
        <v>621</v>
      </c>
      <c r="D270" t="s">
        <v>1781</v>
      </c>
      <c r="E270" t="s">
        <v>582</v>
      </c>
      <c r="F270" s="213" t="s">
        <v>749</v>
      </c>
      <c r="G270" t="s">
        <v>2079</v>
      </c>
      <c r="H270" t="s">
        <v>1800</v>
      </c>
    </row>
    <row r="271" spans="1:8" x14ac:dyDescent="0.25">
      <c r="A271" t="s">
        <v>945</v>
      </c>
      <c r="B271" t="s">
        <v>100</v>
      </c>
      <c r="C271" t="s">
        <v>621</v>
      </c>
      <c r="D271" t="s">
        <v>1781</v>
      </c>
      <c r="E271" t="s">
        <v>582</v>
      </c>
      <c r="F271" s="213" t="s">
        <v>749</v>
      </c>
      <c r="G271" t="s">
        <v>2043</v>
      </c>
      <c r="H271" t="s">
        <v>1982</v>
      </c>
    </row>
    <row r="272" spans="1:8" x14ac:dyDescent="0.25">
      <c r="A272" t="s">
        <v>946</v>
      </c>
      <c r="B272" t="s">
        <v>100</v>
      </c>
      <c r="C272" t="s">
        <v>621</v>
      </c>
      <c r="D272" t="s">
        <v>1781</v>
      </c>
      <c r="E272" t="s">
        <v>582</v>
      </c>
      <c r="F272" s="213" t="s">
        <v>749</v>
      </c>
      <c r="G272" t="s">
        <v>2044</v>
      </c>
      <c r="H272" t="s">
        <v>1979</v>
      </c>
    </row>
    <row r="273" spans="1:8" x14ac:dyDescent="0.25">
      <c r="A273" t="s">
        <v>947</v>
      </c>
      <c r="B273" t="s">
        <v>100</v>
      </c>
      <c r="C273" t="s">
        <v>621</v>
      </c>
      <c r="D273" t="s">
        <v>1781</v>
      </c>
      <c r="E273" t="s">
        <v>582</v>
      </c>
      <c r="F273" s="213" t="s">
        <v>749</v>
      </c>
      <c r="G273" t="s">
        <v>2080</v>
      </c>
      <c r="H273" t="s">
        <v>1798</v>
      </c>
    </row>
    <row r="274" spans="1:8" x14ac:dyDescent="0.25">
      <c r="A274" t="s">
        <v>948</v>
      </c>
      <c r="B274" t="s">
        <v>100</v>
      </c>
      <c r="C274" t="s">
        <v>621</v>
      </c>
      <c r="D274" t="s">
        <v>1781</v>
      </c>
      <c r="E274" t="s">
        <v>582</v>
      </c>
      <c r="F274" s="213" t="s">
        <v>749</v>
      </c>
      <c r="G274" t="s">
        <v>2081</v>
      </c>
      <c r="H274" t="s">
        <v>1819</v>
      </c>
    </row>
    <row r="275" spans="1:8" x14ac:dyDescent="0.25">
      <c r="A275" t="s">
        <v>949</v>
      </c>
      <c r="B275" t="s">
        <v>100</v>
      </c>
      <c r="C275" t="s">
        <v>621</v>
      </c>
      <c r="D275" t="s">
        <v>1781</v>
      </c>
      <c r="E275" t="s">
        <v>582</v>
      </c>
      <c r="F275" s="213" t="s">
        <v>749</v>
      </c>
      <c r="G275" t="s">
        <v>2082</v>
      </c>
      <c r="H275" t="s">
        <v>1794</v>
      </c>
    </row>
    <row r="276" spans="1:8" x14ac:dyDescent="0.25">
      <c r="A276" t="s">
        <v>950</v>
      </c>
      <c r="B276" t="s">
        <v>100</v>
      </c>
      <c r="C276" t="s">
        <v>621</v>
      </c>
      <c r="D276" t="s">
        <v>1781</v>
      </c>
      <c r="E276" t="s">
        <v>582</v>
      </c>
      <c r="F276" s="213" t="s">
        <v>749</v>
      </c>
      <c r="G276" t="s">
        <v>2083</v>
      </c>
      <c r="H276" t="s">
        <v>1790</v>
      </c>
    </row>
    <row r="277" spans="1:8" x14ac:dyDescent="0.25">
      <c r="A277" t="s">
        <v>951</v>
      </c>
      <c r="B277" t="s">
        <v>100</v>
      </c>
      <c r="C277" t="s">
        <v>621</v>
      </c>
      <c r="D277" t="s">
        <v>1781</v>
      </c>
      <c r="E277" t="s">
        <v>582</v>
      </c>
      <c r="F277" s="213" t="s">
        <v>749</v>
      </c>
      <c r="G277" t="s">
        <v>2084</v>
      </c>
      <c r="H277" t="s">
        <v>1786</v>
      </c>
    </row>
    <row r="278" spans="1:8" x14ac:dyDescent="0.25">
      <c r="A278" t="s">
        <v>952</v>
      </c>
      <c r="B278" t="s">
        <v>100</v>
      </c>
      <c r="C278" t="s">
        <v>621</v>
      </c>
      <c r="D278" t="s">
        <v>1781</v>
      </c>
      <c r="E278" t="s">
        <v>582</v>
      </c>
      <c r="F278" s="213" t="s">
        <v>749</v>
      </c>
      <c r="G278" t="s">
        <v>2046</v>
      </c>
      <c r="H278" t="s">
        <v>1972</v>
      </c>
    </row>
    <row r="279" spans="1:8" x14ac:dyDescent="0.25">
      <c r="A279" t="s">
        <v>953</v>
      </c>
      <c r="B279" t="s">
        <v>100</v>
      </c>
      <c r="C279" t="s">
        <v>621</v>
      </c>
      <c r="D279" t="s">
        <v>1781</v>
      </c>
      <c r="E279" t="s">
        <v>582</v>
      </c>
      <c r="F279" s="213" t="s">
        <v>749</v>
      </c>
      <c r="G279" t="s">
        <v>2085</v>
      </c>
      <c r="H279" t="s">
        <v>1792</v>
      </c>
    </row>
    <row r="280" spans="1:8" x14ac:dyDescent="0.25">
      <c r="A280" t="s">
        <v>954</v>
      </c>
      <c r="B280" t="s">
        <v>100</v>
      </c>
      <c r="C280" t="s">
        <v>621</v>
      </c>
      <c r="D280" t="s">
        <v>1781</v>
      </c>
      <c r="E280" t="s">
        <v>582</v>
      </c>
      <c r="F280" s="213" t="s">
        <v>749</v>
      </c>
      <c r="G280" t="s">
        <v>2045</v>
      </c>
      <c r="H280" t="s">
        <v>1980</v>
      </c>
    </row>
    <row r="281" spans="1:8" x14ac:dyDescent="0.25">
      <c r="A281" t="s">
        <v>955</v>
      </c>
      <c r="B281" t="s">
        <v>100</v>
      </c>
      <c r="C281" t="s">
        <v>621</v>
      </c>
      <c r="D281" t="s">
        <v>1781</v>
      </c>
      <c r="E281" t="s">
        <v>582</v>
      </c>
      <c r="F281" s="213" t="s">
        <v>749</v>
      </c>
      <c r="G281" t="s">
        <v>2086</v>
      </c>
      <c r="H281" t="s">
        <v>1807</v>
      </c>
    </row>
    <row r="282" spans="1:8" x14ac:dyDescent="0.25">
      <c r="A282" t="s">
        <v>956</v>
      </c>
      <c r="B282" t="s">
        <v>100</v>
      </c>
      <c r="C282" t="s">
        <v>621</v>
      </c>
      <c r="D282" t="s">
        <v>1781</v>
      </c>
      <c r="E282" t="s">
        <v>582</v>
      </c>
      <c r="F282" s="213" t="s">
        <v>749</v>
      </c>
      <c r="G282" t="s">
        <v>2087</v>
      </c>
      <c r="H282" t="s">
        <v>1809</v>
      </c>
    </row>
    <row r="283" spans="1:8" x14ac:dyDescent="0.25">
      <c r="A283" t="s">
        <v>957</v>
      </c>
      <c r="B283" t="s">
        <v>100</v>
      </c>
      <c r="C283" t="s">
        <v>621</v>
      </c>
      <c r="D283" t="s">
        <v>1781</v>
      </c>
      <c r="E283" t="s">
        <v>582</v>
      </c>
      <c r="F283" s="213" t="s">
        <v>749</v>
      </c>
      <c r="G283" t="s">
        <v>2088</v>
      </c>
      <c r="H283" t="s">
        <v>1788</v>
      </c>
    </row>
    <row r="284" spans="1:8" x14ac:dyDescent="0.25">
      <c r="A284" t="s">
        <v>958</v>
      </c>
      <c r="B284" t="s">
        <v>100</v>
      </c>
      <c r="C284" t="s">
        <v>621</v>
      </c>
      <c r="D284" t="s">
        <v>1781</v>
      </c>
      <c r="E284" t="s">
        <v>582</v>
      </c>
      <c r="F284" s="213" t="s">
        <v>749</v>
      </c>
      <c r="G284" t="s">
        <v>2089</v>
      </c>
      <c r="H284" t="s">
        <v>2090</v>
      </c>
    </row>
    <row r="285" spans="1:8" x14ac:dyDescent="0.25">
      <c r="A285" t="s">
        <v>959</v>
      </c>
      <c r="B285" t="s">
        <v>100</v>
      </c>
      <c r="C285" t="s">
        <v>621</v>
      </c>
      <c r="D285" t="s">
        <v>1781</v>
      </c>
      <c r="E285" t="s">
        <v>582</v>
      </c>
      <c r="F285" s="213" t="s">
        <v>749</v>
      </c>
      <c r="G285" t="s">
        <v>2091</v>
      </c>
      <c r="H285" t="s">
        <v>1805</v>
      </c>
    </row>
    <row r="286" spans="1:8" x14ac:dyDescent="0.25">
      <c r="A286" t="s">
        <v>960</v>
      </c>
      <c r="B286" t="s">
        <v>100</v>
      </c>
      <c r="C286" t="s">
        <v>621</v>
      </c>
      <c r="D286" t="s">
        <v>1781</v>
      </c>
      <c r="E286" t="s">
        <v>582</v>
      </c>
      <c r="F286" s="213" t="s">
        <v>749</v>
      </c>
      <c r="G286" t="s">
        <v>2048</v>
      </c>
      <c r="H286" t="s">
        <v>1966</v>
      </c>
    </row>
    <row r="287" spans="1:8" x14ac:dyDescent="0.25">
      <c r="A287" t="s">
        <v>961</v>
      </c>
      <c r="B287" t="s">
        <v>100</v>
      </c>
      <c r="C287" t="s">
        <v>621</v>
      </c>
      <c r="D287" t="s">
        <v>1781</v>
      </c>
      <c r="E287" t="s">
        <v>582</v>
      </c>
      <c r="F287" s="213" t="s">
        <v>749</v>
      </c>
      <c r="G287" t="s">
        <v>2047</v>
      </c>
      <c r="H287" t="s">
        <v>1966</v>
      </c>
    </row>
    <row r="288" spans="1:8" x14ac:dyDescent="0.25">
      <c r="A288" t="s">
        <v>962</v>
      </c>
      <c r="B288" t="s">
        <v>100</v>
      </c>
      <c r="C288" t="s">
        <v>621</v>
      </c>
      <c r="D288" t="s">
        <v>1781</v>
      </c>
      <c r="E288" t="s">
        <v>582</v>
      </c>
      <c r="F288" s="213" t="s">
        <v>749</v>
      </c>
      <c r="G288" t="s">
        <v>2092</v>
      </c>
      <c r="H288" t="s">
        <v>1802</v>
      </c>
    </row>
    <row r="289" spans="1:8" x14ac:dyDescent="0.25">
      <c r="A289" t="s">
        <v>963</v>
      </c>
      <c r="B289" t="s">
        <v>100</v>
      </c>
      <c r="C289" t="s">
        <v>621</v>
      </c>
      <c r="D289" t="s">
        <v>1781</v>
      </c>
      <c r="E289" t="s">
        <v>582</v>
      </c>
      <c r="F289" s="213" t="s">
        <v>749</v>
      </c>
      <c r="G289" t="s">
        <v>2092</v>
      </c>
      <c r="H289" t="s">
        <v>1803</v>
      </c>
    </row>
    <row r="290" spans="1:8" x14ac:dyDescent="0.25">
      <c r="A290" t="s">
        <v>965</v>
      </c>
      <c r="B290" t="s">
        <v>100</v>
      </c>
      <c r="C290" t="s">
        <v>621</v>
      </c>
      <c r="D290" t="s">
        <v>1781</v>
      </c>
      <c r="E290" t="s">
        <v>582</v>
      </c>
      <c r="F290" s="213" t="s">
        <v>749</v>
      </c>
      <c r="G290" t="s">
        <v>2049</v>
      </c>
      <c r="H290" t="s">
        <v>1970</v>
      </c>
    </row>
    <row r="291" spans="1:8" x14ac:dyDescent="0.25">
      <c r="A291" t="s">
        <v>966</v>
      </c>
      <c r="B291" t="s">
        <v>100</v>
      </c>
      <c r="C291" t="s">
        <v>621</v>
      </c>
      <c r="D291" t="s">
        <v>1781</v>
      </c>
      <c r="E291" t="s">
        <v>582</v>
      </c>
      <c r="F291" s="213" t="s">
        <v>749</v>
      </c>
      <c r="G291" t="s">
        <v>2050</v>
      </c>
      <c r="H291" t="s">
        <v>1963</v>
      </c>
    </row>
    <row r="292" spans="1:8" x14ac:dyDescent="0.25">
      <c r="A292" t="s">
        <v>968</v>
      </c>
      <c r="B292" t="s">
        <v>100</v>
      </c>
      <c r="C292" t="s">
        <v>621</v>
      </c>
      <c r="D292" t="s">
        <v>1781</v>
      </c>
      <c r="E292" t="s">
        <v>582</v>
      </c>
      <c r="F292" s="213" t="s">
        <v>749</v>
      </c>
      <c r="G292" t="s">
        <v>2051</v>
      </c>
      <c r="H292" t="s">
        <v>1969</v>
      </c>
    </row>
    <row r="293" spans="1:8" x14ac:dyDescent="0.25">
      <c r="A293" t="s">
        <v>970</v>
      </c>
      <c r="B293" t="s">
        <v>100</v>
      </c>
      <c r="C293" t="s">
        <v>621</v>
      </c>
      <c r="D293" t="s">
        <v>1781</v>
      </c>
      <c r="E293" t="s">
        <v>582</v>
      </c>
      <c r="F293" s="213" t="s">
        <v>749</v>
      </c>
      <c r="G293" t="s">
        <v>2053</v>
      </c>
      <c r="H293" t="s">
        <v>1963</v>
      </c>
    </row>
    <row r="294" spans="1:8" x14ac:dyDescent="0.25">
      <c r="A294" t="s">
        <v>971</v>
      </c>
      <c r="B294" t="s">
        <v>100</v>
      </c>
      <c r="C294" t="s">
        <v>621</v>
      </c>
      <c r="D294" t="s">
        <v>1781</v>
      </c>
      <c r="E294" t="s">
        <v>582</v>
      </c>
      <c r="F294" s="213" t="s">
        <v>749</v>
      </c>
      <c r="G294" t="s">
        <v>2052</v>
      </c>
      <c r="H294" t="s">
        <v>1961</v>
      </c>
    </row>
    <row r="295" spans="1:8" x14ac:dyDescent="0.25">
      <c r="A295" t="s">
        <v>972</v>
      </c>
      <c r="B295" t="s">
        <v>100</v>
      </c>
      <c r="C295" t="s">
        <v>621</v>
      </c>
      <c r="D295" t="s">
        <v>1781</v>
      </c>
      <c r="E295" t="s">
        <v>582</v>
      </c>
      <c r="F295" s="213" t="s">
        <v>749</v>
      </c>
      <c r="G295" t="s">
        <v>2079</v>
      </c>
      <c r="H295" t="s">
        <v>1816</v>
      </c>
    </row>
    <row r="296" spans="1:8" x14ac:dyDescent="0.25">
      <c r="A296" t="s">
        <v>973</v>
      </c>
      <c r="B296" t="s">
        <v>100</v>
      </c>
      <c r="C296" t="s">
        <v>621</v>
      </c>
      <c r="D296" t="s">
        <v>1781</v>
      </c>
      <c r="E296" t="s">
        <v>582</v>
      </c>
      <c r="F296" s="213" t="s">
        <v>749</v>
      </c>
      <c r="G296" t="s">
        <v>2054</v>
      </c>
      <c r="H296" t="s">
        <v>1962</v>
      </c>
    </row>
    <row r="297" spans="1:8" x14ac:dyDescent="0.25">
      <c r="A297" t="s">
        <v>974</v>
      </c>
      <c r="B297" t="s">
        <v>100</v>
      </c>
      <c r="C297" t="s">
        <v>621</v>
      </c>
      <c r="D297" t="s">
        <v>1781</v>
      </c>
      <c r="E297" t="s">
        <v>582</v>
      </c>
      <c r="F297" s="213" t="s">
        <v>749</v>
      </c>
      <c r="G297" t="s">
        <v>2055</v>
      </c>
      <c r="H297" t="s">
        <v>1956</v>
      </c>
    </row>
    <row r="298" spans="1:8" x14ac:dyDescent="0.25">
      <c r="A298" t="s">
        <v>976</v>
      </c>
      <c r="B298" t="s">
        <v>100</v>
      </c>
      <c r="C298" t="s">
        <v>621</v>
      </c>
      <c r="D298" t="s">
        <v>1781</v>
      </c>
      <c r="E298" t="s">
        <v>582</v>
      </c>
      <c r="F298" s="213" t="s">
        <v>749</v>
      </c>
      <c r="G298" t="s">
        <v>2080</v>
      </c>
      <c r="H298" t="s">
        <v>1822</v>
      </c>
    </row>
    <row r="299" spans="1:8" x14ac:dyDescent="0.25">
      <c r="A299" t="s">
        <v>977</v>
      </c>
      <c r="B299" t="s">
        <v>100</v>
      </c>
      <c r="C299" t="s">
        <v>621</v>
      </c>
      <c r="D299" t="s">
        <v>1781</v>
      </c>
      <c r="E299" t="s">
        <v>582</v>
      </c>
      <c r="F299" s="213" t="s">
        <v>749</v>
      </c>
      <c r="G299" t="s">
        <v>2057</v>
      </c>
      <c r="H299" t="s">
        <v>1949</v>
      </c>
    </row>
    <row r="300" spans="1:8" x14ac:dyDescent="0.25">
      <c r="A300" t="s">
        <v>978</v>
      </c>
      <c r="B300" t="s">
        <v>100</v>
      </c>
      <c r="C300" t="s">
        <v>621</v>
      </c>
      <c r="D300" t="s">
        <v>1781</v>
      </c>
      <c r="E300" t="s">
        <v>582</v>
      </c>
      <c r="F300" s="213" t="s">
        <v>749</v>
      </c>
      <c r="G300" t="s">
        <v>2056</v>
      </c>
      <c r="H300" t="s">
        <v>1949</v>
      </c>
    </row>
    <row r="301" spans="1:8" x14ac:dyDescent="0.25">
      <c r="A301" t="s">
        <v>979</v>
      </c>
      <c r="B301" t="s">
        <v>100</v>
      </c>
      <c r="C301" t="s">
        <v>621</v>
      </c>
      <c r="D301" t="s">
        <v>1781</v>
      </c>
      <c r="E301" t="s">
        <v>582</v>
      </c>
      <c r="F301" s="213" t="s">
        <v>749</v>
      </c>
      <c r="G301" t="s">
        <v>2077</v>
      </c>
      <c r="H301" t="s">
        <v>1817</v>
      </c>
    </row>
    <row r="302" spans="1:8" x14ac:dyDescent="0.25">
      <c r="A302" t="s">
        <v>980</v>
      </c>
      <c r="B302" t="s">
        <v>100</v>
      </c>
      <c r="C302" t="s">
        <v>621</v>
      </c>
      <c r="D302" t="s">
        <v>1781</v>
      </c>
      <c r="E302" t="s">
        <v>582</v>
      </c>
      <c r="F302" s="213" t="s">
        <v>749</v>
      </c>
      <c r="G302" t="s">
        <v>2058</v>
      </c>
      <c r="H302" t="s">
        <v>1950</v>
      </c>
    </row>
    <row r="303" spans="1:8" x14ac:dyDescent="0.25">
      <c r="A303" t="s">
        <v>981</v>
      </c>
      <c r="B303" t="s">
        <v>100</v>
      </c>
      <c r="C303" t="s">
        <v>621</v>
      </c>
      <c r="D303" t="s">
        <v>1781</v>
      </c>
      <c r="E303" t="s">
        <v>582</v>
      </c>
      <c r="F303" s="213" t="s">
        <v>749</v>
      </c>
      <c r="G303" t="s">
        <v>2082</v>
      </c>
      <c r="H303" t="s">
        <v>1821</v>
      </c>
    </row>
    <row r="304" spans="1:8" x14ac:dyDescent="0.25">
      <c r="A304" t="s">
        <v>982</v>
      </c>
      <c r="B304" t="s">
        <v>100</v>
      </c>
      <c r="C304" t="s">
        <v>621</v>
      </c>
      <c r="D304" t="s">
        <v>1781</v>
      </c>
      <c r="E304" t="s">
        <v>582</v>
      </c>
      <c r="F304" s="213" t="s">
        <v>749</v>
      </c>
      <c r="G304" t="s">
        <v>2059</v>
      </c>
      <c r="H304" t="s">
        <v>1951</v>
      </c>
    </row>
    <row r="305" spans="1:8" x14ac:dyDescent="0.25">
      <c r="A305" t="s">
        <v>983</v>
      </c>
      <c r="B305" t="s">
        <v>100</v>
      </c>
      <c r="C305" t="s">
        <v>621</v>
      </c>
      <c r="D305" t="s">
        <v>1781</v>
      </c>
      <c r="E305" t="s">
        <v>582</v>
      </c>
      <c r="F305" s="213" t="s">
        <v>749</v>
      </c>
      <c r="G305" t="s">
        <v>2060</v>
      </c>
      <c r="H305" t="s">
        <v>1948</v>
      </c>
    </row>
    <row r="306" spans="1:8" x14ac:dyDescent="0.25">
      <c r="A306" t="s">
        <v>984</v>
      </c>
      <c r="B306" t="s">
        <v>100</v>
      </c>
      <c r="C306" t="s">
        <v>621</v>
      </c>
      <c r="D306" t="s">
        <v>1781</v>
      </c>
      <c r="E306" t="s">
        <v>582</v>
      </c>
      <c r="F306" s="213" t="s">
        <v>749</v>
      </c>
      <c r="G306" t="s">
        <v>2085</v>
      </c>
      <c r="H306" t="s">
        <v>1823</v>
      </c>
    </row>
    <row r="307" spans="1:8" x14ac:dyDescent="0.25">
      <c r="A307" t="s">
        <v>985</v>
      </c>
      <c r="B307" t="s">
        <v>100</v>
      </c>
      <c r="C307" t="s">
        <v>621</v>
      </c>
      <c r="D307" t="s">
        <v>1781</v>
      </c>
      <c r="E307" t="s">
        <v>582</v>
      </c>
      <c r="F307" s="213" t="s">
        <v>749</v>
      </c>
      <c r="G307" t="s">
        <v>2083</v>
      </c>
      <c r="H307" t="s">
        <v>1813</v>
      </c>
    </row>
    <row r="308" spans="1:8" x14ac:dyDescent="0.25">
      <c r="A308" t="s">
        <v>986</v>
      </c>
      <c r="B308" t="s">
        <v>100</v>
      </c>
      <c r="C308" t="s">
        <v>621</v>
      </c>
      <c r="D308" t="s">
        <v>1781</v>
      </c>
      <c r="E308" t="s">
        <v>582</v>
      </c>
      <c r="F308" s="213" t="s">
        <v>749</v>
      </c>
      <c r="G308" t="s">
        <v>2061</v>
      </c>
      <c r="H308" t="s">
        <v>1941</v>
      </c>
    </row>
    <row r="309" spans="1:8" x14ac:dyDescent="0.25">
      <c r="A309" t="s">
        <v>987</v>
      </c>
      <c r="B309" t="s">
        <v>100</v>
      </c>
      <c r="C309" t="s">
        <v>621</v>
      </c>
      <c r="D309" t="s">
        <v>1781</v>
      </c>
      <c r="E309" t="s">
        <v>582</v>
      </c>
      <c r="F309" s="213" t="s">
        <v>749</v>
      </c>
      <c r="G309" t="s">
        <v>2088</v>
      </c>
      <c r="H309" t="s">
        <v>1820</v>
      </c>
    </row>
    <row r="310" spans="1:8" x14ac:dyDescent="0.25">
      <c r="A310" t="s">
        <v>988</v>
      </c>
      <c r="B310" t="s">
        <v>100</v>
      </c>
      <c r="C310" t="s">
        <v>621</v>
      </c>
      <c r="D310" t="s">
        <v>1781</v>
      </c>
      <c r="E310" t="s">
        <v>582</v>
      </c>
      <c r="F310" s="213" t="s">
        <v>749</v>
      </c>
      <c r="G310" t="s">
        <v>2062</v>
      </c>
      <c r="H310" t="s">
        <v>1938</v>
      </c>
    </row>
    <row r="311" spans="1:8" x14ac:dyDescent="0.25">
      <c r="A311" t="s">
        <v>989</v>
      </c>
      <c r="B311" t="s">
        <v>100</v>
      </c>
      <c r="C311" t="s">
        <v>621</v>
      </c>
      <c r="D311" t="s">
        <v>1781</v>
      </c>
      <c r="E311" t="s">
        <v>582</v>
      </c>
      <c r="F311" s="213" t="s">
        <v>749</v>
      </c>
      <c r="G311" t="s">
        <v>2063</v>
      </c>
      <c r="H311" t="s">
        <v>1942</v>
      </c>
    </row>
    <row r="312" spans="1:8" x14ac:dyDescent="0.25">
      <c r="A312" t="s">
        <v>990</v>
      </c>
      <c r="B312" t="s">
        <v>100</v>
      </c>
      <c r="C312" t="s">
        <v>621</v>
      </c>
      <c r="D312" t="s">
        <v>1781</v>
      </c>
      <c r="E312" t="s">
        <v>582</v>
      </c>
      <c r="F312" s="213" t="s">
        <v>749</v>
      </c>
      <c r="G312" t="s">
        <v>2084</v>
      </c>
      <c r="H312" t="s">
        <v>1810</v>
      </c>
    </row>
    <row r="313" spans="1:8" x14ac:dyDescent="0.25">
      <c r="A313" t="s">
        <v>991</v>
      </c>
      <c r="B313" t="s">
        <v>100</v>
      </c>
      <c r="C313" t="s">
        <v>621</v>
      </c>
      <c r="D313" t="s">
        <v>1781</v>
      </c>
      <c r="E313" t="s">
        <v>582</v>
      </c>
      <c r="F313" s="213" t="s">
        <v>749</v>
      </c>
      <c r="G313" t="s">
        <v>2065</v>
      </c>
      <c r="H313" t="s">
        <v>1933</v>
      </c>
    </row>
    <row r="314" spans="1:8" x14ac:dyDescent="0.25">
      <c r="A314" t="s">
        <v>992</v>
      </c>
      <c r="B314" t="s">
        <v>100</v>
      </c>
      <c r="C314" t="s">
        <v>621</v>
      </c>
      <c r="D314" t="s">
        <v>1781</v>
      </c>
      <c r="E314" t="s">
        <v>582</v>
      </c>
      <c r="F314" s="213" t="s">
        <v>749</v>
      </c>
      <c r="G314" t="s">
        <v>2064</v>
      </c>
      <c r="H314" t="s">
        <v>1933</v>
      </c>
    </row>
    <row r="315" spans="1:8" x14ac:dyDescent="0.25">
      <c r="A315" t="s">
        <v>993</v>
      </c>
      <c r="B315" t="s">
        <v>100</v>
      </c>
      <c r="C315" t="s">
        <v>621</v>
      </c>
      <c r="D315" t="s">
        <v>1781</v>
      </c>
      <c r="E315" t="s">
        <v>582</v>
      </c>
      <c r="F315" s="213" t="s">
        <v>749</v>
      </c>
      <c r="G315" t="s">
        <v>2089</v>
      </c>
      <c r="H315" t="s">
        <v>1812</v>
      </c>
    </row>
    <row r="316" spans="1:8" x14ac:dyDescent="0.25">
      <c r="A316" t="s">
        <v>994</v>
      </c>
      <c r="B316" t="s">
        <v>100</v>
      </c>
      <c r="C316" t="s">
        <v>621</v>
      </c>
      <c r="D316" t="s">
        <v>1781</v>
      </c>
      <c r="E316" t="s">
        <v>582</v>
      </c>
      <c r="F316" s="213" t="s">
        <v>749</v>
      </c>
      <c r="G316" t="s">
        <v>2066</v>
      </c>
      <c r="H316" t="s">
        <v>1934</v>
      </c>
    </row>
    <row r="317" spans="1:8" x14ac:dyDescent="0.25">
      <c r="A317" t="s">
        <v>995</v>
      </c>
      <c r="B317" t="s">
        <v>100</v>
      </c>
      <c r="C317" t="s">
        <v>621</v>
      </c>
      <c r="D317" t="s">
        <v>1781</v>
      </c>
      <c r="E317" t="s">
        <v>582</v>
      </c>
      <c r="F317" s="213" t="s">
        <v>749</v>
      </c>
      <c r="G317" t="s">
        <v>2068</v>
      </c>
      <c r="H317" t="s">
        <v>1928</v>
      </c>
    </row>
    <row r="318" spans="1:8" x14ac:dyDescent="0.25">
      <c r="A318" t="s">
        <v>996</v>
      </c>
      <c r="B318" t="s">
        <v>100</v>
      </c>
      <c r="C318" t="s">
        <v>621</v>
      </c>
      <c r="D318" t="s">
        <v>1781</v>
      </c>
      <c r="E318" t="s">
        <v>582</v>
      </c>
      <c r="F318" s="213" t="s">
        <v>749</v>
      </c>
      <c r="G318" t="s">
        <v>2067</v>
      </c>
      <c r="H318" t="s">
        <v>1935</v>
      </c>
    </row>
    <row r="319" spans="1:8" x14ac:dyDescent="0.25">
      <c r="A319" t="s">
        <v>997</v>
      </c>
      <c r="B319" t="s">
        <v>100</v>
      </c>
      <c r="C319" t="s">
        <v>621</v>
      </c>
      <c r="D319" t="s">
        <v>1781</v>
      </c>
      <c r="E319" t="s">
        <v>582</v>
      </c>
      <c r="F319" s="213" t="s">
        <v>749</v>
      </c>
      <c r="G319" t="s">
        <v>2069</v>
      </c>
      <c r="H319" t="s">
        <v>1926</v>
      </c>
    </row>
    <row r="320" spans="1:8" x14ac:dyDescent="0.25">
      <c r="A320" t="s">
        <v>998</v>
      </c>
      <c r="B320" t="s">
        <v>100</v>
      </c>
      <c r="C320" t="s">
        <v>621</v>
      </c>
      <c r="D320" t="s">
        <v>1781</v>
      </c>
      <c r="E320" t="s">
        <v>582</v>
      </c>
      <c r="F320" s="213" t="s">
        <v>749</v>
      </c>
      <c r="G320" t="s">
        <v>2071</v>
      </c>
      <c r="H320" t="s">
        <v>1927</v>
      </c>
    </row>
    <row r="321" spans="1:8" x14ac:dyDescent="0.25">
      <c r="A321" t="s">
        <v>999</v>
      </c>
      <c r="B321" t="s">
        <v>100</v>
      </c>
      <c r="C321" t="s">
        <v>621</v>
      </c>
      <c r="D321" t="s">
        <v>1781</v>
      </c>
      <c r="E321" t="s">
        <v>582</v>
      </c>
      <c r="F321" s="213" t="s">
        <v>749</v>
      </c>
      <c r="G321" t="s">
        <v>2070</v>
      </c>
      <c r="H321" t="s">
        <v>1921</v>
      </c>
    </row>
    <row r="322" spans="1:8" x14ac:dyDescent="0.25">
      <c r="A322" t="s">
        <v>1000</v>
      </c>
      <c r="B322" t="s">
        <v>100</v>
      </c>
      <c r="C322" t="s">
        <v>621</v>
      </c>
      <c r="D322" t="s">
        <v>1781</v>
      </c>
      <c r="E322" t="s">
        <v>582</v>
      </c>
      <c r="F322" s="213" t="s">
        <v>749</v>
      </c>
      <c r="G322" t="s">
        <v>2072</v>
      </c>
      <c r="H322" t="s">
        <v>1922</v>
      </c>
    </row>
    <row r="323" spans="1:8" x14ac:dyDescent="0.25">
      <c r="A323" t="s">
        <v>1001</v>
      </c>
      <c r="B323" t="s">
        <v>100</v>
      </c>
      <c r="C323" t="s">
        <v>621</v>
      </c>
      <c r="D323" t="s">
        <v>1781</v>
      </c>
      <c r="E323" t="s">
        <v>582</v>
      </c>
      <c r="F323" s="213" t="s">
        <v>749</v>
      </c>
      <c r="G323" t="s">
        <v>2074</v>
      </c>
      <c r="H323" t="s">
        <v>1922</v>
      </c>
    </row>
    <row r="324" spans="1:8" x14ac:dyDescent="0.25">
      <c r="A324" t="s">
        <v>1002</v>
      </c>
      <c r="B324" t="s">
        <v>100</v>
      </c>
      <c r="C324" t="s">
        <v>621</v>
      </c>
      <c r="D324" t="s">
        <v>1781</v>
      </c>
      <c r="E324" t="s">
        <v>582</v>
      </c>
      <c r="F324" s="213" t="s">
        <v>749</v>
      </c>
      <c r="G324" t="s">
        <v>2073</v>
      </c>
      <c r="H324" t="s">
        <v>1919</v>
      </c>
    </row>
    <row r="325" spans="1:8" x14ac:dyDescent="0.25">
      <c r="A325" t="s">
        <v>1003</v>
      </c>
      <c r="B325" t="s">
        <v>100</v>
      </c>
      <c r="C325" t="s">
        <v>621</v>
      </c>
      <c r="D325" t="s">
        <v>1781</v>
      </c>
      <c r="E325" t="s">
        <v>582</v>
      </c>
      <c r="F325" s="213" t="s">
        <v>749</v>
      </c>
      <c r="G325" t="s">
        <v>2076</v>
      </c>
      <c r="H325" t="s">
        <v>1906</v>
      </c>
    </row>
    <row r="326" spans="1:8" x14ac:dyDescent="0.25">
      <c r="A326" t="s">
        <v>1004</v>
      </c>
      <c r="B326" t="s">
        <v>100</v>
      </c>
      <c r="C326" t="s">
        <v>621</v>
      </c>
      <c r="D326" t="s">
        <v>1781</v>
      </c>
      <c r="E326" t="s">
        <v>582</v>
      </c>
      <c r="F326" s="213" t="s">
        <v>749</v>
      </c>
      <c r="G326" t="s">
        <v>2075</v>
      </c>
      <c r="H326" t="s">
        <v>1920</v>
      </c>
    </row>
    <row r="327" spans="1:8" x14ac:dyDescent="0.25">
      <c r="A327" t="s">
        <v>1005</v>
      </c>
      <c r="B327" t="s">
        <v>100</v>
      </c>
      <c r="C327" t="s">
        <v>621</v>
      </c>
      <c r="D327" t="s">
        <v>1781</v>
      </c>
      <c r="E327" t="s">
        <v>582</v>
      </c>
      <c r="F327" s="213" t="s">
        <v>749</v>
      </c>
      <c r="G327" t="s">
        <v>2078</v>
      </c>
      <c r="H327" t="s">
        <v>1899</v>
      </c>
    </row>
    <row r="328" spans="1:8" x14ac:dyDescent="0.25">
      <c r="A328" t="s">
        <v>1006</v>
      </c>
      <c r="B328" t="s">
        <v>100</v>
      </c>
      <c r="C328" t="s">
        <v>621</v>
      </c>
      <c r="D328" t="s">
        <v>1781</v>
      </c>
      <c r="E328" t="s">
        <v>582</v>
      </c>
      <c r="F328" s="213" t="s">
        <v>749</v>
      </c>
      <c r="G328" t="s">
        <v>2081</v>
      </c>
      <c r="H328" t="s">
        <v>1900</v>
      </c>
    </row>
    <row r="329" spans="1:8" x14ac:dyDescent="0.25">
      <c r="A329" t="s">
        <v>1007</v>
      </c>
      <c r="B329" t="s">
        <v>100</v>
      </c>
      <c r="C329" t="s">
        <v>621</v>
      </c>
      <c r="D329" t="s">
        <v>1781</v>
      </c>
      <c r="E329" t="s">
        <v>582</v>
      </c>
      <c r="F329" s="213" t="s">
        <v>749</v>
      </c>
      <c r="G329" t="s">
        <v>2086</v>
      </c>
      <c r="H329" t="s">
        <v>1897</v>
      </c>
    </row>
    <row r="330" spans="1:8" x14ac:dyDescent="0.25">
      <c r="A330" t="s">
        <v>1008</v>
      </c>
      <c r="B330" t="s">
        <v>100</v>
      </c>
      <c r="C330" t="s">
        <v>621</v>
      </c>
      <c r="D330" t="s">
        <v>1781</v>
      </c>
      <c r="E330" t="s">
        <v>582</v>
      </c>
      <c r="F330" s="213" t="s">
        <v>749</v>
      </c>
      <c r="G330" t="s">
        <v>2087</v>
      </c>
      <c r="H330" t="s">
        <v>1896</v>
      </c>
    </row>
    <row r="331" spans="1:8" x14ac:dyDescent="0.25">
      <c r="A331" t="s">
        <v>1009</v>
      </c>
      <c r="B331" t="s">
        <v>100</v>
      </c>
      <c r="C331" t="s">
        <v>621</v>
      </c>
      <c r="D331" t="s">
        <v>1781</v>
      </c>
      <c r="E331" t="s">
        <v>582</v>
      </c>
      <c r="F331" s="213" t="s">
        <v>749</v>
      </c>
      <c r="G331" t="s">
        <v>2091</v>
      </c>
      <c r="H331" t="s">
        <v>1890</v>
      </c>
    </row>
    <row r="332" spans="1:8" x14ac:dyDescent="0.25">
      <c r="A332" t="s">
        <v>1010</v>
      </c>
      <c r="B332" t="s">
        <v>100</v>
      </c>
      <c r="C332" t="s">
        <v>621</v>
      </c>
      <c r="D332" t="s">
        <v>1781</v>
      </c>
      <c r="E332" t="s">
        <v>582</v>
      </c>
      <c r="F332" s="213" t="s">
        <v>749</v>
      </c>
      <c r="G332" t="s">
        <v>2092</v>
      </c>
      <c r="H332" t="s">
        <v>1891</v>
      </c>
    </row>
    <row r="333" spans="1:8" x14ac:dyDescent="0.25">
      <c r="A333" t="s">
        <v>1011</v>
      </c>
      <c r="B333" t="s">
        <v>100</v>
      </c>
      <c r="C333" t="s">
        <v>621</v>
      </c>
      <c r="D333" t="s">
        <v>1781</v>
      </c>
      <c r="E333" t="s">
        <v>582</v>
      </c>
      <c r="F333" s="213" t="s">
        <v>749</v>
      </c>
      <c r="G333" t="s">
        <v>2079</v>
      </c>
      <c r="H333" t="s">
        <v>1910</v>
      </c>
    </row>
    <row r="334" spans="1:8" x14ac:dyDescent="0.25">
      <c r="A334" t="s">
        <v>1012</v>
      </c>
      <c r="B334" t="s">
        <v>100</v>
      </c>
      <c r="C334" t="s">
        <v>621</v>
      </c>
      <c r="D334" t="s">
        <v>1781</v>
      </c>
      <c r="E334" t="s">
        <v>582</v>
      </c>
      <c r="F334" s="213" t="s">
        <v>749</v>
      </c>
      <c r="G334" t="s">
        <v>2080</v>
      </c>
      <c r="H334" t="s">
        <v>1917</v>
      </c>
    </row>
    <row r="335" spans="1:8" x14ac:dyDescent="0.25">
      <c r="A335" t="s">
        <v>1013</v>
      </c>
      <c r="B335" t="s">
        <v>100</v>
      </c>
      <c r="C335" t="s">
        <v>621</v>
      </c>
      <c r="D335" t="s">
        <v>1781</v>
      </c>
      <c r="E335" t="s">
        <v>582</v>
      </c>
      <c r="F335" s="213" t="s">
        <v>749</v>
      </c>
      <c r="G335" t="s">
        <v>2077</v>
      </c>
      <c r="H335" t="s">
        <v>1907</v>
      </c>
    </row>
    <row r="336" spans="1:8" x14ac:dyDescent="0.25">
      <c r="A336" t="s">
        <v>1014</v>
      </c>
      <c r="B336" t="s">
        <v>100</v>
      </c>
      <c r="C336" t="s">
        <v>621</v>
      </c>
      <c r="D336" t="s">
        <v>1781</v>
      </c>
      <c r="E336" t="s">
        <v>582</v>
      </c>
      <c r="F336" s="213" t="s">
        <v>749</v>
      </c>
      <c r="G336" t="s">
        <v>2082</v>
      </c>
      <c r="H336" t="s">
        <v>1911</v>
      </c>
    </row>
    <row r="337" spans="1:8" x14ac:dyDescent="0.25">
      <c r="A337" t="s">
        <v>1015</v>
      </c>
      <c r="B337" t="s">
        <v>100</v>
      </c>
      <c r="C337" t="s">
        <v>621</v>
      </c>
      <c r="D337" t="s">
        <v>1781</v>
      </c>
      <c r="E337" t="s">
        <v>582</v>
      </c>
      <c r="F337" s="213" t="s">
        <v>749</v>
      </c>
      <c r="G337" t="s">
        <v>2085</v>
      </c>
      <c r="H337" t="s">
        <v>1918</v>
      </c>
    </row>
    <row r="338" spans="1:8" x14ac:dyDescent="0.25">
      <c r="A338" t="s">
        <v>1016</v>
      </c>
      <c r="B338" t="s">
        <v>100</v>
      </c>
      <c r="C338" t="s">
        <v>621</v>
      </c>
      <c r="D338" t="s">
        <v>1781</v>
      </c>
      <c r="E338" t="s">
        <v>582</v>
      </c>
      <c r="F338" s="213" t="s">
        <v>749</v>
      </c>
      <c r="G338" t="s">
        <v>2083</v>
      </c>
      <c r="H338" t="s">
        <v>1904</v>
      </c>
    </row>
    <row r="339" spans="1:8" x14ac:dyDescent="0.25">
      <c r="A339" t="s">
        <v>1017</v>
      </c>
      <c r="B339" t="s">
        <v>100</v>
      </c>
      <c r="C339" t="s">
        <v>621</v>
      </c>
      <c r="D339" t="s">
        <v>1781</v>
      </c>
      <c r="E339" t="s">
        <v>582</v>
      </c>
      <c r="F339" s="213" t="s">
        <v>749</v>
      </c>
      <c r="G339" t="s">
        <v>2088</v>
      </c>
      <c r="H339" t="s">
        <v>1916</v>
      </c>
    </row>
    <row r="340" spans="1:8" x14ac:dyDescent="0.25">
      <c r="A340" t="s">
        <v>1018</v>
      </c>
      <c r="B340" t="s">
        <v>100</v>
      </c>
      <c r="C340" t="s">
        <v>621</v>
      </c>
      <c r="D340" t="s">
        <v>1781</v>
      </c>
      <c r="E340" t="s">
        <v>582</v>
      </c>
      <c r="F340" s="213" t="s">
        <v>749</v>
      </c>
      <c r="G340" t="s">
        <v>2084</v>
      </c>
      <c r="H340" t="s">
        <v>1903</v>
      </c>
    </row>
    <row r="341" spans="1:8" x14ac:dyDescent="0.25">
      <c r="A341" t="s">
        <v>1019</v>
      </c>
      <c r="B341" t="s">
        <v>100</v>
      </c>
      <c r="C341" t="s">
        <v>621</v>
      </c>
      <c r="D341" t="s">
        <v>1781</v>
      </c>
      <c r="E341" t="s">
        <v>582</v>
      </c>
      <c r="F341" s="213" t="s">
        <v>749</v>
      </c>
      <c r="G341" t="s">
        <v>2089</v>
      </c>
      <c r="H341" t="s">
        <v>1905</v>
      </c>
    </row>
    <row r="342" spans="1:8" x14ac:dyDescent="0.25">
      <c r="A342" t="s">
        <v>1020</v>
      </c>
      <c r="B342" t="s">
        <v>100</v>
      </c>
      <c r="C342" t="s">
        <v>621</v>
      </c>
      <c r="D342" t="s">
        <v>1781</v>
      </c>
      <c r="E342" t="s">
        <v>582</v>
      </c>
      <c r="F342" s="213" t="s">
        <v>749</v>
      </c>
      <c r="G342" t="s">
        <v>2092</v>
      </c>
      <c r="H342" t="s">
        <v>1971</v>
      </c>
    </row>
    <row r="343" spans="1:8" x14ac:dyDescent="0.25">
      <c r="A343" t="s">
        <v>1021</v>
      </c>
      <c r="B343" t="s">
        <v>100</v>
      </c>
      <c r="C343" t="s">
        <v>621</v>
      </c>
      <c r="D343" t="s">
        <v>1781</v>
      </c>
      <c r="E343" t="s">
        <v>582</v>
      </c>
      <c r="F343" s="213" t="s">
        <v>749</v>
      </c>
      <c r="G343" t="s">
        <v>2079</v>
      </c>
      <c r="H343" t="s">
        <v>1989</v>
      </c>
    </row>
    <row r="344" spans="1:8" x14ac:dyDescent="0.25">
      <c r="A344" t="s">
        <v>1022</v>
      </c>
      <c r="B344" t="s">
        <v>100</v>
      </c>
      <c r="C344" t="s">
        <v>621</v>
      </c>
      <c r="D344" t="s">
        <v>1781</v>
      </c>
      <c r="E344" t="s">
        <v>582</v>
      </c>
      <c r="F344" s="213" t="s">
        <v>749</v>
      </c>
      <c r="G344" t="s">
        <v>2080</v>
      </c>
      <c r="H344" t="s">
        <v>1997</v>
      </c>
    </row>
    <row r="345" spans="1:8" x14ac:dyDescent="0.25">
      <c r="A345" t="s">
        <v>1023</v>
      </c>
      <c r="B345" t="s">
        <v>100</v>
      </c>
      <c r="C345" t="s">
        <v>621</v>
      </c>
      <c r="D345" t="s">
        <v>1781</v>
      </c>
      <c r="E345" t="s">
        <v>582</v>
      </c>
      <c r="F345" s="213" t="s">
        <v>749</v>
      </c>
      <c r="G345" t="s">
        <v>2077</v>
      </c>
      <c r="H345" t="s">
        <v>1990</v>
      </c>
    </row>
    <row r="346" spans="1:8" x14ac:dyDescent="0.25">
      <c r="A346" t="s">
        <v>1024</v>
      </c>
      <c r="B346" t="s">
        <v>100</v>
      </c>
      <c r="C346" t="s">
        <v>621</v>
      </c>
      <c r="D346" t="s">
        <v>1781</v>
      </c>
      <c r="E346" t="s">
        <v>582</v>
      </c>
      <c r="F346" s="213" t="s">
        <v>749</v>
      </c>
      <c r="G346" t="s">
        <v>2082</v>
      </c>
      <c r="H346" t="s">
        <v>1992</v>
      </c>
    </row>
    <row r="347" spans="1:8" x14ac:dyDescent="0.25">
      <c r="A347" t="s">
        <v>1025</v>
      </c>
      <c r="B347" t="s">
        <v>100</v>
      </c>
      <c r="C347" t="s">
        <v>621</v>
      </c>
      <c r="D347" t="s">
        <v>1781</v>
      </c>
      <c r="E347" t="s">
        <v>582</v>
      </c>
      <c r="F347" s="213" t="s">
        <v>749</v>
      </c>
      <c r="G347" t="s">
        <v>2085</v>
      </c>
      <c r="H347" t="s">
        <v>1996</v>
      </c>
    </row>
    <row r="348" spans="1:8" x14ac:dyDescent="0.25">
      <c r="A348" t="s">
        <v>1026</v>
      </c>
      <c r="B348" t="s">
        <v>100</v>
      </c>
      <c r="C348" t="s">
        <v>621</v>
      </c>
      <c r="D348" t="s">
        <v>1781</v>
      </c>
      <c r="E348" t="s">
        <v>582</v>
      </c>
      <c r="F348" s="213" t="s">
        <v>749</v>
      </c>
      <c r="G348" t="s">
        <v>2083</v>
      </c>
      <c r="H348" t="s">
        <v>1988</v>
      </c>
    </row>
    <row r="349" spans="1:8" x14ac:dyDescent="0.25">
      <c r="A349" t="s">
        <v>1027</v>
      </c>
      <c r="B349" t="s">
        <v>100</v>
      </c>
      <c r="C349" t="s">
        <v>621</v>
      </c>
      <c r="D349" t="s">
        <v>1781</v>
      </c>
      <c r="E349" t="s">
        <v>582</v>
      </c>
      <c r="F349" s="213" t="s">
        <v>749</v>
      </c>
      <c r="G349" t="s">
        <v>2088</v>
      </c>
      <c r="H349" t="s">
        <v>1995</v>
      </c>
    </row>
    <row r="350" spans="1:8" x14ac:dyDescent="0.25">
      <c r="A350" t="s">
        <v>1028</v>
      </c>
      <c r="B350" t="s">
        <v>100</v>
      </c>
      <c r="C350" t="s">
        <v>621</v>
      </c>
      <c r="D350" t="s">
        <v>1781</v>
      </c>
      <c r="E350" t="s">
        <v>582</v>
      </c>
      <c r="F350" s="213" t="s">
        <v>749</v>
      </c>
      <c r="G350" t="s">
        <v>2084</v>
      </c>
      <c r="H350" t="s">
        <v>1984</v>
      </c>
    </row>
  </sheetData>
  <phoneticPr fontId="31" type="noConversion"/>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DA734-EABE-4585-A367-B62FE953D791}">
  <sheetPr codeName="Лист20"/>
  <dimension ref="A1:AC350"/>
  <sheetViews>
    <sheetView tabSelected="1" topLeftCell="J292" zoomScale="85" zoomScaleNormal="85" workbookViewId="0">
      <selection activeCell="AA356" sqref="AA356"/>
    </sheetView>
  </sheetViews>
  <sheetFormatPr defaultRowHeight="15" x14ac:dyDescent="0.25"/>
  <cols>
    <col min="1" max="1" width="11.85546875" customWidth="1"/>
    <col min="23" max="23" width="20.28515625" customWidth="1"/>
    <col min="29" max="29" width="22.28515625" customWidth="1"/>
  </cols>
  <sheetData>
    <row r="1" spans="1:29" x14ac:dyDescent="0.25">
      <c r="A1" t="s">
        <v>395</v>
      </c>
      <c r="B1" t="s">
        <v>411</v>
      </c>
      <c r="C1" t="s">
        <v>619</v>
      </c>
      <c r="D1" t="s">
        <v>417</v>
      </c>
      <c r="E1" t="s">
        <v>620</v>
      </c>
      <c r="F1" s="213" t="s">
        <v>100</v>
      </c>
      <c r="G1" t="s">
        <v>101</v>
      </c>
      <c r="H1" t="s">
        <v>418</v>
      </c>
      <c r="I1" t="s">
        <v>419</v>
      </c>
      <c r="J1" t="s">
        <v>420</v>
      </c>
      <c r="K1" t="s">
        <v>421</v>
      </c>
      <c r="L1" t="s">
        <v>422</v>
      </c>
      <c r="M1" t="s">
        <v>423</v>
      </c>
      <c r="N1" t="s">
        <v>424</v>
      </c>
      <c r="O1" t="s">
        <v>745</v>
      </c>
      <c r="P1" t="s">
        <v>744</v>
      </c>
      <c r="Q1" t="s">
        <v>425</v>
      </c>
      <c r="R1" t="s">
        <v>426</v>
      </c>
      <c r="S1" t="s">
        <v>427</v>
      </c>
      <c r="T1" t="s">
        <v>428</v>
      </c>
      <c r="U1" t="s">
        <v>429</v>
      </c>
      <c r="V1" t="s">
        <v>430</v>
      </c>
      <c r="W1" t="s">
        <v>431</v>
      </c>
      <c r="X1" t="s">
        <v>432</v>
      </c>
      <c r="Y1" t="s">
        <v>433</v>
      </c>
      <c r="Z1" t="s">
        <v>434</v>
      </c>
      <c r="AA1" t="s">
        <v>435</v>
      </c>
      <c r="AB1" t="s">
        <v>436</v>
      </c>
      <c r="AC1" t="s">
        <v>437</v>
      </c>
    </row>
    <row r="2" spans="1:29" x14ac:dyDescent="0.25">
      <c r="A2" t="s">
        <v>100</v>
      </c>
      <c r="B2" t="s">
        <v>100</v>
      </c>
      <c r="C2" t="s">
        <v>621</v>
      </c>
      <c r="D2" t="s">
        <v>1781</v>
      </c>
      <c r="E2" t="s">
        <v>582</v>
      </c>
      <c r="F2" s="213" t="s">
        <v>749</v>
      </c>
      <c r="G2" t="s">
        <v>749</v>
      </c>
      <c r="H2" t="s">
        <v>101</v>
      </c>
      <c r="I2">
        <v>2.5</v>
      </c>
      <c r="J2">
        <v>1.57</v>
      </c>
      <c r="K2">
        <f>Множество_202207112140401240[[#This Row],[2]]-Множество_202207112140401240[[#This Row],[4]]</f>
        <v>0.7799999999999998</v>
      </c>
      <c r="L2">
        <f>Множество_202207112140401240[[#This Row],[3]]-Множество_202207112140401240[[#This Row],[5]]</f>
        <v>0.42999999999999994</v>
      </c>
      <c r="M2">
        <f>Множество_202207112140401240[[#This Row],[7]]+Множество_202207112140401240[[#This Row],[6]]</f>
        <v>1.2099999999999997</v>
      </c>
      <c r="N2" s="208" t="str">
        <f>CONCATENATE(Множество_202207112140401240[[#This Row],[2]],Множество_202207112140401240[[#This Row],[3]])</f>
        <v>3,282</v>
      </c>
      <c r="O2" s="208"/>
      <c r="P2" s="208"/>
      <c r="Q2">
        <v>7.1666666666666696</v>
      </c>
      <c r="R2">
        <v>-12.533333333333299</v>
      </c>
      <c r="S2" s="208">
        <v>10</v>
      </c>
      <c r="T2" s="208">
        <v>-12.5</v>
      </c>
      <c r="U2" s="208">
        <f>ABS(Множество_202207112140401240[[#This Row],[10]]-Множество_202207112140401240[[#This Row],[12]])</f>
        <v>2.8333333333333304</v>
      </c>
      <c r="V2" s="208">
        <f>ABS(Множество_202207112140401240[[#This Row],[11]]-Множество_202207112140401240[[#This Row],[13]])</f>
        <v>3.3333333333299464E-2</v>
      </c>
      <c r="W2" s="208">
        <f>Множество_202207112140401240[[#This Row],[15]]+Множество_202207112140401240[[#This Row],[14]]</f>
        <v>2.8666666666666298</v>
      </c>
      <c r="X2" s="208">
        <f ca="1">IF(ROW()-ROW(Множество_202207112140401240[[#Headers],[17]])&gt;1,Множество_202207112140401240[[#This Row],[16]]-OFFSET(Множество_202207112140401240[[#This Row],[16]],-1,0),0)</f>
        <v>0</v>
      </c>
      <c r="Y2" s="208">
        <v>7.1666666666666696</v>
      </c>
      <c r="Z2" s="208">
        <v>-12.533333333333299</v>
      </c>
      <c r="AA2" s="208">
        <f>ABS(Множество_202207112140401240[[#This Row],[18]]-Множество_202207112140401240[[#This Row],[12]])</f>
        <v>2.8333333333333304</v>
      </c>
      <c r="AB2" s="208">
        <f>ABS(Множество_202207112140401240[[#This Row],[19]]-Множество_202207112140401240[[#This Row],[13]])</f>
        <v>3.3333333333299464E-2</v>
      </c>
      <c r="AC2" s="208">
        <f>Множество_202207112140401240[[#This Row],[20]]+Множество_202207112140401240[[#This Row],[21]]</f>
        <v>2.8666666666666298</v>
      </c>
    </row>
    <row r="3" spans="1:29" x14ac:dyDescent="0.25">
      <c r="A3" t="s">
        <v>101</v>
      </c>
      <c r="B3" t="s">
        <v>100</v>
      </c>
      <c r="C3" t="s">
        <v>621</v>
      </c>
      <c r="D3" t="s">
        <v>1781</v>
      </c>
      <c r="E3" t="s">
        <v>582</v>
      </c>
      <c r="F3" s="213" t="s">
        <v>749</v>
      </c>
      <c r="G3" t="s">
        <v>735</v>
      </c>
      <c r="H3" t="s">
        <v>98</v>
      </c>
      <c r="I3">
        <v>2.5</v>
      </c>
      <c r="J3">
        <v>1.57</v>
      </c>
      <c r="K3">
        <f>Множество_202207112140401240[[#This Row],[2]]-Множество_202207112140401240[[#This Row],[4]]</f>
        <v>0.79</v>
      </c>
      <c r="L3">
        <f>Множество_202207112140401240[[#This Row],[3]]-Множество_202207112140401240[[#This Row],[5]]</f>
        <v>0.41999999999999993</v>
      </c>
      <c r="M3">
        <f>Множество_202207112140401240[[#This Row],[7]]+Множество_202207112140401240[[#This Row],[6]]</f>
        <v>1.21</v>
      </c>
      <c r="N3" s="208" t="str">
        <f>CONCATENATE(Множество_202207112140401240[[#This Row],[2]],Множество_202207112140401240[[#This Row],[3]])</f>
        <v>3,291,99</v>
      </c>
      <c r="O3" s="208"/>
      <c r="P3" s="208"/>
      <c r="Q3">
        <v>7.1083333333333298</v>
      </c>
      <c r="R3">
        <v>-12.5833333333333</v>
      </c>
      <c r="S3" s="208">
        <v>10</v>
      </c>
      <c r="T3" s="208">
        <v>-12.5</v>
      </c>
      <c r="U3" s="208">
        <f>ABS(Множество_202207112140401240[[#This Row],[10]]-Множество_202207112140401240[[#This Row],[12]])</f>
        <v>2.8916666666666702</v>
      </c>
      <c r="V3" s="208">
        <f>ABS(Множество_202207112140401240[[#This Row],[11]]-Множество_202207112140401240[[#This Row],[13]])</f>
        <v>8.3333333333300175E-2</v>
      </c>
      <c r="W3" s="208">
        <f>Множество_202207112140401240[[#This Row],[15]]+Множество_202207112140401240[[#This Row],[14]]</f>
        <v>2.9749999999999703</v>
      </c>
      <c r="X3" s="208">
        <f ca="1">IF(ROW()-ROW(Множество_202207112140401240[[#Headers],[17]])&gt;1,Множество_202207112140401240[[#This Row],[16]]-OFFSET(Множество_202207112140401240[[#This Row],[16]],-1,0),0)</f>
        <v>0.1083333333333405</v>
      </c>
      <c r="Y3" s="208">
        <v>7.1083333333333298</v>
      </c>
      <c r="Z3" s="208">
        <v>-12.5833333333333</v>
      </c>
      <c r="AA3" s="208">
        <f>ABS(Множество_202207112140401240[[#This Row],[18]]-Множество_202207112140401240[[#This Row],[12]])</f>
        <v>2.8916666666666702</v>
      </c>
      <c r="AB3" s="208">
        <f>ABS(Множество_202207112140401240[[#This Row],[19]]-Множество_202207112140401240[[#This Row],[13]])</f>
        <v>8.3333333333300175E-2</v>
      </c>
      <c r="AC3" s="208">
        <f>Множество_202207112140401240[[#This Row],[20]]+Множество_202207112140401240[[#This Row],[21]]</f>
        <v>2.9749999999999703</v>
      </c>
    </row>
    <row r="4" spans="1:29" x14ac:dyDescent="0.25">
      <c r="A4" t="s">
        <v>418</v>
      </c>
      <c r="B4" t="s">
        <v>100</v>
      </c>
      <c r="C4" t="s">
        <v>621</v>
      </c>
      <c r="D4" t="s">
        <v>1781</v>
      </c>
      <c r="E4" t="s">
        <v>582</v>
      </c>
      <c r="F4" s="213" t="s">
        <v>749</v>
      </c>
      <c r="G4" t="s">
        <v>749</v>
      </c>
      <c r="H4" t="s">
        <v>101</v>
      </c>
      <c r="I4">
        <v>2.5</v>
      </c>
      <c r="J4">
        <v>1.57</v>
      </c>
      <c r="K4">
        <f>Множество_202207112140401240[[#This Row],[2]]-Множество_202207112140401240[[#This Row],[4]]</f>
        <v>0.7799999999999998</v>
      </c>
      <c r="L4">
        <f>Множество_202207112140401240[[#This Row],[3]]-Множество_202207112140401240[[#This Row],[5]]</f>
        <v>0.42999999999999994</v>
      </c>
      <c r="M4">
        <f>Множество_202207112140401240[[#This Row],[7]]+Множество_202207112140401240[[#This Row],[6]]</f>
        <v>1.2099999999999997</v>
      </c>
      <c r="N4" s="208" t="str">
        <f>CONCATENATE(Множество_202207112140401240[[#This Row],[2]],Множество_202207112140401240[[#This Row],[3]])</f>
        <v>3,282</v>
      </c>
      <c r="O4" s="208"/>
      <c r="P4" s="208"/>
      <c r="Q4">
        <v>7.05</v>
      </c>
      <c r="R4">
        <v>-12.633333333333301</v>
      </c>
      <c r="S4" s="208">
        <v>10</v>
      </c>
      <c r="T4" s="208">
        <v>-12.5</v>
      </c>
      <c r="U4" s="208">
        <f>ABS(Множество_202207112140401240[[#This Row],[10]]-Множество_202207112140401240[[#This Row],[12]])</f>
        <v>2.95</v>
      </c>
      <c r="V4" s="208">
        <f>ABS(Множество_202207112140401240[[#This Row],[11]]-Множество_202207112140401240[[#This Row],[13]])</f>
        <v>0.13333333333330089</v>
      </c>
      <c r="W4" s="208">
        <f>Множество_202207112140401240[[#This Row],[15]]+Множество_202207112140401240[[#This Row],[14]]</f>
        <v>3.0833333333333011</v>
      </c>
      <c r="X4" s="208">
        <f ca="1">IF(ROW()-ROW(Множество_202207112140401240[[#Headers],[17]])&gt;1,Множество_202207112140401240[[#This Row],[16]]-OFFSET(Множество_202207112140401240[[#This Row],[16]],-1,0),0)</f>
        <v>0.10833333333333073</v>
      </c>
      <c r="Y4" s="208">
        <v>7.05</v>
      </c>
      <c r="Z4" s="208">
        <v>-12.633333333333301</v>
      </c>
      <c r="AA4" s="208">
        <f>ABS(Множество_202207112140401240[[#This Row],[18]]-Множество_202207112140401240[[#This Row],[12]])</f>
        <v>2.95</v>
      </c>
      <c r="AB4" s="208">
        <f>ABS(Множество_202207112140401240[[#This Row],[19]]-Множество_202207112140401240[[#This Row],[13]])</f>
        <v>0.13333333333330089</v>
      </c>
      <c r="AC4" s="208">
        <f>Множество_202207112140401240[[#This Row],[20]]+Множество_202207112140401240[[#This Row],[21]]</f>
        <v>3.0833333333333011</v>
      </c>
    </row>
    <row r="5" spans="1:29" x14ac:dyDescent="0.25">
      <c r="A5" t="s">
        <v>419</v>
      </c>
      <c r="B5" t="s">
        <v>100</v>
      </c>
      <c r="C5" t="s">
        <v>621</v>
      </c>
      <c r="D5" t="s">
        <v>1781</v>
      </c>
      <c r="E5" t="s">
        <v>582</v>
      </c>
      <c r="F5" s="213" t="s">
        <v>749</v>
      </c>
      <c r="G5" t="s">
        <v>825</v>
      </c>
      <c r="H5" t="s">
        <v>96</v>
      </c>
      <c r="I5">
        <v>2.5</v>
      </c>
      <c r="J5">
        <v>1.57</v>
      </c>
      <c r="K5">
        <f>Множество_202207112140401240[[#This Row],[2]]-Множество_202207112140401240[[#This Row],[4]]</f>
        <v>0.81999999999999984</v>
      </c>
      <c r="L5">
        <f>Множество_202207112140401240[[#This Row],[3]]-Множество_202207112140401240[[#This Row],[5]]</f>
        <v>0.39999999999999991</v>
      </c>
      <c r="M5">
        <f>Множество_202207112140401240[[#This Row],[7]]+Множество_202207112140401240[[#This Row],[6]]</f>
        <v>1.2199999999999998</v>
      </c>
      <c r="N5" s="208" t="str">
        <f>CONCATENATE(Множество_202207112140401240[[#This Row],[2]],Множество_202207112140401240[[#This Row],[3]])</f>
        <v>3,321,97</v>
      </c>
      <c r="O5" s="208"/>
      <c r="P5" s="208"/>
      <c r="Q5">
        <v>6.9916666666666698</v>
      </c>
      <c r="R5">
        <v>-12.6666666666667</v>
      </c>
      <c r="S5" s="208">
        <v>10</v>
      </c>
      <c r="T5" s="208">
        <v>-12.5</v>
      </c>
      <c r="U5" s="208">
        <f>ABS(Множество_202207112140401240[[#This Row],[10]]-Множество_202207112140401240[[#This Row],[12]])</f>
        <v>3.0083333333333302</v>
      </c>
      <c r="V5" s="208">
        <f>ABS(Множество_202207112140401240[[#This Row],[11]]-Множество_202207112140401240[[#This Row],[13]])</f>
        <v>0.16666666666669983</v>
      </c>
      <c r="W5" s="208">
        <f>Множество_202207112140401240[[#This Row],[15]]+Множество_202207112140401240[[#This Row],[14]]</f>
        <v>3.17500000000003</v>
      </c>
      <c r="X5" s="208">
        <f ca="1">IF(ROW()-ROW(Множество_202207112140401240[[#Headers],[17]])&gt;1,Множество_202207112140401240[[#This Row],[16]]-OFFSET(Множество_202207112140401240[[#This Row],[16]],-1,0),0)</f>
        <v>9.1666666666728958E-2</v>
      </c>
      <c r="Y5" s="208">
        <v>6.9916666666666698</v>
      </c>
      <c r="Z5" s="208">
        <v>-12.6666666666667</v>
      </c>
      <c r="AA5" s="208">
        <f>ABS(Множество_202207112140401240[[#This Row],[18]]-Множество_202207112140401240[[#This Row],[12]])</f>
        <v>3.0083333333333302</v>
      </c>
      <c r="AB5" s="208">
        <f>ABS(Множество_202207112140401240[[#This Row],[19]]-Множество_202207112140401240[[#This Row],[13]])</f>
        <v>0.16666666666669983</v>
      </c>
      <c r="AC5" s="208">
        <f>Множество_202207112140401240[[#This Row],[20]]+Множество_202207112140401240[[#This Row],[21]]</f>
        <v>3.17500000000003</v>
      </c>
    </row>
    <row r="6" spans="1:29" x14ac:dyDescent="0.25">
      <c r="A6" t="s">
        <v>420</v>
      </c>
      <c r="B6" t="s">
        <v>100</v>
      </c>
      <c r="C6" t="s">
        <v>621</v>
      </c>
      <c r="D6" t="s">
        <v>1781</v>
      </c>
      <c r="E6" t="s">
        <v>582</v>
      </c>
      <c r="F6" s="213" t="s">
        <v>749</v>
      </c>
      <c r="G6" t="s">
        <v>741</v>
      </c>
      <c r="H6" t="s">
        <v>97</v>
      </c>
      <c r="I6">
        <v>2.5</v>
      </c>
      <c r="J6">
        <v>1.57</v>
      </c>
      <c r="K6">
        <f>Множество_202207112140401240[[#This Row],[2]]-Множество_202207112140401240[[#This Row],[4]]</f>
        <v>0.81</v>
      </c>
      <c r="L6">
        <f>Множество_202207112140401240[[#This Row],[3]]-Множество_202207112140401240[[#This Row],[5]]</f>
        <v>0.40999999999999992</v>
      </c>
      <c r="M6">
        <f>Множество_202207112140401240[[#This Row],[7]]+Множество_202207112140401240[[#This Row],[6]]</f>
        <v>1.22</v>
      </c>
      <c r="N6" s="208" t="str">
        <f>CONCATENATE(Множество_202207112140401240[[#This Row],[2]],Множество_202207112140401240[[#This Row],[3]])</f>
        <v>3,311,98</v>
      </c>
      <c r="O6" s="208"/>
      <c r="P6" s="208"/>
      <c r="Q6">
        <v>6.93333333333333</v>
      </c>
      <c r="R6">
        <v>-12.716666666666701</v>
      </c>
      <c r="S6" s="208">
        <v>10</v>
      </c>
      <c r="T6" s="208">
        <v>-12.5</v>
      </c>
      <c r="U6" s="208">
        <f>ABS(Множество_202207112140401240[[#This Row],[10]]-Множество_202207112140401240[[#This Row],[12]])</f>
        <v>3.06666666666667</v>
      </c>
      <c r="V6" s="208">
        <f>ABS(Множество_202207112140401240[[#This Row],[11]]-Множество_202207112140401240[[#This Row],[13]])</f>
        <v>0.21666666666670054</v>
      </c>
      <c r="W6" s="208">
        <f>Множество_202207112140401240[[#This Row],[15]]+Множество_202207112140401240[[#This Row],[14]]</f>
        <v>3.2833333333333705</v>
      </c>
      <c r="X6" s="208">
        <f ca="1">IF(ROW()-ROW(Множество_202207112140401240[[#Headers],[17]])&gt;1,Множество_202207112140401240[[#This Row],[16]]-OFFSET(Множество_202207112140401240[[#This Row],[16]],-1,0),0)</f>
        <v>0.1083333333333405</v>
      </c>
      <c r="Y6" s="208">
        <v>6.93333333333333</v>
      </c>
      <c r="Z6" s="208">
        <v>-12.716666666666701</v>
      </c>
      <c r="AA6" s="208">
        <f>ABS(Множество_202207112140401240[[#This Row],[18]]-Множество_202207112140401240[[#This Row],[12]])</f>
        <v>3.06666666666667</v>
      </c>
      <c r="AB6" s="208">
        <f>ABS(Множество_202207112140401240[[#This Row],[19]]-Множество_202207112140401240[[#This Row],[13]])</f>
        <v>0.21666666666670054</v>
      </c>
      <c r="AC6" s="208">
        <f>Множество_202207112140401240[[#This Row],[20]]+Множество_202207112140401240[[#This Row],[21]]</f>
        <v>3.2833333333333705</v>
      </c>
    </row>
    <row r="7" spans="1:29" x14ac:dyDescent="0.25">
      <c r="A7" t="s">
        <v>421</v>
      </c>
      <c r="B7" t="s">
        <v>100</v>
      </c>
      <c r="C7" t="s">
        <v>621</v>
      </c>
      <c r="D7" t="s">
        <v>1781</v>
      </c>
      <c r="E7" t="s">
        <v>582</v>
      </c>
      <c r="F7" s="213" t="s">
        <v>749</v>
      </c>
      <c r="G7" t="s">
        <v>789</v>
      </c>
      <c r="H7" t="s">
        <v>94</v>
      </c>
      <c r="I7">
        <v>2.5</v>
      </c>
      <c r="J7">
        <v>1.57</v>
      </c>
      <c r="K7">
        <f>Множество_202207112140401240[[#This Row],[2]]-Множество_202207112140401240[[#This Row],[4]]</f>
        <v>0.83999999999999986</v>
      </c>
      <c r="L7">
        <f>Множество_202207112140401240[[#This Row],[3]]-Множество_202207112140401240[[#This Row],[5]]</f>
        <v>0.37999999999999989</v>
      </c>
      <c r="M7">
        <f>Множество_202207112140401240[[#This Row],[7]]+Множество_202207112140401240[[#This Row],[6]]</f>
        <v>1.2199999999999998</v>
      </c>
      <c r="N7" s="208" t="str">
        <f>CONCATENATE(Множество_202207112140401240[[#This Row],[2]],Множество_202207112140401240[[#This Row],[3]])</f>
        <v>3,341,95</v>
      </c>
      <c r="O7" s="208"/>
      <c r="P7" s="208"/>
      <c r="Q7">
        <v>6.875</v>
      </c>
      <c r="R7">
        <v>-12.75</v>
      </c>
      <c r="S7" s="208">
        <v>10</v>
      </c>
      <c r="T7" s="208">
        <v>-12.5</v>
      </c>
      <c r="U7" s="208">
        <f>ABS(Множество_202207112140401240[[#This Row],[10]]-Множество_202207112140401240[[#This Row],[12]])</f>
        <v>3.125</v>
      </c>
      <c r="V7" s="208">
        <f>ABS(Множество_202207112140401240[[#This Row],[11]]-Множество_202207112140401240[[#This Row],[13]])</f>
        <v>0.25</v>
      </c>
      <c r="W7" s="208">
        <f>Множество_202207112140401240[[#This Row],[15]]+Множество_202207112140401240[[#This Row],[14]]</f>
        <v>3.375</v>
      </c>
      <c r="X7" s="208">
        <f ca="1">IF(ROW()-ROW(Множество_202207112140401240[[#Headers],[17]])&gt;1,Множество_202207112140401240[[#This Row],[16]]-OFFSET(Множество_202207112140401240[[#This Row],[16]],-1,0),0)</f>
        <v>9.1666666666629482E-2</v>
      </c>
      <c r="Y7" s="208">
        <v>6.875</v>
      </c>
      <c r="Z7" s="208">
        <v>-12.75</v>
      </c>
      <c r="AA7" s="208">
        <f>ABS(Множество_202207112140401240[[#This Row],[18]]-Множество_202207112140401240[[#This Row],[12]])</f>
        <v>3.125</v>
      </c>
      <c r="AB7" s="208">
        <f>ABS(Множество_202207112140401240[[#This Row],[19]]-Множество_202207112140401240[[#This Row],[13]])</f>
        <v>0.25</v>
      </c>
      <c r="AC7" s="208">
        <f>Множество_202207112140401240[[#This Row],[20]]+Множество_202207112140401240[[#This Row],[21]]</f>
        <v>3.375</v>
      </c>
    </row>
    <row r="8" spans="1:29" x14ac:dyDescent="0.25">
      <c r="A8" t="s">
        <v>422</v>
      </c>
      <c r="B8" t="s">
        <v>100</v>
      </c>
      <c r="C8" t="s">
        <v>621</v>
      </c>
      <c r="D8" t="s">
        <v>1781</v>
      </c>
      <c r="E8" t="s">
        <v>582</v>
      </c>
      <c r="F8" s="213" t="s">
        <v>749</v>
      </c>
      <c r="G8" t="s">
        <v>765</v>
      </c>
      <c r="H8" t="s">
        <v>95</v>
      </c>
      <c r="I8">
        <v>2.5</v>
      </c>
      <c r="J8">
        <v>1.57</v>
      </c>
      <c r="K8">
        <f>Множество_202207112140401240[[#This Row],[2]]-Множество_202207112140401240[[#This Row],[4]]</f>
        <v>0.83000000000000007</v>
      </c>
      <c r="L8">
        <f>Множество_202207112140401240[[#This Row],[3]]-Множество_202207112140401240[[#This Row],[5]]</f>
        <v>0.3899999999999999</v>
      </c>
      <c r="M8">
        <f>Множество_202207112140401240[[#This Row],[7]]+Множество_202207112140401240[[#This Row],[6]]</f>
        <v>1.22</v>
      </c>
      <c r="N8" s="208" t="str">
        <f>CONCATENATE(Множество_202207112140401240[[#This Row],[2]],Множество_202207112140401240[[#This Row],[3]])</f>
        <v>3,331,96</v>
      </c>
      <c r="O8" s="208"/>
      <c r="P8" s="208"/>
      <c r="Q8">
        <v>6.81666666666667</v>
      </c>
      <c r="R8">
        <v>-12.8</v>
      </c>
      <c r="S8" s="208">
        <v>10</v>
      </c>
      <c r="T8" s="208">
        <v>-12.5</v>
      </c>
      <c r="U8" s="208">
        <f>ABS(Множество_202207112140401240[[#This Row],[10]]-Множество_202207112140401240[[#This Row],[12]])</f>
        <v>3.18333333333333</v>
      </c>
      <c r="V8" s="208">
        <f>ABS(Множество_202207112140401240[[#This Row],[11]]-Множество_202207112140401240[[#This Row],[13]])</f>
        <v>0.30000000000000071</v>
      </c>
      <c r="W8" s="208">
        <f>Множество_202207112140401240[[#This Row],[15]]+Множество_202207112140401240[[#This Row],[14]]</f>
        <v>3.4833333333333307</v>
      </c>
      <c r="X8" s="208">
        <f ca="1">IF(ROW()-ROW(Множество_202207112140401240[[#Headers],[17]])&gt;1,Множество_202207112140401240[[#This Row],[16]]-OFFSET(Множество_202207112140401240[[#This Row],[16]],-1,0),0)</f>
        <v>0.10833333333333073</v>
      </c>
      <c r="Y8" s="208">
        <v>6.81666666666667</v>
      </c>
      <c r="Z8" s="208">
        <v>-12.8</v>
      </c>
      <c r="AA8" s="208">
        <f>ABS(Множество_202207112140401240[[#This Row],[18]]-Множество_202207112140401240[[#This Row],[12]])</f>
        <v>3.18333333333333</v>
      </c>
      <c r="AB8" s="208">
        <f>ABS(Множество_202207112140401240[[#This Row],[19]]-Множество_202207112140401240[[#This Row],[13]])</f>
        <v>0.30000000000000071</v>
      </c>
      <c r="AC8" s="208">
        <f>Множество_202207112140401240[[#This Row],[20]]+Множество_202207112140401240[[#This Row],[21]]</f>
        <v>3.4833333333333307</v>
      </c>
    </row>
    <row r="9" spans="1:29" x14ac:dyDescent="0.25">
      <c r="A9" t="s">
        <v>423</v>
      </c>
      <c r="B9" t="s">
        <v>100</v>
      </c>
      <c r="C9" t="s">
        <v>621</v>
      </c>
      <c r="D9" t="s">
        <v>1781</v>
      </c>
      <c r="E9" t="s">
        <v>582</v>
      </c>
      <c r="F9" s="213" t="s">
        <v>749</v>
      </c>
      <c r="G9" t="s">
        <v>716</v>
      </c>
      <c r="H9" t="s">
        <v>93</v>
      </c>
      <c r="I9">
        <v>2.5</v>
      </c>
      <c r="J9">
        <v>1.57</v>
      </c>
      <c r="K9">
        <f>Множество_202207112140401240[[#This Row],[2]]-Множество_202207112140401240[[#This Row],[4]]</f>
        <v>0.85999999999999988</v>
      </c>
      <c r="L9">
        <f>Множество_202207112140401240[[#This Row],[3]]-Множество_202207112140401240[[#This Row],[5]]</f>
        <v>0.36999999999999988</v>
      </c>
      <c r="M9">
        <f>Множество_202207112140401240[[#This Row],[7]]+Множество_202207112140401240[[#This Row],[6]]</f>
        <v>1.2299999999999998</v>
      </c>
      <c r="N9" s="208" t="str">
        <f>CONCATENATE(Множество_202207112140401240[[#This Row],[2]],Множество_202207112140401240[[#This Row],[3]])</f>
        <v>3,361,94</v>
      </c>
      <c r="O9" s="208"/>
      <c r="P9" s="208"/>
      <c r="Q9">
        <v>6.7583333333333302</v>
      </c>
      <c r="R9">
        <v>-12.85</v>
      </c>
      <c r="S9" s="208">
        <v>10</v>
      </c>
      <c r="T9" s="208">
        <v>-12.5</v>
      </c>
      <c r="U9" s="208">
        <f>ABS(Множество_202207112140401240[[#This Row],[10]]-Множество_202207112140401240[[#This Row],[12]])</f>
        <v>3.2416666666666698</v>
      </c>
      <c r="V9" s="208">
        <f>ABS(Множество_202207112140401240[[#This Row],[11]]-Множество_202207112140401240[[#This Row],[13]])</f>
        <v>0.34999999999999964</v>
      </c>
      <c r="W9" s="208">
        <f>Множество_202207112140401240[[#This Row],[15]]+Множество_202207112140401240[[#This Row],[14]]</f>
        <v>3.5916666666666694</v>
      </c>
      <c r="X9" s="208">
        <f ca="1">IF(ROW()-ROW(Множество_202207112140401240[[#Headers],[17]])&gt;1,Множество_202207112140401240[[#This Row],[16]]-OFFSET(Множество_202207112140401240[[#This Row],[16]],-1,0),0)</f>
        <v>0.10833333333333872</v>
      </c>
      <c r="Y9" s="208">
        <v>6.7583333333333302</v>
      </c>
      <c r="Z9" s="208">
        <v>-12.85</v>
      </c>
      <c r="AA9" s="208">
        <f>ABS(Множество_202207112140401240[[#This Row],[18]]-Множество_202207112140401240[[#This Row],[12]])</f>
        <v>3.2416666666666698</v>
      </c>
      <c r="AB9" s="208">
        <f>ABS(Множество_202207112140401240[[#This Row],[19]]-Множество_202207112140401240[[#This Row],[13]])</f>
        <v>0.34999999999999964</v>
      </c>
      <c r="AC9" s="208">
        <f>Множество_202207112140401240[[#This Row],[20]]+Множество_202207112140401240[[#This Row],[21]]</f>
        <v>3.5916666666666694</v>
      </c>
    </row>
    <row r="10" spans="1:29" x14ac:dyDescent="0.25">
      <c r="A10" t="s">
        <v>424</v>
      </c>
      <c r="B10" t="s">
        <v>100</v>
      </c>
      <c r="C10" t="s">
        <v>621</v>
      </c>
      <c r="D10" t="s">
        <v>1781</v>
      </c>
      <c r="E10" t="s">
        <v>582</v>
      </c>
      <c r="F10" s="213" t="s">
        <v>749</v>
      </c>
      <c r="G10" t="s">
        <v>667</v>
      </c>
      <c r="H10" t="s">
        <v>91</v>
      </c>
      <c r="I10">
        <v>2.5</v>
      </c>
      <c r="J10">
        <v>1.57</v>
      </c>
      <c r="K10">
        <f>Множество_202207112140401240[[#This Row],[2]]-Множество_202207112140401240[[#This Row],[4]]</f>
        <v>0.87999999999999989</v>
      </c>
      <c r="L10">
        <f>Множество_202207112140401240[[#This Row],[3]]-Множество_202207112140401240[[#This Row],[5]]</f>
        <v>0.34999999999999987</v>
      </c>
      <c r="M10">
        <f>Множество_202207112140401240[[#This Row],[7]]+Множество_202207112140401240[[#This Row],[6]]</f>
        <v>1.2299999999999998</v>
      </c>
      <c r="N10" s="208" t="str">
        <f>CONCATENATE(Множество_202207112140401240[[#This Row],[2]],Множество_202207112140401240[[#This Row],[3]])</f>
        <v>3,381,92</v>
      </c>
      <c r="O10" s="208"/>
      <c r="P10" s="208"/>
      <c r="Q10">
        <v>6.7</v>
      </c>
      <c r="R10">
        <v>-13.3333333333333</v>
      </c>
      <c r="S10" s="208">
        <v>10</v>
      </c>
      <c r="T10" s="208">
        <v>-12.5</v>
      </c>
      <c r="U10" s="208">
        <f>ABS(Множество_202207112140401240[[#This Row],[10]]-Множество_202207112140401240[[#This Row],[12]])</f>
        <v>3.3</v>
      </c>
      <c r="V10" s="208">
        <f>ABS(Множество_202207112140401240[[#This Row],[11]]-Множество_202207112140401240[[#This Row],[13]])</f>
        <v>0.83333333333330017</v>
      </c>
      <c r="W10" s="208">
        <f>Множество_202207112140401240[[#This Row],[15]]+Множество_202207112140401240[[#This Row],[14]]</f>
        <v>4.1333333333333</v>
      </c>
      <c r="X10" s="208">
        <f ca="1">IF(ROW()-ROW(Множество_202207112140401240[[#Headers],[17]])&gt;1,Множество_202207112140401240[[#This Row],[16]]-OFFSET(Множество_202207112140401240[[#This Row],[16]],-1,0),0)</f>
        <v>0.54166666666663055</v>
      </c>
      <c r="Y10" s="208">
        <v>6.7</v>
      </c>
      <c r="Z10" s="208">
        <v>-13.3333333333333</v>
      </c>
      <c r="AA10" s="208">
        <f>ABS(Множество_202207112140401240[[#This Row],[18]]-Множество_202207112140401240[[#This Row],[12]])</f>
        <v>3.3</v>
      </c>
      <c r="AB10" s="208">
        <f>ABS(Множество_202207112140401240[[#This Row],[19]]-Множество_202207112140401240[[#This Row],[13]])</f>
        <v>0.83333333333330017</v>
      </c>
      <c r="AC10" s="208">
        <f>Множество_202207112140401240[[#This Row],[20]]+Множество_202207112140401240[[#This Row],[21]]</f>
        <v>4.1333333333333</v>
      </c>
    </row>
    <row r="11" spans="1:29" x14ac:dyDescent="0.25">
      <c r="A11" t="s">
        <v>425</v>
      </c>
      <c r="B11" t="s">
        <v>100</v>
      </c>
      <c r="C11" t="s">
        <v>621</v>
      </c>
      <c r="D11" t="s">
        <v>1781</v>
      </c>
      <c r="E11" t="s">
        <v>582</v>
      </c>
      <c r="F11" s="213" t="s">
        <v>749</v>
      </c>
      <c r="G11" t="s">
        <v>755</v>
      </c>
      <c r="H11" t="s">
        <v>92</v>
      </c>
      <c r="I11">
        <v>2.5</v>
      </c>
      <c r="J11">
        <v>1.57</v>
      </c>
      <c r="K11">
        <f>Множество_202207112140401240[[#This Row],[2]]-Множество_202207112140401240[[#This Row],[4]]</f>
        <v>0.87000000000000011</v>
      </c>
      <c r="L11">
        <f>Множество_202207112140401240[[#This Row],[3]]-Множество_202207112140401240[[#This Row],[5]]</f>
        <v>0.35999999999999988</v>
      </c>
      <c r="M11">
        <f>Множество_202207112140401240[[#This Row],[7]]+Множество_202207112140401240[[#This Row],[6]]</f>
        <v>1.23</v>
      </c>
      <c r="N11" s="208" t="str">
        <f>CONCATENATE(Множество_202207112140401240[[#This Row],[2]],Множество_202207112140401240[[#This Row],[3]])</f>
        <v>3,371,93</v>
      </c>
      <c r="O11" s="208"/>
      <c r="P11" s="208"/>
      <c r="Q11">
        <v>6.7</v>
      </c>
      <c r="R11">
        <v>-11.6666666666667</v>
      </c>
      <c r="S11" s="208">
        <v>10</v>
      </c>
      <c r="T11" s="208">
        <v>-12.5</v>
      </c>
      <c r="U11" s="208">
        <f>ABS(Множество_202207112140401240[[#This Row],[10]]-Множество_202207112140401240[[#This Row],[12]])</f>
        <v>3.3</v>
      </c>
      <c r="V11" s="208">
        <f>ABS(Множество_202207112140401240[[#This Row],[11]]-Множество_202207112140401240[[#This Row],[13]])</f>
        <v>0.83333333333330017</v>
      </c>
      <c r="W11" s="208">
        <f>Множество_202207112140401240[[#This Row],[15]]+Множество_202207112140401240[[#This Row],[14]]</f>
        <v>4.1333333333333</v>
      </c>
      <c r="X11" s="208">
        <f ca="1">IF(ROW()-ROW(Множество_202207112140401240[[#Headers],[17]])&gt;1,Множество_202207112140401240[[#This Row],[16]]-OFFSET(Множество_202207112140401240[[#This Row],[16]],-1,0),0)</f>
        <v>0</v>
      </c>
      <c r="Y11" s="208">
        <v>6.7</v>
      </c>
      <c r="Z11" s="208">
        <v>-11.6666666666667</v>
      </c>
      <c r="AA11" s="208">
        <f>ABS(Множество_202207112140401240[[#This Row],[18]]-Множество_202207112140401240[[#This Row],[12]])</f>
        <v>3.3</v>
      </c>
      <c r="AB11" s="208">
        <f>ABS(Множество_202207112140401240[[#This Row],[19]]-Множество_202207112140401240[[#This Row],[13]])</f>
        <v>0.83333333333330017</v>
      </c>
      <c r="AC11" s="208">
        <f>Множество_202207112140401240[[#This Row],[20]]+Множество_202207112140401240[[#This Row],[21]]</f>
        <v>4.1333333333333</v>
      </c>
    </row>
    <row r="12" spans="1:29" x14ac:dyDescent="0.25">
      <c r="A12" t="s">
        <v>426</v>
      </c>
      <c r="B12" t="s">
        <v>100</v>
      </c>
      <c r="C12" t="s">
        <v>621</v>
      </c>
      <c r="D12" t="s">
        <v>1781</v>
      </c>
      <c r="E12" t="s">
        <v>582</v>
      </c>
      <c r="F12" s="213" t="s">
        <v>749</v>
      </c>
      <c r="G12" t="s">
        <v>672</v>
      </c>
      <c r="H12" t="s">
        <v>89</v>
      </c>
      <c r="I12">
        <v>2.5</v>
      </c>
      <c r="J12">
        <v>1.57</v>
      </c>
      <c r="K12">
        <f>Множество_202207112140401240[[#This Row],[2]]-Множество_202207112140401240[[#This Row],[4]]</f>
        <v>0.91000000000000014</v>
      </c>
      <c r="L12">
        <f>Множество_202207112140401240[[#This Row],[3]]-Множество_202207112140401240[[#This Row],[5]]</f>
        <v>0.32999999999999985</v>
      </c>
      <c r="M12">
        <f>Множество_202207112140401240[[#This Row],[7]]+Множество_202207112140401240[[#This Row],[6]]</f>
        <v>1.24</v>
      </c>
      <c r="N12" s="208" t="str">
        <f>CONCATENATE(Множество_202207112140401240[[#This Row],[2]],Множество_202207112140401240[[#This Row],[3]])</f>
        <v>3,411,9</v>
      </c>
      <c r="O12" s="208"/>
      <c r="P12" s="208"/>
      <c r="Q12">
        <v>6.6416666666666702</v>
      </c>
      <c r="R12">
        <v>-13.35</v>
      </c>
      <c r="S12" s="208">
        <v>10</v>
      </c>
      <c r="T12" s="208">
        <v>-12.5</v>
      </c>
      <c r="U12" s="208">
        <f>ABS(Множество_202207112140401240[[#This Row],[10]]-Множество_202207112140401240[[#This Row],[12]])</f>
        <v>3.3583333333333298</v>
      </c>
      <c r="V12" s="208">
        <f>ABS(Множество_202207112140401240[[#This Row],[11]]-Множество_202207112140401240[[#This Row],[13]])</f>
        <v>0.84999999999999964</v>
      </c>
      <c r="W12" s="208">
        <f>Множество_202207112140401240[[#This Row],[15]]+Множество_202207112140401240[[#This Row],[14]]</f>
        <v>4.2083333333333295</v>
      </c>
      <c r="X12" s="208">
        <f ca="1">IF(ROW()-ROW(Множество_202207112140401240[[#Headers],[17]])&gt;1,Множество_202207112140401240[[#This Row],[16]]-OFFSET(Множество_202207112140401240[[#This Row],[16]],-1,0),0)</f>
        <v>7.5000000000029488E-2</v>
      </c>
      <c r="Y12" s="208">
        <v>6.6416666666666702</v>
      </c>
      <c r="Z12" s="208">
        <v>-13.35</v>
      </c>
      <c r="AA12" s="208">
        <f>ABS(Множество_202207112140401240[[#This Row],[18]]-Множество_202207112140401240[[#This Row],[12]])</f>
        <v>3.3583333333333298</v>
      </c>
      <c r="AB12" s="208">
        <f>ABS(Множество_202207112140401240[[#This Row],[19]]-Множество_202207112140401240[[#This Row],[13]])</f>
        <v>0.84999999999999964</v>
      </c>
      <c r="AC12" s="208">
        <f>Множество_202207112140401240[[#This Row],[20]]+Множество_202207112140401240[[#This Row],[21]]</f>
        <v>4.2083333333333295</v>
      </c>
    </row>
    <row r="13" spans="1:29" x14ac:dyDescent="0.25">
      <c r="A13" t="s">
        <v>427</v>
      </c>
      <c r="B13" t="s">
        <v>100</v>
      </c>
      <c r="C13" t="s">
        <v>621</v>
      </c>
      <c r="D13" t="s">
        <v>1781</v>
      </c>
      <c r="E13" t="s">
        <v>582</v>
      </c>
      <c r="F13" s="213" t="s">
        <v>749</v>
      </c>
      <c r="G13" t="s">
        <v>638</v>
      </c>
      <c r="H13" t="s">
        <v>87</v>
      </c>
      <c r="I13">
        <v>2.5</v>
      </c>
      <c r="J13">
        <v>1.57</v>
      </c>
      <c r="K13">
        <f>Множество_202207112140401240[[#This Row],[2]]-Множество_202207112140401240[[#This Row],[4]]</f>
        <v>0.93000000000000016</v>
      </c>
      <c r="L13">
        <f>Множество_202207112140401240[[#This Row],[3]]-Множество_202207112140401240[[#This Row],[5]]</f>
        <v>0.30999999999999983</v>
      </c>
      <c r="M13">
        <f>Множество_202207112140401240[[#This Row],[7]]+Множество_202207112140401240[[#This Row],[6]]</f>
        <v>1.24</v>
      </c>
      <c r="N13" s="208" t="str">
        <f>CONCATENATE(Множество_202207112140401240[[#This Row],[2]],Множество_202207112140401240[[#This Row],[3]])</f>
        <v>3,431,88</v>
      </c>
      <c r="O13" s="208"/>
      <c r="P13" s="208"/>
      <c r="Q13">
        <v>6.5250000000000004</v>
      </c>
      <c r="R13">
        <v>-13.366666666666699</v>
      </c>
      <c r="S13" s="208">
        <v>10</v>
      </c>
      <c r="T13" s="208">
        <v>-12.5</v>
      </c>
      <c r="U13" s="208">
        <f>ABS(Множество_202207112140401240[[#This Row],[10]]-Множество_202207112140401240[[#This Row],[12]])</f>
        <v>3.4749999999999996</v>
      </c>
      <c r="V13" s="208">
        <f>ABS(Множество_202207112140401240[[#This Row],[11]]-Множество_202207112140401240[[#This Row],[13]])</f>
        <v>0.86666666666669911</v>
      </c>
      <c r="W13" s="208">
        <f>Множество_202207112140401240[[#This Row],[15]]+Множество_202207112140401240[[#This Row],[14]]</f>
        <v>4.3416666666666988</v>
      </c>
      <c r="X13" s="208">
        <f ca="1">IF(ROW()-ROW(Множество_202207112140401240[[#Headers],[17]])&gt;1,Множество_202207112140401240[[#This Row],[16]]-OFFSET(Множество_202207112140401240[[#This Row],[16]],-1,0),0)</f>
        <v>0.13333333333336927</v>
      </c>
      <c r="Y13" s="208">
        <v>6.5250000000000004</v>
      </c>
      <c r="Z13" s="208">
        <v>-13.366666666666699</v>
      </c>
      <c r="AA13" s="208">
        <f>ABS(Множество_202207112140401240[[#This Row],[18]]-Множество_202207112140401240[[#This Row],[12]])</f>
        <v>3.4749999999999996</v>
      </c>
      <c r="AB13" s="208">
        <f>ABS(Множество_202207112140401240[[#This Row],[19]]-Множество_202207112140401240[[#This Row],[13]])</f>
        <v>0.86666666666669911</v>
      </c>
      <c r="AC13" s="208">
        <f>Множество_202207112140401240[[#This Row],[20]]+Множество_202207112140401240[[#This Row],[21]]</f>
        <v>4.3416666666666988</v>
      </c>
    </row>
    <row r="14" spans="1:29" x14ac:dyDescent="0.25">
      <c r="A14" t="s">
        <v>428</v>
      </c>
      <c r="B14" t="s">
        <v>100</v>
      </c>
      <c r="C14" t="s">
        <v>621</v>
      </c>
      <c r="D14" t="s">
        <v>1781</v>
      </c>
      <c r="E14" t="s">
        <v>582</v>
      </c>
      <c r="F14" s="213" t="s">
        <v>749</v>
      </c>
      <c r="G14" t="s">
        <v>969</v>
      </c>
      <c r="H14" t="s">
        <v>88</v>
      </c>
      <c r="I14">
        <v>2.5</v>
      </c>
      <c r="J14">
        <v>1.57</v>
      </c>
      <c r="K14">
        <f>Множество_202207112140401240[[#This Row],[2]]-Множество_202207112140401240[[#This Row],[4]]</f>
        <v>0.91999999999999993</v>
      </c>
      <c r="L14">
        <f>Множество_202207112140401240[[#This Row],[3]]-Множество_202207112140401240[[#This Row],[5]]</f>
        <v>0.31999999999999984</v>
      </c>
      <c r="M14">
        <f>Множество_202207112140401240[[#This Row],[7]]+Множество_202207112140401240[[#This Row],[6]]</f>
        <v>1.2399999999999998</v>
      </c>
      <c r="N14" s="208" t="str">
        <f>CONCATENATE(Множество_202207112140401240[[#This Row],[2]],Множество_202207112140401240[[#This Row],[3]])</f>
        <v>3,421,89</v>
      </c>
      <c r="O14" s="208"/>
      <c r="P14" s="208"/>
      <c r="Q14">
        <v>6.4666666666666703</v>
      </c>
      <c r="R14">
        <v>-13.383333333333301</v>
      </c>
      <c r="S14" s="208">
        <v>10</v>
      </c>
      <c r="T14" s="208">
        <v>-12.5</v>
      </c>
      <c r="U14" s="208">
        <f>ABS(Множество_202207112140401240[[#This Row],[10]]-Множество_202207112140401240[[#This Row],[12]])</f>
        <v>3.5333333333333297</v>
      </c>
      <c r="V14" s="208">
        <f>ABS(Множество_202207112140401240[[#This Row],[11]]-Множество_202207112140401240[[#This Row],[13]])</f>
        <v>0.88333333333330089</v>
      </c>
      <c r="W14" s="208">
        <f>Множество_202207112140401240[[#This Row],[15]]+Множество_202207112140401240[[#This Row],[14]]</f>
        <v>4.4166666666666305</v>
      </c>
      <c r="X14" s="208">
        <f ca="1">IF(ROW()-ROW(Множество_202207112140401240[[#Headers],[17]])&gt;1,Множество_202207112140401240[[#This Row],[16]]-OFFSET(Множество_202207112140401240[[#This Row],[16]],-1,0),0)</f>
        <v>7.4999999999931788E-2</v>
      </c>
      <c r="Y14" s="208">
        <v>6.4666666666666703</v>
      </c>
      <c r="Z14" s="208">
        <v>-13.383333333333301</v>
      </c>
      <c r="AA14" s="208">
        <f>ABS(Множество_202207112140401240[[#This Row],[18]]-Множество_202207112140401240[[#This Row],[12]])</f>
        <v>3.5333333333333297</v>
      </c>
      <c r="AB14" s="208">
        <f>ABS(Множество_202207112140401240[[#This Row],[19]]-Множество_202207112140401240[[#This Row],[13]])</f>
        <v>0.88333333333330089</v>
      </c>
      <c r="AC14" s="208">
        <f>Множество_202207112140401240[[#This Row],[20]]+Множество_202207112140401240[[#This Row],[21]]</f>
        <v>4.4166666666666305</v>
      </c>
    </row>
    <row r="15" spans="1:29" x14ac:dyDescent="0.25">
      <c r="A15" t="s">
        <v>429</v>
      </c>
      <c r="B15" t="s">
        <v>100</v>
      </c>
      <c r="C15" t="s">
        <v>621</v>
      </c>
      <c r="D15" t="s">
        <v>1781</v>
      </c>
      <c r="E15" t="s">
        <v>582</v>
      </c>
      <c r="F15" s="213" t="s">
        <v>749</v>
      </c>
      <c r="G15" t="s">
        <v>781</v>
      </c>
      <c r="H15" t="s">
        <v>90</v>
      </c>
      <c r="I15">
        <v>2.5</v>
      </c>
      <c r="J15">
        <v>1.57</v>
      </c>
      <c r="K15">
        <f>Множество_202207112140401240[[#This Row],[2]]-Множество_202207112140401240[[#This Row],[4]]</f>
        <v>0.89999999999999991</v>
      </c>
      <c r="L15">
        <f>Множество_202207112140401240[[#This Row],[3]]-Множество_202207112140401240[[#This Row],[5]]</f>
        <v>0.33999999999999986</v>
      </c>
      <c r="M15">
        <f>Множество_202207112140401240[[#This Row],[7]]+Множество_202207112140401240[[#This Row],[6]]</f>
        <v>1.2399999999999998</v>
      </c>
      <c r="N15" s="208" t="str">
        <f>CONCATENATE(Множество_202207112140401240[[#This Row],[2]],Множество_202207112140401240[[#This Row],[3]])</f>
        <v>3,41,91</v>
      </c>
      <c r="O15" s="208"/>
      <c r="P15" s="208"/>
      <c r="Q15">
        <v>7.1666666666666696</v>
      </c>
      <c r="R15">
        <v>-10.866666666666699</v>
      </c>
      <c r="S15" s="208">
        <v>10</v>
      </c>
      <c r="T15" s="208">
        <v>-12.5</v>
      </c>
      <c r="U15" s="208">
        <f>ABS(Множество_202207112140401240[[#This Row],[10]]-Множество_202207112140401240[[#This Row],[12]])</f>
        <v>2.8333333333333304</v>
      </c>
      <c r="V15" s="208">
        <f>ABS(Множество_202207112140401240[[#This Row],[11]]-Множество_202207112140401240[[#This Row],[13]])</f>
        <v>1.6333333333333009</v>
      </c>
      <c r="W15" s="208">
        <f>Множество_202207112140401240[[#This Row],[15]]+Множество_202207112140401240[[#This Row],[14]]</f>
        <v>4.4666666666666313</v>
      </c>
      <c r="X15" s="208">
        <f ca="1">IF(ROW()-ROW(Множество_202207112140401240[[#Headers],[17]])&gt;1,Множество_202207112140401240[[#This Row],[16]]-OFFSET(Множество_202207112140401240[[#This Row],[16]],-1,0),0)</f>
        <v>5.0000000000000711E-2</v>
      </c>
      <c r="Y15" s="208">
        <v>7.1666666666666696</v>
      </c>
      <c r="Z15" s="208">
        <v>-10.866666666666699</v>
      </c>
      <c r="AA15" s="208">
        <f>ABS(Множество_202207112140401240[[#This Row],[18]]-Множество_202207112140401240[[#This Row],[12]])</f>
        <v>2.8333333333333304</v>
      </c>
      <c r="AB15" s="208">
        <f>ABS(Множество_202207112140401240[[#This Row],[19]]-Множество_202207112140401240[[#This Row],[13]])</f>
        <v>1.6333333333333009</v>
      </c>
      <c r="AC15" s="208">
        <f>Множество_202207112140401240[[#This Row],[20]]+Множество_202207112140401240[[#This Row],[21]]</f>
        <v>4.4666666666666313</v>
      </c>
    </row>
    <row r="16" spans="1:29" x14ac:dyDescent="0.25">
      <c r="A16" t="s">
        <v>430</v>
      </c>
      <c r="B16" t="s">
        <v>100</v>
      </c>
      <c r="C16" t="s">
        <v>621</v>
      </c>
      <c r="D16" t="s">
        <v>1781</v>
      </c>
      <c r="E16" t="s">
        <v>582</v>
      </c>
      <c r="F16" s="213" t="s">
        <v>749</v>
      </c>
      <c r="G16" t="s">
        <v>875</v>
      </c>
      <c r="H16" t="s">
        <v>86</v>
      </c>
      <c r="I16">
        <v>2.5</v>
      </c>
      <c r="J16">
        <v>1.57</v>
      </c>
      <c r="K16">
        <f>Множество_202207112140401240[[#This Row],[2]]-Множество_202207112140401240[[#This Row],[4]]</f>
        <v>0.95000000000000018</v>
      </c>
      <c r="L16">
        <f>Множество_202207112140401240[[#This Row],[3]]-Множество_202207112140401240[[#This Row],[5]]</f>
        <v>0.30000000000000004</v>
      </c>
      <c r="M16">
        <f>Множество_202207112140401240[[#This Row],[7]]+Множество_202207112140401240[[#This Row],[6]]</f>
        <v>1.2500000000000002</v>
      </c>
      <c r="N16" s="208" t="str">
        <f>CONCATENATE(Множество_202207112140401240[[#This Row],[2]],Множество_202207112140401240[[#This Row],[3]])</f>
        <v>3,451,87</v>
      </c>
      <c r="O16" s="208"/>
      <c r="P16" s="208"/>
      <c r="Q16">
        <v>7.05</v>
      </c>
      <c r="R16">
        <v>-10.966666666666701</v>
      </c>
      <c r="S16" s="208">
        <v>10</v>
      </c>
      <c r="T16" s="208">
        <v>-12.5</v>
      </c>
      <c r="U16" s="208">
        <f>ABS(Множество_202207112140401240[[#This Row],[10]]-Множество_202207112140401240[[#This Row],[12]])</f>
        <v>2.95</v>
      </c>
      <c r="V16" s="208">
        <f>ABS(Множество_202207112140401240[[#This Row],[11]]-Множество_202207112140401240[[#This Row],[13]])</f>
        <v>1.5333333333332995</v>
      </c>
      <c r="W16" s="208">
        <f>Множество_202207112140401240[[#This Row],[15]]+Множество_202207112140401240[[#This Row],[14]]</f>
        <v>4.4833333333332996</v>
      </c>
      <c r="X16" s="208">
        <f ca="1">IF(ROW()-ROW(Множество_202207112140401240[[#Headers],[17]])&gt;1,Множество_202207112140401240[[#This Row],[16]]-OFFSET(Множество_202207112140401240[[#This Row],[16]],-1,0),0)</f>
        <v>1.6666666666668384E-2</v>
      </c>
      <c r="Y16" s="208">
        <v>7.2249999999999996</v>
      </c>
      <c r="Z16" s="208">
        <v>-10.8333333333333</v>
      </c>
      <c r="AA16" s="208">
        <f>ABS(Множество_202207112140401240[[#This Row],[18]]-Множество_202207112140401240[[#This Row],[12]])</f>
        <v>2.7750000000000004</v>
      </c>
      <c r="AB16" s="208">
        <f>ABS(Множество_202207112140401240[[#This Row],[19]]-Множество_202207112140401240[[#This Row],[13]])</f>
        <v>1.6666666666666998</v>
      </c>
      <c r="AC16" s="208">
        <f>Множество_202207112140401240[[#This Row],[20]]+Множество_202207112140401240[[#This Row],[21]]</f>
        <v>4.4416666666667002</v>
      </c>
    </row>
    <row r="17" spans="1:29" x14ac:dyDescent="0.25">
      <c r="A17" s="231" t="s">
        <v>431</v>
      </c>
      <c r="B17" s="231" t="s">
        <v>100</v>
      </c>
      <c r="C17" s="231" t="s">
        <v>621</v>
      </c>
      <c r="D17" s="231" t="s">
        <v>1781</v>
      </c>
      <c r="E17" s="231" t="s">
        <v>582</v>
      </c>
      <c r="F17" s="232" t="s">
        <v>749</v>
      </c>
      <c r="G17" s="231" t="s">
        <v>761</v>
      </c>
      <c r="H17" s="231" t="s">
        <v>85</v>
      </c>
      <c r="I17" s="231">
        <v>2.5</v>
      </c>
      <c r="J17" s="231">
        <v>1.57</v>
      </c>
      <c r="K17" s="231">
        <f>Множество_202207112140401240[[#This Row],[2]]-Множество_202207112140401240[[#This Row],[4]]</f>
        <v>0.96</v>
      </c>
      <c r="L17" s="231">
        <f>Множество_202207112140401240[[#This Row],[3]]-Множество_202207112140401240[[#This Row],[5]]</f>
        <v>0.29000000000000004</v>
      </c>
      <c r="M17" s="231">
        <f>Множество_202207112140401240[[#This Row],[7]]+Множество_202207112140401240[[#This Row],[6]]</f>
        <v>1.25</v>
      </c>
      <c r="N17" s="233" t="str">
        <f>CONCATENATE(Множество_202207112140401240[[#This Row],[2]],Множество_202207112140401240[[#This Row],[3]])</f>
        <v>3,461,86</v>
      </c>
      <c r="O17" s="233"/>
      <c r="P17" s="233"/>
      <c r="Q17">
        <v>7.2249999999999996</v>
      </c>
      <c r="R17">
        <v>-10.8333333333333</v>
      </c>
      <c r="S17" s="208">
        <v>10</v>
      </c>
      <c r="T17" s="208">
        <v>-12.5</v>
      </c>
      <c r="U17" s="208">
        <f>ABS(Множество_202207112140401240[[#This Row],[10]]-Множество_202207112140401240[[#This Row],[12]])</f>
        <v>2.7750000000000004</v>
      </c>
      <c r="V17" s="233">
        <f>ABS(Множество_202207112140401240[[#This Row],[11]]-Множество_202207112140401240[[#This Row],[13]])</f>
        <v>1.6666666666666998</v>
      </c>
      <c r="W17" s="208">
        <f>Множество_202207112140401240[[#This Row],[15]]+Множество_202207112140401240[[#This Row],[14]]</f>
        <v>4.4416666666667002</v>
      </c>
      <c r="X17" s="208">
        <f ca="1">IF(ROW()-ROW(Множество_202207112140401240[[#Headers],[17]])&gt;1,Множество_202207112140401240[[#This Row],[16]]-OFFSET(Множество_202207112140401240[[#This Row],[16]],-1,0),0)</f>
        <v>-4.1666666666599461E-2</v>
      </c>
      <c r="Y17" s="208">
        <v>7.05</v>
      </c>
      <c r="Z17" s="208">
        <v>-10.966666666666701</v>
      </c>
      <c r="AA17" s="208">
        <f>ABS(Множество_202207112140401240[[#This Row],[18]]-Множество_202207112140401240[[#This Row],[12]])</f>
        <v>2.95</v>
      </c>
      <c r="AB17" s="208">
        <f>ABS(Множество_202207112140401240[[#This Row],[19]]-Множество_202207112140401240[[#This Row],[13]])</f>
        <v>1.5333333333332995</v>
      </c>
      <c r="AC17" s="208">
        <f>Множество_202207112140401240[[#This Row],[20]]+Множество_202207112140401240[[#This Row],[21]]</f>
        <v>4.4833333333332996</v>
      </c>
    </row>
    <row r="18" spans="1:29" x14ac:dyDescent="0.25">
      <c r="A18" t="s">
        <v>432</v>
      </c>
      <c r="B18" t="s">
        <v>100</v>
      </c>
      <c r="C18" t="s">
        <v>621</v>
      </c>
      <c r="D18" t="s">
        <v>1781</v>
      </c>
      <c r="E18" t="s">
        <v>582</v>
      </c>
      <c r="F18" s="213" t="s">
        <v>749</v>
      </c>
      <c r="G18" t="s">
        <v>816</v>
      </c>
      <c r="H18" t="s">
        <v>84</v>
      </c>
      <c r="I18">
        <v>2.5</v>
      </c>
      <c r="J18">
        <v>1.57</v>
      </c>
      <c r="K18">
        <f>Множество_202207112140401240[[#This Row],[2]]-Множество_202207112140401240[[#This Row],[4]]</f>
        <v>0.9700000000000002</v>
      </c>
      <c r="L18">
        <f>Множество_202207112140401240[[#This Row],[3]]-Множество_202207112140401240[[#This Row],[5]]</f>
        <v>0.28000000000000003</v>
      </c>
      <c r="M18">
        <f>Множество_202207112140401240[[#This Row],[7]]+Множество_202207112140401240[[#This Row],[6]]</f>
        <v>1.2500000000000002</v>
      </c>
      <c r="N18" s="208" t="str">
        <f>CONCATENATE(Множество_202207112140401240[[#This Row],[2]],Множество_202207112140401240[[#This Row],[3]])</f>
        <v>3,471,85</v>
      </c>
      <c r="O18" s="208"/>
      <c r="P18" s="208"/>
      <c r="Q18">
        <v>6.35</v>
      </c>
      <c r="R18">
        <v>-13.4166666666667</v>
      </c>
      <c r="S18" s="208">
        <v>10</v>
      </c>
      <c r="T18" s="208">
        <v>-12.5</v>
      </c>
      <c r="U18" s="208">
        <f>ABS(Множество_202207112140401240[[#This Row],[10]]-Множество_202207112140401240[[#This Row],[12]])</f>
        <v>3.6500000000000004</v>
      </c>
      <c r="V18" s="208">
        <f>ABS(Множество_202207112140401240[[#This Row],[11]]-Множество_202207112140401240[[#This Row],[13]])</f>
        <v>0.91666666666669983</v>
      </c>
      <c r="W18" s="208">
        <f>Множество_202207112140401240[[#This Row],[15]]+Множество_202207112140401240[[#This Row],[14]]</f>
        <v>4.5666666666667002</v>
      </c>
      <c r="X18" s="208">
        <f ca="1">IF(ROW()-ROW(Множество_202207112140401240[[#Headers],[17]])&gt;1,Множество_202207112140401240[[#This Row],[16]]-OFFSET(Множество_202207112140401240[[#This Row],[16]],-1,0),0)</f>
        <v>0.125</v>
      </c>
      <c r="Y18" s="208">
        <v>6.35</v>
      </c>
      <c r="Z18" s="208">
        <v>-13.4166666666667</v>
      </c>
      <c r="AA18" s="208">
        <f>ABS(Множество_202207112140401240[[#This Row],[18]]-Множество_202207112140401240[[#This Row],[12]])</f>
        <v>3.6500000000000004</v>
      </c>
      <c r="AB18" s="208">
        <f>ABS(Множество_202207112140401240[[#This Row],[19]]-Множество_202207112140401240[[#This Row],[13]])</f>
        <v>0.91666666666669983</v>
      </c>
      <c r="AC18" s="208">
        <f>Множество_202207112140401240[[#This Row],[20]]+Множество_202207112140401240[[#This Row],[21]]</f>
        <v>4.5666666666667002</v>
      </c>
    </row>
    <row r="19" spans="1:29" x14ac:dyDescent="0.25">
      <c r="A19" t="s">
        <v>433</v>
      </c>
      <c r="B19" t="s">
        <v>100</v>
      </c>
      <c r="C19" t="s">
        <v>621</v>
      </c>
      <c r="D19" t="s">
        <v>1781</v>
      </c>
      <c r="E19" t="s">
        <v>582</v>
      </c>
      <c r="F19" s="213" t="s">
        <v>749</v>
      </c>
      <c r="G19" t="s">
        <v>712</v>
      </c>
      <c r="H19" t="s">
        <v>83</v>
      </c>
      <c r="I19">
        <v>2.5</v>
      </c>
      <c r="J19">
        <v>1.57</v>
      </c>
      <c r="K19">
        <f>Множество_202207112140401240[[#This Row],[2]]-Множество_202207112140401240[[#This Row],[4]]</f>
        <v>0.98</v>
      </c>
      <c r="L19">
        <f>Множество_202207112140401240[[#This Row],[3]]-Множество_202207112140401240[[#This Row],[5]]</f>
        <v>0.27</v>
      </c>
      <c r="M19">
        <f>Множество_202207112140401240[[#This Row],[7]]+Множество_202207112140401240[[#This Row],[6]]</f>
        <v>1.25</v>
      </c>
      <c r="N19" s="208" t="str">
        <f>CONCATENATE(Множество_202207112140401240[[#This Row],[2]],Множество_202207112140401240[[#This Row],[3]])</f>
        <v>3,481,84</v>
      </c>
      <c r="O19" s="208"/>
      <c r="P19" s="208"/>
      <c r="Q19">
        <v>6.875</v>
      </c>
      <c r="R19">
        <v>-11.0833333333333</v>
      </c>
      <c r="S19" s="208">
        <v>10</v>
      </c>
      <c r="T19" s="208">
        <v>-12.5</v>
      </c>
      <c r="U19" s="208">
        <f>ABS(Множество_202207112140401240[[#This Row],[10]]-Множество_202207112140401240[[#This Row],[12]])</f>
        <v>3.125</v>
      </c>
      <c r="V19" s="208">
        <f>ABS(Множество_202207112140401240[[#This Row],[11]]-Множество_202207112140401240[[#This Row],[13]])</f>
        <v>1.4166666666666998</v>
      </c>
      <c r="W19" s="208">
        <f>Множество_202207112140401240[[#This Row],[15]]+Множество_202207112140401240[[#This Row],[14]]</f>
        <v>4.5416666666666998</v>
      </c>
      <c r="X19" s="208">
        <f ca="1">IF(ROW()-ROW(Множество_202207112140401240[[#Headers],[17]])&gt;1,Множество_202207112140401240[[#This Row],[16]]-OFFSET(Множество_202207112140401240[[#This Row],[16]],-1,0),0)</f>
        <v>-2.5000000000000355E-2</v>
      </c>
      <c r="Y19" s="208">
        <v>6.7583333333333302</v>
      </c>
      <c r="Z19" s="208">
        <v>-11.1833333333333</v>
      </c>
      <c r="AA19" s="208">
        <f>ABS(Множество_202207112140401240[[#This Row],[18]]-Множество_202207112140401240[[#This Row],[12]])</f>
        <v>3.2416666666666698</v>
      </c>
      <c r="AB19" s="208">
        <f>ABS(Множество_202207112140401240[[#This Row],[19]]-Множество_202207112140401240[[#This Row],[13]])</f>
        <v>1.3166666666667002</v>
      </c>
      <c r="AC19" s="208">
        <f>Множество_202207112140401240[[#This Row],[20]]+Множество_202207112140401240[[#This Row],[21]]</f>
        <v>4.55833333333337</v>
      </c>
    </row>
    <row r="20" spans="1:29" x14ac:dyDescent="0.25">
      <c r="A20" t="s">
        <v>434</v>
      </c>
      <c r="B20" t="s">
        <v>100</v>
      </c>
      <c r="C20" t="s">
        <v>621</v>
      </c>
      <c r="D20" t="s">
        <v>1781</v>
      </c>
      <c r="E20" t="s">
        <v>582</v>
      </c>
      <c r="F20" s="213" t="s">
        <v>749</v>
      </c>
      <c r="G20" t="s">
        <v>793</v>
      </c>
      <c r="H20" t="s">
        <v>80</v>
      </c>
      <c r="I20">
        <v>2.5</v>
      </c>
      <c r="J20">
        <v>1.57</v>
      </c>
      <c r="K20">
        <f>Множество_202207112140401240[[#This Row],[2]]-Множество_202207112140401240[[#This Row],[4]]</f>
        <v>1.02</v>
      </c>
      <c r="L20">
        <f>Множество_202207112140401240[[#This Row],[3]]-Множество_202207112140401240[[#This Row],[5]]</f>
        <v>0.24</v>
      </c>
      <c r="M20">
        <f>Множество_202207112140401240[[#This Row],[7]]+Множество_202207112140401240[[#This Row],[6]]</f>
        <v>1.26</v>
      </c>
      <c r="N20" s="208" t="str">
        <f>CONCATENATE(Множество_202207112140401240[[#This Row],[2]],Множество_202207112140401240[[#This Row],[3]])</f>
        <v>3,521,81</v>
      </c>
      <c r="O20" s="208"/>
      <c r="P20" s="208"/>
      <c r="Q20">
        <v>6.7583333333333302</v>
      </c>
      <c r="R20">
        <v>-11.1833333333333</v>
      </c>
      <c r="S20" s="208">
        <v>10</v>
      </c>
      <c r="T20" s="208">
        <v>-12.5</v>
      </c>
      <c r="U20" s="208">
        <f>ABS(Множество_202207112140401240[[#This Row],[10]]-Множество_202207112140401240[[#This Row],[12]])</f>
        <v>3.2416666666666698</v>
      </c>
      <c r="V20" s="208">
        <f>ABS(Множество_202207112140401240[[#This Row],[11]]-Множество_202207112140401240[[#This Row],[13]])</f>
        <v>1.3166666666667002</v>
      </c>
      <c r="W20" s="208">
        <f>Множество_202207112140401240[[#This Row],[15]]+Множество_202207112140401240[[#This Row],[14]]</f>
        <v>4.55833333333337</v>
      </c>
      <c r="X20" s="208">
        <f ca="1">IF(ROW()-ROW(Множество_202207112140401240[[#Headers],[17]])&gt;1,Множество_202207112140401240[[#This Row],[16]]-OFFSET(Множество_202207112140401240[[#This Row],[16]],-1,0),0)</f>
        <v>1.666666666667016E-2</v>
      </c>
      <c r="Y20" s="208">
        <v>6.875</v>
      </c>
      <c r="Z20" s="208">
        <v>-11.0833333333333</v>
      </c>
      <c r="AA20" s="208">
        <f>ABS(Множество_202207112140401240[[#This Row],[18]]-Множество_202207112140401240[[#This Row],[12]])</f>
        <v>3.125</v>
      </c>
      <c r="AB20" s="208">
        <f>ABS(Множество_202207112140401240[[#This Row],[19]]-Множество_202207112140401240[[#This Row],[13]])</f>
        <v>1.4166666666666998</v>
      </c>
      <c r="AC20" s="208">
        <f>Множество_202207112140401240[[#This Row],[20]]+Множество_202207112140401240[[#This Row],[21]]</f>
        <v>4.5416666666666998</v>
      </c>
    </row>
    <row r="21" spans="1:29" x14ac:dyDescent="0.25">
      <c r="A21" t="s">
        <v>435</v>
      </c>
      <c r="B21" t="s">
        <v>100</v>
      </c>
      <c r="C21" t="s">
        <v>621</v>
      </c>
      <c r="D21" t="s">
        <v>1781</v>
      </c>
      <c r="E21" t="s">
        <v>582</v>
      </c>
      <c r="F21" s="213" t="s">
        <v>749</v>
      </c>
      <c r="G21" t="s">
        <v>705</v>
      </c>
      <c r="H21" t="s">
        <v>82</v>
      </c>
      <c r="I21">
        <v>2.5</v>
      </c>
      <c r="J21">
        <v>1.57</v>
      </c>
      <c r="K21">
        <f>Множество_202207112140401240[[#This Row],[2]]-Множество_202207112140401240[[#This Row],[4]]</f>
        <v>1</v>
      </c>
      <c r="L21">
        <f>Множество_202207112140401240[[#This Row],[3]]-Множество_202207112140401240[[#This Row],[5]]</f>
        <v>0.26</v>
      </c>
      <c r="M21">
        <f>Множество_202207112140401240[[#This Row],[7]]+Множество_202207112140401240[[#This Row],[6]]</f>
        <v>1.26</v>
      </c>
      <c r="N21" s="208" t="str">
        <f>CONCATENATE(Множество_202207112140401240[[#This Row],[2]],Множество_202207112140401240[[#This Row],[3]])</f>
        <v>3,51,83</v>
      </c>
      <c r="O21" s="208"/>
      <c r="P21" s="208"/>
      <c r="Q21">
        <v>6.4083333333333297</v>
      </c>
      <c r="R21">
        <v>-13.4</v>
      </c>
      <c r="S21" s="208">
        <v>10</v>
      </c>
      <c r="T21" s="208">
        <v>-12.5</v>
      </c>
      <c r="U21" s="208">
        <f>ABS(Множество_202207112140401240[[#This Row],[10]]-Множество_202207112140401240[[#This Row],[12]])</f>
        <v>3.5916666666666703</v>
      </c>
      <c r="V21" s="208">
        <f>ABS(Множество_202207112140401240[[#This Row],[11]]-Множество_202207112140401240[[#This Row],[13]])</f>
        <v>0.90000000000000036</v>
      </c>
      <c r="W21" s="208">
        <f>Множество_202207112140401240[[#This Row],[15]]+Множество_202207112140401240[[#This Row],[14]]</f>
        <v>4.4916666666666707</v>
      </c>
      <c r="X21" s="208">
        <f ca="1">IF(ROW()-ROW(Множество_202207112140401240[[#Headers],[17]])&gt;1,Множество_202207112140401240[[#This Row],[16]]-OFFSET(Множество_202207112140401240[[#This Row],[16]],-1,0),0)</f>
        <v>-6.6666666666699292E-2</v>
      </c>
      <c r="Y21" s="208">
        <v>6.4083333333333297</v>
      </c>
      <c r="Z21" s="208">
        <v>-13.4</v>
      </c>
      <c r="AA21" s="208">
        <f>ABS(Множество_202207112140401240[[#This Row],[18]]-Множество_202207112140401240[[#This Row],[12]])</f>
        <v>3.5916666666666703</v>
      </c>
      <c r="AB21" s="208">
        <f>ABS(Множество_202207112140401240[[#This Row],[19]]-Множество_202207112140401240[[#This Row],[13]])</f>
        <v>0.90000000000000036</v>
      </c>
      <c r="AC21" s="208">
        <f>Множество_202207112140401240[[#This Row],[20]]+Множество_202207112140401240[[#This Row],[21]]</f>
        <v>4.4916666666666707</v>
      </c>
    </row>
    <row r="22" spans="1:29" x14ac:dyDescent="0.25">
      <c r="A22" t="s">
        <v>436</v>
      </c>
      <c r="B22" t="s">
        <v>100</v>
      </c>
      <c r="C22" t="s">
        <v>621</v>
      </c>
      <c r="D22" t="s">
        <v>1781</v>
      </c>
      <c r="E22" t="s">
        <v>582</v>
      </c>
      <c r="F22" s="213" t="s">
        <v>749</v>
      </c>
      <c r="G22" t="s">
        <v>770</v>
      </c>
      <c r="H22" t="s">
        <v>81</v>
      </c>
      <c r="I22">
        <v>2.5</v>
      </c>
      <c r="J22">
        <v>1.57</v>
      </c>
      <c r="K22">
        <f>Множество_202207112140401240[[#This Row],[2]]-Множество_202207112140401240[[#This Row],[4]]</f>
        <v>1.0099999999999998</v>
      </c>
      <c r="L22">
        <f>Множество_202207112140401240[[#This Row],[3]]-Множество_202207112140401240[[#This Row],[5]]</f>
        <v>0.25</v>
      </c>
      <c r="M22">
        <f>Множество_202207112140401240[[#This Row],[7]]+Множество_202207112140401240[[#This Row],[6]]</f>
        <v>1.2599999999999998</v>
      </c>
      <c r="N22" s="208" t="str">
        <f>CONCATENATE(Множество_202207112140401240[[#This Row],[2]],Множество_202207112140401240[[#This Row],[3]])</f>
        <v>3,511,82</v>
      </c>
      <c r="O22" s="208"/>
      <c r="P22" s="208"/>
      <c r="Q22">
        <v>7.1083333333333298</v>
      </c>
      <c r="R22">
        <v>-10.9166666666667</v>
      </c>
      <c r="S22" s="208">
        <v>10</v>
      </c>
      <c r="T22" s="208">
        <v>-12.5</v>
      </c>
      <c r="U22" s="208">
        <f>ABS(Множество_202207112140401240[[#This Row],[10]]-Множество_202207112140401240[[#This Row],[12]])</f>
        <v>2.8916666666666702</v>
      </c>
      <c r="V22" s="208">
        <f>ABS(Множество_202207112140401240[[#This Row],[11]]-Множество_202207112140401240[[#This Row],[13]])</f>
        <v>1.5833333333333002</v>
      </c>
      <c r="W22" s="208">
        <f>Множество_202207112140401240[[#This Row],[15]]+Множество_202207112140401240[[#This Row],[14]]</f>
        <v>4.4749999999999703</v>
      </c>
      <c r="X22" s="208">
        <f ca="1">IF(ROW()-ROW(Множество_202207112140401240[[#Headers],[17]])&gt;1,Множество_202207112140401240[[#This Row],[16]]-OFFSET(Множество_202207112140401240[[#This Row],[16]],-1,0),0)</f>
        <v>-1.6666666666700358E-2</v>
      </c>
      <c r="Y22" s="208">
        <v>7.1083333333333298</v>
      </c>
      <c r="Z22" s="208">
        <v>-10.9166666666667</v>
      </c>
      <c r="AA22" s="208">
        <f>ABS(Множество_202207112140401240[[#This Row],[18]]-Множество_202207112140401240[[#This Row],[12]])</f>
        <v>2.8916666666666702</v>
      </c>
      <c r="AB22" s="208">
        <f>ABS(Множество_202207112140401240[[#This Row],[19]]-Множество_202207112140401240[[#This Row],[13]])</f>
        <v>1.5833333333333002</v>
      </c>
      <c r="AC22" s="208">
        <f>Множество_202207112140401240[[#This Row],[20]]+Множество_202207112140401240[[#This Row],[21]]</f>
        <v>4.4749999999999703</v>
      </c>
    </row>
    <row r="23" spans="1:29" x14ac:dyDescent="0.25">
      <c r="A23" t="s">
        <v>437</v>
      </c>
      <c r="B23" t="s">
        <v>100</v>
      </c>
      <c r="C23" t="s">
        <v>621</v>
      </c>
      <c r="D23" t="s">
        <v>1781</v>
      </c>
      <c r="E23" t="s">
        <v>582</v>
      </c>
      <c r="F23" s="213" t="s">
        <v>749</v>
      </c>
      <c r="G23" t="s">
        <v>677</v>
      </c>
      <c r="H23" t="s">
        <v>83</v>
      </c>
      <c r="I23">
        <v>2.5</v>
      </c>
      <c r="J23">
        <v>1.57</v>
      </c>
      <c r="K23">
        <f>Множество_202207112140401240[[#This Row],[2]]-Множество_202207112140401240[[#This Row],[4]]</f>
        <v>0.99000000000000021</v>
      </c>
      <c r="L23">
        <f>Множество_202207112140401240[[#This Row],[3]]-Множество_202207112140401240[[#This Row],[5]]</f>
        <v>0.27</v>
      </c>
      <c r="M23">
        <f>Множество_202207112140401240[[#This Row],[7]]+Множество_202207112140401240[[#This Row],[6]]</f>
        <v>1.2600000000000002</v>
      </c>
      <c r="N23" s="208" t="str">
        <f>CONCATENATE(Множество_202207112140401240[[#This Row],[2]],Множество_202207112140401240[[#This Row],[3]])</f>
        <v>3,491,84</v>
      </c>
      <c r="O23" s="208"/>
      <c r="P23" s="208"/>
      <c r="Q23">
        <v>6.93333333333333</v>
      </c>
      <c r="R23">
        <v>-11.05</v>
      </c>
      <c r="S23" s="208">
        <v>10</v>
      </c>
      <c r="T23" s="208">
        <v>-12.5</v>
      </c>
      <c r="U23" s="208">
        <f>ABS(Множество_202207112140401240[[#This Row],[10]]-Множество_202207112140401240[[#This Row],[12]])</f>
        <v>3.06666666666667</v>
      </c>
      <c r="V23" s="208">
        <f>ABS(Множество_202207112140401240[[#This Row],[11]]-Множество_202207112140401240[[#This Row],[13]])</f>
        <v>1.4499999999999993</v>
      </c>
      <c r="W23" s="208">
        <f>Множество_202207112140401240[[#This Row],[15]]+Множество_202207112140401240[[#This Row],[14]]</f>
        <v>4.5166666666666693</v>
      </c>
      <c r="X23" s="208">
        <f ca="1">IF(ROW()-ROW(Множество_202207112140401240[[#Headers],[17]])&gt;1,Множество_202207112140401240[[#This Row],[16]]-OFFSET(Множество_202207112140401240[[#This Row],[16]],-1,0),0)</f>
        <v>4.1666666666698937E-2</v>
      </c>
      <c r="Y23" s="208">
        <v>6.93333333333333</v>
      </c>
      <c r="Z23" s="208">
        <v>-11.05</v>
      </c>
      <c r="AA23" s="208">
        <f>ABS(Множество_202207112140401240[[#This Row],[18]]-Множество_202207112140401240[[#This Row],[12]])</f>
        <v>3.06666666666667</v>
      </c>
      <c r="AB23" s="208">
        <f>ABS(Множество_202207112140401240[[#This Row],[19]]-Множество_202207112140401240[[#This Row],[13]])</f>
        <v>1.4499999999999993</v>
      </c>
      <c r="AC23" s="208">
        <f>Множество_202207112140401240[[#This Row],[20]]+Множество_202207112140401240[[#This Row],[21]]</f>
        <v>4.5166666666666693</v>
      </c>
    </row>
    <row r="24" spans="1:29" x14ac:dyDescent="0.25">
      <c r="A24" t="s">
        <v>438</v>
      </c>
      <c r="B24" t="s">
        <v>100</v>
      </c>
      <c r="C24" t="s">
        <v>621</v>
      </c>
      <c r="D24" t="s">
        <v>1781</v>
      </c>
      <c r="E24" t="s">
        <v>582</v>
      </c>
      <c r="F24" s="213" t="s">
        <v>749</v>
      </c>
      <c r="G24" t="s">
        <v>1035</v>
      </c>
      <c r="H24" t="s">
        <v>77</v>
      </c>
      <c r="I24">
        <v>2.5</v>
      </c>
      <c r="J24">
        <v>1.57</v>
      </c>
      <c r="K24">
        <f>Множество_202207112140401240[[#This Row],[2]]-Множество_202207112140401240[[#This Row],[4]]</f>
        <v>1.06</v>
      </c>
      <c r="L24">
        <f>Множество_202207112140401240[[#This Row],[3]]-Множество_202207112140401240[[#This Row],[5]]</f>
        <v>0.20999999999999996</v>
      </c>
      <c r="M24">
        <f>Множество_202207112140401240[[#This Row],[7]]+Множество_202207112140401240[[#This Row],[6]]</f>
        <v>1.27</v>
      </c>
      <c r="N24" s="208" t="str">
        <f>CONCATENATE(Множество_202207112140401240[[#This Row],[2]],Множество_202207112140401240[[#This Row],[3]])</f>
        <v>3,561,78</v>
      </c>
      <c r="O24" s="208"/>
      <c r="P24" s="208"/>
      <c r="Q24">
        <v>6.81666666666667</v>
      </c>
      <c r="R24">
        <v>-11.133333333333301</v>
      </c>
      <c r="S24" s="208">
        <v>10</v>
      </c>
      <c r="T24" s="208">
        <v>-12.5</v>
      </c>
      <c r="U24" s="208">
        <f>ABS(Множество_202207112140401240[[#This Row],[10]]-Множество_202207112140401240[[#This Row],[12]])</f>
        <v>3.18333333333333</v>
      </c>
      <c r="V24" s="208">
        <f>ABS(Множество_202207112140401240[[#This Row],[11]]-Множество_202207112140401240[[#This Row],[13]])</f>
        <v>1.3666666666666991</v>
      </c>
      <c r="W24" s="208">
        <f>Множество_202207112140401240[[#This Row],[15]]+Множество_202207112140401240[[#This Row],[14]]</f>
        <v>4.5500000000000291</v>
      </c>
      <c r="X24" s="208">
        <f ca="1">IF(ROW()-ROW(Множество_202207112140401240[[#Headers],[17]])&gt;1,Множество_202207112140401240[[#This Row],[16]]-OFFSET(Множество_202207112140401240[[#This Row],[16]],-1,0),0)</f>
        <v>3.333333333335986E-2</v>
      </c>
      <c r="Y24" s="208">
        <v>6.81666666666667</v>
      </c>
      <c r="Z24" s="208">
        <v>-11.133333333333301</v>
      </c>
      <c r="AA24" s="208">
        <f>ABS(Множество_202207112140401240[[#This Row],[18]]-Множество_202207112140401240[[#This Row],[12]])</f>
        <v>3.18333333333333</v>
      </c>
      <c r="AB24" s="208">
        <f>ABS(Множество_202207112140401240[[#This Row],[19]]-Множество_202207112140401240[[#This Row],[13]])</f>
        <v>1.3666666666666991</v>
      </c>
      <c r="AC24" s="208">
        <f>Множество_202207112140401240[[#This Row],[20]]+Множество_202207112140401240[[#This Row],[21]]</f>
        <v>4.5500000000000291</v>
      </c>
    </row>
    <row r="25" spans="1:29" x14ac:dyDescent="0.25">
      <c r="A25" t="s">
        <v>439</v>
      </c>
      <c r="B25" t="s">
        <v>100</v>
      </c>
      <c r="C25" t="s">
        <v>621</v>
      </c>
      <c r="D25" t="s">
        <v>1781</v>
      </c>
      <c r="E25" t="s">
        <v>582</v>
      </c>
      <c r="F25" s="213" t="s">
        <v>749</v>
      </c>
      <c r="G25" t="s">
        <v>1133</v>
      </c>
      <c r="H25" t="s">
        <v>78</v>
      </c>
      <c r="I25">
        <v>2.5</v>
      </c>
      <c r="J25">
        <v>1.57</v>
      </c>
      <c r="K25">
        <f>Множество_202207112140401240[[#This Row],[2]]-Множество_202207112140401240[[#This Row],[4]]</f>
        <v>1.0499999999999998</v>
      </c>
      <c r="L25">
        <f>Множество_202207112140401240[[#This Row],[3]]-Множество_202207112140401240[[#This Row],[5]]</f>
        <v>0.21999999999999997</v>
      </c>
      <c r="M25">
        <f>Множество_202207112140401240[[#This Row],[7]]+Множество_202207112140401240[[#This Row],[6]]</f>
        <v>1.2699999999999998</v>
      </c>
      <c r="N25" s="208" t="str">
        <f>CONCATENATE(Множество_202207112140401240[[#This Row],[2]],Множество_202207112140401240[[#This Row],[3]])</f>
        <v>3,551,79</v>
      </c>
      <c r="O25" s="208"/>
      <c r="P25" s="208"/>
      <c r="Q25">
        <v>6.9916666666666698</v>
      </c>
      <c r="R25">
        <v>-11</v>
      </c>
      <c r="S25" s="208">
        <v>10</v>
      </c>
      <c r="T25" s="208">
        <v>-12.5</v>
      </c>
      <c r="U25" s="208">
        <f>ABS(Множество_202207112140401240[[#This Row],[10]]-Множество_202207112140401240[[#This Row],[12]])</f>
        <v>3.0083333333333302</v>
      </c>
      <c r="V25" s="208">
        <f>ABS(Множество_202207112140401240[[#This Row],[11]]-Множество_202207112140401240[[#This Row],[13]])</f>
        <v>1.5</v>
      </c>
      <c r="W25" s="208">
        <f>Множество_202207112140401240[[#This Row],[15]]+Множество_202207112140401240[[#This Row],[14]]</f>
        <v>4.5083333333333302</v>
      </c>
      <c r="X25" s="208">
        <f ca="1">IF(ROW()-ROW(Множество_202207112140401240[[#Headers],[17]])&gt;1,Множество_202207112140401240[[#This Row],[16]]-OFFSET(Множество_202207112140401240[[#This Row],[16]],-1,0),0)</f>
        <v>-4.1666666666698937E-2</v>
      </c>
      <c r="Y25" s="208">
        <v>6.9916666666666698</v>
      </c>
      <c r="Z25" s="208">
        <v>-11</v>
      </c>
      <c r="AA25" s="208">
        <f>ABS(Множество_202207112140401240[[#This Row],[18]]-Множество_202207112140401240[[#This Row],[12]])</f>
        <v>3.0083333333333302</v>
      </c>
      <c r="AB25" s="208">
        <f>ABS(Множество_202207112140401240[[#This Row],[19]]-Множество_202207112140401240[[#This Row],[13]])</f>
        <v>1.5</v>
      </c>
      <c r="AC25" s="208">
        <f>Множество_202207112140401240[[#This Row],[20]]+Множество_202207112140401240[[#This Row],[21]]</f>
        <v>4.5083333333333302</v>
      </c>
    </row>
    <row r="26" spans="1:29" x14ac:dyDescent="0.25">
      <c r="A26" t="s">
        <v>440</v>
      </c>
      <c r="B26" t="s">
        <v>100</v>
      </c>
      <c r="C26" t="s">
        <v>621</v>
      </c>
      <c r="D26" t="s">
        <v>1781</v>
      </c>
      <c r="E26" t="s">
        <v>582</v>
      </c>
      <c r="F26" s="213" t="s">
        <v>749</v>
      </c>
      <c r="G26" t="s">
        <v>640</v>
      </c>
      <c r="H26" t="s">
        <v>79</v>
      </c>
      <c r="I26">
        <v>2.5</v>
      </c>
      <c r="J26">
        <v>1.57</v>
      </c>
      <c r="K26">
        <f>Множество_202207112140401240[[#This Row],[2]]-Множество_202207112140401240[[#This Row],[4]]</f>
        <v>1.04</v>
      </c>
      <c r="L26">
        <f>Множество_202207112140401240[[#This Row],[3]]-Множество_202207112140401240[[#This Row],[5]]</f>
        <v>0.22999999999999998</v>
      </c>
      <c r="M26">
        <f>Множество_202207112140401240[[#This Row],[7]]+Множество_202207112140401240[[#This Row],[6]]</f>
        <v>1.27</v>
      </c>
      <c r="N26" s="208" t="str">
        <f>CONCATENATE(Множество_202207112140401240[[#This Row],[2]],Множество_202207112140401240[[#This Row],[3]])</f>
        <v>3,541,8</v>
      </c>
      <c r="O26" s="208"/>
      <c r="P26" s="208"/>
      <c r="Q26">
        <v>6.2333333333333298</v>
      </c>
      <c r="R26">
        <v>-13.4333333333333</v>
      </c>
      <c r="S26" s="208">
        <v>10</v>
      </c>
      <c r="T26" s="208">
        <v>-12.5</v>
      </c>
      <c r="U26" s="208">
        <f>ABS(Множество_202207112140401240[[#This Row],[10]]-Множество_202207112140401240[[#This Row],[12]])</f>
        <v>3.7666666666666702</v>
      </c>
      <c r="V26" s="208">
        <f>ABS(Множество_202207112140401240[[#This Row],[11]]-Множество_202207112140401240[[#This Row],[13]])</f>
        <v>0.93333333333329982</v>
      </c>
      <c r="W26" s="208">
        <f>Множество_202207112140401240[[#This Row],[15]]+Множество_202207112140401240[[#This Row],[14]]</f>
        <v>4.69999999999997</v>
      </c>
      <c r="X26" s="208">
        <f ca="1">IF(ROW()-ROW(Множество_202207112140401240[[#Headers],[17]])&gt;1,Множество_202207112140401240[[#This Row],[16]]-OFFSET(Множество_202207112140401240[[#This Row],[16]],-1,0),0)</f>
        <v>0.19166666666663978</v>
      </c>
      <c r="Y26" s="208">
        <v>6.2333333333333298</v>
      </c>
      <c r="Z26" s="208">
        <v>-13.4333333333333</v>
      </c>
      <c r="AA26" s="208">
        <f>ABS(Множество_202207112140401240[[#This Row],[18]]-Множество_202207112140401240[[#This Row],[12]])</f>
        <v>3.7666666666666702</v>
      </c>
      <c r="AB26" s="208">
        <f>ABS(Множество_202207112140401240[[#This Row],[19]]-Множество_202207112140401240[[#This Row],[13]])</f>
        <v>0.93333333333329982</v>
      </c>
      <c r="AC26" s="208">
        <f>Множество_202207112140401240[[#This Row],[20]]+Множество_202207112140401240[[#This Row],[21]]</f>
        <v>4.69999999999997</v>
      </c>
    </row>
    <row r="27" spans="1:29" x14ac:dyDescent="0.25">
      <c r="A27" t="s">
        <v>648</v>
      </c>
      <c r="B27" t="s">
        <v>100</v>
      </c>
      <c r="C27" t="s">
        <v>621</v>
      </c>
      <c r="D27" t="s">
        <v>1781</v>
      </c>
      <c r="E27" t="s">
        <v>582</v>
      </c>
      <c r="F27" s="213" t="s">
        <v>749</v>
      </c>
      <c r="G27" t="s">
        <v>1392</v>
      </c>
      <c r="H27" t="s">
        <v>56</v>
      </c>
      <c r="I27">
        <v>2.5</v>
      </c>
      <c r="J27">
        <v>1.57</v>
      </c>
      <c r="K27">
        <f>Множество_202207112140401240[[#This Row],[2]]-Множество_202207112140401240[[#This Row],[4]]</f>
        <v>1.27</v>
      </c>
      <c r="L27">
        <f>Множество_202207112140401240[[#This Row],[3]]-Множество_202207112140401240[[#This Row],[5]]</f>
        <v>0</v>
      </c>
      <c r="M27">
        <f>Множество_202207112140401240[[#This Row],[7]]+Множество_202207112140401240[[#This Row],[6]]</f>
        <v>1.27</v>
      </c>
      <c r="N27" s="208" t="str">
        <f>CONCATENATE(Множество_202207112140401240[[#This Row],[2]],Множество_202207112140401240[[#This Row],[3]])</f>
        <v>3,771,57</v>
      </c>
      <c r="O27" s="208"/>
      <c r="P27" s="208"/>
      <c r="Q27">
        <v>6.1749999999999998</v>
      </c>
      <c r="R27">
        <v>-13.45</v>
      </c>
      <c r="S27" s="208">
        <v>10</v>
      </c>
      <c r="T27" s="208">
        <v>-12.5</v>
      </c>
      <c r="U27" s="208">
        <f>ABS(Множество_202207112140401240[[#This Row],[10]]-Множество_202207112140401240[[#This Row],[12]])</f>
        <v>3.8250000000000002</v>
      </c>
      <c r="V27" s="208">
        <f>ABS(Множество_202207112140401240[[#This Row],[11]]-Множество_202207112140401240[[#This Row],[13]])</f>
        <v>0.94999999999999929</v>
      </c>
      <c r="W27" s="208">
        <f>Множество_202207112140401240[[#This Row],[15]]+Множество_202207112140401240[[#This Row],[14]]</f>
        <v>4.7749999999999995</v>
      </c>
      <c r="X27" s="208">
        <f ca="1">IF(ROW()-ROW(Множество_202207112140401240[[#Headers],[17]])&gt;1,Множество_202207112140401240[[#This Row],[16]]-OFFSET(Множество_202207112140401240[[#This Row],[16]],-1,0),0)</f>
        <v>7.5000000000029488E-2</v>
      </c>
      <c r="Y27" s="208">
        <v>6.1749999999999998</v>
      </c>
      <c r="Z27" s="208">
        <v>-13.45</v>
      </c>
      <c r="AA27" s="208">
        <f>ABS(Множество_202207112140401240[[#This Row],[18]]-Множество_202207112140401240[[#This Row],[12]])</f>
        <v>3.8250000000000002</v>
      </c>
      <c r="AB27" s="208">
        <f>ABS(Множество_202207112140401240[[#This Row],[19]]-Множество_202207112140401240[[#This Row],[13]])</f>
        <v>0.94999999999999929</v>
      </c>
      <c r="AC27" s="208">
        <f>Множество_202207112140401240[[#This Row],[20]]+Множество_202207112140401240[[#This Row],[21]]</f>
        <v>4.7749999999999995</v>
      </c>
    </row>
    <row r="28" spans="1:29" x14ac:dyDescent="0.25">
      <c r="A28" t="s">
        <v>649</v>
      </c>
      <c r="B28" t="s">
        <v>100</v>
      </c>
      <c r="C28" t="s">
        <v>621</v>
      </c>
      <c r="D28" t="s">
        <v>1781</v>
      </c>
      <c r="E28" t="s">
        <v>582</v>
      </c>
      <c r="F28" s="213" t="s">
        <v>749</v>
      </c>
      <c r="G28" t="s">
        <v>1231</v>
      </c>
      <c r="H28" t="s">
        <v>76</v>
      </c>
      <c r="I28">
        <v>2.5</v>
      </c>
      <c r="J28">
        <v>1.57</v>
      </c>
      <c r="K28">
        <f>Множество_202207112140401240[[#This Row],[2]]-Множество_202207112140401240[[#This Row],[4]]</f>
        <v>1.0699999999999998</v>
      </c>
      <c r="L28">
        <f>Множество_202207112140401240[[#This Row],[3]]-Множество_202207112140401240[[#This Row],[5]]</f>
        <v>0.19999999999999996</v>
      </c>
      <c r="M28">
        <f>Множество_202207112140401240[[#This Row],[7]]+Множество_202207112140401240[[#This Row],[6]]</f>
        <v>1.2699999999999998</v>
      </c>
      <c r="N28" s="208" t="str">
        <f>CONCATENATE(Множество_202207112140401240[[#This Row],[2]],Множество_202207112140401240[[#This Row],[3]])</f>
        <v>3,571,77</v>
      </c>
      <c r="O28" s="208"/>
      <c r="P28" s="208"/>
      <c r="Q28">
        <v>6.1166666666666698</v>
      </c>
      <c r="R28">
        <v>-13.466666666666701</v>
      </c>
      <c r="S28" s="208">
        <v>10</v>
      </c>
      <c r="T28" s="208">
        <v>-12.5</v>
      </c>
      <c r="U28" s="208">
        <f>ABS(Множество_202207112140401240[[#This Row],[10]]-Множество_202207112140401240[[#This Row],[12]])</f>
        <v>3.8833333333333302</v>
      </c>
      <c r="V28" s="208">
        <f>ABS(Множество_202207112140401240[[#This Row],[11]]-Множество_202207112140401240[[#This Row],[13]])</f>
        <v>0.96666666666670054</v>
      </c>
      <c r="W28" s="208">
        <f>Множество_202207112140401240[[#This Row],[15]]+Множество_202207112140401240[[#This Row],[14]]</f>
        <v>4.8500000000000307</v>
      </c>
      <c r="X28" s="208">
        <f ca="1">IF(ROW()-ROW(Множество_202207112140401240[[#Headers],[17]])&gt;1,Множество_202207112140401240[[#This Row],[16]]-OFFSET(Множество_202207112140401240[[#This Row],[16]],-1,0),0)</f>
        <v>7.5000000000031264E-2</v>
      </c>
      <c r="Y28" s="208">
        <v>6.1166666666666698</v>
      </c>
      <c r="Z28" s="208">
        <v>-13.466666666666701</v>
      </c>
      <c r="AA28" s="208">
        <f>ABS(Множество_202207112140401240[[#This Row],[18]]-Множество_202207112140401240[[#This Row],[12]])</f>
        <v>3.8833333333333302</v>
      </c>
      <c r="AB28" s="208">
        <f>ABS(Множество_202207112140401240[[#This Row],[19]]-Множество_202207112140401240[[#This Row],[13]])</f>
        <v>0.96666666666670054</v>
      </c>
      <c r="AC28" s="208">
        <f>Множество_202207112140401240[[#This Row],[20]]+Множество_202207112140401240[[#This Row],[21]]</f>
        <v>4.8500000000000307</v>
      </c>
    </row>
    <row r="29" spans="1:29" x14ac:dyDescent="0.25">
      <c r="A29" t="s">
        <v>651</v>
      </c>
      <c r="B29" t="s">
        <v>100</v>
      </c>
      <c r="C29" t="s">
        <v>621</v>
      </c>
      <c r="D29" t="s">
        <v>1781</v>
      </c>
      <c r="E29" t="s">
        <v>582</v>
      </c>
      <c r="F29" s="213" t="s">
        <v>749</v>
      </c>
      <c r="G29" t="s">
        <v>812</v>
      </c>
      <c r="H29" t="s">
        <v>73</v>
      </c>
      <c r="I29">
        <v>2.5</v>
      </c>
      <c r="J29">
        <v>1.57</v>
      </c>
      <c r="K29">
        <f>Множество_202207112140401240[[#This Row],[2]]-Множество_202207112140401240[[#This Row],[4]]</f>
        <v>1.1099999999999999</v>
      </c>
      <c r="L29">
        <f>Множество_202207112140401240[[#This Row],[3]]-Множество_202207112140401240[[#This Row],[5]]</f>
        <v>0.16999999999999993</v>
      </c>
      <c r="M29">
        <f>Множество_202207112140401240[[#This Row],[7]]+Множество_202207112140401240[[#This Row],[6]]</f>
        <v>1.2799999999999998</v>
      </c>
      <c r="N29" s="208" t="str">
        <f>CONCATENATE(Множество_202207112140401240[[#This Row],[2]],Множество_202207112140401240[[#This Row],[3]])</f>
        <v>3,611,74</v>
      </c>
      <c r="O29" s="208"/>
      <c r="P29" s="208"/>
      <c r="Q29">
        <v>6</v>
      </c>
      <c r="R29">
        <v>-13.483333333333301</v>
      </c>
      <c r="S29" s="208">
        <v>10</v>
      </c>
      <c r="T29" s="208">
        <v>-12.5</v>
      </c>
      <c r="U29" s="208">
        <f>ABS(Множество_202207112140401240[[#This Row],[10]]-Множество_202207112140401240[[#This Row],[12]])</f>
        <v>4</v>
      </c>
      <c r="V29" s="208">
        <f>ABS(Множество_202207112140401240[[#This Row],[11]]-Множество_202207112140401240[[#This Row],[13]])</f>
        <v>0.98333333333330053</v>
      </c>
      <c r="W29" s="208">
        <f>Множество_202207112140401240[[#This Row],[15]]+Множество_202207112140401240[[#This Row],[14]]</f>
        <v>4.9833333333333005</v>
      </c>
      <c r="X29" s="208">
        <f ca="1">IF(ROW()-ROW(Множество_202207112140401240[[#Headers],[17]])&gt;1,Множество_202207112140401240[[#This Row],[16]]-OFFSET(Множество_202207112140401240[[#This Row],[16]],-1,0),0)</f>
        <v>0.1333333333332698</v>
      </c>
      <c r="Y29" s="208">
        <v>6</v>
      </c>
      <c r="Z29" s="208">
        <v>-13.483333333333301</v>
      </c>
      <c r="AA29" s="208">
        <f>ABS(Множество_202207112140401240[[#This Row],[18]]-Множество_202207112140401240[[#This Row],[12]])</f>
        <v>4</v>
      </c>
      <c r="AB29" s="208">
        <f>ABS(Множество_202207112140401240[[#This Row],[19]]-Множество_202207112140401240[[#This Row],[13]])</f>
        <v>0.98333333333330053</v>
      </c>
      <c r="AC29" s="208">
        <f>Множество_202207112140401240[[#This Row],[20]]+Множество_202207112140401240[[#This Row],[21]]</f>
        <v>4.9833333333333005</v>
      </c>
    </row>
    <row r="30" spans="1:29" x14ac:dyDescent="0.25">
      <c r="A30" t="s">
        <v>653</v>
      </c>
      <c r="B30" t="s">
        <v>100</v>
      </c>
      <c r="C30" t="s">
        <v>621</v>
      </c>
      <c r="D30" t="s">
        <v>1781</v>
      </c>
      <c r="E30" t="s">
        <v>582</v>
      </c>
      <c r="F30" s="213" t="s">
        <v>749</v>
      </c>
      <c r="G30" t="s">
        <v>1082</v>
      </c>
      <c r="H30" t="s">
        <v>74</v>
      </c>
      <c r="I30">
        <v>2.5</v>
      </c>
      <c r="J30">
        <v>1.57</v>
      </c>
      <c r="K30">
        <f>Множество_202207112140401240[[#This Row],[2]]-Множество_202207112140401240[[#This Row],[4]]</f>
        <v>1.1000000000000001</v>
      </c>
      <c r="L30">
        <f>Множество_202207112140401240[[#This Row],[3]]-Множество_202207112140401240[[#This Row],[5]]</f>
        <v>0.17999999999999994</v>
      </c>
      <c r="M30">
        <f>Множество_202207112140401240[[#This Row],[7]]+Множество_202207112140401240[[#This Row],[6]]</f>
        <v>1.28</v>
      </c>
      <c r="N30" s="208" t="str">
        <f>CONCATENATE(Множество_202207112140401240[[#This Row],[2]],Множество_202207112140401240[[#This Row],[3]])</f>
        <v>3,61,75</v>
      </c>
      <c r="O30" s="208"/>
      <c r="P30" s="208"/>
      <c r="Q30">
        <v>6.05833333333333</v>
      </c>
      <c r="R30">
        <v>-13.483333333333301</v>
      </c>
      <c r="S30" s="208">
        <v>10</v>
      </c>
      <c r="T30" s="208">
        <v>-12.5</v>
      </c>
      <c r="U30" s="208">
        <f>ABS(Множество_202207112140401240[[#This Row],[10]]-Множество_202207112140401240[[#This Row],[12]])</f>
        <v>3.94166666666667</v>
      </c>
      <c r="V30" s="208">
        <f>ABS(Множество_202207112140401240[[#This Row],[11]]-Множество_202207112140401240[[#This Row],[13]])</f>
        <v>0.98333333333330053</v>
      </c>
      <c r="W30" s="208">
        <f>Множество_202207112140401240[[#This Row],[15]]+Множество_202207112140401240[[#This Row],[14]]</f>
        <v>4.9249999999999705</v>
      </c>
      <c r="X30" s="208">
        <f ca="1">IF(ROW()-ROW(Множество_202207112140401240[[#Headers],[17]])&gt;1,Множество_202207112140401240[[#This Row],[16]]-OFFSET(Множество_202207112140401240[[#This Row],[16]],-1,0),0)</f>
        <v>-5.8333333333330017E-2</v>
      </c>
      <c r="Y30" s="208">
        <v>6.05833333333333</v>
      </c>
      <c r="Z30" s="208">
        <v>-13.483333333333301</v>
      </c>
      <c r="AA30" s="208">
        <f>ABS(Множество_202207112140401240[[#This Row],[18]]-Множество_202207112140401240[[#This Row],[12]])</f>
        <v>3.94166666666667</v>
      </c>
      <c r="AB30" s="208">
        <f>ABS(Множество_202207112140401240[[#This Row],[19]]-Множество_202207112140401240[[#This Row],[13]])</f>
        <v>0.98333333333330053</v>
      </c>
      <c r="AC30" s="208">
        <f>Множество_202207112140401240[[#This Row],[20]]+Множество_202207112140401240[[#This Row],[21]]</f>
        <v>4.9249999999999705</v>
      </c>
    </row>
    <row r="31" spans="1:29" x14ac:dyDescent="0.25">
      <c r="A31" t="s">
        <v>655</v>
      </c>
      <c r="B31" t="s">
        <v>100</v>
      </c>
      <c r="C31" t="s">
        <v>621</v>
      </c>
      <c r="D31" t="s">
        <v>1781</v>
      </c>
      <c r="E31" t="s">
        <v>582</v>
      </c>
      <c r="F31" s="213" t="s">
        <v>749</v>
      </c>
      <c r="G31" t="s">
        <v>633</v>
      </c>
      <c r="H31" t="s">
        <v>75</v>
      </c>
      <c r="I31">
        <v>2.5</v>
      </c>
      <c r="J31">
        <v>1.57</v>
      </c>
      <c r="K31">
        <f>Множество_202207112140401240[[#This Row],[2]]-Множество_202207112140401240[[#This Row],[4]]</f>
        <v>1.0899999999999999</v>
      </c>
      <c r="L31">
        <f>Множество_202207112140401240[[#This Row],[3]]-Множество_202207112140401240[[#This Row],[5]]</f>
        <v>0.18999999999999995</v>
      </c>
      <c r="M31">
        <f>Множество_202207112140401240[[#This Row],[7]]+Множество_202207112140401240[[#This Row],[6]]</f>
        <v>1.2799999999999998</v>
      </c>
      <c r="N31" s="208" t="str">
        <f>CONCATENATE(Множество_202207112140401240[[#This Row],[2]],Множество_202207112140401240[[#This Row],[3]])</f>
        <v>3,591,76</v>
      </c>
      <c r="O31" s="208"/>
      <c r="P31" s="208"/>
      <c r="Q31">
        <v>5.94166666666667</v>
      </c>
      <c r="R31">
        <v>-13.5</v>
      </c>
      <c r="S31" s="208">
        <v>10</v>
      </c>
      <c r="T31" s="208">
        <v>-12.5</v>
      </c>
      <c r="U31" s="208">
        <f>ABS(Множество_202207112140401240[[#This Row],[10]]-Множество_202207112140401240[[#This Row],[12]])</f>
        <v>4.05833333333333</v>
      </c>
      <c r="V31" s="208">
        <f>ABS(Множество_202207112140401240[[#This Row],[11]]-Множество_202207112140401240[[#This Row],[13]])</f>
        <v>1</v>
      </c>
      <c r="W31" s="208">
        <f>Множество_202207112140401240[[#This Row],[15]]+Множество_202207112140401240[[#This Row],[14]]</f>
        <v>5.05833333333333</v>
      </c>
      <c r="X31" s="208">
        <f ca="1">IF(ROW()-ROW(Множество_202207112140401240[[#Headers],[17]])&gt;1,Множество_202207112140401240[[#This Row],[16]]-OFFSET(Множество_202207112140401240[[#This Row],[16]],-1,0),0)</f>
        <v>0.1333333333333595</v>
      </c>
      <c r="Y31" s="208">
        <v>5.94166666666667</v>
      </c>
      <c r="Z31" s="208">
        <v>-13.5</v>
      </c>
      <c r="AA31" s="208">
        <f>ABS(Множество_202207112140401240[[#This Row],[18]]-Множество_202207112140401240[[#This Row],[12]])</f>
        <v>4.05833333333333</v>
      </c>
      <c r="AB31" s="208">
        <f>ABS(Множество_202207112140401240[[#This Row],[19]]-Множество_202207112140401240[[#This Row],[13]])</f>
        <v>1</v>
      </c>
      <c r="AC31" s="208">
        <f>Множество_202207112140401240[[#This Row],[20]]+Множество_202207112140401240[[#This Row],[21]]</f>
        <v>5.05833333333333</v>
      </c>
    </row>
    <row r="32" spans="1:29" x14ac:dyDescent="0.25">
      <c r="A32" t="s">
        <v>657</v>
      </c>
      <c r="B32" t="s">
        <v>100</v>
      </c>
      <c r="C32" t="s">
        <v>621</v>
      </c>
      <c r="D32" t="s">
        <v>1781</v>
      </c>
      <c r="E32" t="s">
        <v>582</v>
      </c>
      <c r="F32" s="213" t="s">
        <v>749</v>
      </c>
      <c r="G32" t="s">
        <v>964</v>
      </c>
      <c r="H32" t="s">
        <v>76</v>
      </c>
      <c r="I32">
        <v>2.5</v>
      </c>
      <c r="J32">
        <v>1.57</v>
      </c>
      <c r="K32">
        <f>Множество_202207112140401240[[#This Row],[2]]-Множество_202207112140401240[[#This Row],[4]]</f>
        <v>1.08</v>
      </c>
      <c r="L32">
        <f>Множество_202207112140401240[[#This Row],[3]]-Множество_202207112140401240[[#This Row],[5]]</f>
        <v>0.19999999999999996</v>
      </c>
      <c r="M32">
        <f>Множество_202207112140401240[[#This Row],[7]]+Множество_202207112140401240[[#This Row],[6]]</f>
        <v>1.28</v>
      </c>
      <c r="N32" s="208" t="str">
        <f>CONCATENATE(Множество_202207112140401240[[#This Row],[2]],Множество_202207112140401240[[#This Row],[3]])</f>
        <v>3,581,77</v>
      </c>
      <c r="O32" s="208"/>
      <c r="P32" s="208"/>
      <c r="Q32">
        <v>5.8833333333333302</v>
      </c>
      <c r="R32">
        <v>-13.516666666666699</v>
      </c>
      <c r="S32" s="208">
        <v>10</v>
      </c>
      <c r="T32" s="208">
        <v>-12.5</v>
      </c>
      <c r="U32" s="208">
        <f>ABS(Множество_202207112140401240[[#This Row],[10]]-Множество_202207112140401240[[#This Row],[12]])</f>
        <v>4.1166666666666698</v>
      </c>
      <c r="V32" s="208">
        <f>ABS(Множество_202207112140401240[[#This Row],[11]]-Множество_202207112140401240[[#This Row],[13]])</f>
        <v>1.0166666666666995</v>
      </c>
      <c r="W32" s="208">
        <f>Множество_202207112140401240[[#This Row],[15]]+Множество_202207112140401240[[#This Row],[14]]</f>
        <v>5.1333333333333693</v>
      </c>
      <c r="X32" s="208">
        <f ca="1">IF(ROW()-ROW(Множество_202207112140401240[[#Headers],[17]])&gt;1,Множество_202207112140401240[[#This Row],[16]]-OFFSET(Множество_202207112140401240[[#This Row],[16]],-1,0),0)</f>
        <v>7.5000000000039257E-2</v>
      </c>
      <c r="Y32" s="208">
        <v>5.8833333333333302</v>
      </c>
      <c r="Z32" s="208">
        <v>-13.516666666666699</v>
      </c>
      <c r="AA32" s="208">
        <f>ABS(Множество_202207112140401240[[#This Row],[18]]-Множество_202207112140401240[[#This Row],[12]])</f>
        <v>4.1166666666666698</v>
      </c>
      <c r="AB32" s="208">
        <f>ABS(Множество_202207112140401240[[#This Row],[19]]-Множество_202207112140401240[[#This Row],[13]])</f>
        <v>1.0166666666666995</v>
      </c>
      <c r="AC32" s="208">
        <f>Множество_202207112140401240[[#This Row],[20]]+Множество_202207112140401240[[#This Row],[21]]</f>
        <v>5.1333333333333693</v>
      </c>
    </row>
    <row r="33" spans="1:29" x14ac:dyDescent="0.25">
      <c r="A33" t="s">
        <v>658</v>
      </c>
      <c r="B33" t="s">
        <v>100</v>
      </c>
      <c r="C33" t="s">
        <v>621</v>
      </c>
      <c r="D33" t="s">
        <v>1781</v>
      </c>
      <c r="E33" t="s">
        <v>582</v>
      </c>
      <c r="F33" s="213" t="s">
        <v>749</v>
      </c>
      <c r="G33" t="s">
        <v>634</v>
      </c>
      <c r="H33" t="s">
        <v>72</v>
      </c>
      <c r="I33">
        <v>2.5</v>
      </c>
      <c r="J33">
        <v>1.57</v>
      </c>
      <c r="K33">
        <f>Множество_202207112140401240[[#This Row],[2]]-Множество_202207112140401240[[#This Row],[4]]</f>
        <v>1.1200000000000001</v>
      </c>
      <c r="L33">
        <f>Множество_202207112140401240[[#This Row],[3]]-Множество_202207112140401240[[#This Row],[5]]</f>
        <v>0.15999999999999992</v>
      </c>
      <c r="M33">
        <f>Множество_202207112140401240[[#This Row],[7]]+Множество_202207112140401240[[#This Row],[6]]</f>
        <v>1.28</v>
      </c>
      <c r="N33" s="208" t="str">
        <f>CONCATENATE(Множество_202207112140401240[[#This Row],[2]],Множество_202207112140401240[[#This Row],[3]])</f>
        <v>3,621,73</v>
      </c>
      <c r="O33" s="208"/>
      <c r="P33" s="208"/>
      <c r="Q33">
        <v>5.8250000000000002</v>
      </c>
      <c r="R33">
        <v>-13.533333333333299</v>
      </c>
      <c r="S33" s="208">
        <v>10</v>
      </c>
      <c r="T33" s="208">
        <v>-12.5</v>
      </c>
      <c r="U33" s="208">
        <f>ABS(Множество_202207112140401240[[#This Row],[10]]-Множество_202207112140401240[[#This Row],[12]])</f>
        <v>4.1749999999999998</v>
      </c>
      <c r="V33" s="208">
        <f>ABS(Множество_202207112140401240[[#This Row],[11]]-Множество_202207112140401240[[#This Row],[13]])</f>
        <v>1.0333333333332995</v>
      </c>
      <c r="W33" s="208">
        <f>Множество_202207112140401240[[#This Row],[15]]+Множество_202207112140401240[[#This Row],[14]]</f>
        <v>5.2083333333332993</v>
      </c>
      <c r="X33" s="208">
        <f ca="1">IF(ROW()-ROW(Множество_202207112140401240[[#Headers],[17]])&gt;1,Множество_202207112140401240[[#This Row],[16]]-OFFSET(Множество_202207112140401240[[#This Row],[16]],-1,0),0)</f>
        <v>7.4999999999930012E-2</v>
      </c>
      <c r="Y33" s="208">
        <v>5.8250000000000002</v>
      </c>
      <c r="Z33" s="208">
        <v>-13.533333333333299</v>
      </c>
      <c r="AA33" s="208">
        <f>ABS(Множество_202207112140401240[[#This Row],[18]]-Множество_202207112140401240[[#This Row],[12]])</f>
        <v>4.1749999999999998</v>
      </c>
      <c r="AB33" s="208">
        <f>ABS(Множество_202207112140401240[[#This Row],[19]]-Множество_202207112140401240[[#This Row],[13]])</f>
        <v>1.0333333333332995</v>
      </c>
      <c r="AC33" s="208">
        <f>Множество_202207112140401240[[#This Row],[20]]+Множество_202207112140401240[[#This Row],[21]]</f>
        <v>5.2083333333332993</v>
      </c>
    </row>
    <row r="34" spans="1:29" x14ac:dyDescent="0.25">
      <c r="A34" t="s">
        <v>659</v>
      </c>
      <c r="B34" t="s">
        <v>100</v>
      </c>
      <c r="C34" t="s">
        <v>621</v>
      </c>
      <c r="D34" t="s">
        <v>1781</v>
      </c>
      <c r="E34" t="s">
        <v>582</v>
      </c>
      <c r="F34" s="213" t="s">
        <v>749</v>
      </c>
      <c r="G34" t="s">
        <v>1394</v>
      </c>
      <c r="H34" t="s">
        <v>58</v>
      </c>
      <c r="I34">
        <v>2.5</v>
      </c>
      <c r="J34">
        <v>1.57</v>
      </c>
      <c r="K34">
        <f>Множество_202207112140401240[[#This Row],[2]]-Множество_202207112140401240[[#This Row],[4]]</f>
        <v>1.2599999999999998</v>
      </c>
      <c r="L34">
        <f>Множество_202207112140401240[[#This Row],[3]]-Множество_202207112140401240[[#This Row],[5]]</f>
        <v>2.0000000000000018E-2</v>
      </c>
      <c r="M34">
        <f>Множество_202207112140401240[[#This Row],[7]]+Множество_202207112140401240[[#This Row],[6]]</f>
        <v>1.2799999999999998</v>
      </c>
      <c r="N34" s="208" t="str">
        <f>CONCATENATE(Множество_202207112140401240[[#This Row],[2]],Множество_202207112140401240[[#This Row],[3]])</f>
        <v>3,761,59</v>
      </c>
      <c r="O34" s="208"/>
      <c r="P34" s="208"/>
      <c r="Q34">
        <v>5.7083333333333304</v>
      </c>
      <c r="R34">
        <v>-13.55</v>
      </c>
      <c r="S34" s="208">
        <v>10</v>
      </c>
      <c r="T34" s="208">
        <v>-12.5</v>
      </c>
      <c r="U34" s="208">
        <f>ABS(Множество_202207112140401240[[#This Row],[10]]-Множество_202207112140401240[[#This Row],[12]])</f>
        <v>4.2916666666666696</v>
      </c>
      <c r="V34" s="208">
        <f>ABS(Множество_202207112140401240[[#This Row],[11]]-Множество_202207112140401240[[#This Row],[13]])</f>
        <v>1.0500000000000007</v>
      </c>
      <c r="W34" s="208">
        <f>Множество_202207112140401240[[#This Row],[15]]+Множество_202207112140401240[[#This Row],[14]]</f>
        <v>5.3416666666666703</v>
      </c>
      <c r="X34" s="208">
        <f ca="1">IF(ROW()-ROW(Множество_202207112140401240[[#Headers],[17]])&gt;1,Множество_202207112140401240[[#This Row],[16]]-OFFSET(Множество_202207112140401240[[#This Row],[16]],-1,0),0)</f>
        <v>0.13333333333337105</v>
      </c>
      <c r="Y34" s="208">
        <v>5.7083333333333304</v>
      </c>
      <c r="Z34" s="208">
        <v>-13.55</v>
      </c>
      <c r="AA34" s="208">
        <f>ABS(Множество_202207112140401240[[#This Row],[18]]-Множество_202207112140401240[[#This Row],[12]])</f>
        <v>4.2916666666666696</v>
      </c>
      <c r="AB34" s="208">
        <f>ABS(Множество_202207112140401240[[#This Row],[19]]-Множество_202207112140401240[[#This Row],[13]])</f>
        <v>1.0500000000000007</v>
      </c>
      <c r="AC34" s="208">
        <f>Множество_202207112140401240[[#This Row],[20]]+Множество_202207112140401240[[#This Row],[21]]</f>
        <v>5.3416666666666703</v>
      </c>
    </row>
    <row r="35" spans="1:29" x14ac:dyDescent="0.25">
      <c r="A35" t="s">
        <v>660</v>
      </c>
      <c r="B35" t="s">
        <v>100</v>
      </c>
      <c r="C35" t="s">
        <v>621</v>
      </c>
      <c r="D35" t="s">
        <v>1781</v>
      </c>
      <c r="E35" t="s">
        <v>582</v>
      </c>
      <c r="F35" s="213" t="s">
        <v>749</v>
      </c>
      <c r="G35" t="s">
        <v>1094</v>
      </c>
      <c r="H35" t="s">
        <v>60</v>
      </c>
      <c r="I35">
        <v>2.5</v>
      </c>
      <c r="J35">
        <v>1.57</v>
      </c>
      <c r="K35">
        <f>Множество_202207112140401240[[#This Row],[2]]-Множество_202207112140401240[[#This Row],[4]]</f>
        <v>1.2400000000000002</v>
      </c>
      <c r="L35">
        <f>Множество_202207112140401240[[#This Row],[3]]-Множество_202207112140401240[[#This Row],[5]]</f>
        <v>4.0000000000000036E-2</v>
      </c>
      <c r="M35">
        <f>Множество_202207112140401240[[#This Row],[7]]+Множество_202207112140401240[[#This Row],[6]]</f>
        <v>1.2800000000000002</v>
      </c>
      <c r="N35" s="208" t="str">
        <f>CONCATENATE(Множество_202207112140401240[[#This Row],[2]],Множество_202207112140401240[[#This Row],[3]])</f>
        <v>3,741,61</v>
      </c>
      <c r="O35" s="208"/>
      <c r="P35" s="208"/>
      <c r="Q35">
        <v>5.65</v>
      </c>
      <c r="R35">
        <v>-13.5666666666667</v>
      </c>
      <c r="S35" s="208">
        <v>10</v>
      </c>
      <c r="T35" s="208">
        <v>-12.5</v>
      </c>
      <c r="U35" s="208">
        <f>ABS(Множество_202207112140401240[[#This Row],[10]]-Множество_202207112140401240[[#This Row],[12]])</f>
        <v>4.3499999999999996</v>
      </c>
      <c r="V35" s="208">
        <f>ABS(Множество_202207112140401240[[#This Row],[11]]-Множество_202207112140401240[[#This Row],[13]])</f>
        <v>1.0666666666667002</v>
      </c>
      <c r="W35" s="208">
        <f>Множество_202207112140401240[[#This Row],[15]]+Множество_202207112140401240[[#This Row],[14]]</f>
        <v>5.4166666666666998</v>
      </c>
      <c r="X35" s="208">
        <f ca="1">IF(ROW()-ROW(Множество_202207112140401240[[#Headers],[17]])&gt;1,Множество_202207112140401240[[#This Row],[16]]-OFFSET(Множество_202207112140401240[[#This Row],[16]],-1,0),0)</f>
        <v>7.5000000000029488E-2</v>
      </c>
      <c r="Y35" s="208">
        <v>5.65</v>
      </c>
      <c r="Z35" s="208">
        <v>-13.5666666666667</v>
      </c>
      <c r="AA35" s="208">
        <f>ABS(Множество_202207112140401240[[#This Row],[18]]-Множество_202207112140401240[[#This Row],[12]])</f>
        <v>4.3499999999999996</v>
      </c>
      <c r="AB35" s="208">
        <f>ABS(Множество_202207112140401240[[#This Row],[19]]-Множество_202207112140401240[[#This Row],[13]])</f>
        <v>1.0666666666667002</v>
      </c>
      <c r="AC35" s="208">
        <f>Множество_202207112140401240[[#This Row],[20]]+Множество_202207112140401240[[#This Row],[21]]</f>
        <v>5.4166666666666998</v>
      </c>
    </row>
    <row r="36" spans="1:29" x14ac:dyDescent="0.25">
      <c r="A36" t="s">
        <v>661</v>
      </c>
      <c r="B36" t="s">
        <v>100</v>
      </c>
      <c r="C36" t="s">
        <v>621</v>
      </c>
      <c r="D36" t="s">
        <v>1781</v>
      </c>
      <c r="E36" t="s">
        <v>582</v>
      </c>
      <c r="F36" s="213" t="s">
        <v>749</v>
      </c>
      <c r="G36" t="s">
        <v>1237</v>
      </c>
      <c r="H36" t="s">
        <v>61</v>
      </c>
      <c r="I36">
        <v>2.5</v>
      </c>
      <c r="J36">
        <v>1.57</v>
      </c>
      <c r="K36">
        <f>Множество_202207112140401240[[#This Row],[2]]-Множество_202207112140401240[[#This Row],[4]]</f>
        <v>1.23</v>
      </c>
      <c r="L36">
        <f>Множество_202207112140401240[[#This Row],[3]]-Множество_202207112140401240[[#This Row],[5]]</f>
        <v>5.0000000000000044E-2</v>
      </c>
      <c r="M36">
        <f>Множество_202207112140401240[[#This Row],[7]]+Множество_202207112140401240[[#This Row],[6]]</f>
        <v>1.28</v>
      </c>
      <c r="N36" s="208" t="str">
        <f>CONCATENATE(Множество_202207112140401240[[#This Row],[2]],Множество_202207112140401240[[#This Row],[3]])</f>
        <v>3,731,62</v>
      </c>
      <c r="O36" s="208"/>
      <c r="P36" s="208"/>
      <c r="Q36">
        <v>5.5916666666666703</v>
      </c>
      <c r="R36">
        <v>-13.5833333333333</v>
      </c>
      <c r="S36" s="208">
        <v>10</v>
      </c>
      <c r="T36" s="208">
        <v>-12.5</v>
      </c>
      <c r="U36" s="208">
        <f>ABS(Множество_202207112140401240[[#This Row],[10]]-Множество_202207112140401240[[#This Row],[12]])</f>
        <v>4.4083333333333297</v>
      </c>
      <c r="V36" s="208">
        <f>ABS(Множество_202207112140401240[[#This Row],[11]]-Множество_202207112140401240[[#This Row],[13]])</f>
        <v>1.0833333333333002</v>
      </c>
      <c r="W36" s="208">
        <f>Множество_202207112140401240[[#This Row],[15]]+Множество_202207112140401240[[#This Row],[14]]</f>
        <v>5.4916666666666298</v>
      </c>
      <c r="X36" s="208">
        <f ca="1">IF(ROW()-ROW(Множество_202207112140401240[[#Headers],[17]])&gt;1,Множество_202207112140401240[[#This Row],[16]]-OFFSET(Множество_202207112140401240[[#This Row],[16]],-1,0),0)</f>
        <v>7.4999999999930012E-2</v>
      </c>
      <c r="Y36" s="208">
        <v>5.5916666666666703</v>
      </c>
      <c r="Z36" s="208">
        <v>-13.5833333333333</v>
      </c>
      <c r="AA36" s="208">
        <f>ABS(Множество_202207112140401240[[#This Row],[18]]-Множество_202207112140401240[[#This Row],[12]])</f>
        <v>4.4083333333333297</v>
      </c>
      <c r="AB36" s="208">
        <f>ABS(Множество_202207112140401240[[#This Row],[19]]-Множество_202207112140401240[[#This Row],[13]])</f>
        <v>1.0833333333333002</v>
      </c>
      <c r="AC36" s="208">
        <f>Множество_202207112140401240[[#This Row],[20]]+Множество_202207112140401240[[#This Row],[21]]</f>
        <v>5.4916666666666298</v>
      </c>
    </row>
    <row r="37" spans="1:29" x14ac:dyDescent="0.25">
      <c r="A37" t="s">
        <v>663</v>
      </c>
      <c r="B37" t="s">
        <v>100</v>
      </c>
      <c r="C37" t="s">
        <v>621</v>
      </c>
      <c r="D37" t="s">
        <v>1781</v>
      </c>
      <c r="E37" t="s">
        <v>582</v>
      </c>
      <c r="F37" s="213" t="s">
        <v>749</v>
      </c>
      <c r="G37" t="s">
        <v>1131</v>
      </c>
      <c r="H37" t="s">
        <v>59</v>
      </c>
      <c r="I37">
        <v>2.5</v>
      </c>
      <c r="J37">
        <v>1.57</v>
      </c>
      <c r="K37">
        <f>Множество_202207112140401240[[#This Row],[2]]-Множество_202207112140401240[[#This Row],[4]]</f>
        <v>1.25</v>
      </c>
      <c r="L37">
        <f>Множество_202207112140401240[[#This Row],[3]]-Множество_202207112140401240[[#This Row],[5]]</f>
        <v>3.0000000000000027E-2</v>
      </c>
      <c r="M37">
        <f>Множество_202207112140401240[[#This Row],[7]]+Множество_202207112140401240[[#This Row],[6]]</f>
        <v>1.28</v>
      </c>
      <c r="N37" s="208" t="str">
        <f>CONCATENATE(Множество_202207112140401240[[#This Row],[2]],Множество_202207112140401240[[#This Row],[3]])</f>
        <v>3,751,6</v>
      </c>
      <c r="O37" s="208"/>
      <c r="P37" s="208"/>
      <c r="Q37">
        <v>5.5333333333333297</v>
      </c>
      <c r="R37">
        <v>-13.6</v>
      </c>
      <c r="S37" s="208">
        <v>10</v>
      </c>
      <c r="T37" s="208">
        <v>-12.5</v>
      </c>
      <c r="U37" s="208">
        <f>ABS(Множество_202207112140401240[[#This Row],[10]]-Множество_202207112140401240[[#This Row],[12]])</f>
        <v>4.4666666666666703</v>
      </c>
      <c r="V37" s="208">
        <f>ABS(Множество_202207112140401240[[#This Row],[11]]-Множество_202207112140401240[[#This Row],[13]])</f>
        <v>1.0999999999999996</v>
      </c>
      <c r="W37" s="208">
        <f>Множество_202207112140401240[[#This Row],[15]]+Множество_202207112140401240[[#This Row],[14]]</f>
        <v>5.56666666666667</v>
      </c>
      <c r="X37" s="208">
        <f ca="1">IF(ROW()-ROW(Множество_202207112140401240[[#Headers],[17]])&gt;1,Множество_202207112140401240[[#This Row],[16]]-OFFSET(Множество_202207112140401240[[#This Row],[16]],-1,0),0)</f>
        <v>7.5000000000040146E-2</v>
      </c>
      <c r="Y37" s="208">
        <v>5.5333333333333297</v>
      </c>
      <c r="Z37" s="208">
        <v>-13.6</v>
      </c>
      <c r="AA37" s="208">
        <f>ABS(Множество_202207112140401240[[#This Row],[18]]-Множество_202207112140401240[[#This Row],[12]])</f>
        <v>4.4666666666666703</v>
      </c>
      <c r="AB37" s="208">
        <f>ABS(Множество_202207112140401240[[#This Row],[19]]-Множество_202207112140401240[[#This Row],[13]])</f>
        <v>1.0999999999999996</v>
      </c>
      <c r="AC37" s="208">
        <f>Множество_202207112140401240[[#This Row],[20]]+Множество_202207112140401240[[#This Row],[21]]</f>
        <v>5.56666666666667</v>
      </c>
    </row>
    <row r="38" spans="1:29" x14ac:dyDescent="0.25">
      <c r="A38" t="s">
        <v>664</v>
      </c>
      <c r="B38" t="s">
        <v>100</v>
      </c>
      <c r="C38" t="s">
        <v>621</v>
      </c>
      <c r="D38" t="s">
        <v>1781</v>
      </c>
      <c r="E38" t="s">
        <v>582</v>
      </c>
      <c r="F38" s="213" t="s">
        <v>749</v>
      </c>
      <c r="G38" t="s">
        <v>1291</v>
      </c>
      <c r="H38" t="s">
        <v>55</v>
      </c>
      <c r="I38">
        <v>2.5</v>
      </c>
      <c r="J38">
        <v>1.57</v>
      </c>
      <c r="K38">
        <f>Множество_202207112140401240[[#This Row],[2]]-Множество_202207112140401240[[#This Row],[4]]</f>
        <v>1.2799999999999998</v>
      </c>
      <c r="L38">
        <f>Множество_202207112140401240[[#This Row],[3]]-Множество_202207112140401240[[#This Row],[5]]</f>
        <v>-1.0000000000000009E-2</v>
      </c>
      <c r="M38">
        <f>Множество_202207112140401240[[#This Row],[7]]+Множество_202207112140401240[[#This Row],[6]]</f>
        <v>1.2699999999999998</v>
      </c>
      <c r="N38" s="208" t="str">
        <f>CONCATENATE(Множество_202207112140401240[[#This Row],[2]],Множество_202207112140401240[[#This Row],[3]])</f>
        <v>3,781,56</v>
      </c>
      <c r="O38" s="208"/>
      <c r="P38" s="208"/>
      <c r="Q38">
        <v>5.4166666666666696</v>
      </c>
      <c r="R38">
        <v>-13.616666666666699</v>
      </c>
      <c r="S38" s="208">
        <v>10</v>
      </c>
      <c r="T38" s="208">
        <v>-12.5</v>
      </c>
      <c r="U38" s="208">
        <f>ABS(Множество_202207112140401240[[#This Row],[10]]-Множество_202207112140401240[[#This Row],[12]])</f>
        <v>4.5833333333333304</v>
      </c>
      <c r="V38" s="208">
        <f>ABS(Множество_202207112140401240[[#This Row],[11]]-Множество_202207112140401240[[#This Row],[13]])</f>
        <v>1.1166666666666991</v>
      </c>
      <c r="W38" s="208">
        <f>Множество_202207112140401240[[#This Row],[15]]+Множество_202207112140401240[[#This Row],[14]]</f>
        <v>5.7000000000000295</v>
      </c>
      <c r="X38" s="208">
        <f ca="1">IF(ROW()-ROW(Множество_202207112140401240[[#Headers],[17]])&gt;1,Множество_202207112140401240[[#This Row],[16]]-OFFSET(Множество_202207112140401240[[#This Row],[16]],-1,0),0)</f>
        <v>0.1333333333333595</v>
      </c>
      <c r="Y38" s="208">
        <v>5.4166666666666696</v>
      </c>
      <c r="Z38" s="208">
        <v>-13.616666666666699</v>
      </c>
      <c r="AA38" s="208">
        <f>ABS(Множество_202207112140401240[[#This Row],[18]]-Множество_202207112140401240[[#This Row],[12]])</f>
        <v>4.5833333333333304</v>
      </c>
      <c r="AB38" s="208">
        <f>ABS(Множество_202207112140401240[[#This Row],[19]]-Множество_202207112140401240[[#This Row],[13]])</f>
        <v>1.1166666666666991</v>
      </c>
      <c r="AC38" s="208">
        <f>Множество_202207112140401240[[#This Row],[20]]+Множество_202207112140401240[[#This Row],[21]]</f>
        <v>5.7000000000000295</v>
      </c>
    </row>
    <row r="39" spans="1:29" x14ac:dyDescent="0.25">
      <c r="A39" t="s">
        <v>666</v>
      </c>
      <c r="B39" t="s">
        <v>100</v>
      </c>
      <c r="C39" t="s">
        <v>621</v>
      </c>
      <c r="D39" t="s">
        <v>1781</v>
      </c>
      <c r="E39" t="s">
        <v>582</v>
      </c>
      <c r="F39" s="213" t="s">
        <v>749</v>
      </c>
      <c r="G39" t="s">
        <v>1032</v>
      </c>
      <c r="H39" t="s">
        <v>69</v>
      </c>
      <c r="I39">
        <v>2.5</v>
      </c>
      <c r="J39">
        <v>1.57</v>
      </c>
      <c r="K39">
        <f>Множество_202207112140401240[[#This Row],[2]]-Множество_202207112140401240[[#This Row],[4]]</f>
        <v>1.1600000000000001</v>
      </c>
      <c r="L39">
        <f>Множество_202207112140401240[[#This Row],[3]]-Множество_202207112140401240[[#This Row],[5]]</f>
        <v>0.12999999999999989</v>
      </c>
      <c r="M39">
        <f>Множество_202207112140401240[[#This Row],[7]]+Множество_202207112140401240[[#This Row],[6]]</f>
        <v>1.29</v>
      </c>
      <c r="N39" s="208" t="str">
        <f>CONCATENATE(Множество_202207112140401240[[#This Row],[2]],Множество_202207112140401240[[#This Row],[3]])</f>
        <v>3,661,7</v>
      </c>
      <c r="O39" s="208"/>
      <c r="P39" s="208"/>
      <c r="Q39">
        <v>5.4749999999999996</v>
      </c>
      <c r="R39">
        <v>-13.6</v>
      </c>
      <c r="S39" s="208">
        <v>10</v>
      </c>
      <c r="T39" s="208">
        <v>-12.5</v>
      </c>
      <c r="U39" s="208">
        <f>ABS(Множество_202207112140401240[[#This Row],[10]]-Множество_202207112140401240[[#This Row],[12]])</f>
        <v>4.5250000000000004</v>
      </c>
      <c r="V39" s="208">
        <f>ABS(Множество_202207112140401240[[#This Row],[11]]-Множество_202207112140401240[[#This Row],[13]])</f>
        <v>1.0999999999999996</v>
      </c>
      <c r="W39" s="208">
        <f>Множество_202207112140401240[[#This Row],[15]]+Множество_202207112140401240[[#This Row],[14]]</f>
        <v>5.625</v>
      </c>
      <c r="X39" s="208">
        <f ca="1">IF(ROW()-ROW(Множество_202207112140401240[[#Headers],[17]])&gt;1,Множество_202207112140401240[[#This Row],[16]]-OFFSET(Множество_202207112140401240[[#This Row],[16]],-1,0),0)</f>
        <v>-7.5000000000029488E-2</v>
      </c>
      <c r="Y39" s="208">
        <v>5.4749999999999996</v>
      </c>
      <c r="Z39" s="208">
        <v>-13.6</v>
      </c>
      <c r="AA39" s="208">
        <f>ABS(Множество_202207112140401240[[#This Row],[18]]-Множество_202207112140401240[[#This Row],[12]])</f>
        <v>4.5250000000000004</v>
      </c>
      <c r="AB39" s="208">
        <f>ABS(Множество_202207112140401240[[#This Row],[19]]-Множество_202207112140401240[[#This Row],[13]])</f>
        <v>1.0999999999999996</v>
      </c>
      <c r="AC39" s="208">
        <f>Множество_202207112140401240[[#This Row],[20]]+Множество_202207112140401240[[#This Row],[21]]</f>
        <v>5.625</v>
      </c>
    </row>
    <row r="40" spans="1:29" x14ac:dyDescent="0.25">
      <c r="A40" t="s">
        <v>668</v>
      </c>
      <c r="B40" t="s">
        <v>100</v>
      </c>
      <c r="C40" t="s">
        <v>621</v>
      </c>
      <c r="D40" t="s">
        <v>1781</v>
      </c>
      <c r="E40" t="s">
        <v>582</v>
      </c>
      <c r="F40" s="213" t="s">
        <v>749</v>
      </c>
      <c r="G40" t="s">
        <v>1055</v>
      </c>
      <c r="H40" t="s">
        <v>70</v>
      </c>
      <c r="I40">
        <v>2.5</v>
      </c>
      <c r="J40">
        <v>1.57</v>
      </c>
      <c r="K40">
        <f>Множество_202207112140401240[[#This Row],[2]]-Множество_202207112140401240[[#This Row],[4]]</f>
        <v>1.1499999999999999</v>
      </c>
      <c r="L40">
        <f>Множество_202207112140401240[[#This Row],[3]]-Множество_202207112140401240[[#This Row],[5]]</f>
        <v>0.1399999999999999</v>
      </c>
      <c r="M40">
        <f>Множество_202207112140401240[[#This Row],[7]]+Множество_202207112140401240[[#This Row],[6]]</f>
        <v>1.2899999999999998</v>
      </c>
      <c r="N40" s="208" t="str">
        <f>CONCATENATE(Множество_202207112140401240[[#This Row],[2]],Множество_202207112140401240[[#This Row],[3]])</f>
        <v>3,651,71</v>
      </c>
      <c r="O40" s="208"/>
      <c r="P40" s="208"/>
      <c r="Q40">
        <v>5.3583333333333298</v>
      </c>
      <c r="R40">
        <v>-13.633333333333301</v>
      </c>
      <c r="S40" s="208">
        <v>10</v>
      </c>
      <c r="T40" s="208">
        <v>-12.5</v>
      </c>
      <c r="U40" s="208">
        <f>ABS(Множество_202207112140401240[[#This Row],[10]]-Множество_202207112140401240[[#This Row],[12]])</f>
        <v>4.6416666666666702</v>
      </c>
      <c r="V40" s="208">
        <f>ABS(Множество_202207112140401240[[#This Row],[11]]-Множество_202207112140401240[[#This Row],[13]])</f>
        <v>1.1333333333333009</v>
      </c>
      <c r="W40" s="208">
        <f>Множество_202207112140401240[[#This Row],[15]]+Множество_202207112140401240[[#This Row],[14]]</f>
        <v>5.774999999999971</v>
      </c>
      <c r="X40" s="208">
        <f ca="1">IF(ROW()-ROW(Множество_202207112140401240[[#Headers],[17]])&gt;1,Множество_202207112140401240[[#This Row],[16]]-OFFSET(Множество_202207112140401240[[#This Row],[16]],-1,0),0)</f>
        <v>0.14999999999997105</v>
      </c>
      <c r="Y40" s="208">
        <v>5.3583333333333298</v>
      </c>
      <c r="Z40" s="208">
        <v>-13.633333333333301</v>
      </c>
      <c r="AA40" s="208">
        <f>ABS(Множество_202207112140401240[[#This Row],[18]]-Множество_202207112140401240[[#This Row],[12]])</f>
        <v>4.6416666666666702</v>
      </c>
      <c r="AB40" s="208">
        <f>ABS(Множество_202207112140401240[[#This Row],[19]]-Множество_202207112140401240[[#This Row],[13]])</f>
        <v>1.1333333333333009</v>
      </c>
      <c r="AC40" s="208">
        <f>Множество_202207112140401240[[#This Row],[20]]+Множество_202207112140401240[[#This Row],[21]]</f>
        <v>5.774999999999971</v>
      </c>
    </row>
    <row r="41" spans="1:29" x14ac:dyDescent="0.25">
      <c r="A41" t="s">
        <v>669</v>
      </c>
      <c r="B41" t="s">
        <v>100</v>
      </c>
      <c r="C41" t="s">
        <v>621</v>
      </c>
      <c r="D41" t="s">
        <v>1781</v>
      </c>
      <c r="E41" t="s">
        <v>582</v>
      </c>
      <c r="F41" s="213" t="s">
        <v>749</v>
      </c>
      <c r="G41" t="s">
        <v>1080</v>
      </c>
      <c r="H41" t="s">
        <v>63</v>
      </c>
      <c r="I41">
        <v>2.5</v>
      </c>
      <c r="J41">
        <v>1.57</v>
      </c>
      <c r="K41">
        <f>Множество_202207112140401240[[#This Row],[2]]-Множество_202207112140401240[[#This Row],[4]]</f>
        <v>1.2200000000000002</v>
      </c>
      <c r="L41">
        <f>Множество_202207112140401240[[#This Row],[3]]-Множество_202207112140401240[[#This Row],[5]]</f>
        <v>6.999999999999984E-2</v>
      </c>
      <c r="M41">
        <f>Множество_202207112140401240[[#This Row],[7]]+Множество_202207112140401240[[#This Row],[6]]</f>
        <v>1.29</v>
      </c>
      <c r="N41" s="208" t="str">
        <f>CONCATENATE(Множество_202207112140401240[[#This Row],[2]],Множество_202207112140401240[[#This Row],[3]])</f>
        <v>3,721,64</v>
      </c>
      <c r="O41" s="208"/>
      <c r="P41" s="208"/>
      <c r="Q41">
        <v>5.3</v>
      </c>
      <c r="R41">
        <v>-13.65</v>
      </c>
      <c r="S41" s="208">
        <v>10</v>
      </c>
      <c r="T41" s="208">
        <v>-12.5</v>
      </c>
      <c r="U41" s="208">
        <f>ABS(Множество_202207112140401240[[#This Row],[10]]-Множество_202207112140401240[[#This Row],[12]])</f>
        <v>4.7</v>
      </c>
      <c r="V41" s="208">
        <f>ABS(Множество_202207112140401240[[#This Row],[11]]-Множество_202207112140401240[[#This Row],[13]])</f>
        <v>1.1500000000000004</v>
      </c>
      <c r="W41" s="208">
        <f>Множество_202207112140401240[[#This Row],[15]]+Множество_202207112140401240[[#This Row],[14]]</f>
        <v>5.8500000000000005</v>
      </c>
      <c r="X41" s="208">
        <f ca="1">IF(ROW()-ROW(Множество_202207112140401240[[#Headers],[17]])&gt;1,Множество_202207112140401240[[#This Row],[16]]-OFFSET(Множество_202207112140401240[[#This Row],[16]],-1,0),0)</f>
        <v>7.5000000000029488E-2</v>
      </c>
      <c r="Y41" s="208">
        <v>5.3</v>
      </c>
      <c r="Z41" s="208">
        <v>-13.65</v>
      </c>
      <c r="AA41" s="208">
        <f>ABS(Множество_202207112140401240[[#This Row],[18]]-Множество_202207112140401240[[#This Row],[12]])</f>
        <v>4.7</v>
      </c>
      <c r="AB41" s="208">
        <f>ABS(Множество_202207112140401240[[#This Row],[19]]-Множество_202207112140401240[[#This Row],[13]])</f>
        <v>1.1500000000000004</v>
      </c>
      <c r="AC41" s="208">
        <f>Множество_202207112140401240[[#This Row],[20]]+Множество_202207112140401240[[#This Row],[21]]</f>
        <v>5.8500000000000005</v>
      </c>
    </row>
    <row r="42" spans="1:29" x14ac:dyDescent="0.25">
      <c r="A42" t="s">
        <v>670</v>
      </c>
      <c r="B42" t="s">
        <v>100</v>
      </c>
      <c r="C42" t="s">
        <v>621</v>
      </c>
      <c r="D42" t="s">
        <v>1781</v>
      </c>
      <c r="E42" t="s">
        <v>582</v>
      </c>
      <c r="F42" s="213" t="s">
        <v>749</v>
      </c>
      <c r="G42" t="s">
        <v>1108</v>
      </c>
      <c r="H42" t="s">
        <v>64</v>
      </c>
      <c r="I42">
        <v>2.5</v>
      </c>
      <c r="J42">
        <v>1.57</v>
      </c>
      <c r="K42">
        <f>Множество_202207112140401240[[#This Row],[2]]-Множество_202207112140401240[[#This Row],[4]]</f>
        <v>1.21</v>
      </c>
      <c r="L42">
        <f>Множество_202207112140401240[[#This Row],[3]]-Множество_202207112140401240[[#This Row],[5]]</f>
        <v>7.9999999999999849E-2</v>
      </c>
      <c r="M42">
        <f>Множество_202207112140401240[[#This Row],[7]]+Множество_202207112140401240[[#This Row],[6]]</f>
        <v>1.2899999999999998</v>
      </c>
      <c r="N42" s="208" t="str">
        <f>CONCATENATE(Множество_202207112140401240[[#This Row],[2]],Множество_202207112140401240[[#This Row],[3]])</f>
        <v>3,711,65</v>
      </c>
      <c r="O42" s="208"/>
      <c r="P42" s="208"/>
      <c r="Q42">
        <v>5.18333333333333</v>
      </c>
      <c r="R42">
        <v>-13.6666666666667</v>
      </c>
      <c r="S42" s="208">
        <v>10</v>
      </c>
      <c r="T42" s="208">
        <v>-12.5</v>
      </c>
      <c r="U42" s="208">
        <f>ABS(Множество_202207112140401240[[#This Row],[10]]-Множество_202207112140401240[[#This Row],[12]])</f>
        <v>4.81666666666667</v>
      </c>
      <c r="V42" s="208">
        <f>ABS(Множество_202207112140401240[[#This Row],[11]]-Множество_202207112140401240[[#This Row],[13]])</f>
        <v>1.1666666666666998</v>
      </c>
      <c r="W42" s="208">
        <f>Множество_202207112140401240[[#This Row],[15]]+Множество_202207112140401240[[#This Row],[14]]</f>
        <v>5.9833333333333698</v>
      </c>
      <c r="X42" s="208">
        <f ca="1">IF(ROW()-ROW(Множество_202207112140401240[[#Headers],[17]])&gt;1,Множество_202207112140401240[[#This Row],[16]]-OFFSET(Множество_202207112140401240[[#This Row],[16]],-1,0),0)</f>
        <v>0.13333333333336927</v>
      </c>
      <c r="Y42" s="208">
        <v>5.18333333333333</v>
      </c>
      <c r="Z42" s="208">
        <v>-13.6666666666667</v>
      </c>
      <c r="AA42" s="208">
        <f>ABS(Множество_202207112140401240[[#This Row],[18]]-Множество_202207112140401240[[#This Row],[12]])</f>
        <v>4.81666666666667</v>
      </c>
      <c r="AB42" s="208">
        <f>ABS(Множество_202207112140401240[[#This Row],[19]]-Множество_202207112140401240[[#This Row],[13]])</f>
        <v>1.1666666666666998</v>
      </c>
      <c r="AC42" s="208">
        <f>Множество_202207112140401240[[#This Row],[20]]+Множество_202207112140401240[[#This Row],[21]]</f>
        <v>5.9833333333333698</v>
      </c>
    </row>
    <row r="43" spans="1:29" x14ac:dyDescent="0.25">
      <c r="A43" t="s">
        <v>671</v>
      </c>
      <c r="B43" t="s">
        <v>100</v>
      </c>
      <c r="C43" t="s">
        <v>621</v>
      </c>
      <c r="D43" t="s">
        <v>1781</v>
      </c>
      <c r="E43" t="s">
        <v>582</v>
      </c>
      <c r="F43" s="213" t="s">
        <v>749</v>
      </c>
      <c r="G43" t="s">
        <v>636</v>
      </c>
      <c r="H43" t="s">
        <v>71</v>
      </c>
      <c r="I43">
        <v>2.5</v>
      </c>
      <c r="J43">
        <v>1.57</v>
      </c>
      <c r="K43">
        <f>Множество_202207112140401240[[#This Row],[2]]-Множество_202207112140401240[[#This Row],[4]]</f>
        <v>1.1400000000000001</v>
      </c>
      <c r="L43">
        <f>Множество_202207112140401240[[#This Row],[3]]-Множество_202207112140401240[[#This Row],[5]]</f>
        <v>0.14999999999999991</v>
      </c>
      <c r="M43">
        <f>Множество_202207112140401240[[#This Row],[7]]+Множество_202207112140401240[[#This Row],[6]]</f>
        <v>1.29</v>
      </c>
      <c r="N43" s="208" t="str">
        <f>CONCATENATE(Множество_202207112140401240[[#This Row],[2]],Множество_202207112140401240[[#This Row],[3]])</f>
        <v>3,641,72</v>
      </c>
      <c r="O43" s="208"/>
      <c r="P43" s="208"/>
      <c r="Q43">
        <v>5.125</v>
      </c>
      <c r="R43">
        <v>-13.6833333333333</v>
      </c>
      <c r="S43" s="208">
        <v>10</v>
      </c>
      <c r="T43" s="208">
        <v>-12.5</v>
      </c>
      <c r="U43" s="208">
        <f>ABS(Множество_202207112140401240[[#This Row],[10]]-Множество_202207112140401240[[#This Row],[12]])</f>
        <v>4.875</v>
      </c>
      <c r="V43" s="208">
        <f>ABS(Множество_202207112140401240[[#This Row],[11]]-Множество_202207112140401240[[#This Row],[13]])</f>
        <v>1.1833333333332998</v>
      </c>
      <c r="W43" s="208">
        <f>Множество_202207112140401240[[#This Row],[15]]+Множество_202207112140401240[[#This Row],[14]]</f>
        <v>6.0583333333332998</v>
      </c>
      <c r="X43" s="208">
        <f ca="1">IF(ROW()-ROW(Множество_202207112140401240[[#Headers],[17]])&gt;1,Множество_202207112140401240[[#This Row],[16]]-OFFSET(Множество_202207112140401240[[#This Row],[16]],-1,0),0)</f>
        <v>7.4999999999930012E-2</v>
      </c>
      <c r="Y43" s="208">
        <v>5.125</v>
      </c>
      <c r="Z43" s="208">
        <v>-13.6833333333333</v>
      </c>
      <c r="AA43" s="208">
        <f>ABS(Множество_202207112140401240[[#This Row],[18]]-Множество_202207112140401240[[#This Row],[12]])</f>
        <v>4.875</v>
      </c>
      <c r="AB43" s="208">
        <f>ABS(Множество_202207112140401240[[#This Row],[19]]-Множество_202207112140401240[[#This Row],[13]])</f>
        <v>1.1833333333332998</v>
      </c>
      <c r="AC43" s="208">
        <f>Множество_202207112140401240[[#This Row],[20]]+Множество_202207112140401240[[#This Row],[21]]</f>
        <v>6.0583333333332998</v>
      </c>
    </row>
    <row r="44" spans="1:29" x14ac:dyDescent="0.25">
      <c r="A44" t="s">
        <v>673</v>
      </c>
      <c r="B44" t="s">
        <v>100</v>
      </c>
      <c r="C44" t="s">
        <v>621</v>
      </c>
      <c r="D44" t="s">
        <v>1781</v>
      </c>
      <c r="E44" t="s">
        <v>582</v>
      </c>
      <c r="F44" s="213" t="s">
        <v>749</v>
      </c>
      <c r="G44" t="s">
        <v>967</v>
      </c>
      <c r="H44" t="s">
        <v>72</v>
      </c>
      <c r="I44">
        <v>2.5</v>
      </c>
      <c r="J44">
        <v>1.57</v>
      </c>
      <c r="K44">
        <f>Множество_202207112140401240[[#This Row],[2]]-Множество_202207112140401240[[#This Row],[4]]</f>
        <v>1.1299999999999999</v>
      </c>
      <c r="L44">
        <f>Множество_202207112140401240[[#This Row],[3]]-Множество_202207112140401240[[#This Row],[5]]</f>
        <v>0.15999999999999992</v>
      </c>
      <c r="M44">
        <f>Множество_202207112140401240[[#This Row],[7]]+Множество_202207112140401240[[#This Row],[6]]</f>
        <v>1.2899999999999998</v>
      </c>
      <c r="N44" s="208" t="str">
        <f>CONCATENATE(Множество_202207112140401240[[#This Row],[2]],Множество_202207112140401240[[#This Row],[3]])</f>
        <v>3,631,73</v>
      </c>
      <c r="O44" s="208"/>
      <c r="P44" s="208"/>
      <c r="Q44">
        <v>5.06666666666667</v>
      </c>
      <c r="R44">
        <v>-13.7</v>
      </c>
      <c r="S44" s="208">
        <v>10</v>
      </c>
      <c r="T44" s="208">
        <v>-12.5</v>
      </c>
      <c r="U44" s="208">
        <f>ABS(Множество_202207112140401240[[#This Row],[10]]-Множество_202207112140401240[[#This Row],[12]])</f>
        <v>4.93333333333333</v>
      </c>
      <c r="V44" s="208">
        <f>ABS(Множество_202207112140401240[[#This Row],[11]]-Множество_202207112140401240[[#This Row],[13]])</f>
        <v>1.1999999999999993</v>
      </c>
      <c r="W44" s="208">
        <f>Множество_202207112140401240[[#This Row],[15]]+Множество_202207112140401240[[#This Row],[14]]</f>
        <v>6.1333333333333293</v>
      </c>
      <c r="X44" s="208">
        <f ca="1">IF(ROW()-ROW(Множество_202207112140401240[[#Headers],[17]])&gt;1,Множество_202207112140401240[[#This Row],[16]]-OFFSET(Множество_202207112140401240[[#This Row],[16]],-1,0),0)</f>
        <v>7.5000000000029488E-2</v>
      </c>
      <c r="Y44" s="208">
        <v>5.06666666666667</v>
      </c>
      <c r="Z44" s="208">
        <v>-13.7</v>
      </c>
      <c r="AA44" s="208">
        <f>ABS(Множество_202207112140401240[[#This Row],[18]]-Множество_202207112140401240[[#This Row],[12]])</f>
        <v>4.93333333333333</v>
      </c>
      <c r="AB44" s="208">
        <f>ABS(Множество_202207112140401240[[#This Row],[19]]-Множество_202207112140401240[[#This Row],[13]])</f>
        <v>1.1999999999999993</v>
      </c>
      <c r="AC44" s="208">
        <f>Множество_202207112140401240[[#This Row],[20]]+Множество_202207112140401240[[#This Row],[21]]</f>
        <v>6.1333333333333293</v>
      </c>
    </row>
    <row r="45" spans="1:29" x14ac:dyDescent="0.25">
      <c r="A45" t="s">
        <v>675</v>
      </c>
      <c r="B45" t="s">
        <v>100</v>
      </c>
      <c r="C45" t="s">
        <v>621</v>
      </c>
      <c r="D45" t="s">
        <v>1781</v>
      </c>
      <c r="E45" t="s">
        <v>582</v>
      </c>
      <c r="F45" s="213" t="s">
        <v>749</v>
      </c>
      <c r="G45" t="s">
        <v>1044</v>
      </c>
      <c r="H45" t="s">
        <v>65</v>
      </c>
      <c r="I45">
        <v>2.5</v>
      </c>
      <c r="J45">
        <v>1.57</v>
      </c>
      <c r="K45">
        <f>Множество_202207112140401240[[#This Row],[2]]-Множество_202207112140401240[[#This Row],[4]]</f>
        <v>1.2000000000000002</v>
      </c>
      <c r="L45">
        <f>Множество_202207112140401240[[#This Row],[3]]-Множество_202207112140401240[[#This Row],[5]]</f>
        <v>8.9999999999999858E-2</v>
      </c>
      <c r="M45">
        <f>Множество_202207112140401240[[#This Row],[7]]+Множество_202207112140401240[[#This Row],[6]]</f>
        <v>1.29</v>
      </c>
      <c r="N45" s="208" t="str">
        <f>CONCATENATE(Множество_202207112140401240[[#This Row],[2]],Множество_202207112140401240[[#This Row],[3]])</f>
        <v>3,71,66</v>
      </c>
      <c r="O45" s="208"/>
      <c r="P45" s="208"/>
      <c r="Q45">
        <v>5.0083333333333302</v>
      </c>
      <c r="R45">
        <v>-13.716666666666701</v>
      </c>
      <c r="S45" s="208">
        <v>10</v>
      </c>
      <c r="T45" s="208">
        <v>-12.5</v>
      </c>
      <c r="U45" s="208">
        <f>ABS(Множество_202207112140401240[[#This Row],[10]]-Множество_202207112140401240[[#This Row],[12]])</f>
        <v>4.9916666666666698</v>
      </c>
      <c r="V45" s="208">
        <f>ABS(Множество_202207112140401240[[#This Row],[11]]-Множество_202207112140401240[[#This Row],[13]])</f>
        <v>1.2166666666667005</v>
      </c>
      <c r="W45" s="208">
        <f>Множество_202207112140401240[[#This Row],[15]]+Множество_202207112140401240[[#This Row],[14]]</f>
        <v>6.2083333333333703</v>
      </c>
      <c r="X45" s="208">
        <f ca="1">IF(ROW()-ROW(Множество_202207112140401240[[#Headers],[17]])&gt;1,Множество_202207112140401240[[#This Row],[16]]-OFFSET(Множество_202207112140401240[[#This Row],[16]],-1,0),0)</f>
        <v>7.5000000000041034E-2</v>
      </c>
      <c r="Y45" s="208">
        <v>5.0083333333333302</v>
      </c>
      <c r="Z45" s="208">
        <v>-13.716666666666701</v>
      </c>
      <c r="AA45" s="208">
        <f>ABS(Множество_202207112140401240[[#This Row],[18]]-Множество_202207112140401240[[#This Row],[12]])</f>
        <v>4.9916666666666698</v>
      </c>
      <c r="AB45" s="208">
        <f>ABS(Множество_202207112140401240[[#This Row],[19]]-Множество_202207112140401240[[#This Row],[13]])</f>
        <v>1.2166666666667005</v>
      </c>
      <c r="AC45" s="208">
        <f>Множество_202207112140401240[[#This Row],[20]]+Множество_202207112140401240[[#This Row],[21]]</f>
        <v>6.2083333333333703</v>
      </c>
    </row>
    <row r="46" spans="1:29" x14ac:dyDescent="0.25">
      <c r="A46" t="s">
        <v>676</v>
      </c>
      <c r="B46" t="s">
        <v>100</v>
      </c>
      <c r="C46" t="s">
        <v>621</v>
      </c>
      <c r="D46" t="s">
        <v>1781</v>
      </c>
      <c r="E46" t="s">
        <v>582</v>
      </c>
      <c r="F46" s="213" t="s">
        <v>749</v>
      </c>
      <c r="G46" t="s">
        <v>1183</v>
      </c>
      <c r="H46" t="s">
        <v>67</v>
      </c>
      <c r="I46">
        <v>2.5</v>
      </c>
      <c r="J46">
        <v>1.57</v>
      </c>
      <c r="K46">
        <f>Множество_202207112140401240[[#This Row],[2]]-Множество_202207112140401240[[#This Row],[4]]</f>
        <v>1.19</v>
      </c>
      <c r="L46">
        <f>Множество_202207112140401240[[#This Row],[3]]-Множество_202207112140401240[[#This Row],[5]]</f>
        <v>0.10999999999999988</v>
      </c>
      <c r="M46">
        <f>Множество_202207112140401240[[#This Row],[7]]+Множество_202207112140401240[[#This Row],[6]]</f>
        <v>1.2999999999999998</v>
      </c>
      <c r="N46" s="208" t="str">
        <f>CONCATENATE(Множество_202207112140401240[[#This Row],[2]],Множество_202207112140401240[[#This Row],[3]])</f>
        <v>3,691,68</v>
      </c>
      <c r="O46" s="208"/>
      <c r="P46" s="208"/>
      <c r="Q46">
        <v>4.95</v>
      </c>
      <c r="R46">
        <v>-13.716666666666701</v>
      </c>
      <c r="S46" s="208">
        <v>10</v>
      </c>
      <c r="T46" s="208">
        <v>-12.5</v>
      </c>
      <c r="U46" s="208">
        <f>ABS(Множество_202207112140401240[[#This Row],[10]]-Множество_202207112140401240[[#This Row],[12]])</f>
        <v>5.05</v>
      </c>
      <c r="V46" s="208">
        <f>ABS(Множество_202207112140401240[[#This Row],[11]]-Множество_202207112140401240[[#This Row],[13]])</f>
        <v>1.2166666666667005</v>
      </c>
      <c r="W46" s="208">
        <f>Множество_202207112140401240[[#This Row],[15]]+Множество_202207112140401240[[#This Row],[14]]</f>
        <v>6.2666666666667004</v>
      </c>
      <c r="X46" s="208">
        <f ca="1">IF(ROW()-ROW(Множество_202207112140401240[[#Headers],[17]])&gt;1,Множество_202207112140401240[[#This Row],[16]]-OFFSET(Множество_202207112140401240[[#This Row],[16]],-1,0),0)</f>
        <v>5.8333333333330017E-2</v>
      </c>
      <c r="Y46" s="208">
        <v>4.95</v>
      </c>
      <c r="Z46" s="208">
        <v>-13.716666666666701</v>
      </c>
      <c r="AA46" s="208">
        <f>ABS(Множество_202207112140401240[[#This Row],[18]]-Множество_202207112140401240[[#This Row],[12]])</f>
        <v>5.05</v>
      </c>
      <c r="AB46" s="208">
        <f>ABS(Множество_202207112140401240[[#This Row],[19]]-Множество_202207112140401240[[#This Row],[13]])</f>
        <v>1.2166666666667005</v>
      </c>
      <c r="AC46" s="208">
        <f>Множество_202207112140401240[[#This Row],[20]]+Множество_202207112140401240[[#This Row],[21]]</f>
        <v>6.2666666666667004</v>
      </c>
    </row>
    <row r="47" spans="1:29" x14ac:dyDescent="0.25">
      <c r="A47" t="s">
        <v>678</v>
      </c>
      <c r="B47" t="s">
        <v>100</v>
      </c>
      <c r="C47" t="s">
        <v>621</v>
      </c>
      <c r="D47" t="s">
        <v>1781</v>
      </c>
      <c r="E47" t="s">
        <v>582</v>
      </c>
      <c r="F47" s="213" t="s">
        <v>749</v>
      </c>
      <c r="G47" t="s">
        <v>1213</v>
      </c>
      <c r="H47" t="s">
        <v>69</v>
      </c>
      <c r="I47">
        <v>2.5</v>
      </c>
      <c r="J47">
        <v>1.57</v>
      </c>
      <c r="K47">
        <f>Множество_202207112140401240[[#This Row],[2]]-Множество_202207112140401240[[#This Row],[4]]</f>
        <v>1.17</v>
      </c>
      <c r="L47">
        <f>Множество_202207112140401240[[#This Row],[3]]-Множество_202207112140401240[[#This Row],[5]]</f>
        <v>0.12999999999999989</v>
      </c>
      <c r="M47">
        <f>Множество_202207112140401240[[#This Row],[7]]+Множество_202207112140401240[[#This Row],[6]]</f>
        <v>1.2999999999999998</v>
      </c>
      <c r="N47" s="208" t="str">
        <f>CONCATENATE(Множество_202207112140401240[[#This Row],[2]],Множество_202207112140401240[[#This Row],[3]])</f>
        <v>3,671,7</v>
      </c>
      <c r="O47" s="208"/>
      <c r="P47" s="208"/>
      <c r="Q47">
        <v>4.8916666666666702</v>
      </c>
      <c r="R47">
        <v>-13.733333333333301</v>
      </c>
      <c r="S47" s="208">
        <v>10</v>
      </c>
      <c r="T47" s="208">
        <v>-12.5</v>
      </c>
      <c r="U47" s="208">
        <f>ABS(Множество_202207112140401240[[#This Row],[10]]-Множество_202207112140401240[[#This Row],[12]])</f>
        <v>5.1083333333333298</v>
      </c>
      <c r="V47" s="208">
        <f>ABS(Множество_202207112140401240[[#This Row],[11]]-Множество_202207112140401240[[#This Row],[13]])</f>
        <v>1.2333333333333005</v>
      </c>
      <c r="W47" s="208">
        <f>Множество_202207112140401240[[#This Row],[15]]+Множество_202207112140401240[[#This Row],[14]]</f>
        <v>6.3416666666666304</v>
      </c>
      <c r="X47" s="208">
        <f ca="1">IF(ROW()-ROW(Множество_202207112140401240[[#Headers],[17]])&gt;1,Множество_202207112140401240[[#This Row],[16]]-OFFSET(Множество_202207112140401240[[#This Row],[16]],-1,0),0)</f>
        <v>7.4999999999930012E-2</v>
      </c>
      <c r="Y47" s="208">
        <v>4.8916666666666702</v>
      </c>
      <c r="Z47" s="208">
        <v>-13.733333333333301</v>
      </c>
      <c r="AA47" s="208">
        <f>ABS(Множество_202207112140401240[[#This Row],[18]]-Множество_202207112140401240[[#This Row],[12]])</f>
        <v>5.1083333333333298</v>
      </c>
      <c r="AB47" s="208">
        <f>ABS(Множество_202207112140401240[[#This Row],[19]]-Множество_202207112140401240[[#This Row],[13]])</f>
        <v>1.2333333333333005</v>
      </c>
      <c r="AC47" s="208">
        <f>Множество_202207112140401240[[#This Row],[20]]+Множество_202207112140401240[[#This Row],[21]]</f>
        <v>6.3416666666666304</v>
      </c>
    </row>
    <row r="48" spans="1:29" x14ac:dyDescent="0.25">
      <c r="A48" t="s">
        <v>679</v>
      </c>
      <c r="B48" t="s">
        <v>100</v>
      </c>
      <c r="C48" t="s">
        <v>621</v>
      </c>
      <c r="D48" t="s">
        <v>1781</v>
      </c>
      <c r="E48" t="s">
        <v>582</v>
      </c>
      <c r="F48" s="213" t="s">
        <v>749</v>
      </c>
      <c r="G48" t="s">
        <v>1143</v>
      </c>
      <c r="H48" t="s">
        <v>68</v>
      </c>
      <c r="I48">
        <v>2.5</v>
      </c>
      <c r="J48">
        <v>1.57</v>
      </c>
      <c r="K48">
        <f>Множество_202207112140401240[[#This Row],[2]]-Множество_202207112140401240[[#This Row],[4]]</f>
        <v>1.1800000000000002</v>
      </c>
      <c r="L48">
        <f>Множество_202207112140401240[[#This Row],[3]]-Множество_202207112140401240[[#This Row],[5]]</f>
        <v>0.11999999999999988</v>
      </c>
      <c r="M48">
        <f>Множество_202207112140401240[[#This Row],[7]]+Множество_202207112140401240[[#This Row],[6]]</f>
        <v>1.3</v>
      </c>
      <c r="N48" s="208" t="str">
        <f>CONCATENATE(Множество_202207112140401240[[#This Row],[2]],Множество_202207112140401240[[#This Row],[3]])</f>
        <v>3,681,69</v>
      </c>
      <c r="O48" s="208"/>
      <c r="P48" s="208"/>
      <c r="Q48">
        <v>4.8333333333333304</v>
      </c>
      <c r="R48">
        <v>-13.75</v>
      </c>
      <c r="S48" s="208">
        <v>10</v>
      </c>
      <c r="T48" s="208">
        <v>-12.5</v>
      </c>
      <c r="U48" s="208">
        <f>ABS(Множество_202207112140401240[[#This Row],[10]]-Множество_202207112140401240[[#This Row],[12]])</f>
        <v>5.1666666666666696</v>
      </c>
      <c r="V48" s="208">
        <f>ABS(Множество_202207112140401240[[#This Row],[11]]-Множество_202207112140401240[[#This Row],[13]])</f>
        <v>1.25</v>
      </c>
      <c r="W48" s="208">
        <f>Множество_202207112140401240[[#This Row],[15]]+Множество_202207112140401240[[#This Row],[14]]</f>
        <v>6.4166666666666696</v>
      </c>
      <c r="X48" s="208">
        <f ca="1">IF(ROW()-ROW(Множество_202207112140401240[[#Headers],[17]])&gt;1,Множество_202207112140401240[[#This Row],[16]]-OFFSET(Множество_202207112140401240[[#This Row],[16]],-1,0),0)</f>
        <v>7.5000000000039257E-2</v>
      </c>
      <c r="Y48" s="208">
        <v>4.8333333333333304</v>
      </c>
      <c r="Z48" s="208">
        <v>-13.75</v>
      </c>
      <c r="AA48" s="208">
        <f>ABS(Множество_202207112140401240[[#This Row],[18]]-Множество_202207112140401240[[#This Row],[12]])</f>
        <v>5.1666666666666696</v>
      </c>
      <c r="AB48" s="208">
        <f>ABS(Множество_202207112140401240[[#This Row],[19]]-Множество_202207112140401240[[#This Row],[13]])</f>
        <v>1.25</v>
      </c>
      <c r="AC48" s="208">
        <f>Множество_202207112140401240[[#This Row],[20]]+Множество_202207112140401240[[#This Row],[21]]</f>
        <v>6.4166666666666696</v>
      </c>
    </row>
    <row r="49" spans="1:29" x14ac:dyDescent="0.25">
      <c r="A49" t="s">
        <v>681</v>
      </c>
      <c r="B49" t="s">
        <v>100</v>
      </c>
      <c r="C49" t="s">
        <v>621</v>
      </c>
      <c r="D49" t="s">
        <v>1781</v>
      </c>
      <c r="E49" t="s">
        <v>582</v>
      </c>
      <c r="F49" s="213" t="s">
        <v>749</v>
      </c>
      <c r="G49" t="s">
        <v>1158</v>
      </c>
      <c r="H49" t="s">
        <v>54</v>
      </c>
      <c r="I49">
        <v>2.5</v>
      </c>
      <c r="J49">
        <v>1.57</v>
      </c>
      <c r="K49">
        <f>Множество_202207112140401240[[#This Row],[2]]-Множество_202207112140401240[[#This Row],[4]]</f>
        <v>1.29</v>
      </c>
      <c r="L49">
        <f>Множество_202207112140401240[[#This Row],[3]]-Множество_202207112140401240[[#This Row],[5]]</f>
        <v>-2.0000000000000018E-2</v>
      </c>
      <c r="M49">
        <f>Множество_202207112140401240[[#This Row],[7]]+Множество_202207112140401240[[#This Row],[6]]</f>
        <v>1.27</v>
      </c>
      <c r="N49" s="208" t="str">
        <f>CONCATENATE(Множество_202207112140401240[[#This Row],[2]],Множество_202207112140401240[[#This Row],[3]])</f>
        <v>3,791,55</v>
      </c>
      <c r="O49" s="208"/>
      <c r="P49" s="208"/>
      <c r="Q49">
        <v>4.7750000000000004</v>
      </c>
      <c r="R49">
        <v>-13.766666666666699</v>
      </c>
      <c r="S49" s="208">
        <v>10</v>
      </c>
      <c r="T49" s="208">
        <v>-12.5</v>
      </c>
      <c r="U49" s="208">
        <f>ABS(Множество_202207112140401240[[#This Row],[10]]-Множество_202207112140401240[[#This Row],[12]])</f>
        <v>5.2249999999999996</v>
      </c>
      <c r="V49" s="208">
        <f>ABS(Множество_202207112140401240[[#This Row],[11]]-Множество_202207112140401240[[#This Row],[13]])</f>
        <v>1.2666666666666995</v>
      </c>
      <c r="W49" s="208">
        <f>Множество_202207112140401240[[#This Row],[15]]+Множество_202207112140401240[[#This Row],[14]]</f>
        <v>6.4916666666666991</v>
      </c>
      <c r="X49" s="208">
        <f ca="1">IF(ROW()-ROW(Множество_202207112140401240[[#Headers],[17]])&gt;1,Множество_202207112140401240[[#This Row],[16]]-OFFSET(Множество_202207112140401240[[#This Row],[16]],-1,0),0)</f>
        <v>7.5000000000029488E-2</v>
      </c>
      <c r="Y49" s="208">
        <v>4.7750000000000004</v>
      </c>
      <c r="Z49" s="208">
        <v>-13.766666666666699</v>
      </c>
      <c r="AA49" s="208">
        <f>ABS(Множество_202207112140401240[[#This Row],[18]]-Множество_202207112140401240[[#This Row],[12]])</f>
        <v>5.2249999999999996</v>
      </c>
      <c r="AB49" s="208">
        <f>ABS(Множество_202207112140401240[[#This Row],[19]]-Множество_202207112140401240[[#This Row],[13]])</f>
        <v>1.2666666666666995</v>
      </c>
      <c r="AC49" s="208">
        <f>Множество_202207112140401240[[#This Row],[20]]+Множество_202207112140401240[[#This Row],[21]]</f>
        <v>6.4916666666666991</v>
      </c>
    </row>
    <row r="50" spans="1:29" x14ac:dyDescent="0.25">
      <c r="A50" t="s">
        <v>683</v>
      </c>
      <c r="B50" t="s">
        <v>100</v>
      </c>
      <c r="C50" t="s">
        <v>621</v>
      </c>
      <c r="D50" t="s">
        <v>1781</v>
      </c>
      <c r="E50" t="s">
        <v>582</v>
      </c>
      <c r="F50" s="213" t="s">
        <v>749</v>
      </c>
      <c r="G50" t="s">
        <v>1352</v>
      </c>
      <c r="H50" t="s">
        <v>53</v>
      </c>
      <c r="I50">
        <v>2.5</v>
      </c>
      <c r="J50">
        <v>1.57</v>
      </c>
      <c r="K50">
        <f>Множество_202207112140401240[[#This Row],[2]]-Множество_202207112140401240[[#This Row],[4]]</f>
        <v>1.2999999999999998</v>
      </c>
      <c r="L50">
        <f>Множество_202207112140401240[[#This Row],[3]]-Множество_202207112140401240[[#This Row],[5]]</f>
        <v>-3.0000000000000027E-2</v>
      </c>
      <c r="M50">
        <f>Множество_202207112140401240[[#This Row],[7]]+Множество_202207112140401240[[#This Row],[6]]</f>
        <v>1.2699999999999998</v>
      </c>
      <c r="N50" s="208" t="str">
        <f>CONCATENATE(Множество_202207112140401240[[#This Row],[2]],Множество_202207112140401240[[#This Row],[3]])</f>
        <v>3,81,54</v>
      </c>
      <c r="O50" s="208"/>
      <c r="P50" s="208"/>
      <c r="Q50">
        <v>4.6583333333333297</v>
      </c>
      <c r="R50">
        <v>-13.783333333333299</v>
      </c>
      <c r="S50" s="208">
        <v>10</v>
      </c>
      <c r="T50" s="208">
        <v>-12.5</v>
      </c>
      <c r="U50" s="208">
        <f>ABS(Множество_202207112140401240[[#This Row],[10]]-Множество_202207112140401240[[#This Row],[12]])</f>
        <v>5.3416666666666703</v>
      </c>
      <c r="V50" s="208">
        <f>ABS(Множество_202207112140401240[[#This Row],[11]]-Множество_202207112140401240[[#This Row],[13]])</f>
        <v>1.2833333333332995</v>
      </c>
      <c r="W50" s="208">
        <f>Множество_202207112140401240[[#This Row],[15]]+Множество_202207112140401240[[#This Row],[14]]</f>
        <v>6.6249999999999698</v>
      </c>
      <c r="X50" s="208">
        <f ca="1">IF(ROW()-ROW(Множество_202207112140401240[[#Headers],[17]])&gt;1,Множество_202207112140401240[[#This Row],[16]]-OFFSET(Множество_202207112140401240[[#This Row],[16]],-1,0),0)</f>
        <v>0.13333333333327069</v>
      </c>
      <c r="Y50" s="208">
        <v>4.6583333333333297</v>
      </c>
      <c r="Z50" s="208">
        <v>-13.783333333333299</v>
      </c>
      <c r="AA50" s="208">
        <f>ABS(Множество_202207112140401240[[#This Row],[18]]-Множество_202207112140401240[[#This Row],[12]])</f>
        <v>5.3416666666666703</v>
      </c>
      <c r="AB50" s="208">
        <f>ABS(Множество_202207112140401240[[#This Row],[19]]-Множество_202207112140401240[[#This Row],[13]])</f>
        <v>1.2833333333332995</v>
      </c>
      <c r="AC50" s="208">
        <f>Множество_202207112140401240[[#This Row],[20]]+Множество_202207112140401240[[#This Row],[21]]</f>
        <v>6.6249999999999698</v>
      </c>
    </row>
    <row r="51" spans="1:29" x14ac:dyDescent="0.25">
      <c r="A51" t="s">
        <v>684</v>
      </c>
      <c r="B51" t="s">
        <v>100</v>
      </c>
      <c r="C51" t="s">
        <v>621</v>
      </c>
      <c r="D51" t="s">
        <v>1781</v>
      </c>
      <c r="E51" t="s">
        <v>582</v>
      </c>
      <c r="F51" s="213" t="s">
        <v>749</v>
      </c>
      <c r="G51" t="s">
        <v>1209</v>
      </c>
      <c r="H51" t="s">
        <v>51</v>
      </c>
      <c r="I51">
        <v>2.5</v>
      </c>
      <c r="J51">
        <v>1.57</v>
      </c>
      <c r="K51">
        <f>Множество_202207112140401240[[#This Row],[2]]-Множество_202207112140401240[[#This Row],[4]]</f>
        <v>1.31</v>
      </c>
      <c r="L51">
        <f>Множество_202207112140401240[[#This Row],[3]]-Множество_202207112140401240[[#This Row],[5]]</f>
        <v>-5.0000000000000044E-2</v>
      </c>
      <c r="M51">
        <f>Множество_202207112140401240[[#This Row],[7]]+Множество_202207112140401240[[#This Row],[6]]</f>
        <v>1.26</v>
      </c>
      <c r="N51" s="208" t="str">
        <f>CONCATENATE(Множество_202207112140401240[[#This Row],[2]],Множество_202207112140401240[[#This Row],[3]])</f>
        <v>3,811,52</v>
      </c>
      <c r="O51" s="208"/>
      <c r="P51" s="208"/>
      <c r="Q51">
        <v>4.7166666666666703</v>
      </c>
      <c r="R51">
        <v>-13.783333333333299</v>
      </c>
      <c r="S51" s="208">
        <v>10</v>
      </c>
      <c r="T51" s="208">
        <v>-12.5</v>
      </c>
      <c r="U51" s="208">
        <f>ABS(Множество_202207112140401240[[#This Row],[10]]-Множество_202207112140401240[[#This Row],[12]])</f>
        <v>5.2833333333333297</v>
      </c>
      <c r="V51" s="208">
        <f>ABS(Множество_202207112140401240[[#This Row],[11]]-Множество_202207112140401240[[#This Row],[13]])</f>
        <v>1.2833333333332995</v>
      </c>
      <c r="W51" s="208">
        <f>Множество_202207112140401240[[#This Row],[15]]+Множество_202207112140401240[[#This Row],[14]]</f>
        <v>6.5666666666666291</v>
      </c>
      <c r="X51" s="208">
        <f ca="1">IF(ROW()-ROW(Множество_202207112140401240[[#Headers],[17]])&gt;1,Множество_202207112140401240[[#This Row],[16]]-OFFSET(Множество_202207112140401240[[#This Row],[16]],-1,0),0)</f>
        <v>-5.8333333333340676E-2</v>
      </c>
      <c r="Y51" s="208">
        <v>4.7166666666666703</v>
      </c>
      <c r="Z51" s="208">
        <v>-13.783333333333299</v>
      </c>
      <c r="AA51" s="208">
        <f>ABS(Множество_202207112140401240[[#This Row],[18]]-Множество_202207112140401240[[#This Row],[12]])</f>
        <v>5.2833333333333297</v>
      </c>
      <c r="AB51" s="208">
        <f>ABS(Множество_202207112140401240[[#This Row],[19]]-Множество_202207112140401240[[#This Row],[13]])</f>
        <v>1.2833333333332995</v>
      </c>
      <c r="AC51" s="208">
        <f>Множество_202207112140401240[[#This Row],[20]]+Множество_202207112140401240[[#This Row],[21]]</f>
        <v>6.5666666666666291</v>
      </c>
    </row>
    <row r="52" spans="1:29" x14ac:dyDescent="0.25">
      <c r="A52" t="s">
        <v>686</v>
      </c>
      <c r="B52" t="s">
        <v>100</v>
      </c>
      <c r="C52" t="s">
        <v>621</v>
      </c>
      <c r="D52" t="s">
        <v>1781</v>
      </c>
      <c r="E52" t="s">
        <v>582</v>
      </c>
      <c r="F52" s="213" t="s">
        <v>749</v>
      </c>
      <c r="G52" t="s">
        <v>1224</v>
      </c>
      <c r="H52" t="s">
        <v>50</v>
      </c>
      <c r="I52">
        <v>2.5</v>
      </c>
      <c r="J52">
        <v>1.57</v>
      </c>
      <c r="K52">
        <f>Множество_202207112140401240[[#This Row],[2]]-Множество_202207112140401240[[#This Row],[4]]</f>
        <v>1.3199999999999998</v>
      </c>
      <c r="L52">
        <f>Множество_202207112140401240[[#This Row],[3]]-Множество_202207112140401240[[#This Row],[5]]</f>
        <v>-6.0000000000000053E-2</v>
      </c>
      <c r="M52">
        <f>Множество_202207112140401240[[#This Row],[7]]+Множество_202207112140401240[[#This Row],[6]]</f>
        <v>1.2599999999999998</v>
      </c>
      <c r="N52" s="208" t="str">
        <f>CONCATENATE(Множество_202207112140401240[[#This Row],[2]],Множество_202207112140401240[[#This Row],[3]])</f>
        <v>3,821,51</v>
      </c>
      <c r="O52" s="208"/>
      <c r="P52" s="208"/>
      <c r="Q52">
        <v>4.5416666666666696</v>
      </c>
      <c r="R52">
        <v>-13.8166666666667</v>
      </c>
      <c r="S52" s="208">
        <v>10</v>
      </c>
      <c r="T52" s="208">
        <v>-12.5</v>
      </c>
      <c r="U52" s="208">
        <f>ABS(Множество_202207112140401240[[#This Row],[10]]-Множество_202207112140401240[[#This Row],[12]])</f>
        <v>5.4583333333333304</v>
      </c>
      <c r="V52" s="208">
        <f>ABS(Множество_202207112140401240[[#This Row],[11]]-Множество_202207112140401240[[#This Row],[13]])</f>
        <v>1.3166666666667002</v>
      </c>
      <c r="W52" s="208">
        <f>Множество_202207112140401240[[#This Row],[15]]+Множество_202207112140401240[[#This Row],[14]]</f>
        <v>6.7750000000000306</v>
      </c>
      <c r="X52" s="208">
        <f ca="1">IF(ROW()-ROW(Множество_202207112140401240[[#Headers],[17]])&gt;1,Множество_202207112140401240[[#This Row],[16]]-OFFSET(Множество_202207112140401240[[#This Row],[16]],-1,0),0)</f>
        <v>0.20833333333340143</v>
      </c>
      <c r="Y52" s="208">
        <v>4.5416666666666696</v>
      </c>
      <c r="Z52" s="208">
        <v>-13.8166666666667</v>
      </c>
      <c r="AA52" s="208">
        <f>ABS(Множество_202207112140401240[[#This Row],[18]]-Множество_202207112140401240[[#This Row],[12]])</f>
        <v>5.4583333333333304</v>
      </c>
      <c r="AB52" s="208">
        <f>ABS(Множество_202207112140401240[[#This Row],[19]]-Множество_202207112140401240[[#This Row],[13]])</f>
        <v>1.3166666666667002</v>
      </c>
      <c r="AC52" s="208">
        <f>Множество_202207112140401240[[#This Row],[20]]+Множество_202207112140401240[[#This Row],[21]]</f>
        <v>6.7750000000000306</v>
      </c>
    </row>
    <row r="53" spans="1:29" x14ac:dyDescent="0.25">
      <c r="A53" t="s">
        <v>688</v>
      </c>
      <c r="B53" t="s">
        <v>100</v>
      </c>
      <c r="C53" t="s">
        <v>621</v>
      </c>
      <c r="D53" t="s">
        <v>1781</v>
      </c>
      <c r="E53" t="s">
        <v>582</v>
      </c>
      <c r="F53" s="213" t="s">
        <v>749</v>
      </c>
      <c r="G53" t="s">
        <v>1239</v>
      </c>
      <c r="H53" t="s">
        <v>49</v>
      </c>
      <c r="I53">
        <v>2.5</v>
      </c>
      <c r="J53">
        <v>1.57</v>
      </c>
      <c r="K53">
        <f>Множество_202207112140401240[[#This Row],[2]]-Множество_202207112140401240[[#This Row],[4]]</f>
        <v>1.33</v>
      </c>
      <c r="L53">
        <f>Множество_202207112140401240[[#This Row],[3]]-Множество_202207112140401240[[#This Row],[5]]</f>
        <v>-7.0000000000000062E-2</v>
      </c>
      <c r="M53">
        <f>Множество_202207112140401240[[#This Row],[7]]+Множество_202207112140401240[[#This Row],[6]]</f>
        <v>1.26</v>
      </c>
      <c r="N53" s="208" t="str">
        <f>CONCATENATE(Множество_202207112140401240[[#This Row],[2]],Множество_202207112140401240[[#This Row],[3]])</f>
        <v>3,831,5</v>
      </c>
      <c r="O53" s="208"/>
      <c r="P53" s="208"/>
      <c r="Q53">
        <v>4.5999999999999996</v>
      </c>
      <c r="R53">
        <v>-13.8</v>
      </c>
      <c r="S53" s="208">
        <v>10</v>
      </c>
      <c r="T53" s="208">
        <v>-12.5</v>
      </c>
      <c r="U53" s="208">
        <f>ABS(Множество_202207112140401240[[#This Row],[10]]-Множество_202207112140401240[[#This Row],[12]])</f>
        <v>5.4</v>
      </c>
      <c r="V53" s="208">
        <f>ABS(Множество_202207112140401240[[#This Row],[11]]-Множество_202207112140401240[[#This Row],[13]])</f>
        <v>1.3000000000000007</v>
      </c>
      <c r="W53" s="208">
        <f>Множество_202207112140401240[[#This Row],[15]]+Множество_202207112140401240[[#This Row],[14]]</f>
        <v>6.7000000000000011</v>
      </c>
      <c r="X53" s="208">
        <f ca="1">IF(ROW()-ROW(Множество_202207112140401240[[#Headers],[17]])&gt;1,Множество_202207112140401240[[#This Row],[16]]-OFFSET(Множество_202207112140401240[[#This Row],[16]],-1,0),0)</f>
        <v>-7.5000000000029488E-2</v>
      </c>
      <c r="Y53" s="208">
        <v>4.5999999999999996</v>
      </c>
      <c r="Z53" s="208">
        <v>-13.8</v>
      </c>
      <c r="AA53" s="208">
        <f>ABS(Множество_202207112140401240[[#This Row],[18]]-Множество_202207112140401240[[#This Row],[12]])</f>
        <v>5.4</v>
      </c>
      <c r="AB53" s="208">
        <f>ABS(Множество_202207112140401240[[#This Row],[19]]-Множество_202207112140401240[[#This Row],[13]])</f>
        <v>1.3000000000000007</v>
      </c>
      <c r="AC53" s="208">
        <f>Множество_202207112140401240[[#This Row],[20]]+Множество_202207112140401240[[#This Row],[21]]</f>
        <v>6.7000000000000011</v>
      </c>
    </row>
    <row r="54" spans="1:29" x14ac:dyDescent="0.25">
      <c r="A54" t="s">
        <v>689</v>
      </c>
      <c r="B54" t="s">
        <v>100</v>
      </c>
      <c r="C54" t="s">
        <v>621</v>
      </c>
      <c r="D54" t="s">
        <v>1781</v>
      </c>
      <c r="E54" t="s">
        <v>582</v>
      </c>
      <c r="F54" s="213" t="s">
        <v>749</v>
      </c>
      <c r="G54" t="s">
        <v>1344</v>
      </c>
      <c r="H54" t="s">
        <v>47</v>
      </c>
      <c r="I54">
        <v>2.5</v>
      </c>
      <c r="J54">
        <v>1.57</v>
      </c>
      <c r="K54">
        <f>Множество_202207112140401240[[#This Row],[2]]-Множество_202207112140401240[[#This Row],[4]]</f>
        <v>1.3399999999999999</v>
      </c>
      <c r="L54">
        <f>Множество_202207112140401240[[#This Row],[3]]-Множество_202207112140401240[[#This Row],[5]]</f>
        <v>-9.000000000000008E-2</v>
      </c>
      <c r="M54">
        <f>Множество_202207112140401240[[#This Row],[7]]+Множество_202207112140401240[[#This Row],[6]]</f>
        <v>1.2499999999999998</v>
      </c>
      <c r="N54" s="208" t="str">
        <f>CONCATENATE(Множество_202207112140401240[[#This Row],[2]],Множество_202207112140401240[[#This Row],[3]])</f>
        <v>3,841,48</v>
      </c>
      <c r="O54" s="208"/>
      <c r="P54" s="208"/>
      <c r="Q54">
        <v>4.4833333333333298</v>
      </c>
      <c r="R54">
        <v>-13.8333333333333</v>
      </c>
      <c r="S54" s="208">
        <v>10</v>
      </c>
      <c r="T54" s="208">
        <v>-12.5</v>
      </c>
      <c r="U54" s="208">
        <f>ABS(Множество_202207112140401240[[#This Row],[10]]-Множество_202207112140401240[[#This Row],[12]])</f>
        <v>5.5166666666666702</v>
      </c>
      <c r="V54" s="208">
        <f>ABS(Множество_202207112140401240[[#This Row],[11]]-Множество_202207112140401240[[#This Row],[13]])</f>
        <v>1.3333333333333002</v>
      </c>
      <c r="W54" s="208">
        <f>Множество_202207112140401240[[#This Row],[15]]+Множество_202207112140401240[[#This Row],[14]]</f>
        <v>6.8499999999999703</v>
      </c>
      <c r="X54" s="208">
        <f ca="1">IF(ROW()-ROW(Множество_202207112140401240[[#Headers],[17]])&gt;1,Множество_202207112140401240[[#This Row],[16]]-OFFSET(Множество_202207112140401240[[#This Row],[16]],-1,0),0)</f>
        <v>0.14999999999996927</v>
      </c>
      <c r="Y54" s="208">
        <v>4.4833333333333298</v>
      </c>
      <c r="Z54" s="208">
        <v>-13.8333333333333</v>
      </c>
      <c r="AA54" s="208">
        <f>ABS(Множество_202207112140401240[[#This Row],[18]]-Множество_202207112140401240[[#This Row],[12]])</f>
        <v>5.5166666666666702</v>
      </c>
      <c r="AB54" s="208">
        <f>ABS(Множество_202207112140401240[[#This Row],[19]]-Множество_202207112140401240[[#This Row],[13]])</f>
        <v>1.3333333333333002</v>
      </c>
      <c r="AC54" s="208">
        <f>Множество_202207112140401240[[#This Row],[20]]+Множество_202207112140401240[[#This Row],[21]]</f>
        <v>6.8499999999999703</v>
      </c>
    </row>
    <row r="55" spans="1:29" x14ac:dyDescent="0.25">
      <c r="A55" t="s">
        <v>690</v>
      </c>
      <c r="B55" t="s">
        <v>100</v>
      </c>
      <c r="C55" t="s">
        <v>621</v>
      </c>
      <c r="D55" t="s">
        <v>1781</v>
      </c>
      <c r="E55" t="s">
        <v>582</v>
      </c>
      <c r="F55" s="213" t="s">
        <v>749</v>
      </c>
      <c r="G55" t="s">
        <v>1307</v>
      </c>
      <c r="H55" t="s">
        <v>46</v>
      </c>
      <c r="I55">
        <v>2.5</v>
      </c>
      <c r="J55">
        <v>1.57</v>
      </c>
      <c r="K55">
        <f>Множество_202207112140401240[[#This Row],[2]]-Множество_202207112140401240[[#This Row],[4]]</f>
        <v>1.35</v>
      </c>
      <c r="L55">
        <f>Множество_202207112140401240[[#This Row],[3]]-Множество_202207112140401240[[#This Row],[5]]</f>
        <v>-0.10000000000000009</v>
      </c>
      <c r="M55">
        <f>Множество_202207112140401240[[#This Row],[7]]+Множество_202207112140401240[[#This Row],[6]]</f>
        <v>1.25</v>
      </c>
      <c r="N55" s="208" t="str">
        <f>CONCATENATE(Множество_202207112140401240[[#This Row],[2]],Множество_202207112140401240[[#This Row],[3]])</f>
        <v>3,851,47</v>
      </c>
      <c r="O55" s="208"/>
      <c r="P55" s="208"/>
      <c r="Q55">
        <v>4.4249999999999998</v>
      </c>
      <c r="R55">
        <v>-13.8333333333333</v>
      </c>
      <c r="S55" s="208">
        <v>10</v>
      </c>
      <c r="T55" s="208">
        <v>-12.5</v>
      </c>
      <c r="U55" s="208">
        <f>ABS(Множество_202207112140401240[[#This Row],[10]]-Множество_202207112140401240[[#This Row],[12]])</f>
        <v>5.5750000000000002</v>
      </c>
      <c r="V55" s="208">
        <f>ABS(Множество_202207112140401240[[#This Row],[11]]-Множество_202207112140401240[[#This Row],[13]])</f>
        <v>1.3333333333333002</v>
      </c>
      <c r="W55" s="208">
        <f>Множество_202207112140401240[[#This Row],[15]]+Множество_202207112140401240[[#This Row],[14]]</f>
        <v>6.9083333333333004</v>
      </c>
      <c r="X55" s="208">
        <f ca="1">IF(ROW()-ROW(Множество_202207112140401240[[#Headers],[17]])&gt;1,Множество_202207112140401240[[#This Row],[16]]-OFFSET(Множество_202207112140401240[[#This Row],[16]],-1,0),0)</f>
        <v>5.8333333333330017E-2</v>
      </c>
      <c r="Y55" s="208">
        <v>4.4249999999999998</v>
      </c>
      <c r="Z55" s="208">
        <v>-13.8333333333333</v>
      </c>
      <c r="AA55" s="208">
        <f>ABS(Множество_202207112140401240[[#This Row],[18]]-Множество_202207112140401240[[#This Row],[12]])</f>
        <v>5.5750000000000002</v>
      </c>
      <c r="AB55" s="208">
        <f>ABS(Множество_202207112140401240[[#This Row],[19]]-Множество_202207112140401240[[#This Row],[13]])</f>
        <v>1.3333333333333002</v>
      </c>
      <c r="AC55" s="208">
        <f>Множество_202207112140401240[[#This Row],[20]]+Множество_202207112140401240[[#This Row],[21]]</f>
        <v>6.9083333333333004</v>
      </c>
    </row>
    <row r="56" spans="1:29" x14ac:dyDescent="0.25">
      <c r="A56" t="s">
        <v>691</v>
      </c>
      <c r="B56" t="s">
        <v>100</v>
      </c>
      <c r="C56" t="s">
        <v>621</v>
      </c>
      <c r="D56" t="s">
        <v>1781</v>
      </c>
      <c r="E56" t="s">
        <v>582</v>
      </c>
      <c r="F56" s="213" t="s">
        <v>749</v>
      </c>
      <c r="G56" t="s">
        <v>1621</v>
      </c>
      <c r="H56" t="s">
        <v>45</v>
      </c>
      <c r="I56">
        <v>2.5</v>
      </c>
      <c r="J56">
        <v>1.57</v>
      </c>
      <c r="K56">
        <f>Множество_202207112140401240[[#This Row],[2]]-Множество_202207112140401240[[#This Row],[4]]</f>
        <v>1.3599999999999999</v>
      </c>
      <c r="L56">
        <f>Множество_202207112140401240[[#This Row],[3]]-Множество_202207112140401240[[#This Row],[5]]</f>
        <v>-0.1100000000000001</v>
      </c>
      <c r="M56">
        <f>Множество_202207112140401240[[#This Row],[7]]+Множество_202207112140401240[[#This Row],[6]]</f>
        <v>1.2499999999999998</v>
      </c>
      <c r="N56" s="208" t="str">
        <f>CONCATENATE(Множество_202207112140401240[[#This Row],[2]],Множество_202207112140401240[[#This Row],[3]])</f>
        <v>3,861,46</v>
      </c>
      <c r="O56" s="208"/>
      <c r="P56" s="208"/>
      <c r="Q56">
        <v>4.3666666666666698</v>
      </c>
      <c r="R56">
        <v>-13.85</v>
      </c>
      <c r="S56" s="208">
        <v>10</v>
      </c>
      <c r="T56" s="208">
        <v>-12.5</v>
      </c>
      <c r="U56" s="208">
        <f>ABS(Множество_202207112140401240[[#This Row],[10]]-Множество_202207112140401240[[#This Row],[12]])</f>
        <v>5.6333333333333302</v>
      </c>
      <c r="V56" s="208">
        <f>ABS(Множество_202207112140401240[[#This Row],[11]]-Множество_202207112140401240[[#This Row],[13]])</f>
        <v>1.3499999999999996</v>
      </c>
      <c r="W56" s="208">
        <f>Множество_202207112140401240[[#This Row],[15]]+Множество_202207112140401240[[#This Row],[14]]</f>
        <v>6.9833333333333298</v>
      </c>
      <c r="X56" s="208">
        <f ca="1">IF(ROW()-ROW(Множество_202207112140401240[[#Headers],[17]])&gt;1,Множество_202207112140401240[[#This Row],[16]]-OFFSET(Множество_202207112140401240[[#This Row],[16]],-1,0),0)</f>
        <v>7.5000000000029488E-2</v>
      </c>
      <c r="Y56" s="208">
        <v>4.3666666666666698</v>
      </c>
      <c r="Z56" s="208">
        <v>-13.85</v>
      </c>
      <c r="AA56" s="208">
        <f>ABS(Множество_202207112140401240[[#This Row],[18]]-Множество_202207112140401240[[#This Row],[12]])</f>
        <v>5.6333333333333302</v>
      </c>
      <c r="AB56" s="208">
        <f>ABS(Множество_202207112140401240[[#This Row],[19]]-Множество_202207112140401240[[#This Row],[13]])</f>
        <v>1.3499999999999996</v>
      </c>
      <c r="AC56" s="208">
        <f>Множество_202207112140401240[[#This Row],[20]]+Множество_202207112140401240[[#This Row],[21]]</f>
        <v>6.9833333333333298</v>
      </c>
    </row>
    <row r="57" spans="1:29" x14ac:dyDescent="0.25">
      <c r="A57" t="s">
        <v>692</v>
      </c>
      <c r="B57" t="s">
        <v>100</v>
      </c>
      <c r="C57" t="s">
        <v>621</v>
      </c>
      <c r="D57" t="s">
        <v>1781</v>
      </c>
      <c r="E57" t="s">
        <v>582</v>
      </c>
      <c r="F57" s="213" t="s">
        <v>749</v>
      </c>
      <c r="G57" t="s">
        <v>1294</v>
      </c>
      <c r="H57" t="s">
        <v>44</v>
      </c>
      <c r="I57">
        <v>2.5</v>
      </c>
      <c r="J57">
        <v>1.57</v>
      </c>
      <c r="K57">
        <f>Множество_202207112140401240[[#This Row],[2]]-Множество_202207112140401240[[#This Row],[4]]</f>
        <v>1.37</v>
      </c>
      <c r="L57">
        <f>Множество_202207112140401240[[#This Row],[3]]-Множество_202207112140401240[[#This Row],[5]]</f>
        <v>-0.12000000000000011</v>
      </c>
      <c r="M57">
        <f>Множество_202207112140401240[[#This Row],[7]]+Множество_202207112140401240[[#This Row],[6]]</f>
        <v>1.25</v>
      </c>
      <c r="N57" s="208" t="str">
        <f>CONCATENATE(Множество_202207112140401240[[#This Row],[2]],Множество_202207112140401240[[#This Row],[3]])</f>
        <v>3,871,45</v>
      </c>
      <c r="O57" s="208"/>
      <c r="P57" s="208"/>
      <c r="Q57">
        <v>4.30833333333333</v>
      </c>
      <c r="R57">
        <v>-13.866666666666699</v>
      </c>
      <c r="S57" s="208">
        <v>10</v>
      </c>
      <c r="T57" s="208">
        <v>-12.5</v>
      </c>
      <c r="U57" s="208">
        <f>ABS(Множество_202207112140401240[[#This Row],[10]]-Множество_202207112140401240[[#This Row],[12]])</f>
        <v>5.69166666666667</v>
      </c>
      <c r="V57" s="208">
        <f>ABS(Множество_202207112140401240[[#This Row],[11]]-Множество_202207112140401240[[#This Row],[13]])</f>
        <v>1.3666666666666991</v>
      </c>
      <c r="W57" s="208">
        <f>Множество_202207112140401240[[#This Row],[15]]+Множество_202207112140401240[[#This Row],[14]]</f>
        <v>7.0583333333333691</v>
      </c>
      <c r="X57" s="208">
        <f ca="1">IF(ROW()-ROW(Множество_202207112140401240[[#Headers],[17]])&gt;1,Множество_202207112140401240[[#This Row],[16]]-OFFSET(Множество_202207112140401240[[#This Row],[16]],-1,0),0)</f>
        <v>7.5000000000039257E-2</v>
      </c>
      <c r="Y57" s="208">
        <v>4.30833333333333</v>
      </c>
      <c r="Z57" s="208">
        <v>-13.866666666666699</v>
      </c>
      <c r="AA57" s="208">
        <f>ABS(Множество_202207112140401240[[#This Row],[18]]-Множество_202207112140401240[[#This Row],[12]])</f>
        <v>5.69166666666667</v>
      </c>
      <c r="AB57" s="208">
        <f>ABS(Множество_202207112140401240[[#This Row],[19]]-Множество_202207112140401240[[#This Row],[13]])</f>
        <v>1.3666666666666991</v>
      </c>
      <c r="AC57" s="208">
        <f>Множество_202207112140401240[[#This Row],[20]]+Множество_202207112140401240[[#This Row],[21]]</f>
        <v>7.0583333333333691</v>
      </c>
    </row>
    <row r="58" spans="1:29" x14ac:dyDescent="0.25">
      <c r="A58" t="s">
        <v>694</v>
      </c>
      <c r="B58" t="s">
        <v>100</v>
      </c>
      <c r="C58" t="s">
        <v>621</v>
      </c>
      <c r="D58" t="s">
        <v>1781</v>
      </c>
      <c r="E58" t="s">
        <v>582</v>
      </c>
      <c r="F58" s="213" t="s">
        <v>749</v>
      </c>
      <c r="G58" t="s">
        <v>693</v>
      </c>
      <c r="H58" t="s">
        <v>1322</v>
      </c>
      <c r="I58">
        <v>2.5</v>
      </c>
      <c r="J58">
        <v>1.57</v>
      </c>
      <c r="K58">
        <f>Множество_202207112140401240[[#This Row],[2]]-Множество_202207112140401240[[#This Row],[4]]</f>
        <v>0.77</v>
      </c>
      <c r="L58">
        <f>Множество_202207112140401240[[#This Row],[3]]-Множество_202207112140401240[[#This Row],[5]]</f>
        <v>0.72</v>
      </c>
      <c r="M58">
        <f>Множество_202207112140401240[[#This Row],[7]]+Множество_202207112140401240[[#This Row],[6]]</f>
        <v>1.49</v>
      </c>
      <c r="N58" s="208" t="str">
        <f>CONCATENATE(Множество_202207112140401240[[#This Row],[2]],Множество_202207112140401240[[#This Row],[3]])</f>
        <v>3,272,29</v>
      </c>
      <c r="O58" s="208"/>
      <c r="P58" s="208"/>
      <c r="Q58">
        <v>4.25</v>
      </c>
      <c r="R58">
        <v>-13.9</v>
      </c>
      <c r="S58" s="208">
        <v>10</v>
      </c>
      <c r="T58" s="208">
        <v>-12.5</v>
      </c>
      <c r="U58" s="208">
        <f>ABS(Множество_202207112140401240[[#This Row],[10]]-Множество_202207112140401240[[#This Row],[12]])</f>
        <v>5.75</v>
      </c>
      <c r="V58" s="208">
        <f>ABS(Множество_202207112140401240[[#This Row],[11]]-Множество_202207112140401240[[#This Row],[13]])</f>
        <v>1.4000000000000004</v>
      </c>
      <c r="W58" s="208">
        <f>Множество_202207112140401240[[#This Row],[15]]+Множество_202207112140401240[[#This Row],[14]]</f>
        <v>7.15</v>
      </c>
      <c r="X58" s="208">
        <f ca="1">IF(ROW()-ROW(Множество_202207112140401240[[#Headers],[17]])&gt;1,Множество_202207112140401240[[#This Row],[16]]-OFFSET(Множество_202207112140401240[[#This Row],[16]],-1,0),0)</f>
        <v>9.1666666666631258E-2</v>
      </c>
      <c r="Y58" s="208">
        <v>4.25</v>
      </c>
      <c r="Z58" s="208">
        <v>-13.9</v>
      </c>
      <c r="AA58" s="208">
        <f>ABS(Множество_202207112140401240[[#This Row],[18]]-Множество_202207112140401240[[#This Row],[12]])</f>
        <v>5.75</v>
      </c>
      <c r="AB58" s="208">
        <f>ABS(Множество_202207112140401240[[#This Row],[19]]-Множество_202207112140401240[[#This Row],[13]])</f>
        <v>1.4000000000000004</v>
      </c>
      <c r="AC58" s="208">
        <f>Множество_202207112140401240[[#This Row],[20]]+Множество_202207112140401240[[#This Row],[21]]</f>
        <v>7.15</v>
      </c>
    </row>
    <row r="59" spans="1:29" x14ac:dyDescent="0.25">
      <c r="A59" t="s">
        <v>696</v>
      </c>
      <c r="B59" t="s">
        <v>100</v>
      </c>
      <c r="C59" t="s">
        <v>621</v>
      </c>
      <c r="D59" t="s">
        <v>1781</v>
      </c>
      <c r="E59" t="s">
        <v>582</v>
      </c>
      <c r="F59" s="213" t="s">
        <v>749</v>
      </c>
      <c r="G59" t="s">
        <v>644</v>
      </c>
      <c r="H59" t="s">
        <v>883</v>
      </c>
      <c r="I59">
        <v>2.5</v>
      </c>
      <c r="J59">
        <v>1.57</v>
      </c>
      <c r="K59">
        <f>Множество_202207112140401240[[#This Row],[2]]-Множество_202207112140401240[[#This Row],[4]]</f>
        <v>0.75999999999999979</v>
      </c>
      <c r="L59">
        <f>Множество_202207112140401240[[#This Row],[3]]-Множество_202207112140401240[[#This Row],[5]]</f>
        <v>0.74999999999999978</v>
      </c>
      <c r="M59">
        <f>Множество_202207112140401240[[#This Row],[7]]+Множество_202207112140401240[[#This Row],[6]]</f>
        <v>1.5099999999999996</v>
      </c>
      <c r="N59" s="208" t="str">
        <f>CONCATENATE(Множество_202207112140401240[[#This Row],[2]],Множество_202207112140401240[[#This Row],[3]])</f>
        <v>3,262,32</v>
      </c>
      <c r="O59" s="208"/>
      <c r="P59" s="208"/>
      <c r="Q59">
        <v>4.19166666666667</v>
      </c>
      <c r="R59">
        <v>-13.9166666666667</v>
      </c>
      <c r="S59" s="208">
        <v>10</v>
      </c>
      <c r="T59" s="208">
        <v>-12.5</v>
      </c>
      <c r="U59" s="208">
        <f>ABS(Множество_202207112140401240[[#This Row],[10]]-Множество_202207112140401240[[#This Row],[12]])</f>
        <v>5.80833333333333</v>
      </c>
      <c r="V59" s="208">
        <f>ABS(Множество_202207112140401240[[#This Row],[11]]-Множество_202207112140401240[[#This Row],[13]])</f>
        <v>1.4166666666666998</v>
      </c>
      <c r="W59" s="208">
        <f>Множество_202207112140401240[[#This Row],[15]]+Множество_202207112140401240[[#This Row],[14]]</f>
        <v>7.2250000000000298</v>
      </c>
      <c r="X59" s="208">
        <f ca="1">IF(ROW()-ROW(Множество_202207112140401240[[#Headers],[17]])&gt;1,Множество_202207112140401240[[#This Row],[16]]-OFFSET(Множество_202207112140401240[[#This Row],[16]],-1,0),0)</f>
        <v>7.5000000000029488E-2</v>
      </c>
      <c r="Y59" s="208">
        <v>4.19166666666667</v>
      </c>
      <c r="Z59" s="208">
        <v>-13.9166666666667</v>
      </c>
      <c r="AA59" s="208">
        <f>ABS(Множество_202207112140401240[[#This Row],[18]]-Множество_202207112140401240[[#This Row],[12]])</f>
        <v>5.80833333333333</v>
      </c>
      <c r="AB59" s="208">
        <f>ABS(Множество_202207112140401240[[#This Row],[19]]-Множество_202207112140401240[[#This Row],[13]])</f>
        <v>1.4166666666666998</v>
      </c>
      <c r="AC59" s="208">
        <f>Множество_202207112140401240[[#This Row],[20]]+Множество_202207112140401240[[#This Row],[21]]</f>
        <v>7.2250000000000298</v>
      </c>
    </row>
    <row r="60" spans="1:29" x14ac:dyDescent="0.25">
      <c r="A60" t="s">
        <v>697</v>
      </c>
      <c r="B60" t="s">
        <v>100</v>
      </c>
      <c r="C60" t="s">
        <v>621</v>
      </c>
      <c r="D60" t="s">
        <v>1781</v>
      </c>
      <c r="E60" t="s">
        <v>582</v>
      </c>
      <c r="F60" s="213" t="s">
        <v>749</v>
      </c>
      <c r="G60" t="s">
        <v>1278</v>
      </c>
      <c r="H60" t="s">
        <v>42</v>
      </c>
      <c r="I60">
        <v>2.5</v>
      </c>
      <c r="J60">
        <v>1.57</v>
      </c>
      <c r="K60">
        <f>Множество_202207112140401240[[#This Row],[2]]-Множество_202207112140401240[[#This Row],[4]]</f>
        <v>1.38</v>
      </c>
      <c r="L60">
        <f>Множество_202207112140401240[[#This Row],[3]]-Множество_202207112140401240[[#This Row],[5]]</f>
        <v>-0.14000000000000012</v>
      </c>
      <c r="M60">
        <f>Множество_202207112140401240[[#This Row],[7]]+Множество_202207112140401240[[#This Row],[6]]</f>
        <v>1.2399999999999998</v>
      </c>
      <c r="N60" s="208" t="str">
        <f>CONCATENATE(Множество_202207112140401240[[#This Row],[2]],Множество_202207112140401240[[#This Row],[3]])</f>
        <v>3,881,43</v>
      </c>
      <c r="O60" s="208"/>
      <c r="P60" s="208"/>
      <c r="Q60">
        <v>4.1333333333333302</v>
      </c>
      <c r="R60">
        <v>-13.9333333333333</v>
      </c>
      <c r="S60" s="208">
        <v>10</v>
      </c>
      <c r="T60" s="208">
        <v>-12.5</v>
      </c>
      <c r="U60" s="208">
        <f>ABS(Множество_202207112140401240[[#This Row],[10]]-Множество_202207112140401240[[#This Row],[12]])</f>
        <v>5.8666666666666698</v>
      </c>
      <c r="V60" s="208">
        <f>ABS(Множество_202207112140401240[[#This Row],[11]]-Множество_202207112140401240[[#This Row],[13]])</f>
        <v>1.4333333333332998</v>
      </c>
      <c r="W60" s="208">
        <f>Множество_202207112140401240[[#This Row],[15]]+Множество_202207112140401240[[#This Row],[14]]</f>
        <v>7.2999999999999696</v>
      </c>
      <c r="X60" s="208">
        <f ca="1">IF(ROW()-ROW(Множество_202207112140401240[[#Headers],[17]])&gt;1,Множество_202207112140401240[[#This Row],[16]]-OFFSET(Множество_202207112140401240[[#This Row],[16]],-1,0),0)</f>
        <v>7.4999999999939782E-2</v>
      </c>
      <c r="Y60" s="208">
        <v>4.1333333333333302</v>
      </c>
      <c r="Z60" s="208">
        <v>-13.9333333333333</v>
      </c>
      <c r="AA60" s="208">
        <f>ABS(Множество_202207112140401240[[#This Row],[18]]-Множество_202207112140401240[[#This Row],[12]])</f>
        <v>5.8666666666666698</v>
      </c>
      <c r="AB60" s="208">
        <f>ABS(Множество_202207112140401240[[#This Row],[19]]-Множество_202207112140401240[[#This Row],[13]])</f>
        <v>1.4333333333332998</v>
      </c>
      <c r="AC60" s="208">
        <f>Множество_202207112140401240[[#This Row],[20]]+Множество_202207112140401240[[#This Row],[21]]</f>
        <v>7.2999999999999696</v>
      </c>
    </row>
    <row r="61" spans="1:29" x14ac:dyDescent="0.25">
      <c r="A61" t="s">
        <v>699</v>
      </c>
      <c r="B61" t="s">
        <v>100</v>
      </c>
      <c r="C61" t="s">
        <v>621</v>
      </c>
      <c r="D61" t="s">
        <v>1781</v>
      </c>
      <c r="E61" t="s">
        <v>582</v>
      </c>
      <c r="F61" s="213" t="s">
        <v>749</v>
      </c>
      <c r="G61" t="s">
        <v>662</v>
      </c>
      <c r="H61" t="s">
        <v>1147</v>
      </c>
      <c r="I61">
        <v>2.5</v>
      </c>
      <c r="J61">
        <v>1.57</v>
      </c>
      <c r="K61">
        <f>Множество_202207112140401240[[#This Row],[2]]-Множество_202207112140401240[[#This Row],[4]]</f>
        <v>0.75</v>
      </c>
      <c r="L61">
        <f>Множество_202207112140401240[[#This Row],[3]]-Множество_202207112140401240[[#This Row],[5]]</f>
        <v>0.78</v>
      </c>
      <c r="M61">
        <f>Множество_202207112140401240[[#This Row],[7]]+Множество_202207112140401240[[#This Row],[6]]</f>
        <v>1.53</v>
      </c>
      <c r="N61" s="208" t="str">
        <f>CONCATENATE(Множество_202207112140401240[[#This Row],[2]],Множество_202207112140401240[[#This Row],[3]])</f>
        <v>3,252,35</v>
      </c>
      <c r="O61" s="208"/>
      <c r="P61" s="208"/>
      <c r="Q61">
        <v>4.0750000000000002</v>
      </c>
      <c r="R61">
        <v>-13.966666666666701</v>
      </c>
      <c r="S61" s="208">
        <v>10</v>
      </c>
      <c r="T61" s="208">
        <v>-12.5</v>
      </c>
      <c r="U61" s="208">
        <f>ABS(Множество_202207112140401240[[#This Row],[10]]-Множество_202207112140401240[[#This Row],[12]])</f>
        <v>5.9249999999999998</v>
      </c>
      <c r="V61" s="208">
        <f>ABS(Множество_202207112140401240[[#This Row],[11]]-Множество_202207112140401240[[#This Row],[13]])</f>
        <v>1.4666666666667005</v>
      </c>
      <c r="W61" s="208">
        <f>Множество_202207112140401240[[#This Row],[15]]+Множество_202207112140401240[[#This Row],[14]]</f>
        <v>7.3916666666667004</v>
      </c>
      <c r="X61" s="208">
        <f ca="1">IF(ROW()-ROW(Множество_202207112140401240[[#Headers],[17]])&gt;1,Множество_202207112140401240[[#This Row],[16]]-OFFSET(Множество_202207112140401240[[#This Row],[16]],-1,0),0)</f>
        <v>9.1666666666730734E-2</v>
      </c>
      <c r="Y61" s="208">
        <v>4.0750000000000002</v>
      </c>
      <c r="Z61" s="208">
        <v>-13.966666666666701</v>
      </c>
      <c r="AA61" s="208">
        <f>ABS(Множество_202207112140401240[[#This Row],[18]]-Множество_202207112140401240[[#This Row],[12]])</f>
        <v>5.9249999999999998</v>
      </c>
      <c r="AB61" s="208">
        <f>ABS(Множество_202207112140401240[[#This Row],[19]]-Множество_202207112140401240[[#This Row],[13]])</f>
        <v>1.4666666666667005</v>
      </c>
      <c r="AC61" s="208">
        <f>Множество_202207112140401240[[#This Row],[20]]+Множество_202207112140401240[[#This Row],[21]]</f>
        <v>7.3916666666667004</v>
      </c>
    </row>
    <row r="62" spans="1:29" x14ac:dyDescent="0.25">
      <c r="A62" t="s">
        <v>700</v>
      </c>
      <c r="B62" t="s">
        <v>100</v>
      </c>
      <c r="C62" t="s">
        <v>621</v>
      </c>
      <c r="D62" t="s">
        <v>1781</v>
      </c>
      <c r="E62" t="s">
        <v>582</v>
      </c>
      <c r="F62" s="213" t="s">
        <v>749</v>
      </c>
      <c r="G62" t="s">
        <v>674</v>
      </c>
      <c r="H62" t="s">
        <v>1075</v>
      </c>
      <c r="I62">
        <v>2.5</v>
      </c>
      <c r="J62">
        <v>1.57</v>
      </c>
      <c r="K62">
        <f>Множество_202207112140401240[[#This Row],[2]]-Множество_202207112140401240[[#This Row],[4]]</f>
        <v>0.74000000000000021</v>
      </c>
      <c r="L62">
        <f>Множество_202207112140401240[[#This Row],[3]]-Множество_202207112140401240[[#This Row],[5]]</f>
        <v>0.8</v>
      </c>
      <c r="M62">
        <f>Множество_202207112140401240[[#This Row],[7]]+Множество_202207112140401240[[#This Row],[6]]</f>
        <v>1.5400000000000003</v>
      </c>
      <c r="N62" s="208" t="str">
        <f>CONCATENATE(Множество_202207112140401240[[#This Row],[2]],Множество_202207112140401240[[#This Row],[3]])</f>
        <v>3,242,37</v>
      </c>
      <c r="O62" s="208"/>
      <c r="P62" s="208"/>
      <c r="Q62">
        <v>6.6416666666666702</v>
      </c>
      <c r="R62">
        <v>-16.649999999999999</v>
      </c>
      <c r="S62" s="208">
        <v>10</v>
      </c>
      <c r="T62" s="208">
        <v>-12.5</v>
      </c>
      <c r="U62" s="208">
        <f>ABS(Множество_202207112140401240[[#This Row],[10]]-Множество_202207112140401240[[#This Row],[12]])</f>
        <v>3.3583333333333298</v>
      </c>
      <c r="V62" s="208">
        <f>ABS(Множество_202207112140401240[[#This Row],[11]]-Множество_202207112140401240[[#This Row],[13]])</f>
        <v>4.1499999999999986</v>
      </c>
      <c r="W62" s="208">
        <f>Множество_202207112140401240[[#This Row],[15]]+Множество_202207112140401240[[#This Row],[14]]</f>
        <v>7.5083333333333284</v>
      </c>
      <c r="X62" s="208">
        <f ca="1">IF(ROW()-ROW(Множество_202207112140401240[[#Headers],[17]])&gt;1,Множество_202207112140401240[[#This Row],[16]]-OFFSET(Множество_202207112140401240[[#This Row],[16]],-1,0),0)</f>
        <v>0.11666666666662806</v>
      </c>
      <c r="Y62" s="208">
        <v>6.6416666666666702</v>
      </c>
      <c r="Z62" s="208">
        <v>-16.649999999999999</v>
      </c>
      <c r="AA62" s="208">
        <f>ABS(Множество_202207112140401240[[#This Row],[18]]-Множество_202207112140401240[[#This Row],[12]])</f>
        <v>3.3583333333333298</v>
      </c>
      <c r="AB62" s="208">
        <f>ABS(Множество_202207112140401240[[#This Row],[19]]-Множество_202207112140401240[[#This Row],[13]])</f>
        <v>4.1499999999999986</v>
      </c>
      <c r="AC62" s="208">
        <f>Множество_202207112140401240[[#This Row],[20]]+Множество_202207112140401240[[#This Row],[21]]</f>
        <v>7.5083333333333284</v>
      </c>
    </row>
    <row r="63" spans="1:29" x14ac:dyDescent="0.25">
      <c r="A63" t="s">
        <v>702</v>
      </c>
      <c r="B63" t="s">
        <v>100</v>
      </c>
      <c r="C63" t="s">
        <v>621</v>
      </c>
      <c r="D63" t="s">
        <v>1781</v>
      </c>
      <c r="E63" t="s">
        <v>582</v>
      </c>
      <c r="F63" s="213" t="s">
        <v>749</v>
      </c>
      <c r="G63" t="s">
        <v>1397</v>
      </c>
      <c r="H63" t="s">
        <v>41</v>
      </c>
      <c r="I63">
        <v>2.5</v>
      </c>
      <c r="J63">
        <v>1.57</v>
      </c>
      <c r="K63">
        <f>Множество_202207112140401240[[#This Row],[2]]-Множество_202207112140401240[[#This Row],[4]]</f>
        <v>1.3900000000000001</v>
      </c>
      <c r="L63">
        <f>Множество_202207112140401240[[#This Row],[3]]-Множество_202207112140401240[[#This Row],[5]]</f>
        <v>-0.15000000000000013</v>
      </c>
      <c r="M63">
        <f>Множество_202207112140401240[[#This Row],[7]]+Множество_202207112140401240[[#This Row],[6]]</f>
        <v>1.24</v>
      </c>
      <c r="N63" s="208" t="str">
        <f>CONCATENATE(Множество_202207112140401240[[#This Row],[2]],Множество_202207112140401240[[#This Row],[3]])</f>
        <v>3,891,42</v>
      </c>
      <c r="O63" s="208"/>
      <c r="P63" s="208"/>
      <c r="Q63">
        <v>6.7</v>
      </c>
      <c r="R63">
        <v>-16.6666666666667</v>
      </c>
      <c r="S63" s="208">
        <v>10</v>
      </c>
      <c r="T63" s="208">
        <v>-12.5</v>
      </c>
      <c r="U63" s="208">
        <f>ABS(Множество_202207112140401240[[#This Row],[10]]-Множество_202207112140401240[[#This Row],[12]])</f>
        <v>3.3</v>
      </c>
      <c r="V63" s="208">
        <f>ABS(Множество_202207112140401240[[#This Row],[11]]-Множество_202207112140401240[[#This Row],[13]])</f>
        <v>4.1666666666666998</v>
      </c>
      <c r="W63" s="208">
        <f>Множество_202207112140401240[[#This Row],[15]]+Множество_202207112140401240[[#This Row],[14]]</f>
        <v>7.4666666666666996</v>
      </c>
      <c r="X63" s="208">
        <f ca="1">IF(ROW()-ROW(Множество_202207112140401240[[#Headers],[17]])&gt;1,Множество_202207112140401240[[#This Row],[16]]-OFFSET(Множество_202207112140401240[[#This Row],[16]],-1,0),0)</f>
        <v>-4.1666666666628771E-2</v>
      </c>
      <c r="Y63" s="208">
        <v>6.7</v>
      </c>
      <c r="Z63" s="208">
        <v>-16.6666666666667</v>
      </c>
      <c r="AA63" s="208">
        <f>ABS(Множество_202207112140401240[[#This Row],[18]]-Множество_202207112140401240[[#This Row],[12]])</f>
        <v>3.3</v>
      </c>
      <c r="AB63" s="208">
        <f>ABS(Множество_202207112140401240[[#This Row],[19]]-Множество_202207112140401240[[#This Row],[13]])</f>
        <v>4.1666666666666998</v>
      </c>
      <c r="AC63" s="208">
        <f>Множество_202207112140401240[[#This Row],[20]]+Множество_202207112140401240[[#This Row],[21]]</f>
        <v>7.4666666666666996</v>
      </c>
    </row>
    <row r="64" spans="1:29" x14ac:dyDescent="0.25">
      <c r="A64" t="s">
        <v>703</v>
      </c>
      <c r="B64" t="s">
        <v>100</v>
      </c>
      <c r="C64" t="s">
        <v>621</v>
      </c>
      <c r="D64" t="s">
        <v>1781</v>
      </c>
      <c r="E64" t="s">
        <v>582</v>
      </c>
      <c r="F64" s="213" t="s">
        <v>749</v>
      </c>
      <c r="G64" t="s">
        <v>1494</v>
      </c>
      <c r="H64" t="s">
        <v>40</v>
      </c>
      <c r="I64">
        <v>2.5</v>
      </c>
      <c r="J64">
        <v>1.57</v>
      </c>
      <c r="K64">
        <f>Множество_202207112140401240[[#This Row],[2]]-Множество_202207112140401240[[#This Row],[4]]</f>
        <v>1.4</v>
      </c>
      <c r="L64">
        <f>Множество_202207112140401240[[#This Row],[3]]-Множество_202207112140401240[[#This Row],[5]]</f>
        <v>-0.16000000000000014</v>
      </c>
      <c r="M64">
        <f>Множество_202207112140401240[[#This Row],[7]]+Множество_202207112140401240[[#This Row],[6]]</f>
        <v>1.2399999999999998</v>
      </c>
      <c r="N64" s="208" t="str">
        <f>CONCATENATE(Множество_202207112140401240[[#This Row],[2]],Множество_202207112140401240[[#This Row],[3]])</f>
        <v>3,91,41</v>
      </c>
      <c r="O64" s="208"/>
      <c r="P64" s="208"/>
      <c r="Q64">
        <v>3.9583333333333299</v>
      </c>
      <c r="R64">
        <v>-14</v>
      </c>
      <c r="S64" s="208">
        <v>10</v>
      </c>
      <c r="T64" s="208">
        <v>-12.5</v>
      </c>
      <c r="U64" s="208">
        <f>ABS(Множество_202207112140401240[[#This Row],[10]]-Множество_202207112140401240[[#This Row],[12]])</f>
        <v>6.0416666666666696</v>
      </c>
      <c r="V64" s="208">
        <f>ABS(Множество_202207112140401240[[#This Row],[11]]-Множество_202207112140401240[[#This Row],[13]])</f>
        <v>1.5</v>
      </c>
      <c r="W64" s="208">
        <f>Множество_202207112140401240[[#This Row],[15]]+Множество_202207112140401240[[#This Row],[14]]</f>
        <v>7.5416666666666696</v>
      </c>
      <c r="X64" s="208">
        <f ca="1">IF(ROW()-ROW(Множество_202207112140401240[[#Headers],[17]])&gt;1,Множество_202207112140401240[[#This Row],[16]]-OFFSET(Множество_202207112140401240[[#This Row],[16]],-1,0),0)</f>
        <v>7.499999999996998E-2</v>
      </c>
      <c r="Y64" s="208">
        <v>3.9583333333333299</v>
      </c>
      <c r="Z64" s="208">
        <v>-14</v>
      </c>
      <c r="AA64" s="208">
        <f>ABS(Множество_202207112140401240[[#This Row],[18]]-Множество_202207112140401240[[#This Row],[12]])</f>
        <v>6.0416666666666696</v>
      </c>
      <c r="AB64" s="208">
        <f>ABS(Множество_202207112140401240[[#This Row],[19]]-Множество_202207112140401240[[#This Row],[13]])</f>
        <v>1.5</v>
      </c>
      <c r="AC64" s="208">
        <f>Множество_202207112140401240[[#This Row],[20]]+Множество_202207112140401240[[#This Row],[21]]</f>
        <v>7.5416666666666696</v>
      </c>
    </row>
    <row r="65" spans="1:29" x14ac:dyDescent="0.25">
      <c r="A65" t="s">
        <v>704</v>
      </c>
      <c r="B65" t="s">
        <v>100</v>
      </c>
      <c r="C65" t="s">
        <v>621</v>
      </c>
      <c r="D65" t="s">
        <v>1781</v>
      </c>
      <c r="E65" t="s">
        <v>582</v>
      </c>
      <c r="F65" s="213" t="s">
        <v>749</v>
      </c>
      <c r="G65" t="s">
        <v>814</v>
      </c>
      <c r="H65" t="s">
        <v>698</v>
      </c>
      <c r="I65">
        <v>2.5</v>
      </c>
      <c r="J65">
        <v>1.57</v>
      </c>
      <c r="K65">
        <f>Множество_202207112140401240[[#This Row],[2]]-Множество_202207112140401240[[#This Row],[4]]</f>
        <v>0.73</v>
      </c>
      <c r="L65">
        <f>Множество_202207112140401240[[#This Row],[3]]-Множество_202207112140401240[[#This Row],[5]]</f>
        <v>0.82999999999999985</v>
      </c>
      <c r="M65">
        <f>Множество_202207112140401240[[#This Row],[7]]+Множество_202207112140401240[[#This Row],[6]]</f>
        <v>1.5599999999999998</v>
      </c>
      <c r="N65" s="208" t="str">
        <f>CONCATENATE(Множество_202207112140401240[[#This Row],[2]],Множество_202207112140401240[[#This Row],[3]])</f>
        <v>3,232,4</v>
      </c>
      <c r="O65" s="208"/>
      <c r="P65" s="208"/>
      <c r="Q65">
        <v>4.0166666666666702</v>
      </c>
      <c r="R65">
        <v>-13.983333333333301</v>
      </c>
      <c r="S65" s="208">
        <v>10</v>
      </c>
      <c r="T65" s="208">
        <v>-12.5</v>
      </c>
      <c r="U65" s="208">
        <f>ABS(Множество_202207112140401240[[#This Row],[10]]-Множество_202207112140401240[[#This Row],[12]])</f>
        <v>5.9833333333333298</v>
      </c>
      <c r="V65" s="208">
        <f>ABS(Множество_202207112140401240[[#This Row],[11]]-Множество_202207112140401240[[#This Row],[13]])</f>
        <v>1.4833333333333005</v>
      </c>
      <c r="W65" s="208">
        <f>Множество_202207112140401240[[#This Row],[15]]+Множество_202207112140401240[[#This Row],[14]]</f>
        <v>7.4666666666666304</v>
      </c>
      <c r="X65" s="208">
        <f ca="1">IF(ROW()-ROW(Множество_202207112140401240[[#Headers],[17]])&gt;1,Множество_202207112140401240[[#This Row],[16]]-OFFSET(Множество_202207112140401240[[#This Row],[16]],-1,0),0)</f>
        <v>-7.5000000000039257E-2</v>
      </c>
      <c r="Y65" s="208">
        <v>4.0166666666666702</v>
      </c>
      <c r="Z65" s="208">
        <v>-13.983333333333301</v>
      </c>
      <c r="AA65" s="208">
        <f>ABS(Множество_202207112140401240[[#This Row],[18]]-Множество_202207112140401240[[#This Row],[12]])</f>
        <v>5.9833333333333298</v>
      </c>
      <c r="AB65" s="208">
        <f>ABS(Множество_202207112140401240[[#This Row],[19]]-Множество_202207112140401240[[#This Row],[13]])</f>
        <v>1.4833333333333005</v>
      </c>
      <c r="AC65" s="208">
        <f>Множество_202207112140401240[[#This Row],[20]]+Множество_202207112140401240[[#This Row],[21]]</f>
        <v>7.4666666666666304</v>
      </c>
    </row>
    <row r="66" spans="1:29" x14ac:dyDescent="0.25">
      <c r="A66" t="s">
        <v>706</v>
      </c>
      <c r="B66" t="s">
        <v>100</v>
      </c>
      <c r="C66" t="s">
        <v>621</v>
      </c>
      <c r="D66" t="s">
        <v>1781</v>
      </c>
      <c r="E66" t="s">
        <v>582</v>
      </c>
      <c r="F66" s="213" t="s">
        <v>749</v>
      </c>
      <c r="G66" t="s">
        <v>809</v>
      </c>
      <c r="H66" t="s">
        <v>739</v>
      </c>
      <c r="I66">
        <v>2.5</v>
      </c>
      <c r="J66">
        <v>1.57</v>
      </c>
      <c r="K66">
        <f>Множество_202207112140401240[[#This Row],[2]]-Множество_202207112140401240[[#This Row],[4]]</f>
        <v>0.7200000000000002</v>
      </c>
      <c r="L66">
        <f>Множество_202207112140401240[[#This Row],[3]]-Множество_202207112140401240[[#This Row],[5]]</f>
        <v>0.84999999999999987</v>
      </c>
      <c r="M66">
        <f>Множество_202207112140401240[[#This Row],[7]]+Множество_202207112140401240[[#This Row],[6]]</f>
        <v>1.57</v>
      </c>
      <c r="N66" s="208" t="str">
        <f>CONCATENATE(Множество_202207112140401240[[#This Row],[2]],Множество_202207112140401240[[#This Row],[3]])</f>
        <v>3,222,42</v>
      </c>
      <c r="O66" s="208"/>
      <c r="P66" s="208"/>
      <c r="Q66">
        <v>6.4666666666666703</v>
      </c>
      <c r="R66">
        <v>-16.616666666666699</v>
      </c>
      <c r="S66" s="208">
        <v>10</v>
      </c>
      <c r="T66" s="208">
        <v>-12.5</v>
      </c>
      <c r="U66" s="208">
        <f>ABS(Множество_202207112140401240[[#This Row],[10]]-Множество_202207112140401240[[#This Row],[12]])</f>
        <v>3.5333333333333297</v>
      </c>
      <c r="V66" s="208">
        <f>ABS(Множество_202207112140401240[[#This Row],[11]]-Множество_202207112140401240[[#This Row],[13]])</f>
        <v>4.1166666666666991</v>
      </c>
      <c r="W66" s="208">
        <f>Множество_202207112140401240[[#This Row],[15]]+Множество_202207112140401240[[#This Row],[14]]</f>
        <v>7.6500000000000288</v>
      </c>
      <c r="X66" s="208">
        <f ca="1">IF(ROW()-ROW(Множество_202207112140401240[[#Headers],[17]])&gt;1,Множество_202207112140401240[[#This Row],[16]]-OFFSET(Множество_202207112140401240[[#This Row],[16]],-1,0),0)</f>
        <v>0.18333333333339841</v>
      </c>
      <c r="Y66" s="208">
        <v>6.4666666666666703</v>
      </c>
      <c r="Z66" s="208">
        <v>-16.616666666666699</v>
      </c>
      <c r="AA66" s="208">
        <f>ABS(Множество_202207112140401240[[#This Row],[18]]-Множество_202207112140401240[[#This Row],[12]])</f>
        <v>3.5333333333333297</v>
      </c>
      <c r="AB66" s="208">
        <f>ABS(Множество_202207112140401240[[#This Row],[19]]-Множество_202207112140401240[[#This Row],[13]])</f>
        <v>4.1166666666666991</v>
      </c>
      <c r="AC66" s="208">
        <f>Множество_202207112140401240[[#This Row],[20]]+Множество_202207112140401240[[#This Row],[21]]</f>
        <v>7.6500000000000288</v>
      </c>
    </row>
    <row r="67" spans="1:29" x14ac:dyDescent="0.25">
      <c r="A67" t="s">
        <v>707</v>
      </c>
      <c r="B67" t="s">
        <v>100</v>
      </c>
      <c r="C67" t="s">
        <v>621</v>
      </c>
      <c r="D67" t="s">
        <v>1781</v>
      </c>
      <c r="E67" t="s">
        <v>582</v>
      </c>
      <c r="F67" s="213" t="s">
        <v>749</v>
      </c>
      <c r="G67" t="s">
        <v>639</v>
      </c>
      <c r="H67" t="s">
        <v>682</v>
      </c>
      <c r="I67">
        <v>2.5</v>
      </c>
      <c r="J67">
        <v>1.57</v>
      </c>
      <c r="K67">
        <f>Множество_202207112140401240[[#This Row],[2]]-Множество_202207112140401240[[#This Row],[4]]</f>
        <v>0.71</v>
      </c>
      <c r="L67">
        <f>Множество_202207112140401240[[#This Row],[3]]-Множество_202207112140401240[[#This Row],[5]]</f>
        <v>0.88000000000000012</v>
      </c>
      <c r="M67">
        <f>Множество_202207112140401240[[#This Row],[7]]+Множество_202207112140401240[[#This Row],[6]]</f>
        <v>1.59</v>
      </c>
      <c r="N67" s="208" t="str">
        <f>CONCATENATE(Множество_202207112140401240[[#This Row],[2]],Множество_202207112140401240[[#This Row],[3]])</f>
        <v>3,212,45</v>
      </c>
      <c r="O67" s="208"/>
      <c r="P67" s="208"/>
      <c r="Q67">
        <v>6.5250000000000004</v>
      </c>
      <c r="R67">
        <v>-16.633333333333301</v>
      </c>
      <c r="S67" s="208">
        <v>10</v>
      </c>
      <c r="T67" s="208">
        <v>-12.5</v>
      </c>
      <c r="U67" s="208">
        <f>ABS(Множество_202207112140401240[[#This Row],[10]]-Множество_202207112140401240[[#This Row],[12]])</f>
        <v>3.4749999999999996</v>
      </c>
      <c r="V67" s="208">
        <f>ABS(Множество_202207112140401240[[#This Row],[11]]-Множество_202207112140401240[[#This Row],[13]])</f>
        <v>4.1333333333333009</v>
      </c>
      <c r="W67" s="208">
        <f>Множество_202207112140401240[[#This Row],[15]]+Множество_202207112140401240[[#This Row],[14]]</f>
        <v>7.6083333333333005</v>
      </c>
      <c r="X67" s="208">
        <f ca="1">IF(ROW()-ROW(Множество_202207112140401240[[#Headers],[17]])&gt;1,Множество_202207112140401240[[#This Row],[16]]-OFFSET(Множество_202207112140401240[[#This Row],[16]],-1,0),0)</f>
        <v>-4.1666666666728247E-2</v>
      </c>
      <c r="Y67" s="208">
        <v>6.5250000000000004</v>
      </c>
      <c r="Z67" s="208">
        <v>-16.633333333333301</v>
      </c>
      <c r="AA67" s="208">
        <f>ABS(Множество_202207112140401240[[#This Row],[18]]-Множество_202207112140401240[[#This Row],[12]])</f>
        <v>3.4749999999999996</v>
      </c>
      <c r="AB67" s="208">
        <f>ABS(Множество_202207112140401240[[#This Row],[19]]-Множество_202207112140401240[[#This Row],[13]])</f>
        <v>4.1333333333333009</v>
      </c>
      <c r="AC67" s="208">
        <f>Множество_202207112140401240[[#This Row],[20]]+Множество_202207112140401240[[#This Row],[21]]</f>
        <v>7.6083333333333005</v>
      </c>
    </row>
    <row r="68" spans="1:29" x14ac:dyDescent="0.25">
      <c r="A68" t="s">
        <v>708</v>
      </c>
      <c r="B68" t="s">
        <v>100</v>
      </c>
      <c r="C68" t="s">
        <v>621</v>
      </c>
      <c r="D68" t="s">
        <v>1781</v>
      </c>
      <c r="E68" t="s">
        <v>582</v>
      </c>
      <c r="F68" s="213" t="s">
        <v>749</v>
      </c>
      <c r="G68" t="s">
        <v>1782</v>
      </c>
      <c r="H68" t="s">
        <v>38</v>
      </c>
      <c r="I68">
        <v>2.5</v>
      </c>
      <c r="J68">
        <v>1.57</v>
      </c>
      <c r="K68">
        <f>Множество_202207112140401240[[#This Row],[2]]-Множество_202207112140401240[[#This Row],[4]]</f>
        <v>1.4100000000000001</v>
      </c>
      <c r="L68">
        <f>Множество_202207112140401240[[#This Row],[3]]-Множество_202207112140401240[[#This Row],[5]]</f>
        <v>-0.18000000000000016</v>
      </c>
      <c r="M68">
        <f>Множество_202207112140401240[[#This Row],[7]]+Множество_202207112140401240[[#This Row],[6]]</f>
        <v>1.23</v>
      </c>
      <c r="N68" s="208" t="str">
        <f>CONCATENATE(Множество_202207112140401240[[#This Row],[2]],Множество_202207112140401240[[#This Row],[3]])</f>
        <v>3,911,39</v>
      </c>
      <c r="O68" s="208"/>
      <c r="P68" s="208"/>
      <c r="Q68">
        <v>3.9</v>
      </c>
      <c r="R68">
        <v>-14.016666666666699</v>
      </c>
      <c r="S68" s="208">
        <v>10</v>
      </c>
      <c r="T68" s="208">
        <v>-12.5</v>
      </c>
      <c r="U68" s="208">
        <f>ABS(Множество_202207112140401240[[#This Row],[10]]-Множество_202207112140401240[[#This Row],[12]])</f>
        <v>6.1</v>
      </c>
      <c r="V68" s="208">
        <f>ABS(Множество_202207112140401240[[#This Row],[11]]-Множество_202207112140401240[[#This Row],[13]])</f>
        <v>1.5166666666666995</v>
      </c>
      <c r="W68" s="208">
        <f>Множество_202207112140401240[[#This Row],[15]]+Множество_202207112140401240[[#This Row],[14]]</f>
        <v>7.6166666666666991</v>
      </c>
      <c r="X68" s="208">
        <f ca="1">IF(ROW()-ROW(Множество_202207112140401240[[#Headers],[17]])&gt;1,Множество_202207112140401240[[#This Row],[16]]-OFFSET(Множество_202207112140401240[[#This Row],[16]],-1,0),0)</f>
        <v>8.3333333333985848E-3</v>
      </c>
      <c r="Y68" s="208">
        <v>3.9</v>
      </c>
      <c r="Z68" s="208">
        <v>-14.016666666666699</v>
      </c>
      <c r="AA68" s="208">
        <f>ABS(Множество_202207112140401240[[#This Row],[18]]-Множество_202207112140401240[[#This Row],[12]])</f>
        <v>6.1</v>
      </c>
      <c r="AB68" s="208">
        <f>ABS(Множество_202207112140401240[[#This Row],[19]]-Множество_202207112140401240[[#This Row],[13]])</f>
        <v>1.5166666666666995</v>
      </c>
      <c r="AC68" s="208">
        <f>Множество_202207112140401240[[#This Row],[20]]+Множество_202207112140401240[[#This Row],[21]]</f>
        <v>7.6166666666666991</v>
      </c>
    </row>
    <row r="69" spans="1:29" x14ac:dyDescent="0.25">
      <c r="A69" t="s">
        <v>709</v>
      </c>
      <c r="B69" t="s">
        <v>100</v>
      </c>
      <c r="C69" t="s">
        <v>621</v>
      </c>
      <c r="D69" t="s">
        <v>1781</v>
      </c>
      <c r="E69" t="s">
        <v>582</v>
      </c>
      <c r="F69" s="213" t="s">
        <v>749</v>
      </c>
      <c r="G69" t="s">
        <v>645</v>
      </c>
      <c r="H69" t="s">
        <v>641</v>
      </c>
      <c r="I69">
        <v>2.5</v>
      </c>
      <c r="J69">
        <v>1.57</v>
      </c>
      <c r="K69">
        <f>Множество_202207112140401240[[#This Row],[2]]-Множество_202207112140401240[[#This Row],[4]]</f>
        <v>0.70000000000000018</v>
      </c>
      <c r="L69">
        <f>Множество_202207112140401240[[#This Row],[3]]-Множество_202207112140401240[[#This Row],[5]]</f>
        <v>0.90999999999999992</v>
      </c>
      <c r="M69">
        <f>Множество_202207112140401240[[#This Row],[7]]+Множество_202207112140401240[[#This Row],[6]]</f>
        <v>1.61</v>
      </c>
      <c r="N69" s="208" t="str">
        <f>CONCATENATE(Множество_202207112140401240[[#This Row],[2]],Множество_202207112140401240[[#This Row],[3]])</f>
        <v>3,22,48</v>
      </c>
      <c r="O69" s="208"/>
      <c r="P69" s="208"/>
      <c r="Q69">
        <v>6.35</v>
      </c>
      <c r="R69">
        <v>-16.5833333333333</v>
      </c>
      <c r="S69" s="208">
        <v>10</v>
      </c>
      <c r="T69" s="208">
        <v>-12.5</v>
      </c>
      <c r="U69" s="208">
        <f>ABS(Множество_202207112140401240[[#This Row],[10]]-Множество_202207112140401240[[#This Row],[12]])</f>
        <v>3.6500000000000004</v>
      </c>
      <c r="V69" s="208">
        <f>ABS(Множество_202207112140401240[[#This Row],[11]]-Множество_202207112140401240[[#This Row],[13]])</f>
        <v>4.0833333333333002</v>
      </c>
      <c r="W69" s="208">
        <f>Множество_202207112140401240[[#This Row],[15]]+Множество_202207112140401240[[#This Row],[14]]</f>
        <v>7.7333333333333005</v>
      </c>
      <c r="X69" s="208">
        <f ca="1">IF(ROW()-ROW(Множество_202207112140401240[[#Headers],[17]])&gt;1,Множество_202207112140401240[[#This Row],[16]]-OFFSET(Множество_202207112140401240[[#This Row],[16]],-1,0),0)</f>
        <v>0.11666666666660142</v>
      </c>
      <c r="Y69" s="208">
        <v>6.35</v>
      </c>
      <c r="Z69" s="208">
        <v>-16.5833333333333</v>
      </c>
      <c r="AA69" s="208">
        <f>ABS(Множество_202207112140401240[[#This Row],[18]]-Множество_202207112140401240[[#This Row],[12]])</f>
        <v>3.6500000000000004</v>
      </c>
      <c r="AB69" s="208">
        <f>ABS(Множество_202207112140401240[[#This Row],[19]]-Множество_202207112140401240[[#This Row],[13]])</f>
        <v>4.0833333333333002</v>
      </c>
      <c r="AC69" s="208">
        <f>Множество_202207112140401240[[#This Row],[20]]+Множество_202207112140401240[[#This Row],[21]]</f>
        <v>7.7333333333333005</v>
      </c>
    </row>
    <row r="70" spans="1:29" x14ac:dyDescent="0.25">
      <c r="A70" t="s">
        <v>710</v>
      </c>
      <c r="B70" t="s">
        <v>100</v>
      </c>
      <c r="C70" t="s">
        <v>621</v>
      </c>
      <c r="D70" t="s">
        <v>1781</v>
      </c>
      <c r="E70" t="s">
        <v>582</v>
      </c>
      <c r="F70" s="213" t="s">
        <v>749</v>
      </c>
      <c r="G70" t="s">
        <v>1783</v>
      </c>
      <c r="H70" t="s">
        <v>37</v>
      </c>
      <c r="I70">
        <v>2.5</v>
      </c>
      <c r="J70">
        <v>1.57</v>
      </c>
      <c r="K70">
        <f>Множество_202207112140401240[[#This Row],[2]]-Множество_202207112140401240[[#This Row],[4]]</f>
        <v>1.42</v>
      </c>
      <c r="L70">
        <f>Множество_202207112140401240[[#This Row],[3]]-Множество_202207112140401240[[#This Row],[5]]</f>
        <v>-0.19000000000000017</v>
      </c>
      <c r="M70">
        <f>Множество_202207112140401240[[#This Row],[7]]+Множество_202207112140401240[[#This Row],[6]]</f>
        <v>1.2299999999999998</v>
      </c>
      <c r="N70" s="208" t="str">
        <f>CONCATENATE(Множество_202207112140401240[[#This Row],[2]],Множество_202207112140401240[[#This Row],[3]])</f>
        <v>3,921,38</v>
      </c>
      <c r="O70" s="208"/>
      <c r="P70" s="208"/>
      <c r="Q70">
        <v>6.4083333333333297</v>
      </c>
      <c r="R70">
        <v>-16.600000000000001</v>
      </c>
      <c r="S70" s="208">
        <v>10</v>
      </c>
      <c r="T70" s="208">
        <v>-12.5</v>
      </c>
      <c r="U70" s="208">
        <f>ABS(Множество_202207112140401240[[#This Row],[10]]-Множество_202207112140401240[[#This Row],[12]])</f>
        <v>3.5916666666666703</v>
      </c>
      <c r="V70" s="208">
        <f>ABS(Множество_202207112140401240[[#This Row],[11]]-Множество_202207112140401240[[#This Row],[13]])</f>
        <v>4.1000000000000014</v>
      </c>
      <c r="W70" s="208">
        <f>Множество_202207112140401240[[#This Row],[15]]+Множество_202207112140401240[[#This Row],[14]]</f>
        <v>7.6916666666666718</v>
      </c>
      <c r="X70" s="208">
        <f ca="1">IF(ROW()-ROW(Множество_202207112140401240[[#Headers],[17]])&gt;1,Множество_202207112140401240[[#This Row],[16]]-OFFSET(Множество_202207112140401240[[#This Row],[16]],-1,0),0)</f>
        <v>-4.1666666666628771E-2</v>
      </c>
      <c r="Y70" s="208">
        <v>6.4083333333333297</v>
      </c>
      <c r="Z70" s="208">
        <v>-16.600000000000001</v>
      </c>
      <c r="AA70" s="208">
        <f>ABS(Множество_202207112140401240[[#This Row],[18]]-Множество_202207112140401240[[#This Row],[12]])</f>
        <v>3.5916666666666703</v>
      </c>
      <c r="AB70" s="208">
        <f>ABS(Множество_202207112140401240[[#This Row],[19]]-Множество_202207112140401240[[#This Row],[13]])</f>
        <v>4.1000000000000014</v>
      </c>
      <c r="AC70" s="208">
        <f>Множество_202207112140401240[[#This Row],[20]]+Множество_202207112140401240[[#This Row],[21]]</f>
        <v>7.6916666666666718</v>
      </c>
    </row>
    <row r="71" spans="1:29" x14ac:dyDescent="0.25">
      <c r="A71" t="s">
        <v>711</v>
      </c>
      <c r="B71" t="s">
        <v>100</v>
      </c>
      <c r="C71" t="s">
        <v>621</v>
      </c>
      <c r="D71" t="s">
        <v>1781</v>
      </c>
      <c r="E71" t="s">
        <v>582</v>
      </c>
      <c r="F71" s="213" t="s">
        <v>749</v>
      </c>
      <c r="G71" t="s">
        <v>656</v>
      </c>
      <c r="H71" t="s">
        <v>646</v>
      </c>
      <c r="I71">
        <v>2.5</v>
      </c>
      <c r="J71">
        <v>1.57</v>
      </c>
      <c r="K71">
        <f>Множество_202207112140401240[[#This Row],[2]]-Множество_202207112140401240[[#This Row],[4]]</f>
        <v>0.69</v>
      </c>
      <c r="L71">
        <f>Множество_202207112140401240[[#This Row],[3]]-Множество_202207112140401240[[#This Row],[5]]</f>
        <v>0.92999999999999994</v>
      </c>
      <c r="M71">
        <f>Множество_202207112140401240[[#This Row],[7]]+Множество_202207112140401240[[#This Row],[6]]</f>
        <v>1.6199999999999999</v>
      </c>
      <c r="N71" s="208" t="str">
        <f>CONCATENATE(Множество_202207112140401240[[#This Row],[2]],Множество_202207112140401240[[#This Row],[3]])</f>
        <v>3,192,5</v>
      </c>
      <c r="O71" s="208"/>
      <c r="P71" s="208"/>
      <c r="Q71">
        <v>3.8416666666666699</v>
      </c>
      <c r="R71">
        <v>-14.05</v>
      </c>
      <c r="S71" s="208">
        <v>10</v>
      </c>
      <c r="T71" s="208">
        <v>-12.5</v>
      </c>
      <c r="U71" s="208">
        <f>ABS(Множество_202207112140401240[[#This Row],[10]]-Множество_202207112140401240[[#This Row],[12]])</f>
        <v>6.1583333333333297</v>
      </c>
      <c r="V71" s="208">
        <f>ABS(Множество_202207112140401240[[#This Row],[11]]-Множество_202207112140401240[[#This Row],[13]])</f>
        <v>1.5500000000000007</v>
      </c>
      <c r="W71" s="208">
        <f>Множество_202207112140401240[[#This Row],[15]]+Множество_202207112140401240[[#This Row],[14]]</f>
        <v>7.7083333333333304</v>
      </c>
      <c r="X71" s="208">
        <f ca="1">IF(ROW()-ROW(Множество_202207112140401240[[#Headers],[17]])&gt;1,Множество_202207112140401240[[#This Row],[16]]-OFFSET(Множество_202207112140401240[[#This Row],[16]],-1,0),0)</f>
        <v>1.6666666666658614E-2</v>
      </c>
      <c r="Y71" s="208">
        <v>3.8416666666666699</v>
      </c>
      <c r="Z71" s="208">
        <v>-14.05</v>
      </c>
      <c r="AA71" s="208">
        <f>ABS(Множество_202207112140401240[[#This Row],[18]]-Множество_202207112140401240[[#This Row],[12]])</f>
        <v>6.1583333333333297</v>
      </c>
      <c r="AB71" s="208">
        <f>ABS(Множество_202207112140401240[[#This Row],[19]]-Множество_202207112140401240[[#This Row],[13]])</f>
        <v>1.5500000000000007</v>
      </c>
      <c r="AC71" s="208">
        <f>Множество_202207112140401240[[#This Row],[20]]+Множество_202207112140401240[[#This Row],[21]]</f>
        <v>7.7083333333333304</v>
      </c>
    </row>
    <row r="72" spans="1:29" x14ac:dyDescent="0.25">
      <c r="A72" t="s">
        <v>713</v>
      </c>
      <c r="B72" t="s">
        <v>100</v>
      </c>
      <c r="C72" t="s">
        <v>621</v>
      </c>
      <c r="D72" t="s">
        <v>1781</v>
      </c>
      <c r="E72" t="s">
        <v>582</v>
      </c>
      <c r="F72" s="213" t="s">
        <v>749</v>
      </c>
      <c r="G72" t="s">
        <v>1348</v>
      </c>
      <c r="H72" t="s">
        <v>36</v>
      </c>
      <c r="I72">
        <v>2.5</v>
      </c>
      <c r="J72">
        <v>1.57</v>
      </c>
      <c r="K72">
        <f>Множество_202207112140401240[[#This Row],[2]]-Множество_202207112140401240[[#This Row],[4]]</f>
        <v>1.4300000000000002</v>
      </c>
      <c r="L72">
        <f>Множество_202207112140401240[[#This Row],[3]]-Множество_202207112140401240[[#This Row],[5]]</f>
        <v>-0.19999999999999996</v>
      </c>
      <c r="M72">
        <f>Множество_202207112140401240[[#This Row],[7]]+Множество_202207112140401240[[#This Row],[6]]</f>
        <v>1.2300000000000002</v>
      </c>
      <c r="N72" s="208" t="str">
        <f>CONCATENATE(Множество_202207112140401240[[#This Row],[2]],Множество_202207112140401240[[#This Row],[3]])</f>
        <v>3,931,37</v>
      </c>
      <c r="O72" s="208"/>
      <c r="P72" s="208"/>
      <c r="Q72">
        <v>7.1666666666666696</v>
      </c>
      <c r="R72">
        <v>-17.466666666666701</v>
      </c>
      <c r="S72" s="208">
        <v>10</v>
      </c>
      <c r="T72" s="208">
        <v>-12.5</v>
      </c>
      <c r="U72" s="208">
        <f>ABS(Множество_202207112140401240[[#This Row],[10]]-Множество_202207112140401240[[#This Row],[12]])</f>
        <v>2.8333333333333304</v>
      </c>
      <c r="V72" s="208">
        <f>ABS(Множество_202207112140401240[[#This Row],[11]]-Множество_202207112140401240[[#This Row],[13]])</f>
        <v>4.9666666666667005</v>
      </c>
      <c r="W72" s="208">
        <f>Множество_202207112140401240[[#This Row],[15]]+Множество_202207112140401240[[#This Row],[14]]</f>
        <v>7.8000000000000309</v>
      </c>
      <c r="X72" s="208">
        <f ca="1">IF(ROW()-ROW(Множество_202207112140401240[[#Headers],[17]])&gt;1,Множество_202207112140401240[[#This Row],[16]]-OFFSET(Множество_202207112140401240[[#This Row],[16]],-1,0),0)</f>
        <v>9.1666666666700536E-2</v>
      </c>
      <c r="Y72" s="208">
        <v>7.1666666666666696</v>
      </c>
      <c r="Z72" s="208">
        <v>-17.466666666666701</v>
      </c>
      <c r="AA72" s="208">
        <f>ABS(Множество_202207112140401240[[#This Row],[18]]-Множество_202207112140401240[[#This Row],[12]])</f>
        <v>2.8333333333333304</v>
      </c>
      <c r="AB72" s="208">
        <f>ABS(Множество_202207112140401240[[#This Row],[19]]-Множество_202207112140401240[[#This Row],[13]])</f>
        <v>4.9666666666667005</v>
      </c>
      <c r="AC72" s="208">
        <f>Множество_202207112140401240[[#This Row],[20]]+Множество_202207112140401240[[#This Row],[21]]</f>
        <v>7.8000000000000309</v>
      </c>
    </row>
    <row r="73" spans="1:29" x14ac:dyDescent="0.25">
      <c r="A73" t="s">
        <v>715</v>
      </c>
      <c r="B73" t="s">
        <v>100</v>
      </c>
      <c r="C73" t="s">
        <v>621</v>
      </c>
      <c r="D73" t="s">
        <v>1781</v>
      </c>
      <c r="E73" t="s">
        <v>582</v>
      </c>
      <c r="F73" s="213" t="s">
        <v>749</v>
      </c>
      <c r="G73" t="s">
        <v>1581</v>
      </c>
      <c r="H73" t="s">
        <v>35</v>
      </c>
      <c r="I73">
        <v>2.5</v>
      </c>
      <c r="J73">
        <v>1.57</v>
      </c>
      <c r="K73">
        <f>Множество_202207112140401240[[#This Row],[2]]-Множество_202207112140401240[[#This Row],[4]]</f>
        <v>1.44</v>
      </c>
      <c r="L73">
        <f>Множество_202207112140401240[[#This Row],[3]]-Множество_202207112140401240[[#This Row],[5]]</f>
        <v>-0.20999999999999996</v>
      </c>
      <c r="M73">
        <f>Множество_202207112140401240[[#This Row],[7]]+Множество_202207112140401240[[#This Row],[6]]</f>
        <v>1.23</v>
      </c>
      <c r="N73" s="208" t="str">
        <f>CONCATENATE(Множество_202207112140401240[[#This Row],[2]],Множество_202207112140401240[[#This Row],[3]])</f>
        <v>3,941,36</v>
      </c>
      <c r="O73" s="208"/>
      <c r="P73" s="208"/>
      <c r="Q73">
        <v>7.05</v>
      </c>
      <c r="R73">
        <v>-17.366666666666699</v>
      </c>
      <c r="S73" s="208">
        <v>10</v>
      </c>
      <c r="T73" s="208">
        <v>-12.5</v>
      </c>
      <c r="U73" s="208">
        <f>ABS(Множество_202207112140401240[[#This Row],[10]]-Множество_202207112140401240[[#This Row],[12]])</f>
        <v>2.95</v>
      </c>
      <c r="V73" s="208">
        <f>ABS(Множество_202207112140401240[[#This Row],[11]]-Множество_202207112140401240[[#This Row],[13]])</f>
        <v>4.8666666666666991</v>
      </c>
      <c r="W73" s="208">
        <f>Множество_202207112140401240[[#This Row],[15]]+Множество_202207112140401240[[#This Row],[14]]</f>
        <v>7.8166666666666993</v>
      </c>
      <c r="X73" s="208">
        <f ca="1">IF(ROW()-ROW(Множество_202207112140401240[[#Headers],[17]])&gt;1,Множество_202207112140401240[[#This Row],[16]]-OFFSET(Множество_202207112140401240[[#This Row],[16]],-1,0),0)</f>
        <v>1.6666666666668384E-2</v>
      </c>
      <c r="Y73" s="208">
        <v>7.05</v>
      </c>
      <c r="Z73" s="208">
        <v>-17.366666666666699</v>
      </c>
      <c r="AA73" s="208">
        <f>ABS(Множество_202207112140401240[[#This Row],[18]]-Множество_202207112140401240[[#This Row],[12]])</f>
        <v>2.95</v>
      </c>
      <c r="AB73" s="208">
        <f>ABS(Множество_202207112140401240[[#This Row],[19]]-Множество_202207112140401240[[#This Row],[13]])</f>
        <v>4.8666666666666991</v>
      </c>
      <c r="AC73" s="208">
        <f>Множество_202207112140401240[[#This Row],[20]]+Множество_202207112140401240[[#This Row],[21]]</f>
        <v>7.8166666666666993</v>
      </c>
    </row>
    <row r="74" spans="1:29" x14ac:dyDescent="0.25">
      <c r="A74" t="s">
        <v>717</v>
      </c>
      <c r="B74" t="s">
        <v>100</v>
      </c>
      <c r="C74" t="s">
        <v>621</v>
      </c>
      <c r="D74" t="s">
        <v>1781</v>
      </c>
      <c r="E74" t="s">
        <v>582</v>
      </c>
      <c r="F74" s="213" t="s">
        <v>749</v>
      </c>
      <c r="G74" t="s">
        <v>1757</v>
      </c>
      <c r="H74" t="s">
        <v>33</v>
      </c>
      <c r="I74">
        <v>2.5</v>
      </c>
      <c r="J74">
        <v>1.57</v>
      </c>
      <c r="K74">
        <f>Множество_202207112140401240[[#This Row],[2]]-Множество_202207112140401240[[#This Row],[4]]</f>
        <v>1.4500000000000002</v>
      </c>
      <c r="L74">
        <f>Множество_202207112140401240[[#This Row],[3]]-Множество_202207112140401240[[#This Row],[5]]</f>
        <v>-0.22999999999999998</v>
      </c>
      <c r="M74">
        <f>Множество_202207112140401240[[#This Row],[7]]+Множество_202207112140401240[[#This Row],[6]]</f>
        <v>1.2200000000000002</v>
      </c>
      <c r="N74" s="208" t="str">
        <f>CONCATENATE(Множество_202207112140401240[[#This Row],[2]],Множество_202207112140401240[[#This Row],[3]])</f>
        <v>3,951,34</v>
      </c>
      <c r="O74" s="208"/>
      <c r="P74" s="208"/>
      <c r="Q74">
        <v>7.2249999999999996</v>
      </c>
      <c r="R74">
        <v>-17.5</v>
      </c>
      <c r="S74" s="208">
        <v>10</v>
      </c>
      <c r="T74" s="208">
        <v>-12.5</v>
      </c>
      <c r="U74" s="208">
        <f>ABS(Множество_202207112140401240[[#This Row],[10]]-Множество_202207112140401240[[#This Row],[12]])</f>
        <v>2.7750000000000004</v>
      </c>
      <c r="V74" s="208">
        <f>ABS(Множество_202207112140401240[[#This Row],[11]]-Множество_202207112140401240[[#This Row],[13]])</f>
        <v>5</v>
      </c>
      <c r="W74" s="208">
        <f>Множество_202207112140401240[[#This Row],[15]]+Множество_202207112140401240[[#This Row],[14]]</f>
        <v>7.7750000000000004</v>
      </c>
      <c r="X74" s="208">
        <f ca="1">IF(ROW()-ROW(Множество_202207112140401240[[#Headers],[17]])&gt;1,Множество_202207112140401240[[#This Row],[16]]-OFFSET(Множество_202207112140401240[[#This Row],[16]],-1,0),0)</f>
        <v>-4.1666666666698937E-2</v>
      </c>
      <c r="Y74" s="208">
        <v>7.2249999999999996</v>
      </c>
      <c r="Z74" s="208">
        <v>-17.5</v>
      </c>
      <c r="AA74" s="208">
        <f>ABS(Множество_202207112140401240[[#This Row],[18]]-Множество_202207112140401240[[#This Row],[12]])</f>
        <v>2.7750000000000004</v>
      </c>
      <c r="AB74" s="208">
        <f>ABS(Множество_202207112140401240[[#This Row],[19]]-Множество_202207112140401240[[#This Row],[13]])</f>
        <v>5</v>
      </c>
      <c r="AC74" s="208">
        <f>Множество_202207112140401240[[#This Row],[20]]+Множество_202207112140401240[[#This Row],[21]]</f>
        <v>7.7750000000000004</v>
      </c>
    </row>
    <row r="75" spans="1:29" x14ac:dyDescent="0.25">
      <c r="A75" t="s">
        <v>719</v>
      </c>
      <c r="B75" t="s">
        <v>100</v>
      </c>
      <c r="C75" t="s">
        <v>621</v>
      </c>
      <c r="D75" t="s">
        <v>1781</v>
      </c>
      <c r="E75" t="s">
        <v>582</v>
      </c>
      <c r="F75" s="213" t="s">
        <v>749</v>
      </c>
      <c r="G75" t="s">
        <v>1784</v>
      </c>
      <c r="H75" t="s">
        <v>32</v>
      </c>
      <c r="I75">
        <v>2.5</v>
      </c>
      <c r="J75">
        <v>1.57</v>
      </c>
      <c r="K75">
        <f>Множество_202207112140401240[[#This Row],[2]]-Множество_202207112140401240[[#This Row],[4]]</f>
        <v>1.46</v>
      </c>
      <c r="L75">
        <f>Множество_202207112140401240[[#This Row],[3]]-Множество_202207112140401240[[#This Row],[5]]</f>
        <v>-0.24</v>
      </c>
      <c r="M75">
        <f>Множество_202207112140401240[[#This Row],[7]]+Множество_202207112140401240[[#This Row],[6]]</f>
        <v>1.22</v>
      </c>
      <c r="N75" s="208" t="str">
        <f>CONCATENATE(Множество_202207112140401240[[#This Row],[2]],Множество_202207112140401240[[#This Row],[3]])</f>
        <v>3,961,33</v>
      </c>
      <c r="O75" s="208"/>
      <c r="P75" s="208"/>
      <c r="Q75">
        <v>6.2333333333333298</v>
      </c>
      <c r="R75">
        <v>-16.566666666666698</v>
      </c>
      <c r="S75" s="208">
        <v>10</v>
      </c>
      <c r="T75" s="208">
        <v>-12.5</v>
      </c>
      <c r="U75" s="208">
        <f>ABS(Множество_202207112140401240[[#This Row],[10]]-Множество_202207112140401240[[#This Row],[12]])</f>
        <v>3.7666666666666702</v>
      </c>
      <c r="V75" s="208">
        <f>ABS(Множество_202207112140401240[[#This Row],[11]]-Множество_202207112140401240[[#This Row],[13]])</f>
        <v>4.0666666666666984</v>
      </c>
      <c r="W75" s="208">
        <f>Множество_202207112140401240[[#This Row],[15]]+Множество_202207112140401240[[#This Row],[14]]</f>
        <v>7.8333333333333686</v>
      </c>
      <c r="X75" s="208">
        <f ca="1">IF(ROW()-ROW(Множество_202207112140401240[[#Headers],[17]])&gt;1,Множество_202207112140401240[[#This Row],[16]]-OFFSET(Множество_202207112140401240[[#This Row],[16]],-1,0),0)</f>
        <v>5.8333333333368209E-2</v>
      </c>
      <c r="Y75" s="208">
        <v>6.2333333333333298</v>
      </c>
      <c r="Z75" s="208">
        <v>-16.566666666666698</v>
      </c>
      <c r="AA75" s="208">
        <f>ABS(Множество_202207112140401240[[#This Row],[18]]-Множество_202207112140401240[[#This Row],[12]])</f>
        <v>3.7666666666666702</v>
      </c>
      <c r="AB75" s="208">
        <f>ABS(Множество_202207112140401240[[#This Row],[19]]-Множество_202207112140401240[[#This Row],[13]])</f>
        <v>4.0666666666666984</v>
      </c>
      <c r="AC75" s="208">
        <f>Множество_202207112140401240[[#This Row],[20]]+Множество_202207112140401240[[#This Row],[21]]</f>
        <v>7.8333333333333686</v>
      </c>
    </row>
    <row r="76" spans="1:29" x14ac:dyDescent="0.25">
      <c r="A76" t="s">
        <v>721</v>
      </c>
      <c r="B76" t="s">
        <v>100</v>
      </c>
      <c r="C76" t="s">
        <v>621</v>
      </c>
      <c r="D76" t="s">
        <v>1781</v>
      </c>
      <c r="E76" t="s">
        <v>582</v>
      </c>
      <c r="F76" s="213" t="s">
        <v>749</v>
      </c>
      <c r="G76" t="s">
        <v>1698</v>
      </c>
      <c r="H76" t="s">
        <v>31</v>
      </c>
      <c r="I76">
        <v>2.5</v>
      </c>
      <c r="J76">
        <v>1.57</v>
      </c>
      <c r="K76">
        <f>Множество_202207112140401240[[#This Row],[2]]-Множество_202207112140401240[[#This Row],[4]]</f>
        <v>1.4700000000000002</v>
      </c>
      <c r="L76">
        <f>Множество_202207112140401240[[#This Row],[3]]-Множество_202207112140401240[[#This Row],[5]]</f>
        <v>-0.25</v>
      </c>
      <c r="M76">
        <f>Множество_202207112140401240[[#This Row],[7]]+Множество_202207112140401240[[#This Row],[6]]</f>
        <v>1.2200000000000002</v>
      </c>
      <c r="N76" s="208" t="str">
        <f>CONCATENATE(Множество_202207112140401240[[#This Row],[2]],Множество_202207112140401240[[#This Row],[3]])</f>
        <v>3,971,32</v>
      </c>
      <c r="O76" s="208"/>
      <c r="P76" s="208"/>
      <c r="Q76">
        <v>6.7583333333333302</v>
      </c>
      <c r="R76">
        <v>-17.149999999999999</v>
      </c>
      <c r="S76" s="208">
        <v>10</v>
      </c>
      <c r="T76" s="208">
        <v>-12.5</v>
      </c>
      <c r="U76" s="208">
        <f>ABS(Множество_202207112140401240[[#This Row],[10]]-Множество_202207112140401240[[#This Row],[12]])</f>
        <v>3.2416666666666698</v>
      </c>
      <c r="V76" s="208">
        <f>ABS(Множество_202207112140401240[[#This Row],[11]]-Множество_202207112140401240[[#This Row],[13]])</f>
        <v>4.6499999999999986</v>
      </c>
      <c r="W76" s="208">
        <f>Множество_202207112140401240[[#This Row],[15]]+Множество_202207112140401240[[#This Row],[14]]</f>
        <v>7.8916666666666684</v>
      </c>
      <c r="X76" s="208">
        <f ca="1">IF(ROW()-ROW(Множество_202207112140401240[[#Headers],[17]])&gt;1,Множество_202207112140401240[[#This Row],[16]]-OFFSET(Множество_202207112140401240[[#This Row],[16]],-1,0),0)</f>
        <v>5.8333333333299819E-2</v>
      </c>
      <c r="Y76" s="208">
        <v>6.875</v>
      </c>
      <c r="Z76" s="208">
        <v>-17.25</v>
      </c>
      <c r="AA76" s="208">
        <f>ABS(Множество_202207112140401240[[#This Row],[18]]-Множество_202207112140401240[[#This Row],[12]])</f>
        <v>3.125</v>
      </c>
      <c r="AB76" s="208">
        <f>ABS(Множество_202207112140401240[[#This Row],[19]]-Множество_202207112140401240[[#This Row],[13]])</f>
        <v>4.75</v>
      </c>
      <c r="AC76" s="208">
        <f>Множество_202207112140401240[[#This Row],[20]]+Множество_202207112140401240[[#This Row],[21]]</f>
        <v>7.875</v>
      </c>
    </row>
    <row r="77" spans="1:29" x14ac:dyDescent="0.25">
      <c r="A77" t="s">
        <v>722</v>
      </c>
      <c r="B77" t="s">
        <v>100</v>
      </c>
      <c r="C77" t="s">
        <v>621</v>
      </c>
      <c r="D77" t="s">
        <v>1781</v>
      </c>
      <c r="E77" t="s">
        <v>582</v>
      </c>
      <c r="F77" s="213" t="s">
        <v>749</v>
      </c>
      <c r="G77" t="s">
        <v>1405</v>
      </c>
      <c r="H77" t="s">
        <v>30</v>
      </c>
      <c r="I77">
        <v>2.5</v>
      </c>
      <c r="J77">
        <v>1.57</v>
      </c>
      <c r="K77">
        <f>Множество_202207112140401240[[#This Row],[2]]-Множество_202207112140401240[[#This Row],[4]]</f>
        <v>1.48</v>
      </c>
      <c r="L77">
        <f>Множество_202207112140401240[[#This Row],[3]]-Множество_202207112140401240[[#This Row],[5]]</f>
        <v>-0.26</v>
      </c>
      <c r="M77">
        <f>Множество_202207112140401240[[#This Row],[7]]+Множество_202207112140401240[[#This Row],[6]]</f>
        <v>1.22</v>
      </c>
      <c r="N77" s="208" t="str">
        <f>CONCATENATE(Множество_202207112140401240[[#This Row],[2]],Множество_202207112140401240[[#This Row],[3]])</f>
        <v>3,981,31</v>
      </c>
      <c r="O77" s="208"/>
      <c r="P77" s="208"/>
      <c r="Q77">
        <v>6.875</v>
      </c>
      <c r="R77">
        <v>-17.25</v>
      </c>
      <c r="S77" s="208">
        <v>10</v>
      </c>
      <c r="T77" s="208">
        <v>-12.5</v>
      </c>
      <c r="U77" s="208">
        <f>ABS(Множество_202207112140401240[[#This Row],[10]]-Множество_202207112140401240[[#This Row],[12]])</f>
        <v>3.125</v>
      </c>
      <c r="V77" s="208">
        <f>ABS(Множество_202207112140401240[[#This Row],[11]]-Множество_202207112140401240[[#This Row],[13]])</f>
        <v>4.75</v>
      </c>
      <c r="W77" s="208">
        <f>Множество_202207112140401240[[#This Row],[15]]+Множество_202207112140401240[[#This Row],[14]]</f>
        <v>7.875</v>
      </c>
      <c r="X77" s="208">
        <f ca="1">IF(ROW()-ROW(Множество_202207112140401240[[#Headers],[17]])&gt;1,Множество_202207112140401240[[#This Row],[16]]-OFFSET(Множество_202207112140401240[[#This Row],[16]],-1,0),0)</f>
        <v>-1.6666666666668384E-2</v>
      </c>
      <c r="Y77" s="208">
        <v>3.7833333333333301</v>
      </c>
      <c r="Z77" s="208">
        <v>-14.0666666666667</v>
      </c>
      <c r="AA77" s="208">
        <f>ABS(Множество_202207112140401240[[#This Row],[18]]-Множество_202207112140401240[[#This Row],[12]])</f>
        <v>6.2166666666666703</v>
      </c>
      <c r="AB77" s="208">
        <f>ABS(Множество_202207112140401240[[#This Row],[19]]-Множество_202207112140401240[[#This Row],[13]])</f>
        <v>1.5666666666667002</v>
      </c>
      <c r="AC77" s="208">
        <f>Множество_202207112140401240[[#This Row],[20]]+Множество_202207112140401240[[#This Row],[21]]</f>
        <v>7.7833333333333705</v>
      </c>
    </row>
    <row r="78" spans="1:29" x14ac:dyDescent="0.25">
      <c r="A78" t="s">
        <v>723</v>
      </c>
      <c r="B78" t="s">
        <v>100</v>
      </c>
      <c r="C78" t="s">
        <v>621</v>
      </c>
      <c r="D78" t="s">
        <v>1781</v>
      </c>
      <c r="E78" t="s">
        <v>582</v>
      </c>
      <c r="F78" s="213" t="s">
        <v>749</v>
      </c>
      <c r="G78" t="s">
        <v>1619</v>
      </c>
      <c r="H78" t="s">
        <v>28</v>
      </c>
      <c r="I78">
        <v>2.5</v>
      </c>
      <c r="J78">
        <v>1.57</v>
      </c>
      <c r="K78">
        <f>Множество_202207112140401240[[#This Row],[2]]-Множество_202207112140401240[[#This Row],[4]]</f>
        <v>1.4900000000000002</v>
      </c>
      <c r="L78">
        <f>Множество_202207112140401240[[#This Row],[3]]-Множество_202207112140401240[[#This Row],[5]]</f>
        <v>-0.28000000000000003</v>
      </c>
      <c r="M78">
        <f>Множество_202207112140401240[[#This Row],[7]]+Множество_202207112140401240[[#This Row],[6]]</f>
        <v>1.2100000000000002</v>
      </c>
      <c r="N78" s="208" t="str">
        <f>CONCATENATE(Множество_202207112140401240[[#This Row],[2]],Множество_202207112140401240[[#This Row],[3]])</f>
        <v>3,991,29</v>
      </c>
      <c r="O78" s="208"/>
      <c r="P78" s="208"/>
      <c r="Q78">
        <v>3.7833333333333301</v>
      </c>
      <c r="R78">
        <v>-14.0666666666667</v>
      </c>
      <c r="S78" s="208">
        <v>10</v>
      </c>
      <c r="T78" s="208">
        <v>-12.5</v>
      </c>
      <c r="U78" s="208">
        <f>ABS(Множество_202207112140401240[[#This Row],[10]]-Множество_202207112140401240[[#This Row],[12]])</f>
        <v>6.2166666666666703</v>
      </c>
      <c r="V78" s="208">
        <f>ABS(Множество_202207112140401240[[#This Row],[11]]-Множество_202207112140401240[[#This Row],[13]])</f>
        <v>1.5666666666667002</v>
      </c>
      <c r="W78" s="208">
        <f>Множество_202207112140401240[[#This Row],[15]]+Множество_202207112140401240[[#This Row],[14]]</f>
        <v>7.7833333333333705</v>
      </c>
      <c r="X78" s="208">
        <f ca="1">IF(ROW()-ROW(Множество_202207112140401240[[#Headers],[17]])&gt;1,Множество_202207112140401240[[#This Row],[16]]-OFFSET(Множество_202207112140401240[[#This Row],[16]],-1,0),0)</f>
        <v>-9.1666666666629482E-2</v>
      </c>
      <c r="Y78" s="208">
        <v>6.7583333333333302</v>
      </c>
      <c r="Z78" s="208">
        <v>-17.149999999999999</v>
      </c>
      <c r="AA78" s="208">
        <f>ABS(Множество_202207112140401240[[#This Row],[18]]-Множество_202207112140401240[[#This Row],[12]])</f>
        <v>3.2416666666666698</v>
      </c>
      <c r="AB78" s="208">
        <f>ABS(Множество_202207112140401240[[#This Row],[19]]-Множество_202207112140401240[[#This Row],[13]])</f>
        <v>4.6499999999999986</v>
      </c>
      <c r="AC78" s="208">
        <f>Множество_202207112140401240[[#This Row],[20]]+Множество_202207112140401240[[#This Row],[21]]</f>
        <v>7.8916666666666684</v>
      </c>
    </row>
    <row r="79" spans="1:29" x14ac:dyDescent="0.25">
      <c r="A79" t="s">
        <v>724</v>
      </c>
      <c r="B79" t="s">
        <v>100</v>
      </c>
      <c r="C79" t="s">
        <v>621</v>
      </c>
      <c r="D79" t="s">
        <v>1781</v>
      </c>
      <c r="E79" t="s">
        <v>582</v>
      </c>
      <c r="F79" s="213" t="s">
        <v>749</v>
      </c>
      <c r="G79" t="s">
        <v>419</v>
      </c>
      <c r="H79" t="s">
        <v>27</v>
      </c>
      <c r="I79">
        <v>2.5</v>
      </c>
      <c r="J79">
        <v>1.57</v>
      </c>
      <c r="K79">
        <f>Множество_202207112140401240[[#This Row],[2]]-Множество_202207112140401240[[#This Row],[4]]</f>
        <v>1.5</v>
      </c>
      <c r="L79">
        <f>Множество_202207112140401240[[#This Row],[3]]-Множество_202207112140401240[[#This Row],[5]]</f>
        <v>-0.29000000000000004</v>
      </c>
      <c r="M79">
        <f>Множество_202207112140401240[[#This Row],[7]]+Множество_202207112140401240[[#This Row],[6]]</f>
        <v>1.21</v>
      </c>
      <c r="N79" s="208" t="str">
        <f>CONCATENATE(Множество_202207112140401240[[#This Row],[2]],Множество_202207112140401240[[#This Row],[3]])</f>
        <v>41,28</v>
      </c>
      <c r="O79" s="208"/>
      <c r="P79" s="208"/>
      <c r="Q79">
        <v>7.1083333333333298</v>
      </c>
      <c r="R79">
        <v>-17.4166666666667</v>
      </c>
      <c r="S79" s="208">
        <v>10</v>
      </c>
      <c r="T79" s="208">
        <v>-12.5</v>
      </c>
      <c r="U79" s="208">
        <f>ABS(Множество_202207112140401240[[#This Row],[10]]-Множество_202207112140401240[[#This Row],[12]])</f>
        <v>2.8916666666666702</v>
      </c>
      <c r="V79" s="208">
        <f>ABS(Множество_202207112140401240[[#This Row],[11]]-Множество_202207112140401240[[#This Row],[13]])</f>
        <v>4.9166666666666998</v>
      </c>
      <c r="W79" s="208">
        <f>Множество_202207112140401240[[#This Row],[15]]+Множество_202207112140401240[[#This Row],[14]]</f>
        <v>7.80833333333337</v>
      </c>
      <c r="X79" s="208">
        <f ca="1">IF(ROW()-ROW(Множество_202207112140401240[[#Headers],[17]])&gt;1,Множество_202207112140401240[[#This Row],[16]]-OFFSET(Множество_202207112140401240[[#This Row],[16]],-1,0),0)</f>
        <v>2.4999999999999467E-2</v>
      </c>
      <c r="Y79" s="208">
        <v>6.93333333333333</v>
      </c>
      <c r="Z79" s="208">
        <v>-17.283333333333299</v>
      </c>
      <c r="AA79" s="208">
        <f>ABS(Множество_202207112140401240[[#This Row],[18]]-Множество_202207112140401240[[#This Row],[12]])</f>
        <v>3.06666666666667</v>
      </c>
      <c r="AB79" s="208">
        <f>ABS(Множество_202207112140401240[[#This Row],[19]]-Множество_202207112140401240[[#This Row],[13]])</f>
        <v>4.7833333333332995</v>
      </c>
      <c r="AC79" s="208">
        <f>Множество_202207112140401240[[#This Row],[20]]+Множество_202207112140401240[[#This Row],[21]]</f>
        <v>7.8499999999999694</v>
      </c>
    </row>
    <row r="80" spans="1:29" x14ac:dyDescent="0.25">
      <c r="A80" t="s">
        <v>725</v>
      </c>
      <c r="B80" t="s">
        <v>100</v>
      </c>
      <c r="C80" t="s">
        <v>621</v>
      </c>
      <c r="D80" t="s">
        <v>1781</v>
      </c>
      <c r="E80" t="s">
        <v>582</v>
      </c>
      <c r="F80" s="213" t="s">
        <v>749</v>
      </c>
      <c r="G80" t="s">
        <v>749</v>
      </c>
      <c r="H80" t="s">
        <v>418</v>
      </c>
      <c r="I80">
        <v>2.5</v>
      </c>
      <c r="J80">
        <v>1.57</v>
      </c>
      <c r="K80">
        <f>Множество_202207112140401240[[#This Row],[2]]-Множество_202207112140401240[[#This Row],[4]]</f>
        <v>0.7799999999999998</v>
      </c>
      <c r="L80">
        <f>Множество_202207112140401240[[#This Row],[3]]-Множество_202207112140401240[[#This Row],[5]]</f>
        <v>1.43</v>
      </c>
      <c r="M80">
        <f>Множество_202207112140401240[[#This Row],[7]]+Множество_202207112140401240[[#This Row],[6]]</f>
        <v>2.21</v>
      </c>
      <c r="N80" s="208" t="str">
        <f>CONCATENATE(Множество_202207112140401240[[#This Row],[2]],Множество_202207112140401240[[#This Row],[3]])</f>
        <v>3,283</v>
      </c>
      <c r="O80" s="208"/>
      <c r="P80" s="208"/>
      <c r="Q80">
        <v>3.7250000000000001</v>
      </c>
      <c r="R80">
        <v>-14.0833333333333</v>
      </c>
      <c r="S80" s="208">
        <v>10</v>
      </c>
      <c r="T80" s="208">
        <v>-12.5</v>
      </c>
      <c r="U80" s="208">
        <f>ABS(Множество_202207112140401240[[#This Row],[10]]-Множество_202207112140401240[[#This Row],[12]])</f>
        <v>6.2750000000000004</v>
      </c>
      <c r="V80" s="208">
        <f>ABS(Множество_202207112140401240[[#This Row],[11]]-Множество_202207112140401240[[#This Row],[13]])</f>
        <v>1.5833333333333002</v>
      </c>
      <c r="W80" s="208">
        <f>Множество_202207112140401240[[#This Row],[15]]+Множество_202207112140401240[[#This Row],[14]]</f>
        <v>7.8583333333333005</v>
      </c>
      <c r="X80" s="208">
        <f ca="1">IF(ROW()-ROW(Множество_202207112140401240[[#Headers],[17]])&gt;1,Множество_202207112140401240[[#This Row],[16]]-OFFSET(Множество_202207112140401240[[#This Row],[16]],-1,0),0)</f>
        <v>4.9999999999930544E-2</v>
      </c>
      <c r="Y80" s="208">
        <v>3.6666666666666701</v>
      </c>
      <c r="Z80" s="208">
        <v>-14.1</v>
      </c>
      <c r="AA80" s="208">
        <f>ABS(Множество_202207112140401240[[#This Row],[18]]-Множество_202207112140401240[[#This Row],[12]])</f>
        <v>6.3333333333333304</v>
      </c>
      <c r="AB80" s="208">
        <f>ABS(Множество_202207112140401240[[#This Row],[19]]-Множество_202207112140401240[[#This Row],[13]])</f>
        <v>1.5999999999999996</v>
      </c>
      <c r="AC80" s="208">
        <f>Множество_202207112140401240[[#This Row],[20]]+Множество_202207112140401240[[#This Row],[21]]</f>
        <v>7.93333333333333</v>
      </c>
    </row>
    <row r="81" spans="1:29" x14ac:dyDescent="0.25">
      <c r="A81" t="s">
        <v>727</v>
      </c>
      <c r="B81" t="s">
        <v>100</v>
      </c>
      <c r="C81" t="s">
        <v>621</v>
      </c>
      <c r="D81" t="s">
        <v>1781</v>
      </c>
      <c r="E81" t="s">
        <v>582</v>
      </c>
      <c r="F81" s="213" t="s">
        <v>749</v>
      </c>
      <c r="G81" t="s">
        <v>693</v>
      </c>
      <c r="H81" t="s">
        <v>735</v>
      </c>
      <c r="I81">
        <v>2.5</v>
      </c>
      <c r="J81">
        <v>1.57</v>
      </c>
      <c r="K81">
        <f>Множество_202207112140401240[[#This Row],[2]]-Множество_202207112140401240[[#This Row],[4]]</f>
        <v>0.77</v>
      </c>
      <c r="L81">
        <f>Множество_202207112140401240[[#This Row],[3]]-Множество_202207112140401240[[#This Row],[5]]</f>
        <v>1.72</v>
      </c>
      <c r="M81">
        <f>Множество_202207112140401240[[#This Row],[7]]+Множество_202207112140401240[[#This Row],[6]]</f>
        <v>2.4900000000000002</v>
      </c>
      <c r="N81" s="208" t="str">
        <f>CONCATENATE(Множество_202207112140401240[[#This Row],[2]],Множество_202207112140401240[[#This Row],[3]])</f>
        <v>3,273,29</v>
      </c>
      <c r="O81" s="208"/>
      <c r="P81" s="208"/>
      <c r="Q81">
        <v>3.6666666666666701</v>
      </c>
      <c r="R81">
        <v>-14.1</v>
      </c>
      <c r="S81" s="208">
        <v>10</v>
      </c>
      <c r="T81" s="208">
        <v>-12.5</v>
      </c>
      <c r="U81" s="208">
        <f>ABS(Множество_202207112140401240[[#This Row],[10]]-Множество_202207112140401240[[#This Row],[12]])</f>
        <v>6.3333333333333304</v>
      </c>
      <c r="V81" s="208">
        <f>ABS(Множество_202207112140401240[[#This Row],[11]]-Множество_202207112140401240[[#This Row],[13]])</f>
        <v>1.5999999999999996</v>
      </c>
      <c r="W81" s="208">
        <f>Множество_202207112140401240[[#This Row],[15]]+Множество_202207112140401240[[#This Row],[14]]</f>
        <v>7.93333333333333</v>
      </c>
      <c r="X81" s="208">
        <f ca="1">IF(ROW()-ROW(Множество_202207112140401240[[#Headers],[17]])&gt;1,Множество_202207112140401240[[#This Row],[16]]-OFFSET(Множество_202207112140401240[[#This Row],[16]],-1,0),0)</f>
        <v>7.5000000000029488E-2</v>
      </c>
      <c r="Y81" s="208">
        <v>3.7250000000000001</v>
      </c>
      <c r="Z81" s="208">
        <v>-14.0833333333333</v>
      </c>
      <c r="AA81" s="208">
        <f>ABS(Множество_202207112140401240[[#This Row],[18]]-Множество_202207112140401240[[#This Row],[12]])</f>
        <v>6.2750000000000004</v>
      </c>
      <c r="AB81" s="208">
        <f>ABS(Множество_202207112140401240[[#This Row],[19]]-Множество_202207112140401240[[#This Row],[13]])</f>
        <v>1.5833333333333002</v>
      </c>
      <c r="AC81" s="208">
        <f>Множество_202207112140401240[[#This Row],[20]]+Множество_202207112140401240[[#This Row],[21]]</f>
        <v>7.8583333333333005</v>
      </c>
    </row>
    <row r="82" spans="1:29" x14ac:dyDescent="0.25">
      <c r="A82" t="s">
        <v>728</v>
      </c>
      <c r="B82" t="s">
        <v>100</v>
      </c>
      <c r="C82" t="s">
        <v>621</v>
      </c>
      <c r="D82" t="s">
        <v>1781</v>
      </c>
      <c r="E82" t="s">
        <v>582</v>
      </c>
      <c r="F82" s="213" t="s">
        <v>749</v>
      </c>
      <c r="G82" t="s">
        <v>644</v>
      </c>
      <c r="H82" t="s">
        <v>825</v>
      </c>
      <c r="I82">
        <v>2.5</v>
      </c>
      <c r="J82">
        <v>1.57</v>
      </c>
      <c r="K82">
        <f>Множество_202207112140401240[[#This Row],[2]]-Множество_202207112140401240[[#This Row],[4]]</f>
        <v>0.75999999999999979</v>
      </c>
      <c r="L82">
        <f>Множество_202207112140401240[[#This Row],[3]]-Множество_202207112140401240[[#This Row],[5]]</f>
        <v>1.7499999999999998</v>
      </c>
      <c r="M82">
        <f>Множество_202207112140401240[[#This Row],[7]]+Множество_202207112140401240[[#This Row],[6]]</f>
        <v>2.5099999999999998</v>
      </c>
      <c r="N82" s="208" t="str">
        <f>CONCATENATE(Множество_202207112140401240[[#This Row],[2]],Множество_202207112140401240[[#This Row],[3]])</f>
        <v>3,263,32</v>
      </c>
      <c r="O82" s="208"/>
      <c r="P82" s="208"/>
      <c r="Q82">
        <v>6.93333333333333</v>
      </c>
      <c r="R82">
        <v>-17.283333333333299</v>
      </c>
      <c r="S82" s="208">
        <v>10</v>
      </c>
      <c r="T82" s="208">
        <v>-12.5</v>
      </c>
      <c r="U82" s="208">
        <f>ABS(Множество_202207112140401240[[#This Row],[10]]-Множество_202207112140401240[[#This Row],[12]])</f>
        <v>3.06666666666667</v>
      </c>
      <c r="V82" s="208">
        <f>ABS(Множество_202207112140401240[[#This Row],[11]]-Множество_202207112140401240[[#This Row],[13]])</f>
        <v>4.7833333333332995</v>
      </c>
      <c r="W82" s="208">
        <f>Множество_202207112140401240[[#This Row],[15]]+Множество_202207112140401240[[#This Row],[14]]</f>
        <v>7.8499999999999694</v>
      </c>
      <c r="X82" s="208">
        <f ca="1">IF(ROW()-ROW(Множество_202207112140401240[[#Headers],[17]])&gt;1,Множество_202207112140401240[[#This Row],[16]]-OFFSET(Множество_202207112140401240[[#This Row],[16]],-1,0),0)</f>
        <v>-8.3333333333360571E-2</v>
      </c>
      <c r="Y82" s="208">
        <v>7.1083333333333298</v>
      </c>
      <c r="Z82" s="208">
        <v>-17.4166666666667</v>
      </c>
      <c r="AA82" s="208">
        <f>ABS(Множество_202207112140401240[[#This Row],[18]]-Множество_202207112140401240[[#This Row],[12]])</f>
        <v>2.8916666666666702</v>
      </c>
      <c r="AB82" s="208">
        <f>ABS(Множество_202207112140401240[[#This Row],[19]]-Множество_202207112140401240[[#This Row],[13]])</f>
        <v>4.9166666666666998</v>
      </c>
      <c r="AC82" s="208">
        <f>Множество_202207112140401240[[#This Row],[20]]+Множество_202207112140401240[[#This Row],[21]]</f>
        <v>7.80833333333337</v>
      </c>
    </row>
    <row r="83" spans="1:29" x14ac:dyDescent="0.25">
      <c r="A83" t="s">
        <v>730</v>
      </c>
      <c r="B83" t="s">
        <v>100</v>
      </c>
      <c r="C83" t="s">
        <v>621</v>
      </c>
      <c r="D83" t="s">
        <v>1781</v>
      </c>
      <c r="E83" t="s">
        <v>582</v>
      </c>
      <c r="F83" s="213" t="s">
        <v>749</v>
      </c>
      <c r="G83" t="s">
        <v>662</v>
      </c>
      <c r="H83" t="s">
        <v>647</v>
      </c>
      <c r="I83">
        <v>2.5</v>
      </c>
      <c r="J83">
        <v>1.57</v>
      </c>
      <c r="K83">
        <f>Множество_202207112140401240[[#This Row],[2]]-Множество_202207112140401240[[#This Row],[4]]</f>
        <v>0.75</v>
      </c>
      <c r="L83">
        <f>Множество_202207112140401240[[#This Row],[3]]-Множество_202207112140401240[[#This Row],[5]]</f>
        <v>1.78</v>
      </c>
      <c r="M83">
        <f>Множество_202207112140401240[[#This Row],[7]]+Множество_202207112140401240[[#This Row],[6]]</f>
        <v>2.5300000000000002</v>
      </c>
      <c r="N83" s="208" t="str">
        <f>CONCATENATE(Множество_202207112140401240[[#This Row],[2]],Множество_202207112140401240[[#This Row],[3]])</f>
        <v>3,253,35</v>
      </c>
      <c r="O83" s="208"/>
      <c r="P83" s="208"/>
      <c r="Q83">
        <v>6.81666666666667</v>
      </c>
      <c r="R83">
        <v>-17.2</v>
      </c>
      <c r="S83" s="208">
        <v>10</v>
      </c>
      <c r="T83" s="208">
        <v>-12.5</v>
      </c>
      <c r="U83" s="208">
        <f>ABS(Множество_202207112140401240[[#This Row],[10]]-Множество_202207112140401240[[#This Row],[12]])</f>
        <v>3.18333333333333</v>
      </c>
      <c r="V83" s="208">
        <f>ABS(Множество_202207112140401240[[#This Row],[11]]-Множество_202207112140401240[[#This Row],[13]])</f>
        <v>4.6999999999999993</v>
      </c>
      <c r="W83" s="208">
        <f>Множество_202207112140401240[[#This Row],[15]]+Множество_202207112140401240[[#This Row],[14]]</f>
        <v>7.8833333333333293</v>
      </c>
      <c r="X83" s="208">
        <f ca="1">IF(ROW()-ROW(Множество_202207112140401240[[#Headers],[17]])&gt;1,Множество_202207112140401240[[#This Row],[16]]-OFFSET(Множество_202207112140401240[[#This Row],[16]],-1,0),0)</f>
        <v>3.333333333335986E-2</v>
      </c>
      <c r="Y83" s="208">
        <v>6.81666666666667</v>
      </c>
      <c r="Z83" s="208">
        <v>-17.2</v>
      </c>
      <c r="AA83" s="208">
        <f>ABS(Множество_202207112140401240[[#This Row],[18]]-Множество_202207112140401240[[#This Row],[12]])</f>
        <v>3.18333333333333</v>
      </c>
      <c r="AB83" s="208">
        <f>ABS(Множество_202207112140401240[[#This Row],[19]]-Множество_202207112140401240[[#This Row],[13]])</f>
        <v>4.6999999999999993</v>
      </c>
      <c r="AC83" s="208">
        <f>Множество_202207112140401240[[#This Row],[20]]+Множество_202207112140401240[[#This Row],[21]]</f>
        <v>7.8833333333333293</v>
      </c>
    </row>
    <row r="84" spans="1:29" x14ac:dyDescent="0.25">
      <c r="A84" t="s">
        <v>732</v>
      </c>
      <c r="B84" t="s">
        <v>100</v>
      </c>
      <c r="C84" t="s">
        <v>621</v>
      </c>
      <c r="D84" t="s">
        <v>1781</v>
      </c>
      <c r="E84" t="s">
        <v>582</v>
      </c>
      <c r="F84" s="213" t="s">
        <v>749</v>
      </c>
      <c r="G84" t="s">
        <v>674</v>
      </c>
      <c r="H84" t="s">
        <v>755</v>
      </c>
      <c r="I84">
        <v>2.5</v>
      </c>
      <c r="J84">
        <v>1.57</v>
      </c>
      <c r="K84">
        <f>Множество_202207112140401240[[#This Row],[2]]-Множество_202207112140401240[[#This Row],[4]]</f>
        <v>0.74000000000000021</v>
      </c>
      <c r="L84">
        <f>Множество_202207112140401240[[#This Row],[3]]-Множество_202207112140401240[[#This Row],[5]]</f>
        <v>1.8</v>
      </c>
      <c r="M84">
        <f>Множество_202207112140401240[[#This Row],[7]]+Множество_202207112140401240[[#This Row],[6]]</f>
        <v>2.54</v>
      </c>
      <c r="N84" s="208" t="str">
        <f>CONCATENATE(Множество_202207112140401240[[#This Row],[2]],Множество_202207112140401240[[#This Row],[3]])</f>
        <v>3,243,37</v>
      </c>
      <c r="O84" s="208"/>
      <c r="P84" s="208"/>
      <c r="Q84">
        <v>6.9916666666666698</v>
      </c>
      <c r="R84">
        <v>-17.3333333333333</v>
      </c>
      <c r="S84" s="208">
        <v>10</v>
      </c>
      <c r="T84" s="208">
        <v>-12.5</v>
      </c>
      <c r="U84" s="208">
        <f>ABS(Множество_202207112140401240[[#This Row],[10]]-Множество_202207112140401240[[#This Row],[12]])</f>
        <v>3.0083333333333302</v>
      </c>
      <c r="V84" s="208">
        <f>ABS(Множество_202207112140401240[[#This Row],[11]]-Множество_202207112140401240[[#This Row],[13]])</f>
        <v>4.8333333333333002</v>
      </c>
      <c r="W84" s="208">
        <f>Множество_202207112140401240[[#This Row],[15]]+Множество_202207112140401240[[#This Row],[14]]</f>
        <v>7.8416666666666304</v>
      </c>
      <c r="X84" s="208">
        <f ca="1">IF(ROW()-ROW(Множество_202207112140401240[[#Headers],[17]])&gt;1,Множество_202207112140401240[[#This Row],[16]]-OFFSET(Множество_202207112140401240[[#This Row],[16]],-1,0),0)</f>
        <v>-4.1666666666698937E-2</v>
      </c>
      <c r="Y84" s="208">
        <v>6.9916666666666698</v>
      </c>
      <c r="Z84" s="208">
        <v>-17.3333333333333</v>
      </c>
      <c r="AA84" s="208">
        <f>ABS(Множество_202207112140401240[[#This Row],[18]]-Множество_202207112140401240[[#This Row],[12]])</f>
        <v>3.0083333333333302</v>
      </c>
      <c r="AB84" s="208">
        <f>ABS(Множество_202207112140401240[[#This Row],[19]]-Множество_202207112140401240[[#This Row],[13]])</f>
        <v>4.8333333333333002</v>
      </c>
      <c r="AC84" s="208">
        <f>Множество_202207112140401240[[#This Row],[20]]+Множество_202207112140401240[[#This Row],[21]]</f>
        <v>7.8416666666666304</v>
      </c>
    </row>
    <row r="85" spans="1:29" x14ac:dyDescent="0.25">
      <c r="A85" t="s">
        <v>733</v>
      </c>
      <c r="B85" t="s">
        <v>100</v>
      </c>
      <c r="C85" t="s">
        <v>621</v>
      </c>
      <c r="D85" t="s">
        <v>1781</v>
      </c>
      <c r="E85" t="s">
        <v>582</v>
      </c>
      <c r="F85" s="213" t="s">
        <v>749</v>
      </c>
      <c r="G85" t="s">
        <v>814</v>
      </c>
      <c r="H85" t="s">
        <v>781</v>
      </c>
      <c r="I85">
        <v>2.5</v>
      </c>
      <c r="J85">
        <v>1.57</v>
      </c>
      <c r="K85">
        <f>Множество_202207112140401240[[#This Row],[2]]-Множество_202207112140401240[[#This Row],[4]]</f>
        <v>0.73</v>
      </c>
      <c r="L85">
        <f>Множество_202207112140401240[[#This Row],[3]]-Множество_202207112140401240[[#This Row],[5]]</f>
        <v>1.8299999999999998</v>
      </c>
      <c r="M85">
        <f>Множество_202207112140401240[[#This Row],[7]]+Множество_202207112140401240[[#This Row],[6]]</f>
        <v>2.5599999999999996</v>
      </c>
      <c r="N85" s="208" t="str">
        <f>CONCATENATE(Множество_202207112140401240[[#This Row],[2]],Множество_202207112140401240[[#This Row],[3]])</f>
        <v>3,233,4</v>
      </c>
      <c r="O85" s="208"/>
      <c r="P85" s="208"/>
      <c r="Q85">
        <v>6.1166666666666698</v>
      </c>
      <c r="R85">
        <v>-16.533333333333299</v>
      </c>
      <c r="S85" s="208">
        <v>10</v>
      </c>
      <c r="T85" s="208">
        <v>-12.5</v>
      </c>
      <c r="U85" s="208">
        <f>ABS(Множество_202207112140401240[[#This Row],[10]]-Множество_202207112140401240[[#This Row],[12]])</f>
        <v>3.8833333333333302</v>
      </c>
      <c r="V85" s="208">
        <f>ABS(Множество_202207112140401240[[#This Row],[11]]-Множество_202207112140401240[[#This Row],[13]])</f>
        <v>4.0333333333332995</v>
      </c>
      <c r="W85" s="208">
        <f>Множество_202207112140401240[[#This Row],[15]]+Множество_202207112140401240[[#This Row],[14]]</f>
        <v>7.9166666666666297</v>
      </c>
      <c r="X85" s="208">
        <f ca="1">IF(ROW()-ROW(Множество_202207112140401240[[#Headers],[17]])&gt;1,Множество_202207112140401240[[#This Row],[16]]-OFFSET(Множество_202207112140401240[[#This Row],[16]],-1,0),0)</f>
        <v>7.4999999999999289E-2</v>
      </c>
      <c r="Y85" s="208">
        <v>6.1166666666666698</v>
      </c>
      <c r="Z85" s="208">
        <v>-16.533333333333299</v>
      </c>
      <c r="AA85" s="208">
        <f>ABS(Множество_202207112140401240[[#This Row],[18]]-Множество_202207112140401240[[#This Row],[12]])</f>
        <v>3.8833333333333302</v>
      </c>
      <c r="AB85" s="208">
        <f>ABS(Множество_202207112140401240[[#This Row],[19]]-Множество_202207112140401240[[#This Row],[13]])</f>
        <v>4.0333333333332995</v>
      </c>
      <c r="AC85" s="208">
        <f>Множество_202207112140401240[[#This Row],[20]]+Множество_202207112140401240[[#This Row],[21]]</f>
        <v>7.9166666666666297</v>
      </c>
    </row>
    <row r="86" spans="1:29" x14ac:dyDescent="0.25">
      <c r="A86" t="s">
        <v>734</v>
      </c>
      <c r="B86" t="s">
        <v>100</v>
      </c>
      <c r="C86" t="s">
        <v>621</v>
      </c>
      <c r="D86" t="s">
        <v>1781</v>
      </c>
      <c r="E86" t="s">
        <v>582</v>
      </c>
      <c r="F86" s="213" t="s">
        <v>749</v>
      </c>
      <c r="G86" t="s">
        <v>809</v>
      </c>
      <c r="H86" t="s">
        <v>969</v>
      </c>
      <c r="I86">
        <v>2.5</v>
      </c>
      <c r="J86">
        <v>1.57</v>
      </c>
      <c r="K86">
        <f>Множество_202207112140401240[[#This Row],[2]]-Множество_202207112140401240[[#This Row],[4]]</f>
        <v>0.7200000000000002</v>
      </c>
      <c r="L86">
        <f>Множество_202207112140401240[[#This Row],[3]]-Множество_202207112140401240[[#This Row],[5]]</f>
        <v>1.8499999999999999</v>
      </c>
      <c r="M86">
        <f>Множество_202207112140401240[[#This Row],[7]]+Множество_202207112140401240[[#This Row],[6]]</f>
        <v>2.5700000000000003</v>
      </c>
      <c r="N86" s="208" t="str">
        <f>CONCATENATE(Множество_202207112140401240[[#This Row],[2]],Множество_202207112140401240[[#This Row],[3]])</f>
        <v>3,223,42</v>
      </c>
      <c r="O86" s="208"/>
      <c r="P86" s="208"/>
      <c r="Q86">
        <v>6.1749999999999998</v>
      </c>
      <c r="R86">
        <v>-16.55</v>
      </c>
      <c r="S86" s="208">
        <v>10</v>
      </c>
      <c r="T86" s="208">
        <v>-12.5</v>
      </c>
      <c r="U86" s="208">
        <f>ABS(Множество_202207112140401240[[#This Row],[10]]-Множество_202207112140401240[[#This Row],[12]])</f>
        <v>3.8250000000000002</v>
      </c>
      <c r="V86" s="208">
        <f>ABS(Множество_202207112140401240[[#This Row],[11]]-Множество_202207112140401240[[#This Row],[13]])</f>
        <v>4.0500000000000007</v>
      </c>
      <c r="W86" s="208">
        <f>Множество_202207112140401240[[#This Row],[15]]+Множество_202207112140401240[[#This Row],[14]]</f>
        <v>7.8750000000000009</v>
      </c>
      <c r="X86" s="208">
        <f ca="1">IF(ROW()-ROW(Множество_202207112140401240[[#Headers],[17]])&gt;1,Множество_202207112140401240[[#This Row],[16]]-OFFSET(Множество_202207112140401240[[#This Row],[16]],-1,0),0)</f>
        <v>-4.1666666666628771E-2</v>
      </c>
      <c r="Y86" s="208">
        <v>6.1749999999999998</v>
      </c>
      <c r="Z86" s="208">
        <v>-16.55</v>
      </c>
      <c r="AA86" s="208">
        <f>ABS(Множество_202207112140401240[[#This Row],[18]]-Множество_202207112140401240[[#This Row],[12]])</f>
        <v>3.8250000000000002</v>
      </c>
      <c r="AB86" s="208">
        <f>ABS(Множество_202207112140401240[[#This Row],[19]]-Множество_202207112140401240[[#This Row],[13]])</f>
        <v>4.0500000000000007</v>
      </c>
      <c r="AC86" s="208">
        <f>Множество_202207112140401240[[#This Row],[20]]+Множество_202207112140401240[[#This Row],[21]]</f>
        <v>7.8750000000000009</v>
      </c>
    </row>
    <row r="87" spans="1:29" x14ac:dyDescent="0.25">
      <c r="F87" s="213"/>
      <c r="K87" s="208">
        <f>Множество_202207112140401240[[#This Row],[2]]-Множество_202207112140401240[[#This Row],[4]]</f>
        <v>0</v>
      </c>
      <c r="L87" s="208">
        <f>Множество_202207112140401240[[#This Row],[3]]-Множество_202207112140401240[[#This Row],[5]]</f>
        <v>0</v>
      </c>
      <c r="M87" s="208">
        <f>Множество_202207112140401240[[#This Row],[7]]+Множество_202207112140401240[[#This Row],[6]]</f>
        <v>0</v>
      </c>
      <c r="N87" s="208" t="str">
        <f>CONCATENATE(Множество_202207112140401240[[#This Row],[2]],Множество_202207112140401240[[#This Row],[3]])</f>
        <v/>
      </c>
      <c r="O87" s="208"/>
      <c r="P87" s="208"/>
      <c r="Q87">
        <v>5.94166666666667</v>
      </c>
      <c r="R87">
        <v>-16.5</v>
      </c>
      <c r="S87" s="208">
        <v>10</v>
      </c>
      <c r="T87" s="208">
        <v>-12.5</v>
      </c>
      <c r="U87" s="208">
        <f>ABS(Множество_202207112140401240[[#This Row],[10]]-Множество_202207112140401240[[#This Row],[12]])</f>
        <v>4.05833333333333</v>
      </c>
      <c r="V87" s="208">
        <f>ABS(Множество_202207112140401240[[#This Row],[11]]-Множество_202207112140401240[[#This Row],[13]])</f>
        <v>4</v>
      </c>
      <c r="W87" s="208">
        <f>Множество_202207112140401240[[#This Row],[15]]+Множество_202207112140401240[[#This Row],[14]]</f>
        <v>8.05833333333333</v>
      </c>
      <c r="X87" s="208">
        <f ca="1">IF(ROW()-ROW(Множество_202207112140401240[[#Headers],[17]])&gt;1,Множество_202207112140401240[[#This Row],[16]]-OFFSET(Множество_202207112140401240[[#This Row],[16]],-1,0),0)</f>
        <v>0.18333333333332913</v>
      </c>
      <c r="Y87" s="208">
        <v>5.94166666666667</v>
      </c>
      <c r="Z87" s="208">
        <v>-16.5</v>
      </c>
      <c r="AA87" s="208">
        <f>ABS(Множество_202207112140401240[[#This Row],[18]]-Множество_202207112140401240[[#This Row],[12]])</f>
        <v>4.05833333333333</v>
      </c>
      <c r="AB87" s="208">
        <f>ABS(Множество_202207112140401240[[#This Row],[19]]-Множество_202207112140401240[[#This Row],[13]])</f>
        <v>4</v>
      </c>
      <c r="AC87" s="208">
        <f>Множество_202207112140401240[[#This Row],[20]]+Множество_202207112140401240[[#This Row],[21]]</f>
        <v>8.05833333333333</v>
      </c>
    </row>
    <row r="88" spans="1:29" x14ac:dyDescent="0.25">
      <c r="F88" s="213"/>
      <c r="K88" s="208">
        <f>Множество_202207112140401240[[#This Row],[2]]-Множество_202207112140401240[[#This Row],[4]]</f>
        <v>0</v>
      </c>
      <c r="L88" s="208">
        <f>Множество_202207112140401240[[#This Row],[3]]-Множество_202207112140401240[[#This Row],[5]]</f>
        <v>0</v>
      </c>
      <c r="M88" s="208">
        <f>Множество_202207112140401240[[#This Row],[7]]+Множество_202207112140401240[[#This Row],[6]]</f>
        <v>0</v>
      </c>
      <c r="N88" s="208" t="str">
        <f>CONCATENATE(Множество_202207112140401240[[#This Row],[2]],Множество_202207112140401240[[#This Row],[3]])</f>
        <v/>
      </c>
      <c r="O88" s="208"/>
      <c r="P88" s="208"/>
      <c r="Q88">
        <v>6</v>
      </c>
      <c r="R88">
        <v>-16.516666666666701</v>
      </c>
      <c r="S88" s="208">
        <v>10</v>
      </c>
      <c r="T88" s="208">
        <v>-12.5</v>
      </c>
      <c r="U88" s="208">
        <f>ABS(Множество_202207112140401240[[#This Row],[10]]-Множество_202207112140401240[[#This Row],[12]])</f>
        <v>4</v>
      </c>
      <c r="V88" s="208">
        <f>ABS(Множество_202207112140401240[[#This Row],[11]]-Множество_202207112140401240[[#This Row],[13]])</f>
        <v>4.0166666666667012</v>
      </c>
      <c r="W88" s="208">
        <f>Множество_202207112140401240[[#This Row],[15]]+Множество_202207112140401240[[#This Row],[14]]</f>
        <v>8.0166666666667012</v>
      </c>
      <c r="X88" s="208">
        <f ca="1">IF(ROW()-ROW(Множество_202207112140401240[[#Headers],[17]])&gt;1,Множество_202207112140401240[[#This Row],[16]]-OFFSET(Множество_202207112140401240[[#This Row],[16]],-1,0),0)</f>
        <v>-4.1666666666628771E-2</v>
      </c>
      <c r="Y88" s="208">
        <v>6</v>
      </c>
      <c r="Z88" s="208">
        <v>-16.516666666666701</v>
      </c>
      <c r="AA88" s="208">
        <f>ABS(Множество_202207112140401240[[#This Row],[18]]-Множество_202207112140401240[[#This Row],[12]])</f>
        <v>4</v>
      </c>
      <c r="AB88" s="208">
        <f>ABS(Множество_202207112140401240[[#This Row],[19]]-Множество_202207112140401240[[#This Row],[13]])</f>
        <v>4.0166666666667012</v>
      </c>
      <c r="AC88" s="208">
        <f>Множество_202207112140401240[[#This Row],[20]]+Множество_202207112140401240[[#This Row],[21]]</f>
        <v>8.0166666666667012</v>
      </c>
    </row>
    <row r="89" spans="1:29" x14ac:dyDescent="0.25">
      <c r="F89" s="213"/>
      <c r="K89" s="208">
        <f>Множество_202207112140401240[[#This Row],[2]]-Множество_202207112140401240[[#This Row],[4]]</f>
        <v>0</v>
      </c>
      <c r="L89" s="208">
        <f>Множество_202207112140401240[[#This Row],[3]]-Множество_202207112140401240[[#This Row],[5]]</f>
        <v>0</v>
      </c>
      <c r="M89" s="208">
        <f>Множество_202207112140401240[[#This Row],[7]]+Множество_202207112140401240[[#This Row],[6]]</f>
        <v>0</v>
      </c>
      <c r="N89" s="208" t="str">
        <f>CONCATENATE(Множество_202207112140401240[[#This Row],[2]],Множество_202207112140401240[[#This Row],[3]])</f>
        <v/>
      </c>
      <c r="O89" s="208"/>
      <c r="P89" s="208"/>
      <c r="Q89">
        <v>6.05833333333333</v>
      </c>
      <c r="R89">
        <v>-16.516666666666701</v>
      </c>
      <c r="S89" s="208">
        <v>10</v>
      </c>
      <c r="T89" s="208">
        <v>-12.5</v>
      </c>
      <c r="U89" s="208">
        <f>ABS(Множество_202207112140401240[[#This Row],[10]]-Множество_202207112140401240[[#This Row],[12]])</f>
        <v>3.94166666666667</v>
      </c>
      <c r="V89" s="208">
        <f>ABS(Множество_202207112140401240[[#This Row],[11]]-Множество_202207112140401240[[#This Row],[13]])</f>
        <v>4.0166666666667012</v>
      </c>
      <c r="W89" s="208">
        <f>Множество_202207112140401240[[#This Row],[15]]+Множество_202207112140401240[[#This Row],[14]]</f>
        <v>7.9583333333333712</v>
      </c>
      <c r="X89" s="208">
        <f ca="1">IF(ROW()-ROW(Множество_202207112140401240[[#Headers],[17]])&gt;1,Множество_202207112140401240[[#This Row],[16]]-OFFSET(Множество_202207112140401240[[#This Row],[16]],-1,0),0)</f>
        <v>-5.8333333333330017E-2</v>
      </c>
      <c r="Y89" s="208">
        <v>6.05833333333333</v>
      </c>
      <c r="Z89" s="208">
        <v>-16.516666666666701</v>
      </c>
      <c r="AA89" s="208">
        <f>ABS(Множество_202207112140401240[[#This Row],[18]]-Множество_202207112140401240[[#This Row],[12]])</f>
        <v>3.94166666666667</v>
      </c>
      <c r="AB89" s="208">
        <f>ABS(Множество_202207112140401240[[#This Row],[19]]-Множество_202207112140401240[[#This Row],[13]])</f>
        <v>4.0166666666667012</v>
      </c>
      <c r="AC89" s="208">
        <f>Множество_202207112140401240[[#This Row],[20]]+Множество_202207112140401240[[#This Row],[21]]</f>
        <v>7.9583333333333712</v>
      </c>
    </row>
    <row r="90" spans="1:29" x14ac:dyDescent="0.25">
      <c r="F90" s="213"/>
      <c r="K90" s="208">
        <f>Множество_202207112140401240[[#This Row],[2]]-Множество_202207112140401240[[#This Row],[4]]</f>
        <v>0</v>
      </c>
      <c r="L90" s="208">
        <f>Множество_202207112140401240[[#This Row],[3]]-Множество_202207112140401240[[#This Row],[5]]</f>
        <v>0</v>
      </c>
      <c r="M90" s="208">
        <f>Множество_202207112140401240[[#This Row],[7]]+Множество_202207112140401240[[#This Row],[6]]</f>
        <v>0</v>
      </c>
      <c r="N90" s="208" t="str">
        <f>CONCATENATE(Множество_202207112140401240[[#This Row],[2]],Множество_202207112140401240[[#This Row],[3]])</f>
        <v/>
      </c>
      <c r="O90" s="208"/>
      <c r="P90" s="208"/>
      <c r="Q90">
        <v>3.6083333333333298</v>
      </c>
      <c r="R90">
        <v>-14.133333333333301</v>
      </c>
      <c r="S90" s="208">
        <v>10</v>
      </c>
      <c r="T90" s="208">
        <v>-12.5</v>
      </c>
      <c r="U90" s="208">
        <f>ABS(Множество_202207112140401240[[#This Row],[10]]-Множество_202207112140401240[[#This Row],[12]])</f>
        <v>6.3916666666666702</v>
      </c>
      <c r="V90" s="208">
        <f>ABS(Множество_202207112140401240[[#This Row],[11]]-Множество_202207112140401240[[#This Row],[13]])</f>
        <v>1.6333333333333009</v>
      </c>
      <c r="W90" s="208">
        <f>Множество_202207112140401240[[#This Row],[15]]+Множество_202207112140401240[[#This Row],[14]]</f>
        <v>8.0249999999999702</v>
      </c>
      <c r="X90" s="208">
        <f ca="1">IF(ROW()-ROW(Множество_202207112140401240[[#Headers],[17]])&gt;1,Множество_202207112140401240[[#This Row],[16]]-OFFSET(Множество_202207112140401240[[#This Row],[16]],-1,0),0)</f>
        <v>6.6666666666598928E-2</v>
      </c>
      <c r="Y90" s="208">
        <v>3.6083333333333298</v>
      </c>
      <c r="Z90" s="208">
        <v>-14.133333333333301</v>
      </c>
      <c r="AA90" s="208">
        <f>ABS(Множество_202207112140401240[[#This Row],[18]]-Множество_202207112140401240[[#This Row],[12]])</f>
        <v>6.3916666666666702</v>
      </c>
      <c r="AB90" s="208">
        <f>ABS(Множество_202207112140401240[[#This Row],[19]]-Множество_202207112140401240[[#This Row],[13]])</f>
        <v>1.6333333333333009</v>
      </c>
      <c r="AC90" s="208">
        <f>Множество_202207112140401240[[#This Row],[20]]+Множество_202207112140401240[[#This Row],[21]]</f>
        <v>8.0249999999999702</v>
      </c>
    </row>
    <row r="91" spans="1:29" x14ac:dyDescent="0.25">
      <c r="F91" s="213"/>
      <c r="K91" s="208">
        <f>Множество_202207112140401240[[#This Row],[2]]-Множество_202207112140401240[[#This Row],[4]]</f>
        <v>0</v>
      </c>
      <c r="L91" s="208">
        <f>Множество_202207112140401240[[#This Row],[3]]-Множество_202207112140401240[[#This Row],[5]]</f>
        <v>0</v>
      </c>
      <c r="M91" s="208">
        <f>Множество_202207112140401240[[#This Row],[7]]+Множество_202207112140401240[[#This Row],[6]]</f>
        <v>0</v>
      </c>
      <c r="N91" s="208" t="str">
        <f>CONCATENATE(Множество_202207112140401240[[#This Row],[2]],Множество_202207112140401240[[#This Row],[3]])</f>
        <v/>
      </c>
      <c r="O91" s="208"/>
      <c r="P91" s="208"/>
      <c r="Q91">
        <v>3.55</v>
      </c>
      <c r="R91">
        <v>-14.15</v>
      </c>
      <c r="S91" s="208">
        <v>10</v>
      </c>
      <c r="T91" s="208">
        <v>-12.5</v>
      </c>
      <c r="U91" s="208">
        <f>ABS(Множество_202207112140401240[[#This Row],[10]]-Множество_202207112140401240[[#This Row],[12]])</f>
        <v>6.45</v>
      </c>
      <c r="V91" s="208">
        <f>ABS(Множество_202207112140401240[[#This Row],[11]]-Множество_202207112140401240[[#This Row],[13]])</f>
        <v>1.6500000000000004</v>
      </c>
      <c r="W91" s="208">
        <f>Множество_202207112140401240[[#This Row],[15]]+Множество_202207112140401240[[#This Row],[14]]</f>
        <v>8.1000000000000014</v>
      </c>
      <c r="X91" s="208">
        <f ca="1">IF(ROW()-ROW(Множество_202207112140401240[[#Headers],[17]])&gt;1,Множество_202207112140401240[[#This Row],[16]]-OFFSET(Множество_202207112140401240[[#This Row],[16]],-1,0),0)</f>
        <v>7.5000000000031264E-2</v>
      </c>
      <c r="Y91" s="208">
        <v>3.55</v>
      </c>
      <c r="Z91" s="208">
        <v>-14.15</v>
      </c>
      <c r="AA91" s="208">
        <f>ABS(Множество_202207112140401240[[#This Row],[18]]-Множество_202207112140401240[[#This Row],[12]])</f>
        <v>6.45</v>
      </c>
      <c r="AB91" s="208">
        <f>ABS(Множество_202207112140401240[[#This Row],[19]]-Множество_202207112140401240[[#This Row],[13]])</f>
        <v>1.6500000000000004</v>
      </c>
      <c r="AC91" s="208">
        <f>Множество_202207112140401240[[#This Row],[20]]+Множество_202207112140401240[[#This Row],[21]]</f>
        <v>8.1000000000000014</v>
      </c>
    </row>
    <row r="92" spans="1:29" x14ac:dyDescent="0.25">
      <c r="F92" s="213"/>
      <c r="K92" s="208">
        <f>Множество_202207112140401240[[#This Row],[2]]-Множество_202207112140401240[[#This Row],[4]]</f>
        <v>0</v>
      </c>
      <c r="L92" s="208">
        <f>Множество_202207112140401240[[#This Row],[3]]-Множество_202207112140401240[[#This Row],[5]]</f>
        <v>0</v>
      </c>
      <c r="M92" s="208">
        <f>Множество_202207112140401240[[#This Row],[7]]+Множество_202207112140401240[[#This Row],[6]]</f>
        <v>0</v>
      </c>
      <c r="N92" s="208" t="str">
        <f>CONCATENATE(Множество_202207112140401240[[#This Row],[2]],Множество_202207112140401240[[#This Row],[3]])</f>
        <v/>
      </c>
      <c r="O92" s="208"/>
      <c r="P92" s="208"/>
      <c r="Q92">
        <v>5.8250000000000002</v>
      </c>
      <c r="R92">
        <v>-16.466666666666701</v>
      </c>
      <c r="S92" s="208">
        <v>10</v>
      </c>
      <c r="T92" s="208">
        <v>-12.5</v>
      </c>
      <c r="U92" s="208">
        <f>ABS(Множество_202207112140401240[[#This Row],[10]]-Множество_202207112140401240[[#This Row],[12]])</f>
        <v>4.1749999999999998</v>
      </c>
      <c r="V92" s="208">
        <f>ABS(Множество_202207112140401240[[#This Row],[11]]-Множество_202207112140401240[[#This Row],[13]])</f>
        <v>3.9666666666667005</v>
      </c>
      <c r="W92" s="208">
        <f>Множество_202207112140401240[[#This Row],[15]]+Множество_202207112140401240[[#This Row],[14]]</f>
        <v>8.1416666666667012</v>
      </c>
      <c r="X92" s="208">
        <f ca="1">IF(ROW()-ROW(Множество_202207112140401240[[#Headers],[17]])&gt;1,Множество_202207112140401240[[#This Row],[16]]-OFFSET(Множество_202207112140401240[[#This Row],[16]],-1,0),0)</f>
        <v>4.1666666666699825E-2</v>
      </c>
      <c r="Y92" s="208">
        <v>5.8250000000000002</v>
      </c>
      <c r="Z92" s="208">
        <v>-16.466666666666701</v>
      </c>
      <c r="AA92" s="208">
        <f>ABS(Множество_202207112140401240[[#This Row],[18]]-Множество_202207112140401240[[#This Row],[12]])</f>
        <v>4.1749999999999998</v>
      </c>
      <c r="AB92" s="208">
        <f>ABS(Множество_202207112140401240[[#This Row],[19]]-Множество_202207112140401240[[#This Row],[13]])</f>
        <v>3.9666666666667005</v>
      </c>
      <c r="AC92" s="208">
        <f>Множество_202207112140401240[[#This Row],[20]]+Множество_202207112140401240[[#This Row],[21]]</f>
        <v>8.1416666666667012</v>
      </c>
    </row>
    <row r="93" spans="1:29" x14ac:dyDescent="0.25">
      <c r="F93" s="213"/>
      <c r="K93" s="208">
        <f>Множество_202207112140401240[[#This Row],[2]]-Множество_202207112140401240[[#This Row],[4]]</f>
        <v>0</v>
      </c>
      <c r="L93" s="208">
        <f>Множество_202207112140401240[[#This Row],[3]]-Множество_202207112140401240[[#This Row],[5]]</f>
        <v>0</v>
      </c>
      <c r="M93" s="208">
        <f>Множество_202207112140401240[[#This Row],[7]]+Множество_202207112140401240[[#This Row],[6]]</f>
        <v>0</v>
      </c>
      <c r="N93" s="208" t="str">
        <f>CONCATENATE(Множество_202207112140401240[[#This Row],[2]],Множество_202207112140401240[[#This Row],[3]])</f>
        <v/>
      </c>
      <c r="O93" s="208"/>
      <c r="P93" s="208"/>
      <c r="Q93">
        <v>5.8833333333333302</v>
      </c>
      <c r="R93">
        <v>-16.483333333333299</v>
      </c>
      <c r="S93" s="208">
        <v>10</v>
      </c>
      <c r="T93" s="208">
        <v>-12.5</v>
      </c>
      <c r="U93" s="208">
        <f>ABS(Множество_202207112140401240[[#This Row],[10]]-Множество_202207112140401240[[#This Row],[12]])</f>
        <v>4.1166666666666698</v>
      </c>
      <c r="V93" s="208">
        <f>ABS(Множество_202207112140401240[[#This Row],[11]]-Множество_202207112140401240[[#This Row],[13]])</f>
        <v>3.9833333333332988</v>
      </c>
      <c r="W93" s="208">
        <f>Множество_202207112140401240[[#This Row],[15]]+Множество_202207112140401240[[#This Row],[14]]</f>
        <v>8.0999999999999694</v>
      </c>
      <c r="X93" s="208">
        <f ca="1">IF(ROW()-ROW(Множество_202207112140401240[[#Headers],[17]])&gt;1,Множество_202207112140401240[[#This Row],[16]]-OFFSET(Множество_202207112140401240[[#This Row],[16]],-1,0),0)</f>
        <v>-4.16666666667318E-2</v>
      </c>
      <c r="Y93" s="208">
        <v>5.8833333333333302</v>
      </c>
      <c r="Z93" s="208">
        <v>-16.483333333333299</v>
      </c>
      <c r="AA93" s="208">
        <f>ABS(Множество_202207112140401240[[#This Row],[18]]-Множество_202207112140401240[[#This Row],[12]])</f>
        <v>4.1166666666666698</v>
      </c>
      <c r="AB93" s="208">
        <f>ABS(Множество_202207112140401240[[#This Row],[19]]-Множество_202207112140401240[[#This Row],[13]])</f>
        <v>3.9833333333332988</v>
      </c>
      <c r="AC93" s="208">
        <f>Множество_202207112140401240[[#This Row],[20]]+Множество_202207112140401240[[#This Row],[21]]</f>
        <v>8.0999999999999694</v>
      </c>
    </row>
    <row r="94" spans="1:29" x14ac:dyDescent="0.25">
      <c r="F94" s="213"/>
      <c r="K94" s="208">
        <f>Множество_202207112140401240[[#This Row],[2]]-Множество_202207112140401240[[#This Row],[4]]</f>
        <v>0</v>
      </c>
      <c r="L94" s="208">
        <f>Множество_202207112140401240[[#This Row],[3]]-Множество_202207112140401240[[#This Row],[5]]</f>
        <v>0</v>
      </c>
      <c r="M94" s="208">
        <f>Множество_202207112140401240[[#This Row],[7]]+Множество_202207112140401240[[#This Row],[6]]</f>
        <v>0</v>
      </c>
      <c r="N94" s="208" t="str">
        <f>CONCATENATE(Множество_202207112140401240[[#This Row],[2]],Множество_202207112140401240[[#This Row],[3]])</f>
        <v/>
      </c>
      <c r="O94" s="208"/>
      <c r="P94" s="208"/>
      <c r="Q94">
        <v>5.7083333333333304</v>
      </c>
      <c r="R94">
        <v>-16.45</v>
      </c>
      <c r="S94" s="208">
        <v>10</v>
      </c>
      <c r="T94" s="208">
        <v>-12.5</v>
      </c>
      <c r="U94" s="208">
        <f>ABS(Множество_202207112140401240[[#This Row],[10]]-Множество_202207112140401240[[#This Row],[12]])</f>
        <v>4.2916666666666696</v>
      </c>
      <c r="V94" s="208">
        <f>ABS(Множество_202207112140401240[[#This Row],[11]]-Множество_202207112140401240[[#This Row],[13]])</f>
        <v>3.9499999999999993</v>
      </c>
      <c r="W94" s="208">
        <f>Множество_202207112140401240[[#This Row],[15]]+Множество_202207112140401240[[#This Row],[14]]</f>
        <v>8.2416666666666689</v>
      </c>
      <c r="X94" s="208">
        <f ca="1">IF(ROW()-ROW(Множество_202207112140401240[[#Headers],[17]])&gt;1,Множество_202207112140401240[[#This Row],[16]]-OFFSET(Множество_202207112140401240[[#This Row],[16]],-1,0),0)</f>
        <v>0.14166666666669947</v>
      </c>
      <c r="Y94" s="208">
        <v>5.7083333333333304</v>
      </c>
      <c r="Z94" s="208">
        <v>-16.45</v>
      </c>
      <c r="AA94" s="208">
        <f>ABS(Множество_202207112140401240[[#This Row],[18]]-Множество_202207112140401240[[#This Row],[12]])</f>
        <v>4.2916666666666696</v>
      </c>
      <c r="AB94" s="208">
        <f>ABS(Множество_202207112140401240[[#This Row],[19]]-Множество_202207112140401240[[#This Row],[13]])</f>
        <v>3.9499999999999993</v>
      </c>
      <c r="AC94" s="208">
        <f>Множество_202207112140401240[[#This Row],[20]]+Множество_202207112140401240[[#This Row],[21]]</f>
        <v>8.2416666666666689</v>
      </c>
    </row>
    <row r="95" spans="1:29" x14ac:dyDescent="0.25">
      <c r="F95" s="213"/>
      <c r="K95" s="208">
        <f>Множество_202207112140401240[[#This Row],[2]]-Множество_202207112140401240[[#This Row],[4]]</f>
        <v>0</v>
      </c>
      <c r="L95" s="208">
        <f>Множество_202207112140401240[[#This Row],[3]]-Множество_202207112140401240[[#This Row],[5]]</f>
        <v>0</v>
      </c>
      <c r="M95" s="208">
        <f>Множество_202207112140401240[[#This Row],[7]]+Множество_202207112140401240[[#This Row],[6]]</f>
        <v>0</v>
      </c>
      <c r="N95" s="208" t="str">
        <f>CONCATENATE(Множество_202207112140401240[[#This Row],[2]],Множество_202207112140401240[[#This Row],[3]])</f>
        <v/>
      </c>
      <c r="O95" s="208"/>
      <c r="P95" s="208"/>
      <c r="Q95">
        <v>3.4916666666666698</v>
      </c>
      <c r="R95">
        <v>-14.1666666666667</v>
      </c>
      <c r="S95" s="208">
        <v>10</v>
      </c>
      <c r="T95" s="208">
        <v>-12.5</v>
      </c>
      <c r="U95" s="208">
        <f>ABS(Множество_202207112140401240[[#This Row],[10]]-Множество_202207112140401240[[#This Row],[12]])</f>
        <v>6.5083333333333302</v>
      </c>
      <c r="V95" s="208">
        <f>ABS(Множество_202207112140401240[[#This Row],[11]]-Множество_202207112140401240[[#This Row],[13]])</f>
        <v>1.6666666666666998</v>
      </c>
      <c r="W95" s="208">
        <f>Множество_202207112140401240[[#This Row],[15]]+Множество_202207112140401240[[#This Row],[14]]</f>
        <v>8.1750000000000291</v>
      </c>
      <c r="X95" s="208">
        <f ca="1">IF(ROW()-ROW(Множество_202207112140401240[[#Headers],[17]])&gt;1,Множество_202207112140401240[[#This Row],[16]]-OFFSET(Множество_202207112140401240[[#This Row],[16]],-1,0),0)</f>
        <v>-6.6666666666639784E-2</v>
      </c>
      <c r="Y95" s="208">
        <v>3.4916666666666698</v>
      </c>
      <c r="Z95" s="208">
        <v>-14.1666666666667</v>
      </c>
      <c r="AA95" s="208">
        <f>ABS(Множество_202207112140401240[[#This Row],[18]]-Множество_202207112140401240[[#This Row],[12]])</f>
        <v>6.5083333333333302</v>
      </c>
      <c r="AB95" s="208">
        <f>ABS(Множество_202207112140401240[[#This Row],[19]]-Множество_202207112140401240[[#This Row],[13]])</f>
        <v>1.6666666666666998</v>
      </c>
      <c r="AC95" s="208">
        <f>Множество_202207112140401240[[#This Row],[20]]+Множество_202207112140401240[[#This Row],[21]]</f>
        <v>8.1750000000000291</v>
      </c>
    </row>
    <row r="96" spans="1:29" x14ac:dyDescent="0.25">
      <c r="F96" s="213"/>
      <c r="K96" s="208">
        <f>Множество_202207112140401240[[#This Row],[2]]-Множество_202207112140401240[[#This Row],[4]]</f>
        <v>0</v>
      </c>
      <c r="L96" s="208">
        <f>Множество_202207112140401240[[#This Row],[3]]-Множество_202207112140401240[[#This Row],[5]]</f>
        <v>0</v>
      </c>
      <c r="M96" s="208">
        <f>Множество_202207112140401240[[#This Row],[7]]+Множество_202207112140401240[[#This Row],[6]]</f>
        <v>0</v>
      </c>
      <c r="N96" s="208" t="str">
        <f>CONCATENATE(Множество_202207112140401240[[#This Row],[2]],Множество_202207112140401240[[#This Row],[3]])</f>
        <v/>
      </c>
      <c r="O96" s="208"/>
      <c r="P96" s="208"/>
      <c r="Q96">
        <v>3.43333333333333</v>
      </c>
      <c r="R96">
        <v>-14.2</v>
      </c>
      <c r="S96" s="208">
        <v>10</v>
      </c>
      <c r="T96" s="208">
        <v>-12.5</v>
      </c>
      <c r="U96" s="208">
        <f>ABS(Множество_202207112140401240[[#This Row],[10]]-Множество_202207112140401240[[#This Row],[12]])</f>
        <v>6.56666666666667</v>
      </c>
      <c r="V96" s="208">
        <f>ABS(Множество_202207112140401240[[#This Row],[11]]-Множество_202207112140401240[[#This Row],[13]])</f>
        <v>1.6999999999999993</v>
      </c>
      <c r="W96" s="208">
        <f>Множество_202207112140401240[[#This Row],[15]]+Множество_202207112140401240[[#This Row],[14]]</f>
        <v>8.2666666666666693</v>
      </c>
      <c r="X96" s="208">
        <f ca="1">IF(ROW()-ROW(Множество_202207112140401240[[#Headers],[17]])&gt;1,Множество_202207112140401240[[#This Row],[16]]-OFFSET(Множество_202207112140401240[[#This Row],[16]],-1,0),0)</f>
        <v>9.166666666664014E-2</v>
      </c>
      <c r="Y96" s="208">
        <v>3.43333333333333</v>
      </c>
      <c r="Z96" s="208">
        <v>-14.2</v>
      </c>
      <c r="AA96" s="208">
        <f>ABS(Множество_202207112140401240[[#This Row],[18]]-Множество_202207112140401240[[#This Row],[12]])</f>
        <v>6.56666666666667</v>
      </c>
      <c r="AB96" s="208">
        <f>ABS(Множество_202207112140401240[[#This Row],[19]]-Множество_202207112140401240[[#This Row],[13]])</f>
        <v>1.6999999999999993</v>
      </c>
      <c r="AC96" s="208">
        <f>Множество_202207112140401240[[#This Row],[20]]+Множество_202207112140401240[[#This Row],[21]]</f>
        <v>8.2666666666666693</v>
      </c>
    </row>
    <row r="97" spans="6:29" x14ac:dyDescent="0.25">
      <c r="F97" s="213"/>
      <c r="K97" s="208">
        <f>Множество_202207112140401240[[#This Row],[2]]-Множество_202207112140401240[[#This Row],[4]]</f>
        <v>0</v>
      </c>
      <c r="L97" s="208">
        <f>Множество_202207112140401240[[#This Row],[3]]-Множество_202207112140401240[[#This Row],[5]]</f>
        <v>0</v>
      </c>
      <c r="M97" s="208">
        <f>Множество_202207112140401240[[#This Row],[7]]+Множество_202207112140401240[[#This Row],[6]]</f>
        <v>0</v>
      </c>
      <c r="N97" s="208" t="str">
        <f>CONCATENATE(Множество_202207112140401240[[#This Row],[2]],Множество_202207112140401240[[#This Row],[3]])</f>
        <v/>
      </c>
      <c r="O97" s="208"/>
      <c r="P97" s="208"/>
      <c r="Q97">
        <v>5.5333333333333297</v>
      </c>
      <c r="R97">
        <v>-16.399999999999999</v>
      </c>
      <c r="S97" s="208">
        <v>10</v>
      </c>
      <c r="T97" s="208">
        <v>-12.5</v>
      </c>
      <c r="U97" s="208">
        <f>ABS(Множество_202207112140401240[[#This Row],[10]]-Множество_202207112140401240[[#This Row],[12]])</f>
        <v>4.4666666666666703</v>
      </c>
      <c r="V97" s="208">
        <f>ABS(Множество_202207112140401240[[#This Row],[11]]-Множество_202207112140401240[[#This Row],[13]])</f>
        <v>3.8999999999999986</v>
      </c>
      <c r="W97" s="208">
        <f>Множество_202207112140401240[[#This Row],[15]]+Множество_202207112140401240[[#This Row],[14]]</f>
        <v>8.3666666666666689</v>
      </c>
      <c r="X97" s="208">
        <f ca="1">IF(ROW()-ROW(Множество_202207112140401240[[#Headers],[17]])&gt;1,Множество_202207112140401240[[#This Row],[16]]-OFFSET(Множество_202207112140401240[[#This Row],[16]],-1,0),0)</f>
        <v>9.9999999999999645E-2</v>
      </c>
      <c r="Y97" s="208">
        <v>5.5333333333333297</v>
      </c>
      <c r="Z97" s="208">
        <v>-16.399999999999999</v>
      </c>
      <c r="AA97" s="208">
        <f>ABS(Множество_202207112140401240[[#This Row],[18]]-Множество_202207112140401240[[#This Row],[12]])</f>
        <v>4.4666666666666703</v>
      </c>
      <c r="AB97" s="208">
        <f>ABS(Множество_202207112140401240[[#This Row],[19]]-Множество_202207112140401240[[#This Row],[13]])</f>
        <v>3.8999999999999986</v>
      </c>
      <c r="AC97" s="208">
        <f>Множество_202207112140401240[[#This Row],[20]]+Множество_202207112140401240[[#This Row],[21]]</f>
        <v>8.3666666666666689</v>
      </c>
    </row>
    <row r="98" spans="6:29" x14ac:dyDescent="0.25">
      <c r="F98" s="213"/>
      <c r="K98" s="208">
        <f>Множество_202207112140401240[[#This Row],[2]]-Множество_202207112140401240[[#This Row],[4]]</f>
        <v>0</v>
      </c>
      <c r="L98" s="208">
        <f>Множество_202207112140401240[[#This Row],[3]]-Множество_202207112140401240[[#This Row],[5]]</f>
        <v>0</v>
      </c>
      <c r="M98" s="208">
        <f>Множество_202207112140401240[[#This Row],[7]]+Множество_202207112140401240[[#This Row],[6]]</f>
        <v>0</v>
      </c>
      <c r="N98" s="208" t="str">
        <f>CONCATENATE(Множество_202207112140401240[[#This Row],[2]],Множество_202207112140401240[[#This Row],[3]])</f>
        <v/>
      </c>
      <c r="O98" s="208"/>
      <c r="P98" s="208"/>
      <c r="Q98">
        <v>5.5916666666666703</v>
      </c>
      <c r="R98">
        <v>-16.4166666666667</v>
      </c>
      <c r="S98" s="208">
        <v>10</v>
      </c>
      <c r="T98" s="208">
        <v>-12.5</v>
      </c>
      <c r="U98" s="208">
        <f>ABS(Множество_202207112140401240[[#This Row],[10]]-Множество_202207112140401240[[#This Row],[12]])</f>
        <v>4.4083333333333297</v>
      </c>
      <c r="V98" s="208">
        <f>ABS(Множество_202207112140401240[[#This Row],[11]]-Множество_202207112140401240[[#This Row],[13]])</f>
        <v>3.9166666666666998</v>
      </c>
      <c r="W98" s="208">
        <f>Множество_202207112140401240[[#This Row],[15]]+Множество_202207112140401240[[#This Row],[14]]</f>
        <v>8.3250000000000295</v>
      </c>
      <c r="X98" s="208">
        <f ca="1">IF(ROW()-ROW(Множество_202207112140401240[[#Headers],[17]])&gt;1,Множество_202207112140401240[[#This Row],[16]]-OFFSET(Множество_202207112140401240[[#This Row],[16]],-1,0),0)</f>
        <v>-4.1666666666639429E-2</v>
      </c>
      <c r="Y98" s="208">
        <v>5.5916666666666703</v>
      </c>
      <c r="Z98" s="208">
        <v>-16.4166666666667</v>
      </c>
      <c r="AA98" s="208">
        <f>ABS(Множество_202207112140401240[[#This Row],[18]]-Множество_202207112140401240[[#This Row],[12]])</f>
        <v>4.4083333333333297</v>
      </c>
      <c r="AB98" s="208">
        <f>ABS(Множество_202207112140401240[[#This Row],[19]]-Множество_202207112140401240[[#This Row],[13]])</f>
        <v>3.9166666666666998</v>
      </c>
      <c r="AC98" s="208">
        <f>Множество_202207112140401240[[#This Row],[20]]+Множество_202207112140401240[[#This Row],[21]]</f>
        <v>8.3250000000000295</v>
      </c>
    </row>
    <row r="99" spans="6:29" x14ac:dyDescent="0.25">
      <c r="F99" s="213"/>
      <c r="K99" s="208">
        <f>Множество_202207112140401240[[#This Row],[2]]-Множество_202207112140401240[[#This Row],[4]]</f>
        <v>0</v>
      </c>
      <c r="L99" s="208">
        <f>Множество_202207112140401240[[#This Row],[3]]-Множество_202207112140401240[[#This Row],[5]]</f>
        <v>0</v>
      </c>
      <c r="M99" s="208">
        <f>Множество_202207112140401240[[#This Row],[7]]+Множество_202207112140401240[[#This Row],[6]]</f>
        <v>0</v>
      </c>
      <c r="N99" s="208" t="str">
        <f>CONCATENATE(Множество_202207112140401240[[#This Row],[2]],Множество_202207112140401240[[#This Row],[3]])</f>
        <v/>
      </c>
      <c r="O99" s="208"/>
      <c r="P99" s="208"/>
      <c r="Q99">
        <v>5.65</v>
      </c>
      <c r="R99">
        <v>-16.433333333333302</v>
      </c>
      <c r="S99" s="208">
        <v>10</v>
      </c>
      <c r="T99" s="208">
        <v>-12.5</v>
      </c>
      <c r="U99" s="208">
        <f>ABS(Множество_202207112140401240[[#This Row],[10]]-Множество_202207112140401240[[#This Row],[12]])</f>
        <v>4.3499999999999996</v>
      </c>
      <c r="V99" s="208">
        <f>ABS(Множество_202207112140401240[[#This Row],[11]]-Множество_202207112140401240[[#This Row],[13]])</f>
        <v>3.9333333333333016</v>
      </c>
      <c r="W99" s="208">
        <f>Множество_202207112140401240[[#This Row],[15]]+Множество_202207112140401240[[#This Row],[14]]</f>
        <v>8.2833333333333012</v>
      </c>
      <c r="X99" s="208">
        <f ca="1">IF(ROW()-ROW(Множество_202207112140401240[[#Headers],[17]])&gt;1,Множество_202207112140401240[[#This Row],[16]]-OFFSET(Множество_202207112140401240[[#This Row],[16]],-1,0),0)</f>
        <v>-4.1666666666728247E-2</v>
      </c>
      <c r="Y99" s="208">
        <v>5.65</v>
      </c>
      <c r="Z99" s="208">
        <v>-16.433333333333302</v>
      </c>
      <c r="AA99" s="208">
        <f>ABS(Множество_202207112140401240[[#This Row],[18]]-Множество_202207112140401240[[#This Row],[12]])</f>
        <v>4.3499999999999996</v>
      </c>
      <c r="AB99" s="208">
        <f>ABS(Множество_202207112140401240[[#This Row],[19]]-Множество_202207112140401240[[#This Row],[13]])</f>
        <v>3.9333333333333016</v>
      </c>
      <c r="AC99" s="208">
        <f>Множество_202207112140401240[[#This Row],[20]]+Множество_202207112140401240[[#This Row],[21]]</f>
        <v>8.2833333333333012</v>
      </c>
    </row>
    <row r="100" spans="6:29" x14ac:dyDescent="0.25">
      <c r="F100" s="213"/>
      <c r="K100" s="208">
        <f>Множество_202207112140401240[[#This Row],[2]]-Множество_202207112140401240[[#This Row],[4]]</f>
        <v>0</v>
      </c>
      <c r="L100" s="208">
        <f>Множество_202207112140401240[[#This Row],[3]]-Множество_202207112140401240[[#This Row],[5]]</f>
        <v>0</v>
      </c>
      <c r="M100" s="208">
        <f>Множество_202207112140401240[[#This Row],[7]]+Множество_202207112140401240[[#This Row],[6]]</f>
        <v>0</v>
      </c>
      <c r="N100" s="208" t="str">
        <f>CONCATENATE(Множество_202207112140401240[[#This Row],[2]],Множество_202207112140401240[[#This Row],[3]])</f>
        <v/>
      </c>
      <c r="O100" s="208"/>
      <c r="P100" s="208"/>
      <c r="Q100">
        <v>3.375</v>
      </c>
      <c r="R100">
        <v>-14.216666666666701</v>
      </c>
      <c r="S100" s="208">
        <v>10</v>
      </c>
      <c r="T100" s="208">
        <v>-12.5</v>
      </c>
      <c r="U100" s="208">
        <f>ABS(Множество_202207112140401240[[#This Row],[10]]-Множество_202207112140401240[[#This Row],[12]])</f>
        <v>6.625</v>
      </c>
      <c r="V100" s="208">
        <f>ABS(Множество_202207112140401240[[#This Row],[11]]-Множество_202207112140401240[[#This Row],[13]])</f>
        <v>1.7166666666667005</v>
      </c>
      <c r="W100" s="208">
        <f>Множество_202207112140401240[[#This Row],[15]]+Множество_202207112140401240[[#This Row],[14]]</f>
        <v>8.3416666666667005</v>
      </c>
      <c r="X100" s="208">
        <f ca="1">IF(ROW()-ROW(Множество_202207112140401240[[#Headers],[17]])&gt;1,Множество_202207112140401240[[#This Row],[16]]-OFFSET(Множество_202207112140401240[[#This Row],[16]],-1,0),0)</f>
        <v>5.8333333333399295E-2</v>
      </c>
      <c r="Y100" s="208">
        <v>3.375</v>
      </c>
      <c r="Z100" s="208">
        <v>-14.216666666666701</v>
      </c>
      <c r="AA100" s="208">
        <f>ABS(Множество_202207112140401240[[#This Row],[18]]-Множество_202207112140401240[[#This Row],[12]])</f>
        <v>6.625</v>
      </c>
      <c r="AB100" s="208">
        <f>ABS(Множество_202207112140401240[[#This Row],[19]]-Множество_202207112140401240[[#This Row],[13]])</f>
        <v>1.7166666666667005</v>
      </c>
      <c r="AC100" s="208">
        <f>Множество_202207112140401240[[#This Row],[20]]+Множество_202207112140401240[[#This Row],[21]]</f>
        <v>8.3416666666667005</v>
      </c>
    </row>
    <row r="101" spans="6:29" x14ac:dyDescent="0.25">
      <c r="F101" s="213"/>
      <c r="K101" s="208">
        <f>Множество_202207112140401240[[#This Row],[2]]-Множество_202207112140401240[[#This Row],[4]]</f>
        <v>0</v>
      </c>
      <c r="L101" s="208">
        <f>Множество_202207112140401240[[#This Row],[3]]-Множество_202207112140401240[[#This Row],[5]]</f>
        <v>0</v>
      </c>
      <c r="M101" s="208">
        <f>Множество_202207112140401240[[#This Row],[7]]+Множество_202207112140401240[[#This Row],[6]]</f>
        <v>0</v>
      </c>
      <c r="N101" s="208" t="str">
        <f>CONCATENATE(Множество_202207112140401240[[#This Row],[2]],Множество_202207112140401240[[#This Row],[3]])</f>
        <v/>
      </c>
      <c r="O101" s="208"/>
      <c r="P101" s="208"/>
      <c r="Q101">
        <v>3.31666666666667</v>
      </c>
      <c r="R101">
        <v>-14.233333333333301</v>
      </c>
      <c r="S101" s="208">
        <v>10</v>
      </c>
      <c r="T101" s="208">
        <v>-12.5</v>
      </c>
      <c r="U101" s="208">
        <f>ABS(Множество_202207112140401240[[#This Row],[10]]-Множество_202207112140401240[[#This Row],[12]])</f>
        <v>6.68333333333333</v>
      </c>
      <c r="V101" s="208">
        <f>ABS(Множество_202207112140401240[[#This Row],[11]]-Множество_202207112140401240[[#This Row],[13]])</f>
        <v>1.7333333333333005</v>
      </c>
      <c r="W101" s="208">
        <f>Множество_202207112140401240[[#This Row],[15]]+Множество_202207112140401240[[#This Row],[14]]</f>
        <v>8.4166666666666305</v>
      </c>
      <c r="X101" s="208">
        <f ca="1">IF(ROW()-ROW(Множество_202207112140401240[[#Headers],[17]])&gt;1,Множество_202207112140401240[[#This Row],[16]]-OFFSET(Множество_202207112140401240[[#This Row],[16]],-1,0),0)</f>
        <v>7.4999999999930012E-2</v>
      </c>
      <c r="Y101" s="208">
        <v>5.4166666666666696</v>
      </c>
      <c r="Z101" s="208">
        <v>-16.383333333333301</v>
      </c>
      <c r="AA101" s="208">
        <f>ABS(Множество_202207112140401240[[#This Row],[18]]-Множество_202207112140401240[[#This Row],[12]])</f>
        <v>4.5833333333333304</v>
      </c>
      <c r="AB101" s="208">
        <f>ABS(Множество_202207112140401240[[#This Row],[19]]-Множество_202207112140401240[[#This Row],[13]])</f>
        <v>3.8833333333333009</v>
      </c>
      <c r="AC101" s="208">
        <f>Множество_202207112140401240[[#This Row],[20]]+Множество_202207112140401240[[#This Row],[21]]</f>
        <v>8.4666666666666313</v>
      </c>
    </row>
    <row r="102" spans="6:29" x14ac:dyDescent="0.25">
      <c r="F102" s="213"/>
      <c r="K102" s="208">
        <f>Множество_202207112140401240[[#This Row],[2]]-Множество_202207112140401240[[#This Row],[4]]</f>
        <v>0</v>
      </c>
      <c r="L102" s="208">
        <f>Множество_202207112140401240[[#This Row],[3]]-Множество_202207112140401240[[#This Row],[5]]</f>
        <v>0</v>
      </c>
      <c r="M102" s="208">
        <f>Множество_202207112140401240[[#This Row],[7]]+Множество_202207112140401240[[#This Row],[6]]</f>
        <v>0</v>
      </c>
      <c r="N102" s="208" t="str">
        <f>CONCATENATE(Множество_202207112140401240[[#This Row],[2]],Множество_202207112140401240[[#This Row],[3]])</f>
        <v/>
      </c>
      <c r="O102" s="208"/>
      <c r="P102" s="208"/>
      <c r="Q102">
        <v>5.4166666666666696</v>
      </c>
      <c r="R102">
        <v>-16.383333333333301</v>
      </c>
      <c r="S102" s="208">
        <v>10</v>
      </c>
      <c r="T102" s="208">
        <v>-12.5</v>
      </c>
      <c r="U102" s="208">
        <f>ABS(Множество_202207112140401240[[#This Row],[10]]-Множество_202207112140401240[[#This Row],[12]])</f>
        <v>4.5833333333333304</v>
      </c>
      <c r="V102" s="208">
        <f>ABS(Множество_202207112140401240[[#This Row],[11]]-Множество_202207112140401240[[#This Row],[13]])</f>
        <v>3.8833333333333009</v>
      </c>
      <c r="W102" s="208">
        <f>Множество_202207112140401240[[#This Row],[15]]+Множество_202207112140401240[[#This Row],[14]]</f>
        <v>8.4666666666666313</v>
      </c>
      <c r="X102" s="208">
        <f ca="1">IF(ROW()-ROW(Множество_202207112140401240[[#Headers],[17]])&gt;1,Множество_202207112140401240[[#This Row],[16]]-OFFSET(Множество_202207112140401240[[#This Row],[16]],-1,0),0)</f>
        <v>5.0000000000000711E-2</v>
      </c>
      <c r="Y102" s="208">
        <v>3.31666666666667</v>
      </c>
      <c r="Z102" s="208">
        <v>-14.233333333333301</v>
      </c>
      <c r="AA102" s="208">
        <f>ABS(Множество_202207112140401240[[#This Row],[18]]-Множество_202207112140401240[[#This Row],[12]])</f>
        <v>6.68333333333333</v>
      </c>
      <c r="AB102" s="208">
        <f>ABS(Множество_202207112140401240[[#This Row],[19]]-Множество_202207112140401240[[#This Row],[13]])</f>
        <v>1.7333333333333005</v>
      </c>
      <c r="AC102" s="208">
        <f>Множество_202207112140401240[[#This Row],[20]]+Множество_202207112140401240[[#This Row],[21]]</f>
        <v>8.4166666666666305</v>
      </c>
    </row>
    <row r="103" spans="6:29" x14ac:dyDescent="0.25">
      <c r="F103" s="213"/>
      <c r="K103" s="208">
        <f>Множество_202207112140401240[[#This Row],[2]]-Множество_202207112140401240[[#This Row],[4]]</f>
        <v>0</v>
      </c>
      <c r="L103" s="208">
        <f>Множество_202207112140401240[[#This Row],[3]]-Множество_202207112140401240[[#This Row],[5]]</f>
        <v>0</v>
      </c>
      <c r="M103" s="208">
        <f>Множество_202207112140401240[[#This Row],[7]]+Множество_202207112140401240[[#This Row],[6]]</f>
        <v>0</v>
      </c>
      <c r="N103" s="208" t="str">
        <f>CONCATENATE(Множество_202207112140401240[[#This Row],[2]],Множество_202207112140401240[[#This Row],[3]])</f>
        <v/>
      </c>
      <c r="O103" s="208"/>
      <c r="P103" s="208"/>
      <c r="Q103">
        <v>5.4749999999999996</v>
      </c>
      <c r="R103">
        <v>-16.399999999999999</v>
      </c>
      <c r="S103" s="208">
        <v>10</v>
      </c>
      <c r="T103" s="208">
        <v>-12.5</v>
      </c>
      <c r="U103" s="208">
        <f>ABS(Множество_202207112140401240[[#This Row],[10]]-Множество_202207112140401240[[#This Row],[12]])</f>
        <v>4.5250000000000004</v>
      </c>
      <c r="V103" s="208">
        <f>ABS(Множество_202207112140401240[[#This Row],[11]]-Множество_202207112140401240[[#This Row],[13]])</f>
        <v>3.8999999999999986</v>
      </c>
      <c r="W103" s="208">
        <f>Множество_202207112140401240[[#This Row],[15]]+Множество_202207112140401240[[#This Row],[14]]</f>
        <v>8.4249999999999989</v>
      </c>
      <c r="X103" s="208">
        <f ca="1">IF(ROW()-ROW(Множество_202207112140401240[[#Headers],[17]])&gt;1,Множество_202207112140401240[[#This Row],[16]]-OFFSET(Множество_202207112140401240[[#This Row],[16]],-1,0),0)</f>
        <v>-4.1666666666632324E-2</v>
      </c>
      <c r="Y103" s="208">
        <v>5.4749999999999996</v>
      </c>
      <c r="Z103" s="208">
        <v>-16.399999999999999</v>
      </c>
      <c r="AA103" s="208">
        <f>ABS(Множество_202207112140401240[[#This Row],[18]]-Множество_202207112140401240[[#This Row],[12]])</f>
        <v>4.5250000000000004</v>
      </c>
      <c r="AB103" s="208">
        <f>ABS(Множество_202207112140401240[[#This Row],[19]]-Множество_202207112140401240[[#This Row],[13]])</f>
        <v>3.8999999999999986</v>
      </c>
      <c r="AC103" s="208">
        <f>Множество_202207112140401240[[#This Row],[20]]+Множество_202207112140401240[[#This Row],[21]]</f>
        <v>8.4249999999999989</v>
      </c>
    </row>
    <row r="104" spans="6:29" x14ac:dyDescent="0.25">
      <c r="F104" s="213"/>
      <c r="K104" s="208">
        <f>Множество_202207112140401240[[#This Row],[2]]-Множество_202207112140401240[[#This Row],[4]]</f>
        <v>0</v>
      </c>
      <c r="L104" s="208">
        <f>Множество_202207112140401240[[#This Row],[3]]-Множество_202207112140401240[[#This Row],[5]]</f>
        <v>0</v>
      </c>
      <c r="M104" s="208">
        <f>Множество_202207112140401240[[#This Row],[7]]+Множество_202207112140401240[[#This Row],[6]]</f>
        <v>0</v>
      </c>
      <c r="N104" s="208" t="str">
        <f>CONCATENATE(Множество_202207112140401240[[#This Row],[2]],Множество_202207112140401240[[#This Row],[3]])</f>
        <v/>
      </c>
      <c r="O104" s="208"/>
      <c r="P104" s="208"/>
      <c r="Q104">
        <v>5.3583333333333298</v>
      </c>
      <c r="R104">
        <v>-16.366666666666699</v>
      </c>
      <c r="S104" s="208">
        <v>10</v>
      </c>
      <c r="T104" s="208">
        <v>-12.5</v>
      </c>
      <c r="U104" s="208">
        <f>ABS(Множество_202207112140401240[[#This Row],[10]]-Множество_202207112140401240[[#This Row],[12]])</f>
        <v>4.6416666666666702</v>
      </c>
      <c r="V104" s="208">
        <f>ABS(Множество_202207112140401240[[#This Row],[11]]-Множество_202207112140401240[[#This Row],[13]])</f>
        <v>3.8666666666666991</v>
      </c>
      <c r="W104" s="208">
        <f>Множество_202207112140401240[[#This Row],[15]]+Множество_202207112140401240[[#This Row],[14]]</f>
        <v>8.5083333333333684</v>
      </c>
      <c r="X104" s="208">
        <f ca="1">IF(ROW()-ROW(Множество_202207112140401240[[#Headers],[17]])&gt;1,Множество_202207112140401240[[#This Row],[16]]-OFFSET(Множество_202207112140401240[[#This Row],[16]],-1,0),0)</f>
        <v>8.3333333333369453E-2</v>
      </c>
      <c r="Y104" s="208">
        <v>5.3</v>
      </c>
      <c r="Z104" s="208">
        <v>-16.350000000000001</v>
      </c>
      <c r="AA104" s="208">
        <f>ABS(Множество_202207112140401240[[#This Row],[18]]-Множество_202207112140401240[[#This Row],[12]])</f>
        <v>4.7</v>
      </c>
      <c r="AB104" s="208">
        <f>ABS(Множество_202207112140401240[[#This Row],[19]]-Множество_202207112140401240[[#This Row],[13]])</f>
        <v>3.8500000000000014</v>
      </c>
      <c r="AC104" s="208">
        <f>Множество_202207112140401240[[#This Row],[20]]+Множество_202207112140401240[[#This Row],[21]]</f>
        <v>8.5500000000000007</v>
      </c>
    </row>
    <row r="105" spans="6:29" x14ac:dyDescent="0.25">
      <c r="F105" s="213"/>
      <c r="K105" s="208">
        <f>Множество_202207112140401240[[#This Row],[2]]-Множество_202207112140401240[[#This Row],[4]]</f>
        <v>0</v>
      </c>
      <c r="L105" s="208">
        <f>Множество_202207112140401240[[#This Row],[3]]-Множество_202207112140401240[[#This Row],[5]]</f>
        <v>0</v>
      </c>
      <c r="M105" s="208">
        <f>Множество_202207112140401240[[#This Row],[7]]+Множество_202207112140401240[[#This Row],[6]]</f>
        <v>0</v>
      </c>
      <c r="N105" s="208" t="str">
        <f>CONCATENATE(Множество_202207112140401240[[#This Row],[2]],Множество_202207112140401240[[#This Row],[3]])</f>
        <v/>
      </c>
      <c r="O105" s="208"/>
      <c r="P105" s="208"/>
      <c r="Q105">
        <v>5.3</v>
      </c>
      <c r="R105">
        <v>-16.350000000000001</v>
      </c>
      <c r="S105" s="208">
        <v>10</v>
      </c>
      <c r="T105" s="208">
        <v>-12.5</v>
      </c>
      <c r="U105" s="208">
        <f>ABS(Множество_202207112140401240[[#This Row],[10]]-Множество_202207112140401240[[#This Row],[12]])</f>
        <v>4.7</v>
      </c>
      <c r="V105" s="208">
        <f>ABS(Множество_202207112140401240[[#This Row],[11]]-Множество_202207112140401240[[#This Row],[13]])</f>
        <v>3.8500000000000014</v>
      </c>
      <c r="W105" s="208">
        <f>Множество_202207112140401240[[#This Row],[15]]+Множество_202207112140401240[[#This Row],[14]]</f>
        <v>8.5500000000000007</v>
      </c>
      <c r="X105" s="208">
        <f ca="1">IF(ROW()-ROW(Множество_202207112140401240[[#Headers],[17]])&gt;1,Множество_202207112140401240[[#This Row],[16]]-OFFSET(Множество_202207112140401240[[#This Row],[16]],-1,0),0)</f>
        <v>4.1666666666632324E-2</v>
      </c>
      <c r="Y105" s="208">
        <v>5.3583333333333298</v>
      </c>
      <c r="Z105" s="208">
        <v>-16.366666666666699</v>
      </c>
      <c r="AA105" s="208">
        <f>ABS(Множество_202207112140401240[[#This Row],[18]]-Множество_202207112140401240[[#This Row],[12]])</f>
        <v>4.6416666666666702</v>
      </c>
      <c r="AB105" s="208">
        <f>ABS(Множество_202207112140401240[[#This Row],[19]]-Множество_202207112140401240[[#This Row],[13]])</f>
        <v>3.8666666666666991</v>
      </c>
      <c r="AC105" s="208">
        <f>Множество_202207112140401240[[#This Row],[20]]+Множество_202207112140401240[[#This Row],[21]]</f>
        <v>8.5083333333333684</v>
      </c>
    </row>
    <row r="106" spans="6:29" x14ac:dyDescent="0.25">
      <c r="F106" s="213"/>
      <c r="K106" s="208">
        <f>Множество_202207112140401240[[#This Row],[2]]-Множество_202207112140401240[[#This Row],[4]]</f>
        <v>0</v>
      </c>
      <c r="L106" s="208">
        <f>Множество_202207112140401240[[#This Row],[3]]-Множество_202207112140401240[[#This Row],[5]]</f>
        <v>0</v>
      </c>
      <c r="M106" s="208">
        <f>Множество_202207112140401240[[#This Row],[7]]+Множество_202207112140401240[[#This Row],[6]]</f>
        <v>0</v>
      </c>
      <c r="N106" s="208" t="str">
        <f>CONCATENATE(Множество_202207112140401240[[#This Row],[2]],Множество_202207112140401240[[#This Row],[3]])</f>
        <v/>
      </c>
      <c r="O106" s="208"/>
      <c r="P106" s="208"/>
      <c r="Q106">
        <v>3.2583333333333302</v>
      </c>
      <c r="R106">
        <v>-14.25</v>
      </c>
      <c r="S106" s="208">
        <v>10</v>
      </c>
      <c r="T106" s="208">
        <v>-12.5</v>
      </c>
      <c r="U106" s="208">
        <f>ABS(Множество_202207112140401240[[#This Row],[10]]-Множество_202207112140401240[[#This Row],[12]])</f>
        <v>6.7416666666666698</v>
      </c>
      <c r="V106" s="208">
        <f>ABS(Множество_202207112140401240[[#This Row],[11]]-Множество_202207112140401240[[#This Row],[13]])</f>
        <v>1.75</v>
      </c>
      <c r="W106" s="208">
        <f>Множество_202207112140401240[[#This Row],[15]]+Множество_202207112140401240[[#This Row],[14]]</f>
        <v>8.4916666666666707</v>
      </c>
      <c r="X106" s="208">
        <f ca="1">IF(ROW()-ROW(Множество_202207112140401240[[#Headers],[17]])&gt;1,Множество_202207112140401240[[#This Row],[16]]-OFFSET(Множество_202207112140401240[[#This Row],[16]],-1,0),0)</f>
        <v>-5.8333333333330017E-2</v>
      </c>
      <c r="Y106" s="208">
        <v>3.2583333333333302</v>
      </c>
      <c r="Z106" s="208">
        <v>-14.25</v>
      </c>
      <c r="AA106" s="208">
        <f>ABS(Множество_202207112140401240[[#This Row],[18]]-Множество_202207112140401240[[#This Row],[12]])</f>
        <v>6.7416666666666698</v>
      </c>
      <c r="AB106" s="208">
        <f>ABS(Множество_202207112140401240[[#This Row],[19]]-Множество_202207112140401240[[#This Row],[13]])</f>
        <v>1.75</v>
      </c>
      <c r="AC106" s="208">
        <f>Множество_202207112140401240[[#This Row],[20]]+Множество_202207112140401240[[#This Row],[21]]</f>
        <v>8.4916666666666707</v>
      </c>
    </row>
    <row r="107" spans="6:29" x14ac:dyDescent="0.25">
      <c r="F107" s="213"/>
      <c r="K107" s="208">
        <f>Множество_202207112140401240[[#This Row],[2]]-Множество_202207112140401240[[#This Row],[4]]</f>
        <v>0</v>
      </c>
      <c r="L107" s="208">
        <f>Множество_202207112140401240[[#This Row],[3]]-Множество_202207112140401240[[#This Row],[5]]</f>
        <v>0</v>
      </c>
      <c r="M107" s="208">
        <f>Множество_202207112140401240[[#This Row],[7]]+Множество_202207112140401240[[#This Row],[6]]</f>
        <v>0</v>
      </c>
      <c r="N107" s="208" t="str">
        <f>CONCATENATE(Множество_202207112140401240[[#This Row],[2]],Множество_202207112140401240[[#This Row],[3]])</f>
        <v/>
      </c>
      <c r="O107" s="208"/>
      <c r="P107" s="208"/>
      <c r="Q107">
        <v>3.2</v>
      </c>
      <c r="R107">
        <v>-14.283333333333299</v>
      </c>
      <c r="S107" s="208">
        <v>10</v>
      </c>
      <c r="T107" s="208">
        <v>-12.5</v>
      </c>
      <c r="U107" s="208">
        <f>ABS(Множество_202207112140401240[[#This Row],[10]]-Множество_202207112140401240[[#This Row],[12]])</f>
        <v>6.8</v>
      </c>
      <c r="V107" s="208">
        <f>ABS(Множество_202207112140401240[[#This Row],[11]]-Множество_202207112140401240[[#This Row],[13]])</f>
        <v>1.7833333333332995</v>
      </c>
      <c r="W107" s="208">
        <f>Множество_202207112140401240[[#This Row],[15]]+Множество_202207112140401240[[#This Row],[14]]</f>
        <v>8.5833333333333002</v>
      </c>
      <c r="X107" s="208">
        <f ca="1">IF(ROW()-ROW(Множество_202207112140401240[[#Headers],[17]])&gt;1,Множество_202207112140401240[[#This Row],[16]]-OFFSET(Множество_202207112140401240[[#This Row],[16]],-1,0),0)</f>
        <v>9.1666666666629482E-2</v>
      </c>
      <c r="Y107" s="208">
        <v>3.2</v>
      </c>
      <c r="Z107" s="208">
        <v>-14.283333333333299</v>
      </c>
      <c r="AA107" s="208">
        <f>ABS(Множество_202207112140401240[[#This Row],[18]]-Множество_202207112140401240[[#This Row],[12]])</f>
        <v>6.8</v>
      </c>
      <c r="AB107" s="208">
        <f>ABS(Множество_202207112140401240[[#This Row],[19]]-Множество_202207112140401240[[#This Row],[13]])</f>
        <v>1.7833333333332995</v>
      </c>
      <c r="AC107" s="208">
        <f>Множество_202207112140401240[[#This Row],[20]]+Множество_202207112140401240[[#This Row],[21]]</f>
        <v>8.5833333333333002</v>
      </c>
    </row>
    <row r="108" spans="6:29" x14ac:dyDescent="0.25">
      <c r="F108" s="213"/>
      <c r="K108" s="208">
        <f>Множество_202207112140401240[[#This Row],[2]]-Множество_202207112140401240[[#This Row],[4]]</f>
        <v>0</v>
      </c>
      <c r="L108" s="208">
        <f>Множество_202207112140401240[[#This Row],[3]]-Множество_202207112140401240[[#This Row],[5]]</f>
        <v>0</v>
      </c>
      <c r="M108" s="208">
        <f>Множество_202207112140401240[[#This Row],[7]]+Множество_202207112140401240[[#This Row],[6]]</f>
        <v>0</v>
      </c>
      <c r="N108" s="208" t="str">
        <f>CONCATENATE(Множество_202207112140401240[[#This Row],[2]],Множество_202207112140401240[[#This Row],[3]])</f>
        <v/>
      </c>
      <c r="O108" s="208"/>
      <c r="P108" s="208"/>
      <c r="Q108">
        <v>3.1416666666666702</v>
      </c>
      <c r="R108">
        <v>-14.3</v>
      </c>
      <c r="S108" s="208">
        <v>10</v>
      </c>
      <c r="T108" s="208">
        <v>-12.5</v>
      </c>
      <c r="U108" s="208">
        <f>ABS(Множество_202207112140401240[[#This Row],[10]]-Множество_202207112140401240[[#This Row],[12]])</f>
        <v>6.8583333333333298</v>
      </c>
      <c r="V108" s="208">
        <f>ABS(Множество_202207112140401240[[#This Row],[11]]-Множество_202207112140401240[[#This Row],[13]])</f>
        <v>1.8000000000000007</v>
      </c>
      <c r="W108" s="208">
        <f>Множество_202207112140401240[[#This Row],[15]]+Множество_202207112140401240[[#This Row],[14]]</f>
        <v>8.6583333333333314</v>
      </c>
      <c r="X108" s="208">
        <f ca="1">IF(ROW()-ROW(Множество_202207112140401240[[#Headers],[17]])&gt;1,Множество_202207112140401240[[#This Row],[16]]-OFFSET(Множество_202207112140401240[[#This Row],[16]],-1,0),0)</f>
        <v>7.5000000000031264E-2</v>
      </c>
      <c r="Y108" s="208">
        <v>3.1416666666666702</v>
      </c>
      <c r="Z108" s="208">
        <v>-14.3</v>
      </c>
      <c r="AA108" s="208">
        <f>ABS(Множество_202207112140401240[[#This Row],[18]]-Множество_202207112140401240[[#This Row],[12]])</f>
        <v>6.8583333333333298</v>
      </c>
      <c r="AB108" s="208">
        <f>ABS(Множество_202207112140401240[[#This Row],[19]]-Множество_202207112140401240[[#This Row],[13]])</f>
        <v>1.8000000000000007</v>
      </c>
      <c r="AC108" s="208">
        <f>Множество_202207112140401240[[#This Row],[20]]+Множество_202207112140401240[[#This Row],[21]]</f>
        <v>8.6583333333333314</v>
      </c>
    </row>
    <row r="109" spans="6:29" x14ac:dyDescent="0.25">
      <c r="F109" s="213"/>
      <c r="K109" s="208">
        <f>Множество_202207112140401240[[#This Row],[2]]-Множество_202207112140401240[[#This Row],[4]]</f>
        <v>0</v>
      </c>
      <c r="L109" s="208">
        <f>Множество_202207112140401240[[#This Row],[3]]-Множество_202207112140401240[[#This Row],[5]]</f>
        <v>0</v>
      </c>
      <c r="M109" s="208">
        <f>Множество_202207112140401240[[#This Row],[7]]+Множество_202207112140401240[[#This Row],[6]]</f>
        <v>0</v>
      </c>
      <c r="N109" s="208" t="str">
        <f>CONCATENATE(Множество_202207112140401240[[#This Row],[2]],Множество_202207112140401240[[#This Row],[3]])</f>
        <v/>
      </c>
      <c r="O109" s="208"/>
      <c r="P109" s="208"/>
      <c r="Q109">
        <v>5.18333333333333</v>
      </c>
      <c r="R109">
        <v>-16.3333333333333</v>
      </c>
      <c r="S109" s="208">
        <v>10</v>
      </c>
      <c r="T109" s="208">
        <v>-12.5</v>
      </c>
      <c r="U109" s="208">
        <f>ABS(Множество_202207112140401240[[#This Row],[10]]-Множество_202207112140401240[[#This Row],[12]])</f>
        <v>4.81666666666667</v>
      </c>
      <c r="V109" s="208">
        <f>ABS(Множество_202207112140401240[[#This Row],[11]]-Множество_202207112140401240[[#This Row],[13]])</f>
        <v>3.8333333333333002</v>
      </c>
      <c r="W109" s="208">
        <f>Множество_202207112140401240[[#This Row],[15]]+Множество_202207112140401240[[#This Row],[14]]</f>
        <v>8.6499999999999702</v>
      </c>
      <c r="X109" s="208">
        <f ca="1">IF(ROW()-ROW(Множество_202207112140401240[[#Headers],[17]])&gt;1,Множество_202207112140401240[[#This Row],[16]]-OFFSET(Множество_202207112140401240[[#This Row],[16]],-1,0),0)</f>
        <v>-8.3333333333612813E-3</v>
      </c>
      <c r="Y109" s="208">
        <v>5.18333333333333</v>
      </c>
      <c r="Z109" s="208">
        <v>-16.3333333333333</v>
      </c>
      <c r="AA109" s="208">
        <f>ABS(Множество_202207112140401240[[#This Row],[18]]-Множество_202207112140401240[[#This Row],[12]])</f>
        <v>4.81666666666667</v>
      </c>
      <c r="AB109" s="208">
        <f>ABS(Множество_202207112140401240[[#This Row],[19]]-Множество_202207112140401240[[#This Row],[13]])</f>
        <v>3.8333333333333002</v>
      </c>
      <c r="AC109" s="208">
        <f>Множество_202207112140401240[[#This Row],[20]]+Множество_202207112140401240[[#This Row],[21]]</f>
        <v>8.6499999999999702</v>
      </c>
    </row>
    <row r="110" spans="6:29" x14ac:dyDescent="0.25">
      <c r="F110" s="213"/>
      <c r="K110" s="208">
        <f>Множество_202207112140401240[[#This Row],[2]]-Множество_202207112140401240[[#This Row],[4]]</f>
        <v>0</v>
      </c>
      <c r="L110" s="208">
        <f>Множество_202207112140401240[[#This Row],[3]]-Множество_202207112140401240[[#This Row],[5]]</f>
        <v>0</v>
      </c>
      <c r="M110" s="208">
        <f>Множество_202207112140401240[[#This Row],[7]]+Множество_202207112140401240[[#This Row],[6]]</f>
        <v>0</v>
      </c>
      <c r="N110" s="208" t="str">
        <f>CONCATENATE(Множество_202207112140401240[[#This Row],[2]],Множество_202207112140401240[[#This Row],[3]])</f>
        <v/>
      </c>
      <c r="O110" s="208"/>
      <c r="P110" s="208"/>
      <c r="Q110">
        <v>5.0083333333333302</v>
      </c>
      <c r="R110">
        <v>-16.283333333333299</v>
      </c>
      <c r="S110" s="208">
        <v>10</v>
      </c>
      <c r="T110" s="208">
        <v>-12.5</v>
      </c>
      <c r="U110" s="208">
        <f>ABS(Множество_202207112140401240[[#This Row],[10]]-Множество_202207112140401240[[#This Row],[12]])</f>
        <v>4.9916666666666698</v>
      </c>
      <c r="V110" s="208">
        <f>ABS(Множество_202207112140401240[[#This Row],[11]]-Множество_202207112140401240[[#This Row],[13]])</f>
        <v>3.7833333333332995</v>
      </c>
      <c r="W110" s="208">
        <f>Множество_202207112140401240[[#This Row],[15]]+Множество_202207112140401240[[#This Row],[14]]</f>
        <v>8.7749999999999702</v>
      </c>
      <c r="X110" s="208">
        <f ca="1">IF(ROW()-ROW(Множество_202207112140401240[[#Headers],[17]])&gt;1,Множество_202207112140401240[[#This Row],[16]]-OFFSET(Множество_202207112140401240[[#This Row],[16]],-1,0),0)</f>
        <v>0.125</v>
      </c>
      <c r="Y110" s="208">
        <v>5.0083333333333302</v>
      </c>
      <c r="Z110" s="208">
        <v>-16.283333333333299</v>
      </c>
      <c r="AA110" s="208">
        <f>ABS(Множество_202207112140401240[[#This Row],[18]]-Множество_202207112140401240[[#This Row],[12]])</f>
        <v>4.9916666666666698</v>
      </c>
      <c r="AB110" s="208">
        <f>ABS(Множество_202207112140401240[[#This Row],[19]]-Множество_202207112140401240[[#This Row],[13]])</f>
        <v>3.7833333333332995</v>
      </c>
      <c r="AC110" s="208">
        <f>Множество_202207112140401240[[#This Row],[20]]+Множество_202207112140401240[[#This Row],[21]]</f>
        <v>8.7749999999999702</v>
      </c>
    </row>
    <row r="111" spans="6:29" x14ac:dyDescent="0.25">
      <c r="F111" s="213"/>
      <c r="K111" s="208">
        <f>Множество_202207112140401240[[#This Row],[2]]-Множество_202207112140401240[[#This Row],[4]]</f>
        <v>0</v>
      </c>
      <c r="L111" s="208">
        <f>Множество_202207112140401240[[#This Row],[3]]-Множество_202207112140401240[[#This Row],[5]]</f>
        <v>0</v>
      </c>
      <c r="M111" s="208">
        <f>Множество_202207112140401240[[#This Row],[7]]+Множество_202207112140401240[[#This Row],[6]]</f>
        <v>0</v>
      </c>
      <c r="N111" s="208" t="str">
        <f>CONCATENATE(Множество_202207112140401240[[#This Row],[2]],Множество_202207112140401240[[#This Row],[3]])</f>
        <v/>
      </c>
      <c r="O111" s="208"/>
      <c r="P111" s="208"/>
      <c r="Q111">
        <v>5.06666666666667</v>
      </c>
      <c r="R111">
        <v>-16.3</v>
      </c>
      <c r="S111" s="208">
        <v>10</v>
      </c>
      <c r="T111" s="208">
        <v>-12.5</v>
      </c>
      <c r="U111" s="208">
        <f>ABS(Множество_202207112140401240[[#This Row],[10]]-Множество_202207112140401240[[#This Row],[12]])</f>
        <v>4.93333333333333</v>
      </c>
      <c r="V111" s="208">
        <f>ABS(Множество_202207112140401240[[#This Row],[11]]-Множество_202207112140401240[[#This Row],[13]])</f>
        <v>3.8000000000000007</v>
      </c>
      <c r="W111" s="208">
        <f>Множество_202207112140401240[[#This Row],[15]]+Множество_202207112140401240[[#This Row],[14]]</f>
        <v>8.7333333333333307</v>
      </c>
      <c r="X111" s="208">
        <f ca="1">IF(ROW()-ROW(Множество_202207112140401240[[#Headers],[17]])&gt;1,Множество_202207112140401240[[#This Row],[16]]-OFFSET(Множество_202207112140401240[[#This Row],[16]],-1,0),0)</f>
        <v>-4.1666666666639429E-2</v>
      </c>
      <c r="Y111" s="208">
        <v>5.06666666666667</v>
      </c>
      <c r="Z111" s="208">
        <v>-16.3</v>
      </c>
      <c r="AA111" s="208">
        <f>ABS(Множество_202207112140401240[[#This Row],[18]]-Множество_202207112140401240[[#This Row],[12]])</f>
        <v>4.93333333333333</v>
      </c>
      <c r="AB111" s="208">
        <f>ABS(Множество_202207112140401240[[#This Row],[19]]-Множество_202207112140401240[[#This Row],[13]])</f>
        <v>3.8000000000000007</v>
      </c>
      <c r="AC111" s="208">
        <f>Множество_202207112140401240[[#This Row],[20]]+Множество_202207112140401240[[#This Row],[21]]</f>
        <v>8.7333333333333307</v>
      </c>
    </row>
    <row r="112" spans="6:29" x14ac:dyDescent="0.25">
      <c r="F112" s="213"/>
      <c r="K112" s="208">
        <f>Множество_202207112140401240[[#This Row],[2]]-Множество_202207112140401240[[#This Row],[4]]</f>
        <v>0</v>
      </c>
      <c r="L112" s="208">
        <f>Множество_202207112140401240[[#This Row],[3]]-Множество_202207112140401240[[#This Row],[5]]</f>
        <v>0</v>
      </c>
      <c r="M112" s="208">
        <f>Множество_202207112140401240[[#This Row],[7]]+Множество_202207112140401240[[#This Row],[6]]</f>
        <v>0</v>
      </c>
      <c r="N112" s="208" t="str">
        <f>CONCATENATE(Множество_202207112140401240[[#This Row],[2]],Множество_202207112140401240[[#This Row],[3]])</f>
        <v/>
      </c>
      <c r="O112" s="208"/>
      <c r="P112" s="208"/>
      <c r="Q112">
        <v>5.125</v>
      </c>
      <c r="R112">
        <v>-16.316666666666698</v>
      </c>
      <c r="S112" s="208">
        <v>10</v>
      </c>
      <c r="T112" s="208">
        <v>-12.5</v>
      </c>
      <c r="U112" s="208">
        <f>ABS(Множество_202207112140401240[[#This Row],[10]]-Множество_202207112140401240[[#This Row],[12]])</f>
        <v>4.875</v>
      </c>
      <c r="V112" s="208">
        <f>ABS(Множество_202207112140401240[[#This Row],[11]]-Множество_202207112140401240[[#This Row],[13]])</f>
        <v>3.8166666666666984</v>
      </c>
      <c r="W112" s="208">
        <f>Множество_202207112140401240[[#This Row],[15]]+Множество_202207112140401240[[#This Row],[14]]</f>
        <v>8.6916666666666984</v>
      </c>
      <c r="X112" s="208">
        <f ca="1">IF(ROW()-ROW(Множество_202207112140401240[[#Headers],[17]])&gt;1,Множество_202207112140401240[[#This Row],[16]]-OFFSET(Множество_202207112140401240[[#This Row],[16]],-1,0),0)</f>
        <v>-4.1666666666632324E-2</v>
      </c>
      <c r="Y112" s="208">
        <v>5.125</v>
      </c>
      <c r="Z112" s="208">
        <v>-16.316666666666698</v>
      </c>
      <c r="AA112" s="208">
        <f>ABS(Множество_202207112140401240[[#This Row],[18]]-Множество_202207112140401240[[#This Row],[12]])</f>
        <v>4.875</v>
      </c>
      <c r="AB112" s="208">
        <f>ABS(Множество_202207112140401240[[#This Row],[19]]-Множество_202207112140401240[[#This Row],[13]])</f>
        <v>3.8166666666666984</v>
      </c>
      <c r="AC112" s="208">
        <f>Множество_202207112140401240[[#This Row],[20]]+Множество_202207112140401240[[#This Row],[21]]</f>
        <v>8.6916666666666984</v>
      </c>
    </row>
    <row r="113" spans="6:29" x14ac:dyDescent="0.25">
      <c r="F113" s="213"/>
      <c r="K113" s="208">
        <f>Множество_202207112140401240[[#This Row],[2]]-Множество_202207112140401240[[#This Row],[4]]</f>
        <v>0</v>
      </c>
      <c r="L113" s="208">
        <f>Множество_202207112140401240[[#This Row],[3]]-Множество_202207112140401240[[#This Row],[5]]</f>
        <v>0</v>
      </c>
      <c r="M113" s="208">
        <f>Множество_202207112140401240[[#This Row],[7]]+Множество_202207112140401240[[#This Row],[6]]</f>
        <v>0</v>
      </c>
      <c r="N113" s="208" t="str">
        <f>CONCATENATE(Множество_202207112140401240[[#This Row],[2]],Множество_202207112140401240[[#This Row],[3]])</f>
        <v/>
      </c>
      <c r="O113" s="208"/>
      <c r="P113" s="208"/>
      <c r="Q113">
        <v>3.0833333333333299</v>
      </c>
      <c r="R113">
        <v>-14.3166666666667</v>
      </c>
      <c r="S113" s="208">
        <v>10</v>
      </c>
      <c r="T113" s="208">
        <v>-12.5</v>
      </c>
      <c r="U113" s="208">
        <f>ABS(Множество_202207112140401240[[#This Row],[10]]-Множество_202207112140401240[[#This Row],[12]])</f>
        <v>6.9166666666666696</v>
      </c>
      <c r="V113" s="208">
        <f>ABS(Множество_202207112140401240[[#This Row],[11]]-Множество_202207112140401240[[#This Row],[13]])</f>
        <v>1.8166666666667002</v>
      </c>
      <c r="W113" s="208">
        <f>Множество_202207112140401240[[#This Row],[15]]+Множество_202207112140401240[[#This Row],[14]]</f>
        <v>8.7333333333333698</v>
      </c>
      <c r="X113" s="208">
        <f ca="1">IF(ROW()-ROW(Множество_202207112140401240[[#Headers],[17]])&gt;1,Множество_202207112140401240[[#This Row],[16]]-OFFSET(Множество_202207112140401240[[#This Row],[16]],-1,0),0)</f>
        <v>4.1666666666671404E-2</v>
      </c>
      <c r="Y113" s="208">
        <v>3.0833333333333299</v>
      </c>
      <c r="Z113" s="208">
        <v>-14.3166666666667</v>
      </c>
      <c r="AA113" s="208">
        <f>ABS(Множество_202207112140401240[[#This Row],[18]]-Множество_202207112140401240[[#This Row],[12]])</f>
        <v>6.9166666666666696</v>
      </c>
      <c r="AB113" s="208">
        <f>ABS(Множество_202207112140401240[[#This Row],[19]]-Множество_202207112140401240[[#This Row],[13]])</f>
        <v>1.8166666666667002</v>
      </c>
      <c r="AC113" s="208">
        <f>Множество_202207112140401240[[#This Row],[20]]+Множество_202207112140401240[[#This Row],[21]]</f>
        <v>8.7333333333333698</v>
      </c>
    </row>
    <row r="114" spans="6:29" x14ac:dyDescent="0.25">
      <c r="F114" s="213"/>
      <c r="K114" s="208">
        <f>Множество_202207112140401240[[#This Row],[2]]-Множество_202207112140401240[[#This Row],[4]]</f>
        <v>0</v>
      </c>
      <c r="L114" s="208">
        <f>Множество_202207112140401240[[#This Row],[3]]-Множество_202207112140401240[[#This Row],[5]]</f>
        <v>0</v>
      </c>
      <c r="M114" s="208">
        <f>Множество_202207112140401240[[#This Row],[7]]+Множество_202207112140401240[[#This Row],[6]]</f>
        <v>0</v>
      </c>
      <c r="N114" s="208" t="str">
        <f>CONCATENATE(Множество_202207112140401240[[#This Row],[2]],Множество_202207112140401240[[#This Row],[3]])</f>
        <v/>
      </c>
      <c r="O114" s="208"/>
      <c r="P114" s="208"/>
      <c r="Q114">
        <v>3.0249999999999999</v>
      </c>
      <c r="R114">
        <v>-14.35</v>
      </c>
      <c r="S114" s="208">
        <v>10</v>
      </c>
      <c r="T114" s="208">
        <v>-12.5</v>
      </c>
      <c r="U114" s="208">
        <f>ABS(Множество_202207112140401240[[#This Row],[10]]-Множество_202207112140401240[[#This Row],[12]])</f>
        <v>6.9749999999999996</v>
      </c>
      <c r="V114" s="208">
        <f>ABS(Множество_202207112140401240[[#This Row],[11]]-Множество_202207112140401240[[#This Row],[13]])</f>
        <v>1.8499999999999996</v>
      </c>
      <c r="W114" s="208">
        <f>Множество_202207112140401240[[#This Row],[15]]+Множество_202207112140401240[[#This Row],[14]]</f>
        <v>8.8249999999999993</v>
      </c>
      <c r="X114" s="208">
        <f ca="1">IF(ROW()-ROW(Множество_202207112140401240[[#Headers],[17]])&gt;1,Множество_202207112140401240[[#This Row],[16]]-OFFSET(Множество_202207112140401240[[#This Row],[16]],-1,0),0)</f>
        <v>9.1666666666629482E-2</v>
      </c>
      <c r="Y114" s="208">
        <v>3.0249999999999999</v>
      </c>
      <c r="Z114" s="208">
        <v>-14.35</v>
      </c>
      <c r="AA114" s="208">
        <f>ABS(Множество_202207112140401240[[#This Row],[18]]-Множество_202207112140401240[[#This Row],[12]])</f>
        <v>6.9749999999999996</v>
      </c>
      <c r="AB114" s="208">
        <f>ABS(Множество_202207112140401240[[#This Row],[19]]-Множество_202207112140401240[[#This Row],[13]])</f>
        <v>1.8499999999999996</v>
      </c>
      <c r="AC114" s="208">
        <f>Множество_202207112140401240[[#This Row],[20]]+Множество_202207112140401240[[#This Row],[21]]</f>
        <v>8.8249999999999993</v>
      </c>
    </row>
    <row r="115" spans="6:29" x14ac:dyDescent="0.25">
      <c r="F115" s="213"/>
      <c r="K115" s="208">
        <f>Множество_202207112140401240[[#This Row],[2]]-Множество_202207112140401240[[#This Row],[4]]</f>
        <v>0</v>
      </c>
      <c r="L115" s="208">
        <f>Множество_202207112140401240[[#This Row],[3]]-Множество_202207112140401240[[#This Row],[5]]</f>
        <v>0</v>
      </c>
      <c r="M115" s="208">
        <f>Множество_202207112140401240[[#This Row],[7]]+Множество_202207112140401240[[#This Row],[6]]</f>
        <v>0</v>
      </c>
      <c r="N115" s="208" t="str">
        <f>CONCATENATE(Множество_202207112140401240[[#This Row],[2]],Множество_202207112140401240[[#This Row],[3]])</f>
        <v/>
      </c>
      <c r="O115" s="208"/>
      <c r="P115" s="208"/>
      <c r="Q115">
        <v>4.95</v>
      </c>
      <c r="R115">
        <v>-16.283333333333299</v>
      </c>
      <c r="S115" s="208">
        <v>10</v>
      </c>
      <c r="T115" s="208">
        <v>-12.5</v>
      </c>
      <c r="U115" s="208">
        <f>ABS(Множество_202207112140401240[[#This Row],[10]]-Множество_202207112140401240[[#This Row],[12]])</f>
        <v>5.05</v>
      </c>
      <c r="V115" s="208">
        <f>ABS(Множество_202207112140401240[[#This Row],[11]]-Множество_202207112140401240[[#This Row],[13]])</f>
        <v>3.7833333333332995</v>
      </c>
      <c r="W115" s="208">
        <f>Множество_202207112140401240[[#This Row],[15]]+Множество_202207112140401240[[#This Row],[14]]</f>
        <v>8.8333333333333002</v>
      </c>
      <c r="X115" s="208">
        <f ca="1">IF(ROW()-ROW(Множество_202207112140401240[[#Headers],[17]])&gt;1,Множество_202207112140401240[[#This Row],[16]]-OFFSET(Множество_202207112140401240[[#This Row],[16]],-1,0),0)</f>
        <v>8.3333333333008852E-3</v>
      </c>
      <c r="Y115" s="208">
        <v>4.95</v>
      </c>
      <c r="Z115" s="208">
        <v>-16.283333333333299</v>
      </c>
      <c r="AA115" s="208">
        <f>ABS(Множество_202207112140401240[[#This Row],[18]]-Множество_202207112140401240[[#This Row],[12]])</f>
        <v>5.05</v>
      </c>
      <c r="AB115" s="208">
        <f>ABS(Множество_202207112140401240[[#This Row],[19]]-Множество_202207112140401240[[#This Row],[13]])</f>
        <v>3.7833333333332995</v>
      </c>
      <c r="AC115" s="208">
        <f>Множество_202207112140401240[[#This Row],[20]]+Множество_202207112140401240[[#This Row],[21]]</f>
        <v>8.8333333333333002</v>
      </c>
    </row>
    <row r="116" spans="6:29" x14ac:dyDescent="0.25">
      <c r="F116" s="213"/>
      <c r="K116" s="208">
        <f>Множество_202207112140401240[[#This Row],[2]]-Множество_202207112140401240[[#This Row],[4]]</f>
        <v>0</v>
      </c>
      <c r="L116" s="208">
        <f>Множество_202207112140401240[[#This Row],[3]]-Множество_202207112140401240[[#This Row],[5]]</f>
        <v>0</v>
      </c>
      <c r="M116" s="208">
        <f>Множество_202207112140401240[[#This Row],[7]]+Множество_202207112140401240[[#This Row],[6]]</f>
        <v>0</v>
      </c>
      <c r="N116" s="208" t="str">
        <f>CONCATENATE(Множество_202207112140401240[[#This Row],[2]],Множество_202207112140401240[[#This Row],[3]])</f>
        <v/>
      </c>
      <c r="O116" s="208"/>
      <c r="P116" s="208"/>
      <c r="Q116">
        <v>4.8916666666666702</v>
      </c>
      <c r="R116">
        <v>-16.266666666666701</v>
      </c>
      <c r="S116" s="208">
        <v>10</v>
      </c>
      <c r="T116" s="208">
        <v>-12.5</v>
      </c>
      <c r="U116" s="208">
        <f>ABS(Множество_202207112140401240[[#This Row],[10]]-Множество_202207112140401240[[#This Row],[12]])</f>
        <v>5.1083333333333298</v>
      </c>
      <c r="V116" s="208">
        <f>ABS(Множество_202207112140401240[[#This Row],[11]]-Множество_202207112140401240[[#This Row],[13]])</f>
        <v>3.7666666666667012</v>
      </c>
      <c r="W116" s="208">
        <f>Множество_202207112140401240[[#This Row],[15]]+Множество_202207112140401240[[#This Row],[14]]</f>
        <v>8.875000000000032</v>
      </c>
      <c r="X116" s="208">
        <f ca="1">IF(ROW()-ROW(Множество_202207112140401240[[#Headers],[17]])&gt;1,Множество_202207112140401240[[#This Row],[16]]-OFFSET(Множество_202207112140401240[[#This Row],[16]],-1,0),0)</f>
        <v>4.16666666667318E-2</v>
      </c>
      <c r="Y116" s="208">
        <v>4.8916666666666702</v>
      </c>
      <c r="Z116" s="208">
        <v>-16.266666666666701</v>
      </c>
      <c r="AA116" s="208">
        <f>ABS(Множество_202207112140401240[[#This Row],[18]]-Множество_202207112140401240[[#This Row],[12]])</f>
        <v>5.1083333333333298</v>
      </c>
      <c r="AB116" s="208">
        <f>ABS(Множество_202207112140401240[[#This Row],[19]]-Множество_202207112140401240[[#This Row],[13]])</f>
        <v>3.7666666666667012</v>
      </c>
      <c r="AC116" s="208">
        <f>Множество_202207112140401240[[#This Row],[20]]+Множество_202207112140401240[[#This Row],[21]]</f>
        <v>8.875000000000032</v>
      </c>
    </row>
    <row r="117" spans="6:29" x14ac:dyDescent="0.25">
      <c r="F117" s="213"/>
      <c r="K117" s="208">
        <f>Множество_202207112140401240[[#This Row],[2]]-Множество_202207112140401240[[#This Row],[4]]</f>
        <v>0</v>
      </c>
      <c r="L117" s="208">
        <f>Множество_202207112140401240[[#This Row],[3]]-Множество_202207112140401240[[#This Row],[5]]</f>
        <v>0</v>
      </c>
      <c r="M117" s="208">
        <f>Множество_202207112140401240[[#This Row],[7]]+Множество_202207112140401240[[#This Row],[6]]</f>
        <v>0</v>
      </c>
      <c r="N117" s="208" t="str">
        <f>CONCATENATE(Множество_202207112140401240[[#This Row],[2]],Множество_202207112140401240[[#This Row],[3]])</f>
        <v/>
      </c>
      <c r="O117" s="208"/>
      <c r="P117" s="208"/>
      <c r="Q117">
        <v>4.7750000000000004</v>
      </c>
      <c r="R117">
        <v>-16.233333333333299</v>
      </c>
      <c r="S117" s="208">
        <v>10</v>
      </c>
      <c r="T117" s="208">
        <v>-12.5</v>
      </c>
      <c r="U117" s="208">
        <f>ABS(Множество_202207112140401240[[#This Row],[10]]-Множество_202207112140401240[[#This Row],[12]])</f>
        <v>5.2249999999999996</v>
      </c>
      <c r="V117" s="208">
        <f>ABS(Множество_202207112140401240[[#This Row],[11]]-Множество_202207112140401240[[#This Row],[13]])</f>
        <v>3.7333333333332988</v>
      </c>
      <c r="W117" s="208">
        <f>Множество_202207112140401240[[#This Row],[15]]+Множество_202207112140401240[[#This Row],[14]]</f>
        <v>8.9583333333332984</v>
      </c>
      <c r="X117" s="208">
        <f ca="1">IF(ROW()-ROW(Множество_202207112140401240[[#Headers],[17]])&gt;1,Множество_202207112140401240[[#This Row],[16]]-OFFSET(Множество_202207112140401240[[#This Row],[16]],-1,0),0)</f>
        <v>8.3333333333266424E-2</v>
      </c>
      <c r="Y117" s="208">
        <v>2.9083333333333301</v>
      </c>
      <c r="Z117" s="208">
        <v>-14.383333333333301</v>
      </c>
      <c r="AA117" s="208">
        <f>ABS(Множество_202207112140401240[[#This Row],[18]]-Множество_202207112140401240[[#This Row],[12]])</f>
        <v>7.0916666666666703</v>
      </c>
      <c r="AB117" s="208">
        <f>ABS(Множество_202207112140401240[[#This Row],[19]]-Множество_202207112140401240[[#This Row],[13]])</f>
        <v>1.8833333333333009</v>
      </c>
      <c r="AC117" s="208">
        <f>Множество_202207112140401240[[#This Row],[20]]+Множество_202207112140401240[[#This Row],[21]]</f>
        <v>8.9749999999999712</v>
      </c>
    </row>
    <row r="118" spans="6:29" x14ac:dyDescent="0.25">
      <c r="F118" s="213"/>
      <c r="K118" s="208">
        <f>Множество_202207112140401240[[#This Row],[2]]-Множество_202207112140401240[[#This Row],[4]]</f>
        <v>0</v>
      </c>
      <c r="L118" s="208">
        <f>Множество_202207112140401240[[#This Row],[3]]-Множество_202207112140401240[[#This Row],[5]]</f>
        <v>0</v>
      </c>
      <c r="M118" s="208">
        <f>Множество_202207112140401240[[#This Row],[7]]+Множество_202207112140401240[[#This Row],[6]]</f>
        <v>0</v>
      </c>
      <c r="N118" s="208" t="str">
        <f>CONCATENATE(Множество_202207112140401240[[#This Row],[2]],Множество_202207112140401240[[#This Row],[3]])</f>
        <v/>
      </c>
      <c r="O118" s="208"/>
      <c r="P118" s="208"/>
      <c r="Q118">
        <v>2.9083333333333301</v>
      </c>
      <c r="R118">
        <v>-14.383333333333301</v>
      </c>
      <c r="S118" s="208">
        <v>10</v>
      </c>
      <c r="T118" s="208">
        <v>-12.5</v>
      </c>
      <c r="U118" s="208">
        <f>ABS(Множество_202207112140401240[[#This Row],[10]]-Множество_202207112140401240[[#This Row],[12]])</f>
        <v>7.0916666666666703</v>
      </c>
      <c r="V118" s="208">
        <f>ABS(Множество_202207112140401240[[#This Row],[11]]-Множество_202207112140401240[[#This Row],[13]])</f>
        <v>1.8833333333333009</v>
      </c>
      <c r="W118" s="208">
        <f>Множество_202207112140401240[[#This Row],[15]]+Множество_202207112140401240[[#This Row],[14]]</f>
        <v>8.9749999999999712</v>
      </c>
      <c r="X118" s="208">
        <f ca="1">IF(ROW()-ROW(Множество_202207112140401240[[#Headers],[17]])&gt;1,Множество_202207112140401240[[#This Row],[16]]-OFFSET(Множество_202207112140401240[[#This Row],[16]],-1,0),0)</f>
        <v>1.6666666666672825E-2</v>
      </c>
      <c r="Y118" s="208">
        <v>2.9666666666666699</v>
      </c>
      <c r="Z118" s="208">
        <v>-14.366666666666699</v>
      </c>
      <c r="AA118" s="208">
        <f>ABS(Множество_202207112140401240[[#This Row],[18]]-Множество_202207112140401240[[#This Row],[12]])</f>
        <v>7.0333333333333297</v>
      </c>
      <c r="AB118" s="208">
        <f>ABS(Множество_202207112140401240[[#This Row],[19]]-Множество_202207112140401240[[#This Row],[13]])</f>
        <v>1.8666666666666991</v>
      </c>
      <c r="AC118" s="208">
        <f>Множество_202207112140401240[[#This Row],[20]]+Множество_202207112140401240[[#This Row],[21]]</f>
        <v>8.9000000000000288</v>
      </c>
    </row>
    <row r="119" spans="6:29" x14ac:dyDescent="0.25">
      <c r="F119" s="213"/>
      <c r="K119" s="208">
        <f>Множество_202207112140401240[[#This Row],[2]]-Множество_202207112140401240[[#This Row],[4]]</f>
        <v>0</v>
      </c>
      <c r="L119" s="208">
        <f>Множество_202207112140401240[[#This Row],[3]]-Множество_202207112140401240[[#This Row],[5]]</f>
        <v>0</v>
      </c>
      <c r="M119" s="208">
        <f>Множество_202207112140401240[[#This Row],[7]]+Множество_202207112140401240[[#This Row],[6]]</f>
        <v>0</v>
      </c>
      <c r="N119" s="208" t="str">
        <f>CONCATENATE(Множество_202207112140401240[[#This Row],[2]],Множество_202207112140401240[[#This Row],[3]])</f>
        <v/>
      </c>
      <c r="O119" s="208"/>
      <c r="P119" s="208"/>
      <c r="Q119">
        <v>2.9666666666666699</v>
      </c>
      <c r="R119">
        <v>-14.366666666666699</v>
      </c>
      <c r="S119" s="208">
        <v>10</v>
      </c>
      <c r="T119" s="208">
        <v>-12.5</v>
      </c>
      <c r="U119" s="208">
        <f>ABS(Множество_202207112140401240[[#This Row],[10]]-Множество_202207112140401240[[#This Row],[12]])</f>
        <v>7.0333333333333297</v>
      </c>
      <c r="V119" s="208">
        <f>ABS(Множество_202207112140401240[[#This Row],[11]]-Множество_202207112140401240[[#This Row],[13]])</f>
        <v>1.8666666666666991</v>
      </c>
      <c r="W119" s="208">
        <f>Множество_202207112140401240[[#This Row],[15]]+Множество_202207112140401240[[#This Row],[14]]</f>
        <v>8.9000000000000288</v>
      </c>
      <c r="X119" s="208">
        <f ca="1">IF(ROW()-ROW(Множество_202207112140401240[[#Headers],[17]])&gt;1,Множество_202207112140401240[[#This Row],[16]]-OFFSET(Множество_202207112140401240[[#This Row],[16]],-1,0),0)</f>
        <v>-7.4999999999942446E-2</v>
      </c>
      <c r="Y119" s="208">
        <v>4.7750000000000004</v>
      </c>
      <c r="Z119" s="208">
        <v>-16.233333333333299</v>
      </c>
      <c r="AA119" s="208">
        <f>ABS(Множество_202207112140401240[[#This Row],[18]]-Множество_202207112140401240[[#This Row],[12]])</f>
        <v>5.2249999999999996</v>
      </c>
      <c r="AB119" s="208">
        <f>ABS(Множество_202207112140401240[[#This Row],[19]]-Множество_202207112140401240[[#This Row],[13]])</f>
        <v>3.7333333333332988</v>
      </c>
      <c r="AC119" s="208">
        <f>Множество_202207112140401240[[#This Row],[20]]+Множество_202207112140401240[[#This Row],[21]]</f>
        <v>8.9583333333332984</v>
      </c>
    </row>
    <row r="120" spans="6:29" x14ac:dyDescent="0.25">
      <c r="F120" s="213"/>
      <c r="K120" s="208">
        <f>Множество_202207112140401240[[#This Row],[2]]-Множество_202207112140401240[[#This Row],[4]]</f>
        <v>0</v>
      </c>
      <c r="L120" s="208">
        <f>Множество_202207112140401240[[#This Row],[3]]-Множество_202207112140401240[[#This Row],[5]]</f>
        <v>0</v>
      </c>
      <c r="M120" s="208">
        <f>Множество_202207112140401240[[#This Row],[7]]+Множество_202207112140401240[[#This Row],[6]]</f>
        <v>0</v>
      </c>
      <c r="N120" s="208" t="str">
        <f>CONCATENATE(Множество_202207112140401240[[#This Row],[2]],Множество_202207112140401240[[#This Row],[3]])</f>
        <v/>
      </c>
      <c r="O120" s="208"/>
      <c r="P120" s="208"/>
      <c r="Q120">
        <v>4.8333333333333304</v>
      </c>
      <c r="R120">
        <v>-16.25</v>
      </c>
      <c r="S120" s="208">
        <v>10</v>
      </c>
      <c r="T120" s="208">
        <v>-12.5</v>
      </c>
      <c r="U120" s="208">
        <f>ABS(Множество_202207112140401240[[#This Row],[10]]-Множество_202207112140401240[[#This Row],[12]])</f>
        <v>5.1666666666666696</v>
      </c>
      <c r="V120" s="208">
        <f>ABS(Множество_202207112140401240[[#This Row],[11]]-Множество_202207112140401240[[#This Row],[13]])</f>
        <v>3.75</v>
      </c>
      <c r="W120" s="208">
        <f>Множество_202207112140401240[[#This Row],[15]]+Множество_202207112140401240[[#This Row],[14]]</f>
        <v>8.9166666666666696</v>
      </c>
      <c r="X120" s="208">
        <f ca="1">IF(ROW()-ROW(Множество_202207112140401240[[#Headers],[17]])&gt;1,Множество_202207112140401240[[#This Row],[16]]-OFFSET(Множество_202207112140401240[[#This Row],[16]],-1,0),0)</f>
        <v>1.666666666664085E-2</v>
      </c>
      <c r="Y120" s="208">
        <v>4.8333333333333304</v>
      </c>
      <c r="Z120" s="208">
        <v>-16.25</v>
      </c>
      <c r="AA120" s="208">
        <f>ABS(Множество_202207112140401240[[#This Row],[18]]-Множество_202207112140401240[[#This Row],[12]])</f>
        <v>5.1666666666666696</v>
      </c>
      <c r="AB120" s="208">
        <f>ABS(Множество_202207112140401240[[#This Row],[19]]-Множество_202207112140401240[[#This Row],[13]])</f>
        <v>3.75</v>
      </c>
      <c r="AC120" s="208">
        <f>Множество_202207112140401240[[#This Row],[20]]+Множество_202207112140401240[[#This Row],[21]]</f>
        <v>8.9166666666666696</v>
      </c>
    </row>
    <row r="121" spans="6:29" x14ac:dyDescent="0.25">
      <c r="F121" s="213"/>
      <c r="K121" s="208">
        <f>Множество_202207112140401240[[#This Row],[2]]-Множество_202207112140401240[[#This Row],[4]]</f>
        <v>0</v>
      </c>
      <c r="L121" s="208">
        <f>Множество_202207112140401240[[#This Row],[3]]-Множество_202207112140401240[[#This Row],[5]]</f>
        <v>0</v>
      </c>
      <c r="M121" s="208">
        <f>Множество_202207112140401240[[#This Row],[7]]+Множество_202207112140401240[[#This Row],[6]]</f>
        <v>0</v>
      </c>
      <c r="N121" s="208" t="str">
        <f>CONCATENATE(Множество_202207112140401240[[#This Row],[2]],Множество_202207112140401240[[#This Row],[3]])</f>
        <v/>
      </c>
      <c r="O121" s="208"/>
      <c r="P121" s="208"/>
      <c r="Q121">
        <v>4.7166666666666703</v>
      </c>
      <c r="R121">
        <v>-16.216666666666701</v>
      </c>
      <c r="S121" s="208">
        <v>10</v>
      </c>
      <c r="T121" s="208">
        <v>-12.5</v>
      </c>
      <c r="U121" s="208">
        <f>ABS(Множество_202207112140401240[[#This Row],[10]]-Множество_202207112140401240[[#This Row],[12]])</f>
        <v>5.2833333333333297</v>
      </c>
      <c r="V121" s="208">
        <f>ABS(Множество_202207112140401240[[#This Row],[11]]-Множество_202207112140401240[[#This Row],[13]])</f>
        <v>3.7166666666667005</v>
      </c>
      <c r="W121" s="208">
        <f>Множество_202207112140401240[[#This Row],[15]]+Множество_202207112140401240[[#This Row],[14]]</f>
        <v>9.0000000000000302</v>
      </c>
      <c r="X121" s="208">
        <f ca="1">IF(ROW()-ROW(Множество_202207112140401240[[#Headers],[17]])&gt;1,Множество_202207112140401240[[#This Row],[16]]-OFFSET(Множество_202207112140401240[[#This Row],[16]],-1,0),0)</f>
        <v>8.3333333333360571E-2</v>
      </c>
      <c r="Y121" s="208">
        <v>4.7166666666666703</v>
      </c>
      <c r="Z121" s="208">
        <v>-16.216666666666701</v>
      </c>
      <c r="AA121" s="208">
        <f>ABS(Множество_202207112140401240[[#This Row],[18]]-Множество_202207112140401240[[#This Row],[12]])</f>
        <v>5.2833333333333297</v>
      </c>
      <c r="AB121" s="208">
        <f>ABS(Множество_202207112140401240[[#This Row],[19]]-Множество_202207112140401240[[#This Row],[13]])</f>
        <v>3.7166666666667005</v>
      </c>
      <c r="AC121" s="208">
        <f>Множество_202207112140401240[[#This Row],[20]]+Множество_202207112140401240[[#This Row],[21]]</f>
        <v>9.0000000000000302</v>
      </c>
    </row>
    <row r="122" spans="6:29" x14ac:dyDescent="0.25">
      <c r="F122" s="213"/>
      <c r="K122" s="208">
        <f>Множество_202207112140401240[[#This Row],[2]]-Множество_202207112140401240[[#This Row],[4]]</f>
        <v>0</v>
      </c>
      <c r="L122" s="208">
        <f>Множество_202207112140401240[[#This Row],[3]]-Множество_202207112140401240[[#This Row],[5]]</f>
        <v>0</v>
      </c>
      <c r="M122" s="208">
        <f>Множество_202207112140401240[[#This Row],[7]]+Множество_202207112140401240[[#This Row],[6]]</f>
        <v>0</v>
      </c>
      <c r="N122" s="208" t="str">
        <f>CONCATENATE(Множество_202207112140401240[[#This Row],[2]],Множество_202207112140401240[[#This Row],[3]])</f>
        <v/>
      </c>
      <c r="O122" s="208"/>
      <c r="P122" s="208"/>
      <c r="Q122">
        <v>4.6583333333333297</v>
      </c>
      <c r="R122">
        <v>-16.216666666666701</v>
      </c>
      <c r="S122" s="208">
        <v>10</v>
      </c>
      <c r="T122" s="208">
        <v>-12.5</v>
      </c>
      <c r="U122" s="208">
        <f>ABS(Множество_202207112140401240[[#This Row],[10]]-Множество_202207112140401240[[#This Row],[12]])</f>
        <v>5.3416666666666703</v>
      </c>
      <c r="V122" s="208">
        <f>ABS(Множество_202207112140401240[[#This Row],[11]]-Множество_202207112140401240[[#This Row],[13]])</f>
        <v>3.7166666666667005</v>
      </c>
      <c r="W122" s="208">
        <f>Множество_202207112140401240[[#This Row],[15]]+Множество_202207112140401240[[#This Row],[14]]</f>
        <v>9.0583333333333709</v>
      </c>
      <c r="X122" s="208">
        <f ca="1">IF(ROW()-ROW(Множество_202207112140401240[[#Headers],[17]])&gt;1,Множество_202207112140401240[[#This Row],[16]]-OFFSET(Множество_202207112140401240[[#This Row],[16]],-1,0),0)</f>
        <v>5.8333333333340676E-2</v>
      </c>
      <c r="Y122" s="208">
        <v>4.6583333333333297</v>
      </c>
      <c r="Z122" s="208">
        <v>-16.216666666666701</v>
      </c>
      <c r="AA122" s="208">
        <f>ABS(Множество_202207112140401240[[#This Row],[18]]-Множество_202207112140401240[[#This Row],[12]])</f>
        <v>5.3416666666666703</v>
      </c>
      <c r="AB122" s="208">
        <f>ABS(Множество_202207112140401240[[#This Row],[19]]-Множество_202207112140401240[[#This Row],[13]])</f>
        <v>3.7166666666667005</v>
      </c>
      <c r="AC122" s="208">
        <f>Множество_202207112140401240[[#This Row],[20]]+Множество_202207112140401240[[#This Row],[21]]</f>
        <v>9.0583333333333709</v>
      </c>
    </row>
    <row r="123" spans="6:29" x14ac:dyDescent="0.25">
      <c r="F123" s="213"/>
      <c r="K123" s="208">
        <f>Множество_202207112140401240[[#This Row],[2]]-Множество_202207112140401240[[#This Row],[4]]</f>
        <v>0</v>
      </c>
      <c r="L123" s="208">
        <f>Множество_202207112140401240[[#This Row],[3]]-Множество_202207112140401240[[#This Row],[5]]</f>
        <v>0</v>
      </c>
      <c r="M123" s="208">
        <f>Множество_202207112140401240[[#This Row],[7]]+Множество_202207112140401240[[#This Row],[6]]</f>
        <v>0</v>
      </c>
      <c r="N123" s="208" t="str">
        <f>CONCATENATE(Множество_202207112140401240[[#This Row],[2]],Множество_202207112140401240[[#This Row],[3]])</f>
        <v/>
      </c>
      <c r="O123" s="208"/>
      <c r="P123" s="208"/>
      <c r="Q123">
        <v>2.85</v>
      </c>
      <c r="R123">
        <v>-14.4</v>
      </c>
      <c r="S123" s="208">
        <v>10</v>
      </c>
      <c r="T123" s="208">
        <v>-12.5</v>
      </c>
      <c r="U123" s="208">
        <f>ABS(Множество_202207112140401240[[#This Row],[10]]-Множество_202207112140401240[[#This Row],[12]])</f>
        <v>7.15</v>
      </c>
      <c r="V123" s="208">
        <f>ABS(Множество_202207112140401240[[#This Row],[11]]-Множество_202207112140401240[[#This Row],[13]])</f>
        <v>1.9000000000000004</v>
      </c>
      <c r="W123" s="208">
        <f>Множество_202207112140401240[[#This Row],[15]]+Множество_202207112140401240[[#This Row],[14]]</f>
        <v>9.0500000000000007</v>
      </c>
      <c r="X123" s="208">
        <f ca="1">IF(ROW()-ROW(Множество_202207112140401240[[#Headers],[17]])&gt;1,Множество_202207112140401240[[#This Row],[16]]-OFFSET(Множество_202207112140401240[[#This Row],[16]],-1,0),0)</f>
        <v>-8.3333333333701631E-3</v>
      </c>
      <c r="Y123" s="208">
        <v>2.85</v>
      </c>
      <c r="Z123" s="208">
        <v>-14.4</v>
      </c>
      <c r="AA123" s="208">
        <f>ABS(Множество_202207112140401240[[#This Row],[18]]-Множество_202207112140401240[[#This Row],[12]])</f>
        <v>7.15</v>
      </c>
      <c r="AB123" s="208">
        <f>ABS(Множество_202207112140401240[[#This Row],[19]]-Множество_202207112140401240[[#This Row],[13]])</f>
        <v>1.9000000000000004</v>
      </c>
      <c r="AC123" s="208">
        <f>Множество_202207112140401240[[#This Row],[20]]+Множество_202207112140401240[[#This Row],[21]]</f>
        <v>9.0500000000000007</v>
      </c>
    </row>
    <row r="124" spans="6:29" x14ac:dyDescent="0.25">
      <c r="F124" s="213"/>
      <c r="K124" s="208">
        <f>Множество_202207112140401240[[#This Row],[2]]-Множество_202207112140401240[[#This Row],[4]]</f>
        <v>0</v>
      </c>
      <c r="L124" s="208">
        <f>Множество_202207112140401240[[#This Row],[3]]-Множество_202207112140401240[[#This Row],[5]]</f>
        <v>0</v>
      </c>
      <c r="M124" s="208">
        <f>Множество_202207112140401240[[#This Row],[7]]+Множество_202207112140401240[[#This Row],[6]]</f>
        <v>0</v>
      </c>
      <c r="N124" s="208" t="str">
        <f>CONCATENATE(Множество_202207112140401240[[#This Row],[2]],Множество_202207112140401240[[#This Row],[3]])</f>
        <v/>
      </c>
      <c r="O124" s="208"/>
      <c r="P124" s="208"/>
      <c r="Q124">
        <v>2.7916666666666701</v>
      </c>
      <c r="R124">
        <v>-14.4333333333333</v>
      </c>
      <c r="S124" s="208">
        <v>10</v>
      </c>
      <c r="T124" s="208">
        <v>-12.5</v>
      </c>
      <c r="U124" s="208">
        <f>ABS(Множество_202207112140401240[[#This Row],[10]]-Множество_202207112140401240[[#This Row],[12]])</f>
        <v>7.2083333333333304</v>
      </c>
      <c r="V124" s="208">
        <f>ABS(Множество_202207112140401240[[#This Row],[11]]-Множество_202207112140401240[[#This Row],[13]])</f>
        <v>1.9333333333332998</v>
      </c>
      <c r="W124" s="208">
        <f>Множество_202207112140401240[[#This Row],[15]]+Множество_202207112140401240[[#This Row],[14]]</f>
        <v>9.1416666666666302</v>
      </c>
      <c r="X124" s="208">
        <f ca="1">IF(ROW()-ROW(Множество_202207112140401240[[#Headers],[17]])&gt;1,Множество_202207112140401240[[#This Row],[16]]-OFFSET(Множество_202207112140401240[[#This Row],[16]],-1,0),0)</f>
        <v>9.1666666666629482E-2</v>
      </c>
      <c r="Y124" s="208">
        <v>4.4833333333333298</v>
      </c>
      <c r="Z124" s="208">
        <v>-16.1666666666667</v>
      </c>
      <c r="AA124" s="208">
        <f>ABS(Множество_202207112140401240[[#This Row],[18]]-Множество_202207112140401240[[#This Row],[12]])</f>
        <v>5.5166666666666702</v>
      </c>
      <c r="AB124" s="208">
        <f>ABS(Множество_202207112140401240[[#This Row],[19]]-Множество_202207112140401240[[#This Row],[13]])</f>
        <v>3.6666666666666998</v>
      </c>
      <c r="AC124" s="208">
        <f>Множество_202207112140401240[[#This Row],[20]]+Множество_202207112140401240[[#This Row],[21]]</f>
        <v>9.1833333333333691</v>
      </c>
    </row>
    <row r="125" spans="6:29" x14ac:dyDescent="0.25">
      <c r="F125" s="213"/>
      <c r="K125" s="208">
        <f>Множество_202207112140401240[[#This Row],[2]]-Множество_202207112140401240[[#This Row],[4]]</f>
        <v>0</v>
      </c>
      <c r="L125" s="208">
        <f>Множество_202207112140401240[[#This Row],[3]]-Множество_202207112140401240[[#This Row],[5]]</f>
        <v>0</v>
      </c>
      <c r="M125" s="208">
        <f>Множество_202207112140401240[[#This Row],[7]]+Множество_202207112140401240[[#This Row],[6]]</f>
        <v>0</v>
      </c>
      <c r="N125" s="208" t="str">
        <f>CONCATENATE(Множество_202207112140401240[[#This Row],[2]],Множество_202207112140401240[[#This Row],[3]])</f>
        <v/>
      </c>
      <c r="O125" s="208"/>
      <c r="P125" s="208"/>
      <c r="Q125">
        <v>4.4833333333333298</v>
      </c>
      <c r="R125">
        <v>-16.1666666666667</v>
      </c>
      <c r="S125" s="208">
        <v>10</v>
      </c>
      <c r="T125" s="208">
        <v>-12.5</v>
      </c>
      <c r="U125" s="208">
        <f>ABS(Множество_202207112140401240[[#This Row],[10]]-Множество_202207112140401240[[#This Row],[12]])</f>
        <v>5.5166666666666702</v>
      </c>
      <c r="V125" s="208">
        <f>ABS(Множество_202207112140401240[[#This Row],[11]]-Множество_202207112140401240[[#This Row],[13]])</f>
        <v>3.6666666666666998</v>
      </c>
      <c r="W125" s="208">
        <f>Множество_202207112140401240[[#This Row],[15]]+Множество_202207112140401240[[#This Row],[14]]</f>
        <v>9.1833333333333691</v>
      </c>
      <c r="X125" s="208">
        <f ca="1">IF(ROW()-ROW(Множество_202207112140401240[[#Headers],[17]])&gt;1,Множество_202207112140401240[[#This Row],[16]]-OFFSET(Множество_202207112140401240[[#This Row],[16]],-1,0),0)</f>
        <v>4.1666666666738905E-2</v>
      </c>
      <c r="Y125" s="208">
        <v>2.7916666666666701</v>
      </c>
      <c r="Z125" s="208">
        <v>-14.4333333333333</v>
      </c>
      <c r="AA125" s="208">
        <f>ABS(Множество_202207112140401240[[#This Row],[18]]-Множество_202207112140401240[[#This Row],[12]])</f>
        <v>7.2083333333333304</v>
      </c>
      <c r="AB125" s="208">
        <f>ABS(Множество_202207112140401240[[#This Row],[19]]-Множество_202207112140401240[[#This Row],[13]])</f>
        <v>1.9333333333332998</v>
      </c>
      <c r="AC125" s="208">
        <f>Множество_202207112140401240[[#This Row],[20]]+Множество_202207112140401240[[#This Row],[21]]</f>
        <v>9.1416666666666302</v>
      </c>
    </row>
    <row r="126" spans="6:29" x14ac:dyDescent="0.25">
      <c r="F126" s="213"/>
      <c r="K126" s="208">
        <f>Множество_202207112140401240[[#This Row],[2]]-Множество_202207112140401240[[#This Row],[4]]</f>
        <v>0</v>
      </c>
      <c r="L126" s="208">
        <f>Множество_202207112140401240[[#This Row],[3]]-Множество_202207112140401240[[#This Row],[5]]</f>
        <v>0</v>
      </c>
      <c r="M126" s="208">
        <f>Множество_202207112140401240[[#This Row],[7]]+Множество_202207112140401240[[#This Row],[6]]</f>
        <v>0</v>
      </c>
      <c r="N126" s="208" t="str">
        <f>CONCATENATE(Множество_202207112140401240[[#This Row],[2]],Множество_202207112140401240[[#This Row],[3]])</f>
        <v/>
      </c>
      <c r="O126" s="208"/>
      <c r="P126" s="208"/>
      <c r="Q126">
        <v>6.7</v>
      </c>
      <c r="R126">
        <v>-18.3333333333333</v>
      </c>
      <c r="S126" s="208">
        <v>10</v>
      </c>
      <c r="T126" s="208">
        <v>-12.5</v>
      </c>
      <c r="U126" s="208">
        <f>ABS(Множество_202207112140401240[[#This Row],[10]]-Множество_202207112140401240[[#This Row],[12]])</f>
        <v>3.3</v>
      </c>
      <c r="V126" s="208">
        <f>ABS(Множество_202207112140401240[[#This Row],[11]]-Множество_202207112140401240[[#This Row],[13]])</f>
        <v>5.8333333333333002</v>
      </c>
      <c r="W126" s="208">
        <f>Множество_202207112140401240[[#This Row],[15]]+Множество_202207112140401240[[#This Row],[14]]</f>
        <v>9.1333333333333009</v>
      </c>
      <c r="X126" s="208">
        <f ca="1">IF(ROW()-ROW(Множество_202207112140401240[[#Headers],[17]])&gt;1,Множество_202207112140401240[[#This Row],[16]]-OFFSET(Множество_202207112140401240[[#This Row],[16]],-1,0),0)</f>
        <v>-5.0000000000068212E-2</v>
      </c>
      <c r="Y126" s="208">
        <v>4.5999999999999996</v>
      </c>
      <c r="Z126" s="208">
        <v>-16.2</v>
      </c>
      <c r="AA126" s="208">
        <f>ABS(Множество_202207112140401240[[#This Row],[18]]-Множество_202207112140401240[[#This Row],[12]])</f>
        <v>5.4</v>
      </c>
      <c r="AB126" s="208">
        <f>ABS(Множество_202207112140401240[[#This Row],[19]]-Множество_202207112140401240[[#This Row],[13]])</f>
        <v>3.6999999999999993</v>
      </c>
      <c r="AC126" s="208">
        <f>Множество_202207112140401240[[#This Row],[20]]+Множество_202207112140401240[[#This Row],[21]]</f>
        <v>9.1</v>
      </c>
    </row>
    <row r="127" spans="6:29" x14ac:dyDescent="0.25">
      <c r="F127" s="213"/>
      <c r="K127" s="208">
        <f>Множество_202207112140401240[[#This Row],[2]]-Множество_202207112140401240[[#This Row],[4]]</f>
        <v>0</v>
      </c>
      <c r="L127" s="208">
        <f>Множество_202207112140401240[[#This Row],[3]]-Множество_202207112140401240[[#This Row],[5]]</f>
        <v>0</v>
      </c>
      <c r="M127" s="208">
        <f>Множество_202207112140401240[[#This Row],[7]]+Множество_202207112140401240[[#This Row],[6]]</f>
        <v>0</v>
      </c>
      <c r="N127" s="208" t="str">
        <f>CONCATENATE(Множество_202207112140401240[[#This Row],[2]],Множество_202207112140401240[[#This Row],[3]])</f>
        <v/>
      </c>
      <c r="O127" s="208"/>
      <c r="P127" s="208"/>
      <c r="Q127">
        <v>4.5999999999999996</v>
      </c>
      <c r="R127">
        <v>-16.2</v>
      </c>
      <c r="S127" s="208">
        <v>10</v>
      </c>
      <c r="T127" s="208">
        <v>-12.5</v>
      </c>
      <c r="U127" s="208">
        <f>ABS(Множество_202207112140401240[[#This Row],[10]]-Множество_202207112140401240[[#This Row],[12]])</f>
        <v>5.4</v>
      </c>
      <c r="V127" s="208">
        <f>ABS(Множество_202207112140401240[[#This Row],[11]]-Множество_202207112140401240[[#This Row],[13]])</f>
        <v>3.6999999999999993</v>
      </c>
      <c r="W127" s="208">
        <f>Множество_202207112140401240[[#This Row],[15]]+Множество_202207112140401240[[#This Row],[14]]</f>
        <v>9.1</v>
      </c>
      <c r="X127" s="208">
        <f ca="1">IF(ROW()-ROW(Множество_202207112140401240[[#Headers],[17]])&gt;1,Множество_202207112140401240[[#This Row],[16]]-OFFSET(Множество_202207112140401240[[#This Row],[16]],-1,0),0)</f>
        <v>-3.333333333330124E-2</v>
      </c>
      <c r="Y127" s="208">
        <v>4.5416666666666696</v>
      </c>
      <c r="Z127" s="208">
        <v>-16.183333333333302</v>
      </c>
      <c r="AA127" s="208">
        <f>ABS(Множество_202207112140401240[[#This Row],[18]]-Множество_202207112140401240[[#This Row],[12]])</f>
        <v>5.4583333333333304</v>
      </c>
      <c r="AB127" s="208">
        <f>ABS(Множество_202207112140401240[[#This Row],[19]]-Множество_202207112140401240[[#This Row],[13]])</f>
        <v>3.6833333333333016</v>
      </c>
      <c r="AC127" s="208">
        <f>Множество_202207112140401240[[#This Row],[20]]+Множество_202207112140401240[[#This Row],[21]]</f>
        <v>9.141666666666632</v>
      </c>
    </row>
    <row r="128" spans="6:29" x14ac:dyDescent="0.25">
      <c r="F128" s="213"/>
      <c r="K128" s="208">
        <f>Множество_202207112140401240[[#This Row],[2]]-Множество_202207112140401240[[#This Row],[4]]</f>
        <v>0</v>
      </c>
      <c r="L128" s="208">
        <f>Множество_202207112140401240[[#This Row],[3]]-Множество_202207112140401240[[#This Row],[5]]</f>
        <v>0</v>
      </c>
      <c r="M128" s="208">
        <f>Множество_202207112140401240[[#This Row],[7]]+Множество_202207112140401240[[#This Row],[6]]</f>
        <v>0</v>
      </c>
      <c r="N128" s="208" t="str">
        <f>CONCATENATE(Множество_202207112140401240[[#This Row],[2]],Множество_202207112140401240[[#This Row],[3]])</f>
        <v/>
      </c>
      <c r="O128" s="208"/>
      <c r="P128" s="208"/>
      <c r="Q128">
        <v>4.5416666666666696</v>
      </c>
      <c r="R128">
        <v>-16.183333333333302</v>
      </c>
      <c r="S128" s="208">
        <v>10</v>
      </c>
      <c r="T128" s="208">
        <v>-12.5</v>
      </c>
      <c r="U128" s="208">
        <f>ABS(Множество_202207112140401240[[#This Row],[10]]-Множество_202207112140401240[[#This Row],[12]])</f>
        <v>5.4583333333333304</v>
      </c>
      <c r="V128" s="208">
        <f>ABS(Множество_202207112140401240[[#This Row],[11]]-Множество_202207112140401240[[#This Row],[13]])</f>
        <v>3.6833333333333016</v>
      </c>
      <c r="W128" s="208">
        <f>Множество_202207112140401240[[#This Row],[15]]+Множество_202207112140401240[[#This Row],[14]]</f>
        <v>9.141666666666632</v>
      </c>
      <c r="X128" s="208">
        <f ca="1">IF(ROW()-ROW(Множество_202207112140401240[[#Headers],[17]])&gt;1,Множество_202207112140401240[[#This Row],[16]]-OFFSET(Множество_202207112140401240[[#This Row],[16]],-1,0),0)</f>
        <v>4.1666666666632324E-2</v>
      </c>
      <c r="Y128" s="208">
        <v>6.7</v>
      </c>
      <c r="Z128" s="208">
        <v>-18.3333333333333</v>
      </c>
      <c r="AA128" s="208">
        <f>ABS(Множество_202207112140401240[[#This Row],[18]]-Множество_202207112140401240[[#This Row],[12]])</f>
        <v>3.3</v>
      </c>
      <c r="AB128" s="208">
        <f>ABS(Множество_202207112140401240[[#This Row],[19]]-Множество_202207112140401240[[#This Row],[13]])</f>
        <v>5.8333333333333002</v>
      </c>
      <c r="AC128" s="208">
        <f>Множество_202207112140401240[[#This Row],[20]]+Множество_202207112140401240[[#This Row],[21]]</f>
        <v>9.1333333333333009</v>
      </c>
    </row>
    <row r="129" spans="6:29" x14ac:dyDescent="0.25">
      <c r="F129" s="213"/>
      <c r="K129" s="208">
        <f>Множество_202207112140401240[[#This Row],[2]]-Множество_202207112140401240[[#This Row],[4]]</f>
        <v>0</v>
      </c>
      <c r="L129" s="208">
        <f>Множество_202207112140401240[[#This Row],[3]]-Множество_202207112140401240[[#This Row],[5]]</f>
        <v>0</v>
      </c>
      <c r="M129" s="208">
        <f>Множество_202207112140401240[[#This Row],[7]]+Множество_202207112140401240[[#This Row],[6]]</f>
        <v>0</v>
      </c>
      <c r="N129" s="208" t="str">
        <f>CONCATENATE(Множество_202207112140401240[[#This Row],[2]],Множество_202207112140401240[[#This Row],[3]])</f>
        <v/>
      </c>
      <c r="O129" s="208"/>
      <c r="P129" s="208"/>
      <c r="Q129">
        <v>4.3666666666666698</v>
      </c>
      <c r="R129">
        <v>-16.149999999999999</v>
      </c>
      <c r="S129" s="208">
        <v>10</v>
      </c>
      <c r="T129" s="208">
        <v>-12.5</v>
      </c>
      <c r="U129" s="208">
        <f>ABS(Множество_202207112140401240[[#This Row],[10]]-Множество_202207112140401240[[#This Row],[12]])</f>
        <v>5.6333333333333302</v>
      </c>
      <c r="V129" s="208">
        <f>ABS(Множество_202207112140401240[[#This Row],[11]]-Множество_202207112140401240[[#This Row],[13]])</f>
        <v>3.6499999999999986</v>
      </c>
      <c r="W129" s="208">
        <f>Множество_202207112140401240[[#This Row],[15]]+Множество_202207112140401240[[#This Row],[14]]</f>
        <v>9.2833333333333279</v>
      </c>
      <c r="X129" s="208">
        <f ca="1">IF(ROW()-ROW(Множество_202207112140401240[[#Headers],[17]])&gt;1,Множество_202207112140401240[[#This Row],[16]]-OFFSET(Множество_202207112140401240[[#This Row],[16]],-1,0),0)</f>
        <v>0.14166666666669592</v>
      </c>
      <c r="Y129" s="208">
        <v>4.3666666666666698</v>
      </c>
      <c r="Z129" s="208">
        <v>-16.149999999999999</v>
      </c>
      <c r="AA129" s="208">
        <f>ABS(Множество_202207112140401240[[#This Row],[18]]-Множество_202207112140401240[[#This Row],[12]])</f>
        <v>5.6333333333333302</v>
      </c>
      <c r="AB129" s="208">
        <f>ABS(Множество_202207112140401240[[#This Row],[19]]-Множество_202207112140401240[[#This Row],[13]])</f>
        <v>3.6499999999999986</v>
      </c>
      <c r="AC129" s="208">
        <f>Множество_202207112140401240[[#This Row],[20]]+Множество_202207112140401240[[#This Row],[21]]</f>
        <v>9.2833333333333279</v>
      </c>
    </row>
    <row r="130" spans="6:29" x14ac:dyDescent="0.25">
      <c r="F130" s="213"/>
      <c r="K130" s="208">
        <f>Множество_202207112140401240[[#This Row],[2]]-Множество_202207112140401240[[#This Row],[4]]</f>
        <v>0</v>
      </c>
      <c r="L130" s="208">
        <f>Множество_202207112140401240[[#This Row],[3]]-Множество_202207112140401240[[#This Row],[5]]</f>
        <v>0</v>
      </c>
      <c r="M130" s="208">
        <f>Множество_202207112140401240[[#This Row],[7]]+Множество_202207112140401240[[#This Row],[6]]</f>
        <v>0</v>
      </c>
      <c r="N130" s="208" t="str">
        <f>CONCATENATE(Множество_202207112140401240[[#This Row],[2]],Множество_202207112140401240[[#This Row],[3]])</f>
        <v/>
      </c>
      <c r="O130" s="208"/>
      <c r="P130" s="208"/>
      <c r="Q130">
        <v>2.7333333333333298</v>
      </c>
      <c r="R130">
        <v>-14.45</v>
      </c>
      <c r="S130" s="208">
        <v>10</v>
      </c>
      <c r="T130" s="208">
        <v>-12.5</v>
      </c>
      <c r="U130" s="208">
        <f>ABS(Множество_202207112140401240[[#This Row],[10]]-Множество_202207112140401240[[#This Row],[12]])</f>
        <v>7.2666666666666702</v>
      </c>
      <c r="V130" s="208">
        <f>ABS(Множество_202207112140401240[[#This Row],[11]]-Множество_202207112140401240[[#This Row],[13]])</f>
        <v>1.9499999999999993</v>
      </c>
      <c r="W130" s="208">
        <f>Множество_202207112140401240[[#This Row],[15]]+Множество_202207112140401240[[#This Row],[14]]</f>
        <v>9.2166666666666686</v>
      </c>
      <c r="X130" s="208">
        <f ca="1">IF(ROW()-ROW(Множество_202207112140401240[[#Headers],[17]])&gt;1,Множество_202207112140401240[[#This Row],[16]]-OFFSET(Множество_202207112140401240[[#This Row],[16]],-1,0),0)</f>
        <v>-6.6666666666659324E-2</v>
      </c>
      <c r="Y130" s="208">
        <v>4.4249999999999998</v>
      </c>
      <c r="Z130" s="208">
        <v>-16.1666666666667</v>
      </c>
      <c r="AA130" s="208">
        <f>ABS(Множество_202207112140401240[[#This Row],[18]]-Множество_202207112140401240[[#This Row],[12]])</f>
        <v>5.5750000000000002</v>
      </c>
      <c r="AB130" s="208">
        <f>ABS(Множество_202207112140401240[[#This Row],[19]]-Множество_202207112140401240[[#This Row],[13]])</f>
        <v>3.6666666666666998</v>
      </c>
      <c r="AC130" s="208">
        <f>Множество_202207112140401240[[#This Row],[20]]+Множество_202207112140401240[[#This Row],[21]]</f>
        <v>9.2416666666666991</v>
      </c>
    </row>
    <row r="131" spans="6:29" x14ac:dyDescent="0.25">
      <c r="F131" s="213"/>
      <c r="K131" s="208">
        <f>Множество_202207112140401240[[#This Row],[2]]-Множество_202207112140401240[[#This Row],[4]]</f>
        <v>0</v>
      </c>
      <c r="L131" s="208">
        <f>Множество_202207112140401240[[#This Row],[3]]-Множество_202207112140401240[[#This Row],[5]]</f>
        <v>0</v>
      </c>
      <c r="M131" s="208">
        <f>Множество_202207112140401240[[#This Row],[7]]+Множество_202207112140401240[[#This Row],[6]]</f>
        <v>0</v>
      </c>
      <c r="N131" s="208" t="str">
        <f>CONCATENATE(Множество_202207112140401240[[#This Row],[2]],Множество_202207112140401240[[#This Row],[3]])</f>
        <v/>
      </c>
      <c r="O131" s="208"/>
      <c r="P131" s="208"/>
      <c r="Q131">
        <v>4.4249999999999998</v>
      </c>
      <c r="R131">
        <v>-16.1666666666667</v>
      </c>
      <c r="S131" s="208">
        <v>10</v>
      </c>
      <c r="T131" s="208">
        <v>-12.5</v>
      </c>
      <c r="U131" s="208">
        <f>ABS(Множество_202207112140401240[[#This Row],[10]]-Множество_202207112140401240[[#This Row],[12]])</f>
        <v>5.5750000000000002</v>
      </c>
      <c r="V131" s="208">
        <f>ABS(Множество_202207112140401240[[#This Row],[11]]-Множество_202207112140401240[[#This Row],[13]])</f>
        <v>3.6666666666666998</v>
      </c>
      <c r="W131" s="208">
        <f>Множество_202207112140401240[[#This Row],[15]]+Множество_202207112140401240[[#This Row],[14]]</f>
        <v>9.2416666666666991</v>
      </c>
      <c r="X131" s="208">
        <f ca="1">IF(ROW()-ROW(Множество_202207112140401240[[#Headers],[17]])&gt;1,Множество_202207112140401240[[#This Row],[16]]-OFFSET(Множество_202207112140401240[[#This Row],[16]],-1,0),0)</f>
        <v>2.5000000000030553E-2</v>
      </c>
      <c r="Y131" s="208">
        <v>2.7333333333333298</v>
      </c>
      <c r="Z131" s="208">
        <v>-14.45</v>
      </c>
      <c r="AA131" s="208">
        <f>ABS(Множество_202207112140401240[[#This Row],[18]]-Множество_202207112140401240[[#This Row],[12]])</f>
        <v>7.2666666666666702</v>
      </c>
      <c r="AB131" s="208">
        <f>ABS(Множество_202207112140401240[[#This Row],[19]]-Множество_202207112140401240[[#This Row],[13]])</f>
        <v>1.9499999999999993</v>
      </c>
      <c r="AC131" s="208">
        <f>Множество_202207112140401240[[#This Row],[20]]+Множество_202207112140401240[[#This Row],[21]]</f>
        <v>9.2166666666666686</v>
      </c>
    </row>
    <row r="132" spans="6:29" x14ac:dyDescent="0.25">
      <c r="F132" s="213"/>
      <c r="K132" s="208">
        <f>Множество_202207112140401240[[#This Row],[2]]-Множество_202207112140401240[[#This Row],[4]]</f>
        <v>0</v>
      </c>
      <c r="L132" s="208">
        <f>Множество_202207112140401240[[#This Row],[3]]-Множество_202207112140401240[[#This Row],[5]]</f>
        <v>0</v>
      </c>
      <c r="M132" s="208">
        <f>Множество_202207112140401240[[#This Row],[7]]+Множество_202207112140401240[[#This Row],[6]]</f>
        <v>0</v>
      </c>
      <c r="N132" s="208" t="str">
        <f>CONCATENATE(Множество_202207112140401240[[#This Row],[2]],Множество_202207112140401240[[#This Row],[3]])</f>
        <v/>
      </c>
      <c r="O132" s="208"/>
      <c r="P132" s="208"/>
      <c r="Q132">
        <v>2.6749999999999998</v>
      </c>
      <c r="R132">
        <v>-14.466666666666701</v>
      </c>
      <c r="S132" s="208">
        <v>10</v>
      </c>
      <c r="T132" s="208">
        <v>-12.5</v>
      </c>
      <c r="U132" s="208">
        <f>ABS(Множество_202207112140401240[[#This Row],[10]]-Множество_202207112140401240[[#This Row],[12]])</f>
        <v>7.3250000000000002</v>
      </c>
      <c r="V132" s="208">
        <f>ABS(Множество_202207112140401240[[#This Row],[11]]-Множество_202207112140401240[[#This Row],[13]])</f>
        <v>1.9666666666667005</v>
      </c>
      <c r="W132" s="208">
        <f>Множество_202207112140401240[[#This Row],[15]]+Множество_202207112140401240[[#This Row],[14]]</f>
        <v>9.2916666666666998</v>
      </c>
      <c r="X132" s="208">
        <f ca="1">IF(ROW()-ROW(Множество_202207112140401240[[#Headers],[17]])&gt;1,Множество_202207112140401240[[#This Row],[16]]-OFFSET(Множество_202207112140401240[[#This Row],[16]],-1,0),0)</f>
        <v>5.0000000000000711E-2</v>
      </c>
      <c r="Y132" s="208">
        <v>2.6749999999999998</v>
      </c>
      <c r="Z132" s="208">
        <v>-14.466666666666701</v>
      </c>
      <c r="AA132" s="208">
        <f>ABS(Множество_202207112140401240[[#This Row],[18]]-Множество_202207112140401240[[#This Row],[12]])</f>
        <v>7.3250000000000002</v>
      </c>
      <c r="AB132" s="208">
        <f>ABS(Множество_202207112140401240[[#This Row],[19]]-Множество_202207112140401240[[#This Row],[13]])</f>
        <v>1.9666666666667005</v>
      </c>
      <c r="AC132" s="208">
        <f>Множество_202207112140401240[[#This Row],[20]]+Множество_202207112140401240[[#This Row],[21]]</f>
        <v>9.2916666666666998</v>
      </c>
    </row>
    <row r="133" spans="6:29" x14ac:dyDescent="0.25">
      <c r="F133" s="213"/>
      <c r="K133" s="208">
        <f>Множество_202207112140401240[[#This Row],[2]]-Множество_202207112140401240[[#This Row],[4]]</f>
        <v>0</v>
      </c>
      <c r="L133" s="208">
        <f>Множество_202207112140401240[[#This Row],[3]]-Множество_202207112140401240[[#This Row],[5]]</f>
        <v>0</v>
      </c>
      <c r="M133" s="208">
        <f>Множество_202207112140401240[[#This Row],[7]]+Множество_202207112140401240[[#This Row],[6]]</f>
        <v>0</v>
      </c>
      <c r="N133" s="208" t="str">
        <f>CONCATENATE(Множество_202207112140401240[[#This Row],[2]],Множество_202207112140401240[[#This Row],[3]])</f>
        <v/>
      </c>
      <c r="O133" s="208"/>
      <c r="P133" s="208"/>
      <c r="Q133">
        <v>4.25</v>
      </c>
      <c r="R133">
        <v>-16.100000000000001</v>
      </c>
      <c r="S133" s="208">
        <v>10</v>
      </c>
      <c r="T133" s="208">
        <v>-12.5</v>
      </c>
      <c r="U133" s="208">
        <f>ABS(Множество_202207112140401240[[#This Row],[10]]-Множество_202207112140401240[[#This Row],[12]])</f>
        <v>5.75</v>
      </c>
      <c r="V133" s="208">
        <f>ABS(Множество_202207112140401240[[#This Row],[11]]-Множество_202207112140401240[[#This Row],[13]])</f>
        <v>3.6000000000000014</v>
      </c>
      <c r="W133" s="208">
        <f>Множество_202207112140401240[[#This Row],[15]]+Множество_202207112140401240[[#This Row],[14]]</f>
        <v>9.3500000000000014</v>
      </c>
      <c r="X133" s="208">
        <f ca="1">IF(ROW()-ROW(Множество_202207112140401240[[#Headers],[17]])&gt;1,Множество_202207112140401240[[#This Row],[16]]-OFFSET(Множество_202207112140401240[[#This Row],[16]],-1,0),0)</f>
        <v>5.8333333333301596E-2</v>
      </c>
      <c r="Y133" s="208">
        <v>2.6166666666666698</v>
      </c>
      <c r="Z133" s="208">
        <v>-14.483333333333301</v>
      </c>
      <c r="AA133" s="208">
        <f>ABS(Множество_202207112140401240[[#This Row],[18]]-Множество_202207112140401240[[#This Row],[12]])</f>
        <v>7.3833333333333302</v>
      </c>
      <c r="AB133" s="208">
        <f>ABS(Множество_202207112140401240[[#This Row],[19]]-Множество_202207112140401240[[#This Row],[13]])</f>
        <v>1.9833333333333005</v>
      </c>
      <c r="AC133" s="208">
        <f>Множество_202207112140401240[[#This Row],[20]]+Множество_202207112140401240[[#This Row],[21]]</f>
        <v>9.3666666666666316</v>
      </c>
    </row>
    <row r="134" spans="6:29" x14ac:dyDescent="0.25">
      <c r="F134" s="213"/>
      <c r="K134" s="208">
        <f>Множество_202207112140401240[[#This Row],[2]]-Множество_202207112140401240[[#This Row],[4]]</f>
        <v>0</v>
      </c>
      <c r="L134" s="208">
        <f>Множество_202207112140401240[[#This Row],[3]]-Множество_202207112140401240[[#This Row],[5]]</f>
        <v>0</v>
      </c>
      <c r="M134" s="208">
        <f>Множество_202207112140401240[[#This Row],[7]]+Множество_202207112140401240[[#This Row],[6]]</f>
        <v>0</v>
      </c>
      <c r="N134" s="208" t="str">
        <f>CONCATENATE(Множество_202207112140401240[[#This Row],[2]],Множество_202207112140401240[[#This Row],[3]])</f>
        <v/>
      </c>
      <c r="O134" s="208"/>
      <c r="P134" s="208"/>
      <c r="Q134">
        <v>2.6166666666666698</v>
      </c>
      <c r="R134">
        <v>-14.483333333333301</v>
      </c>
      <c r="S134" s="208">
        <v>10</v>
      </c>
      <c r="T134" s="208">
        <v>-12.5</v>
      </c>
      <c r="U134" s="208">
        <f>ABS(Множество_202207112140401240[[#This Row],[10]]-Множество_202207112140401240[[#This Row],[12]])</f>
        <v>7.3833333333333302</v>
      </c>
      <c r="V134" s="208">
        <f>ABS(Множество_202207112140401240[[#This Row],[11]]-Множество_202207112140401240[[#This Row],[13]])</f>
        <v>1.9833333333333005</v>
      </c>
      <c r="W134" s="208">
        <f>Множество_202207112140401240[[#This Row],[15]]+Множество_202207112140401240[[#This Row],[14]]</f>
        <v>9.3666666666666316</v>
      </c>
      <c r="X134" s="208">
        <f ca="1">IF(ROW()-ROW(Множество_202207112140401240[[#Headers],[17]])&gt;1,Множество_202207112140401240[[#This Row],[16]]-OFFSET(Множество_202207112140401240[[#This Row],[16]],-1,0),0)</f>
        <v>1.6666666666630192E-2</v>
      </c>
      <c r="Y134" s="208">
        <v>4.25</v>
      </c>
      <c r="Z134" s="208">
        <v>-16.100000000000001</v>
      </c>
      <c r="AA134" s="208">
        <f>ABS(Множество_202207112140401240[[#This Row],[18]]-Множество_202207112140401240[[#This Row],[12]])</f>
        <v>5.75</v>
      </c>
      <c r="AB134" s="208">
        <f>ABS(Множество_202207112140401240[[#This Row],[19]]-Множество_202207112140401240[[#This Row],[13]])</f>
        <v>3.6000000000000014</v>
      </c>
      <c r="AC134" s="208">
        <f>Множество_202207112140401240[[#This Row],[20]]+Множество_202207112140401240[[#This Row],[21]]</f>
        <v>9.3500000000000014</v>
      </c>
    </row>
    <row r="135" spans="6:29" x14ac:dyDescent="0.25">
      <c r="F135" s="213"/>
      <c r="K135" s="208">
        <f>Множество_202207112140401240[[#This Row],[2]]-Множество_202207112140401240[[#This Row],[4]]</f>
        <v>0</v>
      </c>
      <c r="L135" s="208">
        <f>Множество_202207112140401240[[#This Row],[3]]-Множество_202207112140401240[[#This Row],[5]]</f>
        <v>0</v>
      </c>
      <c r="M135" s="208">
        <f>Множество_202207112140401240[[#This Row],[7]]+Множество_202207112140401240[[#This Row],[6]]</f>
        <v>0</v>
      </c>
      <c r="N135" s="208" t="str">
        <f>CONCATENATE(Множество_202207112140401240[[#This Row],[2]],Множество_202207112140401240[[#This Row],[3]])</f>
        <v/>
      </c>
      <c r="O135" s="208"/>
      <c r="P135" s="208"/>
      <c r="Q135">
        <v>4.30833333333333</v>
      </c>
      <c r="R135">
        <v>-16.133333333333301</v>
      </c>
      <c r="S135" s="208">
        <v>10</v>
      </c>
      <c r="T135" s="208">
        <v>-12.5</v>
      </c>
      <c r="U135" s="208">
        <f>ABS(Множество_202207112140401240[[#This Row],[10]]-Множество_202207112140401240[[#This Row],[12]])</f>
        <v>5.69166666666667</v>
      </c>
      <c r="V135" s="208">
        <f>ABS(Множество_202207112140401240[[#This Row],[11]]-Множество_202207112140401240[[#This Row],[13]])</f>
        <v>3.6333333333333009</v>
      </c>
      <c r="W135" s="208">
        <f>Множество_202207112140401240[[#This Row],[15]]+Множество_202207112140401240[[#This Row],[14]]</f>
        <v>9.3249999999999709</v>
      </c>
      <c r="X135" s="208">
        <f ca="1">IF(ROW()-ROW(Множество_202207112140401240[[#Headers],[17]])&gt;1,Множество_202207112140401240[[#This Row],[16]]-OFFSET(Множество_202207112140401240[[#This Row],[16]],-1,0),0)</f>
        <v>-4.1666666666660745E-2</v>
      </c>
      <c r="Y135" s="208">
        <v>4.30833333333333</v>
      </c>
      <c r="Z135" s="208">
        <v>-16.133333333333301</v>
      </c>
      <c r="AA135" s="208">
        <f>ABS(Множество_202207112140401240[[#This Row],[18]]-Множество_202207112140401240[[#This Row],[12]])</f>
        <v>5.69166666666667</v>
      </c>
      <c r="AB135" s="208">
        <f>ABS(Множество_202207112140401240[[#This Row],[19]]-Множество_202207112140401240[[#This Row],[13]])</f>
        <v>3.6333333333333009</v>
      </c>
      <c r="AC135" s="208">
        <f>Множество_202207112140401240[[#This Row],[20]]+Множество_202207112140401240[[#This Row],[21]]</f>
        <v>9.3249999999999709</v>
      </c>
    </row>
    <row r="136" spans="6:29" x14ac:dyDescent="0.25">
      <c r="F136" s="213"/>
      <c r="K136" s="208">
        <f>Множество_202207112140401240[[#This Row],[2]]-Множество_202207112140401240[[#This Row],[4]]</f>
        <v>0</v>
      </c>
      <c r="L136" s="208">
        <f>Множество_202207112140401240[[#This Row],[3]]-Множество_202207112140401240[[#This Row],[5]]</f>
        <v>0</v>
      </c>
      <c r="M136" s="208">
        <f>Множество_202207112140401240[[#This Row],[7]]+Множество_202207112140401240[[#This Row],[6]]</f>
        <v>0</v>
      </c>
      <c r="N136" s="208" t="str">
        <f>CONCATENATE(Множество_202207112140401240[[#This Row],[2]],Множество_202207112140401240[[#This Row],[3]])</f>
        <v/>
      </c>
      <c r="O136" s="208"/>
      <c r="P136" s="208"/>
      <c r="Q136">
        <v>4.0750000000000002</v>
      </c>
      <c r="R136">
        <v>-16.033333333333299</v>
      </c>
      <c r="S136" s="208">
        <v>10</v>
      </c>
      <c r="T136" s="208">
        <v>-12.5</v>
      </c>
      <c r="U136" s="208">
        <f>ABS(Множество_202207112140401240[[#This Row],[10]]-Множество_202207112140401240[[#This Row],[12]])</f>
        <v>5.9249999999999998</v>
      </c>
      <c r="V136" s="208">
        <f>ABS(Множество_202207112140401240[[#This Row],[11]]-Множество_202207112140401240[[#This Row],[13]])</f>
        <v>3.5333333333332995</v>
      </c>
      <c r="W136" s="208">
        <f>Множество_202207112140401240[[#This Row],[15]]+Множество_202207112140401240[[#This Row],[14]]</f>
        <v>9.4583333333333002</v>
      </c>
      <c r="X136" s="208">
        <f ca="1">IF(ROW()-ROW(Множество_202207112140401240[[#Headers],[17]])&gt;1,Множество_202207112140401240[[#This Row],[16]]-OFFSET(Множество_202207112140401240[[#This Row],[16]],-1,0),0)</f>
        <v>0.13333333333332931</v>
      </c>
      <c r="Y136" s="208">
        <v>4.0750000000000002</v>
      </c>
      <c r="Z136" s="208">
        <v>-16.033333333333299</v>
      </c>
      <c r="AA136" s="208">
        <f>ABS(Множество_202207112140401240[[#This Row],[18]]-Множество_202207112140401240[[#This Row],[12]])</f>
        <v>5.9249999999999998</v>
      </c>
      <c r="AB136" s="208">
        <f>ABS(Множество_202207112140401240[[#This Row],[19]]-Множество_202207112140401240[[#This Row],[13]])</f>
        <v>3.5333333333332995</v>
      </c>
      <c r="AC136" s="208">
        <f>Множество_202207112140401240[[#This Row],[20]]+Множество_202207112140401240[[#This Row],[21]]</f>
        <v>9.4583333333333002</v>
      </c>
    </row>
    <row r="137" spans="6:29" x14ac:dyDescent="0.25">
      <c r="F137" s="213"/>
      <c r="K137" s="208">
        <f>Множество_202207112140401240[[#This Row],[2]]-Множество_202207112140401240[[#This Row],[4]]</f>
        <v>0</v>
      </c>
      <c r="L137" s="208">
        <f>Множество_202207112140401240[[#This Row],[3]]-Множество_202207112140401240[[#This Row],[5]]</f>
        <v>0</v>
      </c>
      <c r="M137" s="208">
        <f>Множество_202207112140401240[[#This Row],[7]]+Множество_202207112140401240[[#This Row],[6]]</f>
        <v>0</v>
      </c>
      <c r="N137" s="208" t="str">
        <f>CONCATENATE(Множество_202207112140401240[[#This Row],[2]],Множество_202207112140401240[[#This Row],[3]])</f>
        <v/>
      </c>
      <c r="O137" s="208"/>
      <c r="P137" s="208"/>
      <c r="Q137">
        <v>7.1666666666666696</v>
      </c>
      <c r="R137">
        <v>-19.133333333333301</v>
      </c>
      <c r="S137" s="208">
        <v>10</v>
      </c>
      <c r="T137" s="208">
        <v>-12.5</v>
      </c>
      <c r="U137" s="208">
        <f>ABS(Множество_202207112140401240[[#This Row],[10]]-Множество_202207112140401240[[#This Row],[12]])</f>
        <v>2.8333333333333304</v>
      </c>
      <c r="V137" s="208">
        <f>ABS(Множество_202207112140401240[[#This Row],[11]]-Множество_202207112140401240[[#This Row],[13]])</f>
        <v>6.6333333333333009</v>
      </c>
      <c r="W137" s="208">
        <f>Множество_202207112140401240[[#This Row],[15]]+Множество_202207112140401240[[#This Row],[14]]</f>
        <v>9.4666666666666313</v>
      </c>
      <c r="X137" s="208">
        <f ca="1">IF(ROW()-ROW(Множество_202207112140401240[[#Headers],[17]])&gt;1,Множество_202207112140401240[[#This Row],[16]]-OFFSET(Множество_202207112140401240[[#This Row],[16]],-1,0),0)</f>
        <v>8.3333333333310833E-3</v>
      </c>
      <c r="Y137" s="208">
        <v>4.19166666666667</v>
      </c>
      <c r="Z137" s="208">
        <v>-16.0833333333333</v>
      </c>
      <c r="AA137" s="208">
        <f>ABS(Множество_202207112140401240[[#This Row],[18]]-Множество_202207112140401240[[#This Row],[12]])</f>
        <v>5.80833333333333</v>
      </c>
      <c r="AB137" s="208">
        <f>ABS(Множество_202207112140401240[[#This Row],[19]]-Множество_202207112140401240[[#This Row],[13]])</f>
        <v>3.5833333333333002</v>
      </c>
      <c r="AC137" s="208">
        <f>Множество_202207112140401240[[#This Row],[20]]+Множество_202207112140401240[[#This Row],[21]]</f>
        <v>9.3916666666666302</v>
      </c>
    </row>
    <row r="138" spans="6:29" x14ac:dyDescent="0.25">
      <c r="F138" s="213"/>
      <c r="K138" s="208">
        <f>Множество_202207112140401240[[#This Row],[2]]-Множество_202207112140401240[[#This Row],[4]]</f>
        <v>0</v>
      </c>
      <c r="L138" s="208">
        <f>Множество_202207112140401240[[#This Row],[3]]-Множество_202207112140401240[[#This Row],[5]]</f>
        <v>0</v>
      </c>
      <c r="M138" s="208">
        <f>Множество_202207112140401240[[#This Row],[7]]+Множество_202207112140401240[[#This Row],[6]]</f>
        <v>0</v>
      </c>
      <c r="N138" s="208" t="str">
        <f>CONCATENATE(Множество_202207112140401240[[#This Row],[2]],Множество_202207112140401240[[#This Row],[3]])</f>
        <v/>
      </c>
      <c r="O138" s="208"/>
      <c r="P138" s="208"/>
      <c r="Q138">
        <v>4.19166666666667</v>
      </c>
      <c r="R138">
        <v>-16.0833333333333</v>
      </c>
      <c r="S138" s="208">
        <v>10</v>
      </c>
      <c r="T138" s="208">
        <v>-12.5</v>
      </c>
      <c r="U138" s="208">
        <f>ABS(Множество_202207112140401240[[#This Row],[10]]-Множество_202207112140401240[[#This Row],[12]])</f>
        <v>5.80833333333333</v>
      </c>
      <c r="V138" s="208">
        <f>ABS(Множество_202207112140401240[[#This Row],[11]]-Множество_202207112140401240[[#This Row],[13]])</f>
        <v>3.5833333333333002</v>
      </c>
      <c r="W138" s="208">
        <f>Множество_202207112140401240[[#This Row],[15]]+Множество_202207112140401240[[#This Row],[14]]</f>
        <v>9.3916666666666302</v>
      </c>
      <c r="X138" s="208">
        <f ca="1">IF(ROW()-ROW(Множество_202207112140401240[[#Headers],[17]])&gt;1,Множество_202207112140401240[[#This Row],[16]]-OFFSET(Множество_202207112140401240[[#This Row],[16]],-1,0),0)</f>
        <v>-7.5000000000001066E-2</v>
      </c>
      <c r="Y138" s="208">
        <v>4.1333333333333302</v>
      </c>
      <c r="Z138" s="208">
        <v>-16.066666666666698</v>
      </c>
      <c r="AA138" s="208">
        <f>ABS(Множество_202207112140401240[[#This Row],[18]]-Множество_202207112140401240[[#This Row],[12]])</f>
        <v>5.8666666666666698</v>
      </c>
      <c r="AB138" s="208">
        <f>ABS(Множество_202207112140401240[[#This Row],[19]]-Множество_202207112140401240[[#This Row],[13]])</f>
        <v>3.5666666666666984</v>
      </c>
      <c r="AC138" s="208">
        <f>Множество_202207112140401240[[#This Row],[20]]+Множество_202207112140401240[[#This Row],[21]]</f>
        <v>9.4333333333333691</v>
      </c>
    </row>
    <row r="139" spans="6:29" x14ac:dyDescent="0.25">
      <c r="F139" s="213"/>
      <c r="K139" s="208">
        <f>Множество_202207112140401240[[#This Row],[2]]-Множество_202207112140401240[[#This Row],[4]]</f>
        <v>0</v>
      </c>
      <c r="L139" s="208">
        <f>Множество_202207112140401240[[#This Row],[3]]-Множество_202207112140401240[[#This Row],[5]]</f>
        <v>0</v>
      </c>
      <c r="M139" s="208">
        <f>Множество_202207112140401240[[#This Row],[7]]+Множество_202207112140401240[[#This Row],[6]]</f>
        <v>0</v>
      </c>
      <c r="N139" s="208" t="str">
        <f>CONCATENATE(Множество_202207112140401240[[#This Row],[2]],Множество_202207112140401240[[#This Row],[3]])</f>
        <v/>
      </c>
      <c r="O139" s="208"/>
      <c r="P139" s="208"/>
      <c r="Q139">
        <v>4.1333333333333302</v>
      </c>
      <c r="R139">
        <v>-16.066666666666698</v>
      </c>
      <c r="S139" s="208">
        <v>10</v>
      </c>
      <c r="T139" s="208">
        <v>-12.5</v>
      </c>
      <c r="U139" s="208">
        <f>ABS(Множество_202207112140401240[[#This Row],[10]]-Множество_202207112140401240[[#This Row],[12]])</f>
        <v>5.8666666666666698</v>
      </c>
      <c r="V139" s="208">
        <f>ABS(Множество_202207112140401240[[#This Row],[11]]-Множество_202207112140401240[[#This Row],[13]])</f>
        <v>3.5666666666666984</v>
      </c>
      <c r="W139" s="208">
        <f>Множество_202207112140401240[[#This Row],[15]]+Множество_202207112140401240[[#This Row],[14]]</f>
        <v>9.4333333333333691</v>
      </c>
      <c r="X139" s="208">
        <f ca="1">IF(ROW()-ROW(Множество_202207112140401240[[#Headers],[17]])&gt;1,Множество_202207112140401240[[#This Row],[16]]-OFFSET(Множество_202207112140401240[[#This Row],[16]],-1,0),0)</f>
        <v>4.1666666666738905E-2</v>
      </c>
      <c r="Y139" s="208">
        <v>7.1666666666666696</v>
      </c>
      <c r="Z139" s="208">
        <v>-19.133333333333301</v>
      </c>
      <c r="AA139" s="208">
        <f>ABS(Множество_202207112140401240[[#This Row],[18]]-Множество_202207112140401240[[#This Row],[12]])</f>
        <v>2.8333333333333304</v>
      </c>
      <c r="AB139" s="208">
        <f>ABS(Множество_202207112140401240[[#This Row],[19]]-Множество_202207112140401240[[#This Row],[13]])</f>
        <v>6.6333333333333009</v>
      </c>
      <c r="AC139" s="208">
        <f>Множество_202207112140401240[[#This Row],[20]]+Множество_202207112140401240[[#This Row],[21]]</f>
        <v>9.4666666666666313</v>
      </c>
    </row>
    <row r="140" spans="6:29" x14ac:dyDescent="0.25">
      <c r="F140" s="213"/>
      <c r="K140" s="208">
        <f>Множество_202207112140401240[[#This Row],[2]]-Множество_202207112140401240[[#This Row],[4]]</f>
        <v>0</v>
      </c>
      <c r="L140" s="208">
        <f>Множество_202207112140401240[[#This Row],[3]]-Множество_202207112140401240[[#This Row],[5]]</f>
        <v>0</v>
      </c>
      <c r="M140" s="208">
        <f>Множество_202207112140401240[[#This Row],[7]]+Множество_202207112140401240[[#This Row],[6]]</f>
        <v>0</v>
      </c>
      <c r="N140" s="208" t="str">
        <f>CONCATENATE(Множество_202207112140401240[[#This Row],[2]],Множество_202207112140401240[[#This Row],[3]])</f>
        <v/>
      </c>
      <c r="O140" s="208"/>
      <c r="P140" s="208"/>
      <c r="Q140">
        <v>7.05</v>
      </c>
      <c r="R140">
        <v>-19.033333333333299</v>
      </c>
      <c r="S140" s="208">
        <v>10</v>
      </c>
      <c r="T140" s="208">
        <v>-12.5</v>
      </c>
      <c r="U140" s="208">
        <f>ABS(Множество_202207112140401240[[#This Row],[10]]-Множество_202207112140401240[[#This Row],[12]])</f>
        <v>2.95</v>
      </c>
      <c r="V140" s="208">
        <f>ABS(Множество_202207112140401240[[#This Row],[11]]-Множество_202207112140401240[[#This Row],[13]])</f>
        <v>6.5333333333332995</v>
      </c>
      <c r="W140" s="208">
        <f>Множество_202207112140401240[[#This Row],[15]]+Множество_202207112140401240[[#This Row],[14]]</f>
        <v>9.4833333333332988</v>
      </c>
      <c r="X140" s="208">
        <f ca="1">IF(ROW()-ROW(Множество_202207112140401240[[#Headers],[17]])&gt;1,Множество_202207112140401240[[#This Row],[16]]-OFFSET(Множество_202207112140401240[[#This Row],[16]],-1,0),0)</f>
        <v>4.9999999999929656E-2</v>
      </c>
      <c r="Y140" s="208">
        <v>2.55833333333333</v>
      </c>
      <c r="Z140" s="208">
        <v>-14.516666666666699</v>
      </c>
      <c r="AA140" s="208">
        <f>ABS(Множество_202207112140401240[[#This Row],[18]]-Множество_202207112140401240[[#This Row],[12]])</f>
        <v>7.44166666666667</v>
      </c>
      <c r="AB140" s="208">
        <f>ABS(Множество_202207112140401240[[#This Row],[19]]-Множество_202207112140401240[[#This Row],[13]])</f>
        <v>2.0166666666666995</v>
      </c>
      <c r="AC140" s="208">
        <f>Множество_202207112140401240[[#This Row],[20]]+Множество_202207112140401240[[#This Row],[21]]</f>
        <v>9.4583333333333695</v>
      </c>
    </row>
    <row r="141" spans="6:29" x14ac:dyDescent="0.25">
      <c r="F141" s="213"/>
      <c r="K141" s="208">
        <f>Множество_202207112140401240[[#This Row],[2]]-Множество_202207112140401240[[#This Row],[4]]</f>
        <v>0</v>
      </c>
      <c r="L141" s="208">
        <f>Множество_202207112140401240[[#This Row],[3]]-Множество_202207112140401240[[#This Row],[5]]</f>
        <v>0</v>
      </c>
      <c r="M141" s="208">
        <f>Множество_202207112140401240[[#This Row],[7]]+Множество_202207112140401240[[#This Row],[6]]</f>
        <v>0</v>
      </c>
      <c r="N141" s="208" t="str">
        <f>CONCATENATE(Множество_202207112140401240[[#This Row],[2]],Множество_202207112140401240[[#This Row],[3]])</f>
        <v/>
      </c>
      <c r="O141" s="208"/>
      <c r="P141" s="208"/>
      <c r="Q141">
        <v>2.55833333333333</v>
      </c>
      <c r="R141">
        <v>-14.516666666666699</v>
      </c>
      <c r="S141" s="208">
        <v>10</v>
      </c>
      <c r="T141" s="208">
        <v>-12.5</v>
      </c>
      <c r="U141" s="208">
        <f>ABS(Множество_202207112140401240[[#This Row],[10]]-Множество_202207112140401240[[#This Row],[12]])</f>
        <v>7.44166666666667</v>
      </c>
      <c r="V141" s="208">
        <f>ABS(Множество_202207112140401240[[#This Row],[11]]-Множество_202207112140401240[[#This Row],[13]])</f>
        <v>2.0166666666666995</v>
      </c>
      <c r="W141" s="208">
        <f>Множество_202207112140401240[[#This Row],[15]]+Множество_202207112140401240[[#This Row],[14]]</f>
        <v>9.4583333333333695</v>
      </c>
      <c r="X141" s="208">
        <f ca="1">IF(ROW()-ROW(Множество_202207112140401240[[#Headers],[17]])&gt;1,Множество_202207112140401240[[#This Row],[16]]-OFFSET(Множество_202207112140401240[[#This Row],[16]],-1,0),0)</f>
        <v>-2.4999999999929301E-2</v>
      </c>
      <c r="Y141" s="208">
        <v>7.2249999999999996</v>
      </c>
      <c r="Z141" s="208">
        <v>-19.1666666666667</v>
      </c>
      <c r="AA141" s="208">
        <f>ABS(Множество_202207112140401240[[#This Row],[18]]-Множество_202207112140401240[[#This Row],[12]])</f>
        <v>2.7750000000000004</v>
      </c>
      <c r="AB141" s="208">
        <f>ABS(Множество_202207112140401240[[#This Row],[19]]-Множество_202207112140401240[[#This Row],[13]])</f>
        <v>6.6666666666666998</v>
      </c>
      <c r="AC141" s="208">
        <f>Множество_202207112140401240[[#This Row],[20]]+Множество_202207112140401240[[#This Row],[21]]</f>
        <v>9.4416666666667002</v>
      </c>
    </row>
    <row r="142" spans="6:29" x14ac:dyDescent="0.25">
      <c r="F142" s="213"/>
      <c r="K142" s="208">
        <f>Множество_202207112140401240[[#This Row],[2]]-Множество_202207112140401240[[#This Row],[4]]</f>
        <v>0</v>
      </c>
      <c r="L142" s="208">
        <f>Множество_202207112140401240[[#This Row],[3]]-Множество_202207112140401240[[#This Row],[5]]</f>
        <v>0</v>
      </c>
      <c r="M142" s="208">
        <f>Множество_202207112140401240[[#This Row],[7]]+Множество_202207112140401240[[#This Row],[6]]</f>
        <v>0</v>
      </c>
      <c r="N142" s="208" t="str">
        <f>CONCATENATE(Множество_202207112140401240[[#This Row],[2]],Множество_202207112140401240[[#This Row],[3]])</f>
        <v/>
      </c>
      <c r="O142" s="208"/>
      <c r="P142" s="208"/>
      <c r="Q142">
        <v>7.2249999999999996</v>
      </c>
      <c r="R142">
        <v>-19.1666666666667</v>
      </c>
      <c r="S142" s="208">
        <v>10</v>
      </c>
      <c r="T142" s="208">
        <v>-12.5</v>
      </c>
      <c r="U142" s="208">
        <f>ABS(Множество_202207112140401240[[#This Row],[10]]-Множество_202207112140401240[[#This Row],[12]])</f>
        <v>2.7750000000000004</v>
      </c>
      <c r="V142" s="208">
        <f>ABS(Множество_202207112140401240[[#This Row],[11]]-Множество_202207112140401240[[#This Row],[13]])</f>
        <v>6.6666666666666998</v>
      </c>
      <c r="W142" s="208">
        <f>Множество_202207112140401240[[#This Row],[15]]+Множество_202207112140401240[[#This Row],[14]]</f>
        <v>9.4416666666667002</v>
      </c>
      <c r="X142" s="208">
        <f ca="1">IF(ROW()-ROW(Множество_202207112140401240[[#Headers],[17]])&gt;1,Множество_202207112140401240[[#This Row],[16]]-OFFSET(Множество_202207112140401240[[#This Row],[16]],-1,0),0)</f>
        <v>-1.6666666666669272E-2</v>
      </c>
      <c r="Y142" s="208">
        <v>7.05</v>
      </c>
      <c r="Z142" s="208">
        <v>-19.033333333333299</v>
      </c>
      <c r="AA142" s="208">
        <f>ABS(Множество_202207112140401240[[#This Row],[18]]-Множество_202207112140401240[[#This Row],[12]])</f>
        <v>2.95</v>
      </c>
      <c r="AB142" s="208">
        <f>ABS(Множество_202207112140401240[[#This Row],[19]]-Множество_202207112140401240[[#This Row],[13]])</f>
        <v>6.5333333333332995</v>
      </c>
      <c r="AC142" s="208">
        <f>Множество_202207112140401240[[#This Row],[20]]+Множество_202207112140401240[[#This Row],[21]]</f>
        <v>9.4833333333332988</v>
      </c>
    </row>
    <row r="143" spans="6:29" x14ac:dyDescent="0.25">
      <c r="F143" s="213"/>
      <c r="K143" s="208">
        <f>Множество_202207112140401240[[#This Row],[2]]-Множество_202207112140401240[[#This Row],[4]]</f>
        <v>0</v>
      </c>
      <c r="L143" s="208">
        <f>Множество_202207112140401240[[#This Row],[3]]-Множество_202207112140401240[[#This Row],[5]]</f>
        <v>0</v>
      </c>
      <c r="M143" s="208">
        <f>Множество_202207112140401240[[#This Row],[7]]+Множество_202207112140401240[[#This Row],[6]]</f>
        <v>0</v>
      </c>
      <c r="N143" s="208" t="str">
        <f>CONCATENATE(Множество_202207112140401240[[#This Row],[2]],Множество_202207112140401240[[#This Row],[3]])</f>
        <v/>
      </c>
      <c r="O143" s="208"/>
      <c r="P143" s="208"/>
      <c r="Q143">
        <v>4.0166666666666702</v>
      </c>
      <c r="R143">
        <v>-16.016666666666701</v>
      </c>
      <c r="S143" s="208">
        <v>10</v>
      </c>
      <c r="T143" s="208">
        <v>-12.5</v>
      </c>
      <c r="U143" s="208">
        <f>ABS(Множество_202207112140401240[[#This Row],[10]]-Множество_202207112140401240[[#This Row],[12]])</f>
        <v>5.9833333333333298</v>
      </c>
      <c r="V143" s="208">
        <f>ABS(Множество_202207112140401240[[#This Row],[11]]-Множество_202207112140401240[[#This Row],[13]])</f>
        <v>3.5166666666667012</v>
      </c>
      <c r="W143" s="208">
        <f>Множество_202207112140401240[[#This Row],[15]]+Множество_202207112140401240[[#This Row],[14]]</f>
        <v>9.500000000000032</v>
      </c>
      <c r="X143" s="208">
        <f ca="1">IF(ROW()-ROW(Множество_202207112140401240[[#Headers],[17]])&gt;1,Множество_202207112140401240[[#This Row],[16]]-OFFSET(Множество_202207112140401240[[#This Row],[16]],-1,0),0)</f>
        <v>5.8333333333331794E-2</v>
      </c>
      <c r="Y143" s="208">
        <v>6.7583333333333302</v>
      </c>
      <c r="Z143" s="208">
        <v>-18.816666666666698</v>
      </c>
      <c r="AA143" s="208">
        <f>ABS(Множество_202207112140401240[[#This Row],[18]]-Множество_202207112140401240[[#This Row],[12]])</f>
        <v>3.2416666666666698</v>
      </c>
      <c r="AB143" s="208">
        <f>ABS(Множество_202207112140401240[[#This Row],[19]]-Множество_202207112140401240[[#This Row],[13]])</f>
        <v>6.3166666666666984</v>
      </c>
      <c r="AC143" s="208">
        <f>Множество_202207112140401240[[#This Row],[20]]+Множество_202207112140401240[[#This Row],[21]]</f>
        <v>9.5583333333333691</v>
      </c>
    </row>
    <row r="144" spans="6:29" x14ac:dyDescent="0.25">
      <c r="F144" s="213"/>
      <c r="K144" s="208">
        <f>Множество_202207112140401240[[#This Row],[2]]-Множество_202207112140401240[[#This Row],[4]]</f>
        <v>0</v>
      </c>
      <c r="L144" s="208">
        <f>Множество_202207112140401240[[#This Row],[3]]-Множество_202207112140401240[[#This Row],[5]]</f>
        <v>0</v>
      </c>
      <c r="M144" s="208">
        <f>Множество_202207112140401240[[#This Row],[7]]+Множество_202207112140401240[[#This Row],[6]]</f>
        <v>0</v>
      </c>
      <c r="N144" s="208" t="str">
        <f>CONCATENATE(Множество_202207112140401240[[#This Row],[2]],Множество_202207112140401240[[#This Row],[3]])</f>
        <v/>
      </c>
      <c r="O144" s="208"/>
      <c r="P144" s="208"/>
      <c r="Q144">
        <v>6.7583333333333302</v>
      </c>
      <c r="R144">
        <v>-18.816666666666698</v>
      </c>
      <c r="S144" s="208">
        <v>10</v>
      </c>
      <c r="T144" s="208">
        <v>-12.5</v>
      </c>
      <c r="U144" s="208">
        <f>ABS(Множество_202207112140401240[[#This Row],[10]]-Множество_202207112140401240[[#This Row],[12]])</f>
        <v>3.2416666666666698</v>
      </c>
      <c r="V144" s="208">
        <f>ABS(Множество_202207112140401240[[#This Row],[11]]-Множество_202207112140401240[[#This Row],[13]])</f>
        <v>6.3166666666666984</v>
      </c>
      <c r="W144" s="208">
        <f>Множество_202207112140401240[[#This Row],[15]]+Множество_202207112140401240[[#This Row],[14]]</f>
        <v>9.5583333333333691</v>
      </c>
      <c r="X144" s="208">
        <f ca="1">IF(ROW()-ROW(Множество_202207112140401240[[#Headers],[17]])&gt;1,Множество_202207112140401240[[#This Row],[16]]-OFFSET(Множество_202207112140401240[[#This Row],[16]],-1,0),0)</f>
        <v>5.8333333333337123E-2</v>
      </c>
      <c r="Y144" s="208">
        <v>6.875</v>
      </c>
      <c r="Z144" s="208">
        <v>-18.9166666666667</v>
      </c>
      <c r="AA144" s="208">
        <f>ABS(Множество_202207112140401240[[#This Row],[18]]-Множество_202207112140401240[[#This Row],[12]])</f>
        <v>3.125</v>
      </c>
      <c r="AB144" s="208">
        <f>ABS(Множество_202207112140401240[[#This Row],[19]]-Множество_202207112140401240[[#This Row],[13]])</f>
        <v>6.4166666666666998</v>
      </c>
      <c r="AC144" s="208">
        <f>Множество_202207112140401240[[#This Row],[20]]+Множество_202207112140401240[[#This Row],[21]]</f>
        <v>9.5416666666666998</v>
      </c>
    </row>
    <row r="145" spans="6:29" x14ac:dyDescent="0.25">
      <c r="F145" s="213"/>
      <c r="K145" s="208">
        <f>Множество_202207112140401240[[#This Row],[2]]-Множество_202207112140401240[[#This Row],[4]]</f>
        <v>0</v>
      </c>
      <c r="L145" s="208">
        <f>Множество_202207112140401240[[#This Row],[3]]-Множество_202207112140401240[[#This Row],[5]]</f>
        <v>0</v>
      </c>
      <c r="M145" s="208">
        <f>Множество_202207112140401240[[#This Row],[7]]+Множество_202207112140401240[[#This Row],[6]]</f>
        <v>0</v>
      </c>
      <c r="N145" s="208" t="str">
        <f>CONCATENATE(Множество_202207112140401240[[#This Row],[2]],Множество_202207112140401240[[#This Row],[3]])</f>
        <v/>
      </c>
      <c r="O145" s="208"/>
      <c r="P145" s="208"/>
      <c r="Q145">
        <v>3.9583333333333299</v>
      </c>
      <c r="R145">
        <v>-16</v>
      </c>
      <c r="S145" s="208">
        <v>10</v>
      </c>
      <c r="T145" s="208">
        <v>-12.5</v>
      </c>
      <c r="U145" s="208">
        <f>ABS(Множество_202207112140401240[[#This Row],[10]]-Множество_202207112140401240[[#This Row],[12]])</f>
        <v>6.0416666666666696</v>
      </c>
      <c r="V145" s="208">
        <f>ABS(Множество_202207112140401240[[#This Row],[11]]-Множество_202207112140401240[[#This Row],[13]])</f>
        <v>3.5</v>
      </c>
      <c r="W145" s="208">
        <f>Множество_202207112140401240[[#This Row],[15]]+Множество_202207112140401240[[#This Row],[14]]</f>
        <v>9.5416666666666696</v>
      </c>
      <c r="X145" s="208">
        <f ca="1">IF(ROW()-ROW(Множество_202207112140401240[[#Headers],[17]])&gt;1,Множество_202207112140401240[[#This Row],[16]]-OFFSET(Множество_202207112140401240[[#This Row],[16]],-1,0),0)</f>
        <v>-1.666666666669947E-2</v>
      </c>
      <c r="Y145" s="208">
        <v>4.0166666666666702</v>
      </c>
      <c r="Z145" s="208">
        <v>-16.016666666666701</v>
      </c>
      <c r="AA145" s="208">
        <f>ABS(Множество_202207112140401240[[#This Row],[18]]-Множество_202207112140401240[[#This Row],[12]])</f>
        <v>5.9833333333333298</v>
      </c>
      <c r="AB145" s="208">
        <f>ABS(Множество_202207112140401240[[#This Row],[19]]-Множество_202207112140401240[[#This Row],[13]])</f>
        <v>3.5166666666667012</v>
      </c>
      <c r="AC145" s="208">
        <f>Множество_202207112140401240[[#This Row],[20]]+Множество_202207112140401240[[#This Row],[21]]</f>
        <v>9.500000000000032</v>
      </c>
    </row>
    <row r="146" spans="6:29" x14ac:dyDescent="0.25">
      <c r="F146" s="213"/>
      <c r="K146" s="208">
        <f>Множество_202207112140401240[[#This Row],[2]]-Множество_202207112140401240[[#This Row],[4]]</f>
        <v>0</v>
      </c>
      <c r="L146" s="208">
        <f>Множество_202207112140401240[[#This Row],[3]]-Множество_202207112140401240[[#This Row],[5]]</f>
        <v>0</v>
      </c>
      <c r="M146" s="208">
        <f>Множество_202207112140401240[[#This Row],[7]]+Множество_202207112140401240[[#This Row],[6]]</f>
        <v>0</v>
      </c>
      <c r="N146" s="208" t="str">
        <f>CONCATENATE(Множество_202207112140401240[[#This Row],[2]],Множество_202207112140401240[[#This Row],[3]])</f>
        <v/>
      </c>
      <c r="O146" s="208"/>
      <c r="P146" s="208"/>
      <c r="Q146">
        <v>2.5</v>
      </c>
      <c r="R146">
        <v>-14.533333333333299</v>
      </c>
      <c r="S146" s="208">
        <v>10</v>
      </c>
      <c r="T146" s="208">
        <v>-12.5</v>
      </c>
      <c r="U146" s="208">
        <f>ABS(Множество_202207112140401240[[#This Row],[10]]-Множество_202207112140401240[[#This Row],[12]])</f>
        <v>7.5</v>
      </c>
      <c r="V146" s="208">
        <f>ABS(Множество_202207112140401240[[#This Row],[11]]-Множество_202207112140401240[[#This Row],[13]])</f>
        <v>2.0333333333332995</v>
      </c>
      <c r="W146" s="208">
        <f>Множество_202207112140401240[[#This Row],[15]]+Множество_202207112140401240[[#This Row],[14]]</f>
        <v>9.5333333333332995</v>
      </c>
      <c r="X146" s="208">
        <f ca="1">IF(ROW()-ROW(Множество_202207112140401240[[#Headers],[17]])&gt;1,Множество_202207112140401240[[#This Row],[16]]-OFFSET(Множество_202207112140401240[[#This Row],[16]],-1,0),0)</f>
        <v>-8.3333333333701631E-3</v>
      </c>
      <c r="Y146" s="208">
        <v>6.93333333333333</v>
      </c>
      <c r="Z146" s="208">
        <v>-18.95</v>
      </c>
      <c r="AA146" s="208">
        <f>ABS(Множество_202207112140401240[[#This Row],[18]]-Множество_202207112140401240[[#This Row],[12]])</f>
        <v>3.06666666666667</v>
      </c>
      <c r="AB146" s="208">
        <f>ABS(Множество_202207112140401240[[#This Row],[19]]-Множество_202207112140401240[[#This Row],[13]])</f>
        <v>6.4499999999999993</v>
      </c>
      <c r="AC146" s="208">
        <f>Множество_202207112140401240[[#This Row],[20]]+Множество_202207112140401240[[#This Row],[21]]</f>
        <v>9.5166666666666693</v>
      </c>
    </row>
    <row r="147" spans="6:29" x14ac:dyDescent="0.25">
      <c r="F147" s="213"/>
      <c r="K147" s="208">
        <f>Множество_202207112140401240[[#This Row],[2]]-Множество_202207112140401240[[#This Row],[4]]</f>
        <v>0</v>
      </c>
      <c r="L147" s="208">
        <f>Множество_202207112140401240[[#This Row],[3]]-Множество_202207112140401240[[#This Row],[5]]</f>
        <v>0</v>
      </c>
      <c r="M147" s="208">
        <f>Множество_202207112140401240[[#This Row],[7]]+Множество_202207112140401240[[#This Row],[6]]</f>
        <v>0</v>
      </c>
      <c r="N147" s="208" t="str">
        <f>CONCATENATE(Множество_202207112140401240[[#This Row],[2]],Множество_202207112140401240[[#This Row],[3]])</f>
        <v/>
      </c>
      <c r="O147" s="208"/>
      <c r="P147" s="208"/>
      <c r="Q147">
        <v>6.875</v>
      </c>
      <c r="R147">
        <v>-18.9166666666667</v>
      </c>
      <c r="S147" s="208">
        <v>10</v>
      </c>
      <c r="T147" s="208">
        <v>-12.5</v>
      </c>
      <c r="U147" s="208">
        <f>ABS(Множество_202207112140401240[[#This Row],[10]]-Множество_202207112140401240[[#This Row],[12]])</f>
        <v>3.125</v>
      </c>
      <c r="V147" s="208">
        <f>ABS(Множество_202207112140401240[[#This Row],[11]]-Множество_202207112140401240[[#This Row],[13]])</f>
        <v>6.4166666666666998</v>
      </c>
      <c r="W147" s="208">
        <f>Множество_202207112140401240[[#This Row],[15]]+Множество_202207112140401240[[#This Row],[14]]</f>
        <v>9.5416666666666998</v>
      </c>
      <c r="X147" s="208">
        <f ca="1">IF(ROW()-ROW(Множество_202207112140401240[[#Headers],[17]])&gt;1,Множество_202207112140401240[[#This Row],[16]]-OFFSET(Множество_202207112140401240[[#This Row],[16]],-1,0),0)</f>
        <v>8.3333333334003612E-3</v>
      </c>
      <c r="Y147" s="208">
        <v>3.9583333333333299</v>
      </c>
      <c r="Z147" s="208">
        <v>-16</v>
      </c>
      <c r="AA147" s="208">
        <f>ABS(Множество_202207112140401240[[#This Row],[18]]-Множество_202207112140401240[[#This Row],[12]])</f>
        <v>6.0416666666666696</v>
      </c>
      <c r="AB147" s="208">
        <f>ABS(Множество_202207112140401240[[#This Row],[19]]-Множество_202207112140401240[[#This Row],[13]])</f>
        <v>3.5</v>
      </c>
      <c r="AC147" s="208">
        <f>Множество_202207112140401240[[#This Row],[20]]+Множество_202207112140401240[[#This Row],[21]]</f>
        <v>9.5416666666666696</v>
      </c>
    </row>
    <row r="148" spans="6:29" x14ac:dyDescent="0.25">
      <c r="F148" s="213"/>
      <c r="K148" s="208">
        <f>Множество_202207112140401240[[#This Row],[2]]-Множество_202207112140401240[[#This Row],[4]]</f>
        <v>0</v>
      </c>
      <c r="L148" s="208">
        <f>Множество_202207112140401240[[#This Row],[3]]-Множество_202207112140401240[[#This Row],[5]]</f>
        <v>0</v>
      </c>
      <c r="M148" s="208">
        <f>Множество_202207112140401240[[#This Row],[7]]+Множество_202207112140401240[[#This Row],[6]]</f>
        <v>0</v>
      </c>
      <c r="N148" s="208" t="str">
        <f>CONCATENATE(Множество_202207112140401240[[#This Row],[2]],Множество_202207112140401240[[#This Row],[3]])</f>
        <v/>
      </c>
      <c r="O148" s="208"/>
      <c r="P148" s="208"/>
      <c r="Q148">
        <v>6.93333333333333</v>
      </c>
      <c r="R148">
        <v>-18.95</v>
      </c>
      <c r="S148" s="208">
        <v>10</v>
      </c>
      <c r="T148" s="208">
        <v>-12.5</v>
      </c>
      <c r="U148" s="208">
        <f>ABS(Множество_202207112140401240[[#This Row],[10]]-Множество_202207112140401240[[#This Row],[12]])</f>
        <v>3.06666666666667</v>
      </c>
      <c r="V148" s="208">
        <f>ABS(Множество_202207112140401240[[#This Row],[11]]-Множество_202207112140401240[[#This Row],[13]])</f>
        <v>6.4499999999999993</v>
      </c>
      <c r="W148" s="208">
        <f>Множество_202207112140401240[[#This Row],[15]]+Множество_202207112140401240[[#This Row],[14]]</f>
        <v>9.5166666666666693</v>
      </c>
      <c r="X148" s="208">
        <f ca="1">IF(ROW()-ROW(Множество_202207112140401240[[#Headers],[17]])&gt;1,Множество_202207112140401240[[#This Row],[16]]-OFFSET(Множество_202207112140401240[[#This Row],[16]],-1,0),0)</f>
        <v>-2.5000000000030553E-2</v>
      </c>
      <c r="Y148" s="208">
        <v>2.5</v>
      </c>
      <c r="Z148" s="208">
        <v>-14.533333333333299</v>
      </c>
      <c r="AA148" s="208">
        <f>ABS(Множество_202207112140401240[[#This Row],[18]]-Множество_202207112140401240[[#This Row],[12]])</f>
        <v>7.5</v>
      </c>
      <c r="AB148" s="208">
        <f>ABS(Множество_202207112140401240[[#This Row],[19]]-Множество_202207112140401240[[#This Row],[13]])</f>
        <v>2.0333333333332995</v>
      </c>
      <c r="AC148" s="208">
        <f>Множество_202207112140401240[[#This Row],[20]]+Множество_202207112140401240[[#This Row],[21]]</f>
        <v>9.5333333333332995</v>
      </c>
    </row>
    <row r="149" spans="6:29" x14ac:dyDescent="0.25">
      <c r="F149" s="213"/>
      <c r="K149" s="208">
        <f>Множество_202207112140401240[[#This Row],[2]]-Множество_202207112140401240[[#This Row],[4]]</f>
        <v>0</v>
      </c>
      <c r="L149" s="208">
        <f>Множество_202207112140401240[[#This Row],[3]]-Множество_202207112140401240[[#This Row],[5]]</f>
        <v>0</v>
      </c>
      <c r="M149" s="208">
        <f>Множество_202207112140401240[[#This Row],[7]]+Множество_202207112140401240[[#This Row],[6]]</f>
        <v>0</v>
      </c>
      <c r="N149" s="208" t="str">
        <f>CONCATENATE(Множество_202207112140401240[[#This Row],[2]],Множество_202207112140401240[[#This Row],[3]])</f>
        <v/>
      </c>
      <c r="O149" s="208"/>
      <c r="P149" s="208"/>
      <c r="Q149">
        <v>2.5</v>
      </c>
      <c r="R149">
        <v>-14.533333333333299</v>
      </c>
      <c r="S149" s="208">
        <v>10</v>
      </c>
      <c r="T149" s="208">
        <v>-12.5</v>
      </c>
      <c r="U149" s="208">
        <f>ABS(Множество_202207112140401240[[#This Row],[10]]-Множество_202207112140401240[[#This Row],[12]])</f>
        <v>7.5</v>
      </c>
      <c r="V149" s="208">
        <f>ABS(Множество_202207112140401240[[#This Row],[11]]-Множество_202207112140401240[[#This Row],[13]])</f>
        <v>2.0333333333332995</v>
      </c>
      <c r="W149" s="208">
        <f>Множество_202207112140401240[[#This Row],[15]]+Множество_202207112140401240[[#This Row],[14]]</f>
        <v>9.5333333333332995</v>
      </c>
      <c r="X149" s="208">
        <f ca="1">IF(ROW()-ROW(Множество_202207112140401240[[#Headers],[17]])&gt;1,Множество_202207112140401240[[#This Row],[16]]-OFFSET(Множество_202207112140401240[[#This Row],[16]],-1,0),0)</f>
        <v>1.6666666666630192E-2</v>
      </c>
      <c r="Y149" s="208">
        <v>2.5</v>
      </c>
      <c r="Z149" s="208">
        <v>-14.533333333333299</v>
      </c>
      <c r="AA149" s="208">
        <f>ABS(Множество_202207112140401240[[#This Row],[18]]-Множество_202207112140401240[[#This Row],[12]])</f>
        <v>7.5</v>
      </c>
      <c r="AB149" s="208">
        <f>ABS(Множество_202207112140401240[[#This Row],[19]]-Множество_202207112140401240[[#This Row],[13]])</f>
        <v>2.0333333333332995</v>
      </c>
      <c r="AC149" s="208">
        <f>Множество_202207112140401240[[#This Row],[20]]+Множество_202207112140401240[[#This Row],[21]]</f>
        <v>9.5333333333332995</v>
      </c>
    </row>
    <row r="150" spans="6:29" x14ac:dyDescent="0.25">
      <c r="F150" s="213"/>
      <c r="K150" s="208">
        <f>Множество_202207112140401240[[#This Row],[2]]-Множество_202207112140401240[[#This Row],[4]]</f>
        <v>0</v>
      </c>
      <c r="L150" s="208">
        <f>Множество_202207112140401240[[#This Row],[3]]-Множество_202207112140401240[[#This Row],[5]]</f>
        <v>0</v>
      </c>
      <c r="M150" s="208">
        <f>Множество_202207112140401240[[#This Row],[7]]+Множество_202207112140401240[[#This Row],[6]]</f>
        <v>0</v>
      </c>
      <c r="N150" s="208" t="str">
        <f>CONCATENATE(Множество_202207112140401240[[#This Row],[2]],Множество_202207112140401240[[#This Row],[3]])</f>
        <v/>
      </c>
      <c r="O150" s="208"/>
      <c r="P150" s="208"/>
      <c r="Q150">
        <v>7.1083333333333298</v>
      </c>
      <c r="R150">
        <v>-19.0833333333333</v>
      </c>
      <c r="S150" s="208">
        <v>10</v>
      </c>
      <c r="T150" s="208">
        <v>-12.5</v>
      </c>
      <c r="U150" s="208">
        <f>ABS(Множество_202207112140401240[[#This Row],[10]]-Множество_202207112140401240[[#This Row],[12]])</f>
        <v>2.8916666666666702</v>
      </c>
      <c r="V150" s="208">
        <f>ABS(Множество_202207112140401240[[#This Row],[11]]-Множество_202207112140401240[[#This Row],[13]])</f>
        <v>6.5833333333333002</v>
      </c>
      <c r="W150" s="208">
        <f>Множество_202207112140401240[[#This Row],[15]]+Множество_202207112140401240[[#This Row],[14]]</f>
        <v>9.4749999999999694</v>
      </c>
      <c r="X150" s="208">
        <f ca="1">IF(ROW()-ROW(Множество_202207112140401240[[#Headers],[17]])&gt;1,Множество_202207112140401240[[#This Row],[16]]-OFFSET(Множество_202207112140401240[[#This Row],[16]],-1,0),0)</f>
        <v>-5.8333333333330017E-2</v>
      </c>
      <c r="Y150" s="208">
        <v>7.1083333333333298</v>
      </c>
      <c r="Z150" s="208">
        <v>-19.0833333333333</v>
      </c>
      <c r="AA150" s="208">
        <f>ABS(Множество_202207112140401240[[#This Row],[18]]-Множество_202207112140401240[[#This Row],[12]])</f>
        <v>2.8916666666666702</v>
      </c>
      <c r="AB150" s="208">
        <f>ABS(Множество_202207112140401240[[#This Row],[19]]-Множество_202207112140401240[[#This Row],[13]])</f>
        <v>6.5833333333333002</v>
      </c>
      <c r="AC150" s="208">
        <f>Множество_202207112140401240[[#This Row],[20]]+Множество_202207112140401240[[#This Row],[21]]</f>
        <v>9.4749999999999694</v>
      </c>
    </row>
    <row r="151" spans="6:29" x14ac:dyDescent="0.25">
      <c r="F151" s="213"/>
      <c r="K151" s="208">
        <f>Множество_202207112140401240[[#This Row],[2]]-Множество_202207112140401240[[#This Row],[4]]</f>
        <v>0</v>
      </c>
      <c r="L151" s="208">
        <f>Множество_202207112140401240[[#This Row],[3]]-Множество_202207112140401240[[#This Row],[5]]</f>
        <v>0</v>
      </c>
      <c r="M151" s="208">
        <f>Множество_202207112140401240[[#This Row],[7]]+Множество_202207112140401240[[#This Row],[6]]</f>
        <v>0</v>
      </c>
      <c r="N151" s="208" t="str">
        <f>CONCATENATE(Множество_202207112140401240[[#This Row],[2]],Множество_202207112140401240[[#This Row],[3]])</f>
        <v/>
      </c>
      <c r="O151" s="208"/>
      <c r="P151" s="208"/>
      <c r="Q151">
        <v>3.8416666666666699</v>
      </c>
      <c r="R151">
        <v>-15.95</v>
      </c>
      <c r="S151" s="208">
        <v>10</v>
      </c>
      <c r="T151" s="208">
        <v>-12.5</v>
      </c>
      <c r="U151" s="208">
        <f>ABS(Множество_202207112140401240[[#This Row],[10]]-Множество_202207112140401240[[#This Row],[12]])</f>
        <v>6.1583333333333297</v>
      </c>
      <c r="V151" s="208">
        <f>ABS(Множество_202207112140401240[[#This Row],[11]]-Множество_202207112140401240[[#This Row],[13]])</f>
        <v>3.4499999999999993</v>
      </c>
      <c r="W151" s="208">
        <f>Множество_202207112140401240[[#This Row],[15]]+Множество_202207112140401240[[#This Row],[14]]</f>
        <v>9.608333333333329</v>
      </c>
      <c r="X151" s="208">
        <f ca="1">IF(ROW()-ROW(Множество_202207112140401240[[#Headers],[17]])&gt;1,Множество_202207112140401240[[#This Row],[16]]-OFFSET(Множество_202207112140401240[[#This Row],[16]],-1,0),0)</f>
        <v>0.1333333333333595</v>
      </c>
      <c r="Y151" s="208">
        <v>6.9916666666666698</v>
      </c>
      <c r="Z151" s="208">
        <v>-19</v>
      </c>
      <c r="AA151" s="208">
        <f>ABS(Множество_202207112140401240[[#This Row],[18]]-Множество_202207112140401240[[#This Row],[12]])</f>
        <v>3.0083333333333302</v>
      </c>
      <c r="AB151" s="208">
        <f>ABS(Множество_202207112140401240[[#This Row],[19]]-Множество_202207112140401240[[#This Row],[13]])</f>
        <v>6.5</v>
      </c>
      <c r="AC151" s="208">
        <f>Множество_202207112140401240[[#This Row],[20]]+Множество_202207112140401240[[#This Row],[21]]</f>
        <v>9.5083333333333293</v>
      </c>
    </row>
    <row r="152" spans="6:29" x14ac:dyDescent="0.25">
      <c r="F152" s="213"/>
      <c r="K152" s="208">
        <f>Множество_202207112140401240[[#This Row],[2]]-Множество_202207112140401240[[#This Row],[4]]</f>
        <v>0</v>
      </c>
      <c r="L152" s="208">
        <f>Множество_202207112140401240[[#This Row],[3]]-Множество_202207112140401240[[#This Row],[5]]</f>
        <v>0</v>
      </c>
      <c r="M152" s="208">
        <f>Множество_202207112140401240[[#This Row],[7]]+Множество_202207112140401240[[#This Row],[6]]</f>
        <v>0</v>
      </c>
      <c r="N152" s="208" t="str">
        <f>CONCATENATE(Множество_202207112140401240[[#This Row],[2]],Множество_202207112140401240[[#This Row],[3]])</f>
        <v/>
      </c>
      <c r="O152" s="208"/>
      <c r="P152" s="208"/>
      <c r="Q152">
        <v>6.9916666666666698</v>
      </c>
      <c r="R152">
        <v>-19</v>
      </c>
      <c r="S152" s="208">
        <v>10</v>
      </c>
      <c r="T152" s="208">
        <v>-12.5</v>
      </c>
      <c r="U152" s="208">
        <f>ABS(Множество_202207112140401240[[#This Row],[10]]-Множество_202207112140401240[[#This Row],[12]])</f>
        <v>3.0083333333333302</v>
      </c>
      <c r="V152" s="208">
        <f>ABS(Множество_202207112140401240[[#This Row],[11]]-Множество_202207112140401240[[#This Row],[13]])</f>
        <v>6.5</v>
      </c>
      <c r="W152" s="208">
        <f>Множество_202207112140401240[[#This Row],[15]]+Множество_202207112140401240[[#This Row],[14]]</f>
        <v>9.5083333333333293</v>
      </c>
      <c r="X152" s="208">
        <f ca="1">IF(ROW()-ROW(Множество_202207112140401240[[#Headers],[17]])&gt;1,Множество_202207112140401240[[#This Row],[16]]-OFFSET(Множество_202207112140401240[[#This Row],[16]],-1,0),0)</f>
        <v>-9.9999999999999645E-2</v>
      </c>
      <c r="Y152" s="208">
        <v>6.81666666666667</v>
      </c>
      <c r="Z152" s="208">
        <v>-18.866666666666699</v>
      </c>
      <c r="AA152" s="208">
        <f>ABS(Множество_202207112140401240[[#This Row],[18]]-Множество_202207112140401240[[#This Row],[12]])</f>
        <v>3.18333333333333</v>
      </c>
      <c r="AB152" s="208">
        <f>ABS(Множество_202207112140401240[[#This Row],[19]]-Множество_202207112140401240[[#This Row],[13]])</f>
        <v>6.3666666666666991</v>
      </c>
      <c r="AC152" s="208">
        <f>Множество_202207112140401240[[#This Row],[20]]+Множество_202207112140401240[[#This Row],[21]]</f>
        <v>9.5500000000000291</v>
      </c>
    </row>
    <row r="153" spans="6:29" x14ac:dyDescent="0.25">
      <c r="F153" s="213"/>
      <c r="K153" s="208">
        <f>Множество_202207112140401240[[#This Row],[2]]-Множество_202207112140401240[[#This Row],[4]]</f>
        <v>0</v>
      </c>
      <c r="L153" s="208">
        <f>Множество_202207112140401240[[#This Row],[3]]-Множество_202207112140401240[[#This Row],[5]]</f>
        <v>0</v>
      </c>
      <c r="M153" s="208">
        <f>Множество_202207112140401240[[#This Row],[7]]+Множество_202207112140401240[[#This Row],[6]]</f>
        <v>0</v>
      </c>
      <c r="N153" s="208" t="str">
        <f>CONCATENATE(Множество_202207112140401240[[#This Row],[2]],Множество_202207112140401240[[#This Row],[3]])</f>
        <v/>
      </c>
      <c r="O153" s="208"/>
      <c r="P153" s="208"/>
      <c r="Q153">
        <v>6.81666666666667</v>
      </c>
      <c r="R153">
        <v>-18.866666666666699</v>
      </c>
      <c r="S153" s="208">
        <v>10</v>
      </c>
      <c r="T153" s="208">
        <v>-12.5</v>
      </c>
      <c r="U153" s="208">
        <f>ABS(Множество_202207112140401240[[#This Row],[10]]-Множество_202207112140401240[[#This Row],[12]])</f>
        <v>3.18333333333333</v>
      </c>
      <c r="V153" s="208">
        <f>ABS(Множество_202207112140401240[[#This Row],[11]]-Множество_202207112140401240[[#This Row],[13]])</f>
        <v>6.3666666666666991</v>
      </c>
      <c r="W153" s="208">
        <f>Множество_202207112140401240[[#This Row],[15]]+Множество_202207112140401240[[#This Row],[14]]</f>
        <v>9.5500000000000291</v>
      </c>
      <c r="X153" s="208">
        <f ca="1">IF(ROW()-ROW(Множество_202207112140401240[[#Headers],[17]])&gt;1,Множество_202207112140401240[[#This Row],[16]]-OFFSET(Множество_202207112140401240[[#This Row],[16]],-1,0),0)</f>
        <v>4.1666666666699825E-2</v>
      </c>
      <c r="Y153" s="208">
        <v>3.8416666666666699</v>
      </c>
      <c r="Z153" s="208">
        <v>-15.95</v>
      </c>
      <c r="AA153" s="208">
        <f>ABS(Множество_202207112140401240[[#This Row],[18]]-Множество_202207112140401240[[#This Row],[12]])</f>
        <v>6.1583333333333297</v>
      </c>
      <c r="AB153" s="208">
        <f>ABS(Множество_202207112140401240[[#This Row],[19]]-Множество_202207112140401240[[#This Row],[13]])</f>
        <v>3.4499999999999993</v>
      </c>
      <c r="AC153" s="208">
        <f>Множество_202207112140401240[[#This Row],[20]]+Множество_202207112140401240[[#This Row],[21]]</f>
        <v>9.608333333333329</v>
      </c>
    </row>
    <row r="154" spans="6:29" x14ac:dyDescent="0.25">
      <c r="F154" s="213"/>
      <c r="K154" s="208">
        <f>Множество_202207112140401240[[#This Row],[2]]-Множество_202207112140401240[[#This Row],[4]]</f>
        <v>0</v>
      </c>
      <c r="L154" s="208">
        <f>Множество_202207112140401240[[#This Row],[3]]-Множество_202207112140401240[[#This Row],[5]]</f>
        <v>0</v>
      </c>
      <c r="M154" s="208">
        <f>Множество_202207112140401240[[#This Row],[7]]+Множество_202207112140401240[[#This Row],[6]]</f>
        <v>0</v>
      </c>
      <c r="N154" s="208" t="str">
        <f>CONCATENATE(Множество_202207112140401240[[#This Row],[2]],Множество_202207112140401240[[#This Row],[3]])</f>
        <v/>
      </c>
      <c r="O154" s="208"/>
      <c r="P154" s="208"/>
      <c r="Q154">
        <v>2.4249999999999998</v>
      </c>
      <c r="R154">
        <v>-14.516666666666699</v>
      </c>
      <c r="S154" s="208">
        <v>10</v>
      </c>
      <c r="T154" s="208">
        <v>-12.5</v>
      </c>
      <c r="U154" s="208">
        <f>ABS(Множество_202207112140401240[[#This Row],[10]]-Множество_202207112140401240[[#This Row],[12]])</f>
        <v>7.5750000000000002</v>
      </c>
      <c r="V154" s="208">
        <f>ABS(Множество_202207112140401240[[#This Row],[11]]-Множество_202207112140401240[[#This Row],[13]])</f>
        <v>2.0166666666666995</v>
      </c>
      <c r="W154" s="208">
        <f>Множество_202207112140401240[[#This Row],[15]]+Множество_202207112140401240[[#This Row],[14]]</f>
        <v>9.5916666666667005</v>
      </c>
      <c r="X154" s="208">
        <f ca="1">IF(ROW()-ROW(Множество_202207112140401240[[#Headers],[17]])&gt;1,Множество_202207112140401240[[#This Row],[16]]-OFFSET(Множество_202207112140401240[[#This Row],[16]],-1,0),0)</f>
        <v>4.1666666666671404E-2</v>
      </c>
      <c r="Y154" s="208">
        <v>2.35</v>
      </c>
      <c r="Z154" s="208">
        <v>-14.483333333333301</v>
      </c>
      <c r="AA154" s="208">
        <f>ABS(Множество_202207112140401240[[#This Row],[18]]-Множество_202207112140401240[[#This Row],[12]])</f>
        <v>7.65</v>
      </c>
      <c r="AB154" s="208">
        <f>ABS(Множество_202207112140401240[[#This Row],[19]]-Множество_202207112140401240[[#This Row],[13]])</f>
        <v>1.9833333333333005</v>
      </c>
      <c r="AC154" s="208">
        <f>Множество_202207112140401240[[#This Row],[20]]+Множество_202207112140401240[[#This Row],[21]]</f>
        <v>9.6333333333333009</v>
      </c>
    </row>
    <row r="155" spans="6:29" x14ac:dyDescent="0.25">
      <c r="F155" s="213"/>
      <c r="K155" s="208">
        <f>Множество_202207112140401240[[#This Row],[2]]-Множество_202207112140401240[[#This Row],[4]]</f>
        <v>0</v>
      </c>
      <c r="L155" s="208">
        <f>Множество_202207112140401240[[#This Row],[3]]-Множество_202207112140401240[[#This Row],[5]]</f>
        <v>0</v>
      </c>
      <c r="M155" s="208">
        <f>Множество_202207112140401240[[#This Row],[7]]+Множество_202207112140401240[[#This Row],[6]]</f>
        <v>0</v>
      </c>
      <c r="N155" s="208" t="str">
        <f>CONCATENATE(Множество_202207112140401240[[#This Row],[2]],Множество_202207112140401240[[#This Row],[3]])</f>
        <v/>
      </c>
      <c r="O155" s="208"/>
      <c r="P155" s="208"/>
      <c r="Q155">
        <v>3.9</v>
      </c>
      <c r="R155">
        <v>-15.983333333333301</v>
      </c>
      <c r="S155" s="208">
        <v>10</v>
      </c>
      <c r="T155" s="208">
        <v>-12.5</v>
      </c>
      <c r="U155" s="208">
        <f>ABS(Множество_202207112140401240[[#This Row],[10]]-Множество_202207112140401240[[#This Row],[12]])</f>
        <v>6.1</v>
      </c>
      <c r="V155" s="208">
        <f>ABS(Множество_202207112140401240[[#This Row],[11]]-Множество_202207112140401240[[#This Row],[13]])</f>
        <v>3.4833333333333005</v>
      </c>
      <c r="W155" s="208">
        <f>Множество_202207112140401240[[#This Row],[15]]+Множество_202207112140401240[[#This Row],[14]]</f>
        <v>9.5833333333333002</v>
      </c>
      <c r="X155" s="208">
        <f ca="1">IF(ROW()-ROW(Множество_202207112140401240[[#Headers],[17]])&gt;1,Множество_202207112140401240[[#This Row],[16]]-OFFSET(Множество_202207112140401240[[#This Row],[16]],-1,0),0)</f>
        <v>-8.3333333334003612E-3</v>
      </c>
      <c r="Y155" s="208">
        <v>3.9</v>
      </c>
      <c r="Z155" s="208">
        <v>-15.983333333333301</v>
      </c>
      <c r="AA155" s="208">
        <f>ABS(Множество_202207112140401240[[#This Row],[18]]-Множество_202207112140401240[[#This Row],[12]])</f>
        <v>6.1</v>
      </c>
      <c r="AB155" s="208">
        <f>ABS(Множество_202207112140401240[[#This Row],[19]]-Множество_202207112140401240[[#This Row],[13]])</f>
        <v>3.4833333333333005</v>
      </c>
      <c r="AC155" s="208">
        <f>Множество_202207112140401240[[#This Row],[20]]+Множество_202207112140401240[[#This Row],[21]]</f>
        <v>9.5833333333333002</v>
      </c>
    </row>
    <row r="156" spans="6:29" x14ac:dyDescent="0.25">
      <c r="F156" s="213"/>
      <c r="K156" s="208">
        <f>Множество_202207112140401240[[#This Row],[2]]-Множество_202207112140401240[[#This Row],[4]]</f>
        <v>0</v>
      </c>
      <c r="L156" s="208">
        <f>Множество_202207112140401240[[#This Row],[3]]-Множество_202207112140401240[[#This Row],[5]]</f>
        <v>0</v>
      </c>
      <c r="M156" s="208">
        <f>Множество_202207112140401240[[#This Row],[7]]+Множество_202207112140401240[[#This Row],[6]]</f>
        <v>0</v>
      </c>
      <c r="N156" s="208" t="str">
        <f>CONCATENATE(Множество_202207112140401240[[#This Row],[2]],Множество_202207112140401240[[#This Row],[3]])</f>
        <v/>
      </c>
      <c r="O156" s="208"/>
      <c r="P156" s="208"/>
      <c r="Q156">
        <v>2.35</v>
      </c>
      <c r="R156">
        <v>-14.483333333333301</v>
      </c>
      <c r="S156" s="208">
        <v>10</v>
      </c>
      <c r="T156" s="208">
        <v>-12.5</v>
      </c>
      <c r="U156" s="208">
        <f>ABS(Множество_202207112140401240[[#This Row],[10]]-Множество_202207112140401240[[#This Row],[12]])</f>
        <v>7.65</v>
      </c>
      <c r="V156" s="208">
        <f>ABS(Множество_202207112140401240[[#This Row],[11]]-Множество_202207112140401240[[#This Row],[13]])</f>
        <v>1.9833333333333005</v>
      </c>
      <c r="W156" s="208">
        <f>Множество_202207112140401240[[#This Row],[15]]+Множество_202207112140401240[[#This Row],[14]]</f>
        <v>9.6333333333333009</v>
      </c>
      <c r="X156" s="208">
        <f ca="1">IF(ROW()-ROW(Множество_202207112140401240[[#Headers],[17]])&gt;1,Множество_202207112140401240[[#This Row],[16]]-OFFSET(Множество_202207112140401240[[#This Row],[16]],-1,0),0)</f>
        <v>5.0000000000000711E-2</v>
      </c>
      <c r="Y156" s="208">
        <v>2.4249999999999998</v>
      </c>
      <c r="Z156" s="208">
        <v>-14.516666666666699</v>
      </c>
      <c r="AA156" s="208">
        <f>ABS(Множество_202207112140401240[[#This Row],[18]]-Множество_202207112140401240[[#This Row],[12]])</f>
        <v>7.5750000000000002</v>
      </c>
      <c r="AB156" s="208">
        <f>ABS(Множество_202207112140401240[[#This Row],[19]]-Множество_202207112140401240[[#This Row],[13]])</f>
        <v>2.0166666666666995</v>
      </c>
      <c r="AC156" s="208">
        <f>Множество_202207112140401240[[#This Row],[20]]+Множество_202207112140401240[[#This Row],[21]]</f>
        <v>9.5916666666667005</v>
      </c>
    </row>
    <row r="157" spans="6:29" x14ac:dyDescent="0.25">
      <c r="F157" s="213"/>
      <c r="K157" s="208">
        <f>Множество_202207112140401240[[#This Row],[2]]-Множество_202207112140401240[[#This Row],[4]]</f>
        <v>0</v>
      </c>
      <c r="L157" s="208">
        <f>Множество_202207112140401240[[#This Row],[3]]-Множество_202207112140401240[[#This Row],[5]]</f>
        <v>0</v>
      </c>
      <c r="M157" s="208">
        <f>Множество_202207112140401240[[#This Row],[7]]+Множество_202207112140401240[[#This Row],[6]]</f>
        <v>0</v>
      </c>
      <c r="N157" s="208" t="str">
        <f>CONCATENATE(Множество_202207112140401240[[#This Row],[2]],Множество_202207112140401240[[#This Row],[3]])</f>
        <v/>
      </c>
      <c r="O157" s="208"/>
      <c r="P157" s="208"/>
      <c r="Q157">
        <v>3.6666666666666701</v>
      </c>
      <c r="R157">
        <v>-15.9</v>
      </c>
      <c r="S157" s="208">
        <v>10</v>
      </c>
      <c r="T157" s="208">
        <v>-12.5</v>
      </c>
      <c r="U157" s="208">
        <f>ABS(Множество_202207112140401240[[#This Row],[10]]-Множество_202207112140401240[[#This Row],[12]])</f>
        <v>6.3333333333333304</v>
      </c>
      <c r="V157" s="208">
        <f>ABS(Множество_202207112140401240[[#This Row],[11]]-Множество_202207112140401240[[#This Row],[13]])</f>
        <v>3.4000000000000004</v>
      </c>
      <c r="W157" s="208">
        <f>Множество_202207112140401240[[#This Row],[15]]+Множество_202207112140401240[[#This Row],[14]]</f>
        <v>9.7333333333333307</v>
      </c>
      <c r="X157" s="208">
        <f ca="1">IF(ROW()-ROW(Множество_202207112140401240[[#Headers],[17]])&gt;1,Множество_202207112140401240[[#This Row],[16]]-OFFSET(Множество_202207112140401240[[#This Row],[16]],-1,0),0)</f>
        <v>0.10000000000002984</v>
      </c>
      <c r="Y157" s="208">
        <v>3.6666666666666701</v>
      </c>
      <c r="Z157" s="208">
        <v>-15.9</v>
      </c>
      <c r="AA157" s="208">
        <f>ABS(Множество_202207112140401240[[#This Row],[18]]-Множество_202207112140401240[[#This Row],[12]])</f>
        <v>6.3333333333333304</v>
      </c>
      <c r="AB157" s="208">
        <f>ABS(Множество_202207112140401240[[#This Row],[19]]-Множество_202207112140401240[[#This Row],[13]])</f>
        <v>3.4000000000000004</v>
      </c>
      <c r="AC157" s="208">
        <f>Множество_202207112140401240[[#This Row],[20]]+Множество_202207112140401240[[#This Row],[21]]</f>
        <v>9.7333333333333307</v>
      </c>
    </row>
    <row r="158" spans="6:29" x14ac:dyDescent="0.25">
      <c r="F158" s="213"/>
      <c r="K158" s="208">
        <f>Множество_202207112140401240[[#This Row],[2]]-Множество_202207112140401240[[#This Row],[4]]</f>
        <v>0</v>
      </c>
      <c r="L158" s="208">
        <f>Множество_202207112140401240[[#This Row],[3]]-Множество_202207112140401240[[#This Row],[5]]</f>
        <v>0</v>
      </c>
      <c r="M158" s="208">
        <f>Множество_202207112140401240[[#This Row],[7]]+Множество_202207112140401240[[#This Row],[6]]</f>
        <v>0</v>
      </c>
      <c r="N158" s="208" t="str">
        <f>CONCATENATE(Множество_202207112140401240[[#This Row],[2]],Множество_202207112140401240[[#This Row],[3]])</f>
        <v/>
      </c>
      <c r="O158" s="208"/>
      <c r="P158" s="208"/>
      <c r="Q158">
        <v>3.7250000000000001</v>
      </c>
      <c r="R158">
        <v>-15.9166666666667</v>
      </c>
      <c r="S158" s="208">
        <v>10</v>
      </c>
      <c r="T158" s="208">
        <v>-12.5</v>
      </c>
      <c r="U158" s="208">
        <f>ABS(Множество_202207112140401240[[#This Row],[10]]-Множество_202207112140401240[[#This Row],[12]])</f>
        <v>6.2750000000000004</v>
      </c>
      <c r="V158" s="208">
        <f>ABS(Множество_202207112140401240[[#This Row],[11]]-Множество_202207112140401240[[#This Row],[13]])</f>
        <v>3.4166666666666998</v>
      </c>
      <c r="W158" s="208">
        <f>Множество_202207112140401240[[#This Row],[15]]+Множество_202207112140401240[[#This Row],[14]]</f>
        <v>9.6916666666667002</v>
      </c>
      <c r="X158" s="208">
        <f ca="1">IF(ROW()-ROW(Множество_202207112140401240[[#Headers],[17]])&gt;1,Множество_202207112140401240[[#This Row],[16]]-OFFSET(Множество_202207112140401240[[#This Row],[16]],-1,0),0)</f>
        <v>-4.1666666666630547E-2</v>
      </c>
      <c r="Y158" s="208">
        <v>3.7250000000000001</v>
      </c>
      <c r="Z158" s="208">
        <v>-15.9166666666667</v>
      </c>
      <c r="AA158" s="208">
        <f>ABS(Множество_202207112140401240[[#This Row],[18]]-Множество_202207112140401240[[#This Row],[12]])</f>
        <v>6.2750000000000004</v>
      </c>
      <c r="AB158" s="208">
        <f>ABS(Множество_202207112140401240[[#This Row],[19]]-Множество_202207112140401240[[#This Row],[13]])</f>
        <v>3.4166666666666998</v>
      </c>
      <c r="AC158" s="208">
        <f>Множество_202207112140401240[[#This Row],[20]]+Множество_202207112140401240[[#This Row],[21]]</f>
        <v>9.6916666666667002</v>
      </c>
    </row>
    <row r="159" spans="6:29" x14ac:dyDescent="0.25">
      <c r="F159" s="213"/>
      <c r="K159" s="208">
        <f>Множество_202207112140401240[[#This Row],[2]]-Множество_202207112140401240[[#This Row],[4]]</f>
        <v>0</v>
      </c>
      <c r="L159" s="208">
        <f>Множество_202207112140401240[[#This Row],[3]]-Множество_202207112140401240[[#This Row],[5]]</f>
        <v>0</v>
      </c>
      <c r="M159" s="208">
        <f>Множество_202207112140401240[[#This Row],[7]]+Множество_202207112140401240[[#This Row],[6]]</f>
        <v>0</v>
      </c>
      <c r="N159" s="208" t="str">
        <f>CONCATENATE(Множество_202207112140401240[[#This Row],[2]],Множество_202207112140401240[[#This Row],[3]])</f>
        <v/>
      </c>
      <c r="O159" s="208"/>
      <c r="P159" s="208"/>
      <c r="Q159">
        <v>3.7833333333333301</v>
      </c>
      <c r="R159">
        <v>-15.9333333333333</v>
      </c>
      <c r="S159" s="208">
        <v>10</v>
      </c>
      <c r="T159" s="208">
        <v>-12.5</v>
      </c>
      <c r="U159" s="208">
        <f>ABS(Множество_202207112140401240[[#This Row],[10]]-Множество_202207112140401240[[#This Row],[12]])</f>
        <v>6.2166666666666703</v>
      </c>
      <c r="V159" s="208">
        <f>ABS(Множество_202207112140401240[[#This Row],[11]]-Множество_202207112140401240[[#This Row],[13]])</f>
        <v>3.4333333333332998</v>
      </c>
      <c r="W159" s="208">
        <f>Множество_202207112140401240[[#This Row],[15]]+Множество_202207112140401240[[#This Row],[14]]</f>
        <v>9.6499999999999702</v>
      </c>
      <c r="X159" s="208">
        <f ca="1">IF(ROW()-ROW(Множество_202207112140401240[[#Headers],[17]])&gt;1,Множество_202207112140401240[[#This Row],[16]]-OFFSET(Множество_202207112140401240[[#This Row],[16]],-1,0),0)</f>
        <v>-4.1666666666730023E-2</v>
      </c>
      <c r="Y159" s="208">
        <v>3.7833333333333301</v>
      </c>
      <c r="Z159" s="208">
        <v>-15.9333333333333</v>
      </c>
      <c r="AA159" s="208">
        <f>ABS(Множество_202207112140401240[[#This Row],[18]]-Множество_202207112140401240[[#This Row],[12]])</f>
        <v>6.2166666666666703</v>
      </c>
      <c r="AB159" s="208">
        <f>ABS(Множество_202207112140401240[[#This Row],[19]]-Множество_202207112140401240[[#This Row],[13]])</f>
        <v>3.4333333333332998</v>
      </c>
      <c r="AC159" s="208">
        <f>Множество_202207112140401240[[#This Row],[20]]+Множество_202207112140401240[[#This Row],[21]]</f>
        <v>9.6499999999999702</v>
      </c>
    </row>
    <row r="160" spans="6:29" x14ac:dyDescent="0.25">
      <c r="F160" s="213"/>
      <c r="K160" s="208">
        <f>Множество_202207112140401240[[#This Row],[2]]-Множество_202207112140401240[[#This Row],[4]]</f>
        <v>0</v>
      </c>
      <c r="L160" s="208">
        <f>Множество_202207112140401240[[#This Row],[3]]-Множество_202207112140401240[[#This Row],[5]]</f>
        <v>0</v>
      </c>
      <c r="M160" s="208">
        <f>Множество_202207112140401240[[#This Row],[7]]+Множество_202207112140401240[[#This Row],[6]]</f>
        <v>0</v>
      </c>
      <c r="N160" s="208" t="str">
        <f>CONCATENATE(Множество_202207112140401240[[#This Row],[2]],Множество_202207112140401240[[#This Row],[3]])</f>
        <v/>
      </c>
      <c r="O160" s="208"/>
      <c r="P160" s="208"/>
      <c r="Q160">
        <v>2.2749999999999999</v>
      </c>
      <c r="R160">
        <v>-14.466666666666701</v>
      </c>
      <c r="S160" s="208">
        <v>10</v>
      </c>
      <c r="T160" s="208">
        <v>-12.5</v>
      </c>
      <c r="U160" s="208">
        <f>ABS(Множество_202207112140401240[[#This Row],[10]]-Множество_202207112140401240[[#This Row],[12]])</f>
        <v>7.7249999999999996</v>
      </c>
      <c r="V160" s="208">
        <f>ABS(Множество_202207112140401240[[#This Row],[11]]-Множество_202207112140401240[[#This Row],[13]])</f>
        <v>1.9666666666667005</v>
      </c>
      <c r="W160" s="208">
        <f>Множество_202207112140401240[[#This Row],[15]]+Множество_202207112140401240[[#This Row],[14]]</f>
        <v>9.6916666666667002</v>
      </c>
      <c r="X160" s="208">
        <f ca="1">IF(ROW()-ROW(Множество_202207112140401240[[#Headers],[17]])&gt;1,Множество_202207112140401240[[#This Row],[16]]-OFFSET(Множество_202207112140401240[[#This Row],[16]],-1,0),0)</f>
        <v>4.1666666666730023E-2</v>
      </c>
      <c r="Y160" s="208">
        <v>2.2749999999999999</v>
      </c>
      <c r="Z160" s="208">
        <v>-14.466666666666701</v>
      </c>
      <c r="AA160" s="208">
        <f>ABS(Множество_202207112140401240[[#This Row],[18]]-Множество_202207112140401240[[#This Row],[12]])</f>
        <v>7.7249999999999996</v>
      </c>
      <c r="AB160" s="208">
        <f>ABS(Множество_202207112140401240[[#This Row],[19]]-Множество_202207112140401240[[#This Row],[13]])</f>
        <v>1.9666666666667005</v>
      </c>
      <c r="AC160" s="208">
        <f>Множество_202207112140401240[[#This Row],[20]]+Множество_202207112140401240[[#This Row],[21]]</f>
        <v>9.6916666666667002</v>
      </c>
    </row>
    <row r="161" spans="6:29" x14ac:dyDescent="0.25">
      <c r="F161" s="213"/>
      <c r="K161" s="208">
        <f>Множество_202207112140401240[[#This Row],[2]]-Множество_202207112140401240[[#This Row],[4]]</f>
        <v>0</v>
      </c>
      <c r="L161" s="208">
        <f>Множество_202207112140401240[[#This Row],[3]]-Множество_202207112140401240[[#This Row],[5]]</f>
        <v>0</v>
      </c>
      <c r="M161" s="208">
        <f>Множество_202207112140401240[[#This Row],[7]]+Множество_202207112140401240[[#This Row],[6]]</f>
        <v>0</v>
      </c>
      <c r="N161" s="208" t="str">
        <f>CONCATENATE(Множество_202207112140401240[[#This Row],[2]],Множество_202207112140401240[[#This Row],[3]])</f>
        <v/>
      </c>
      <c r="O161" s="208"/>
      <c r="P161" s="208"/>
      <c r="Q161">
        <v>3.55</v>
      </c>
      <c r="R161">
        <v>-15.85</v>
      </c>
      <c r="S161" s="208">
        <v>10</v>
      </c>
      <c r="T161" s="208">
        <v>-12.5</v>
      </c>
      <c r="U161" s="208">
        <f>ABS(Множество_202207112140401240[[#This Row],[10]]-Множество_202207112140401240[[#This Row],[12]])</f>
        <v>6.45</v>
      </c>
      <c r="V161" s="208">
        <f>ABS(Множество_202207112140401240[[#This Row],[11]]-Множество_202207112140401240[[#This Row],[13]])</f>
        <v>3.3499999999999996</v>
      </c>
      <c r="W161" s="208">
        <f>Множество_202207112140401240[[#This Row],[15]]+Множество_202207112140401240[[#This Row],[14]]</f>
        <v>9.8000000000000007</v>
      </c>
      <c r="X161" s="208">
        <f ca="1">IF(ROW()-ROW(Множество_202207112140401240[[#Headers],[17]])&gt;1,Множество_202207112140401240[[#This Row],[16]]-OFFSET(Множество_202207112140401240[[#This Row],[16]],-1,0),0)</f>
        <v>0.10833333333330053</v>
      </c>
      <c r="Y161" s="208">
        <v>3.55</v>
      </c>
      <c r="Z161" s="208">
        <v>-15.85</v>
      </c>
      <c r="AA161" s="208">
        <f>ABS(Множество_202207112140401240[[#This Row],[18]]-Множество_202207112140401240[[#This Row],[12]])</f>
        <v>6.45</v>
      </c>
      <c r="AB161" s="208">
        <f>ABS(Множество_202207112140401240[[#This Row],[19]]-Множество_202207112140401240[[#This Row],[13]])</f>
        <v>3.3499999999999996</v>
      </c>
      <c r="AC161" s="208">
        <f>Множество_202207112140401240[[#This Row],[20]]+Множество_202207112140401240[[#This Row],[21]]</f>
        <v>9.8000000000000007</v>
      </c>
    </row>
    <row r="162" spans="6:29" x14ac:dyDescent="0.25">
      <c r="F162" s="213"/>
      <c r="K162" s="208">
        <f>Множество_202207112140401240[[#This Row],[2]]-Множество_202207112140401240[[#This Row],[4]]</f>
        <v>0</v>
      </c>
      <c r="L162" s="208">
        <f>Множество_202207112140401240[[#This Row],[3]]-Множество_202207112140401240[[#This Row],[5]]</f>
        <v>0</v>
      </c>
      <c r="M162" s="208">
        <f>Множество_202207112140401240[[#This Row],[7]]+Множество_202207112140401240[[#This Row],[6]]</f>
        <v>0</v>
      </c>
      <c r="N162" s="208" t="str">
        <f>CONCATENATE(Множество_202207112140401240[[#This Row],[2]],Множество_202207112140401240[[#This Row],[3]])</f>
        <v/>
      </c>
      <c r="O162" s="208"/>
      <c r="P162" s="208"/>
      <c r="Q162">
        <v>3.6083333333333298</v>
      </c>
      <c r="R162">
        <v>-15.866666666666699</v>
      </c>
      <c r="S162" s="208">
        <v>10</v>
      </c>
      <c r="T162" s="208">
        <v>-12.5</v>
      </c>
      <c r="U162" s="208">
        <f>ABS(Множество_202207112140401240[[#This Row],[10]]-Множество_202207112140401240[[#This Row],[12]])</f>
        <v>6.3916666666666702</v>
      </c>
      <c r="V162" s="208">
        <f>ABS(Множество_202207112140401240[[#This Row],[11]]-Множество_202207112140401240[[#This Row],[13]])</f>
        <v>3.3666666666666991</v>
      </c>
      <c r="W162" s="208">
        <f>Множество_202207112140401240[[#This Row],[15]]+Множество_202207112140401240[[#This Row],[14]]</f>
        <v>9.7583333333333684</v>
      </c>
      <c r="X162" s="208">
        <f ca="1">IF(ROW()-ROW(Множество_202207112140401240[[#Headers],[17]])&gt;1,Множество_202207112140401240[[#This Row],[16]]-OFFSET(Множество_202207112140401240[[#This Row],[16]],-1,0),0)</f>
        <v>-4.1666666666632324E-2</v>
      </c>
      <c r="Y162" s="208">
        <v>3.6083333333333298</v>
      </c>
      <c r="Z162" s="208">
        <v>-15.866666666666699</v>
      </c>
      <c r="AA162" s="208">
        <f>ABS(Множество_202207112140401240[[#This Row],[18]]-Множество_202207112140401240[[#This Row],[12]])</f>
        <v>6.3916666666666702</v>
      </c>
      <c r="AB162" s="208">
        <f>ABS(Множество_202207112140401240[[#This Row],[19]]-Множество_202207112140401240[[#This Row],[13]])</f>
        <v>3.3666666666666991</v>
      </c>
      <c r="AC162" s="208">
        <f>Множество_202207112140401240[[#This Row],[20]]+Множество_202207112140401240[[#This Row],[21]]</f>
        <v>9.7583333333333684</v>
      </c>
    </row>
    <row r="163" spans="6:29" x14ac:dyDescent="0.25">
      <c r="F163" s="213"/>
      <c r="K163" s="208">
        <f>Множество_202207112140401240[[#This Row],[2]]-Множество_202207112140401240[[#This Row],[4]]</f>
        <v>0</v>
      </c>
      <c r="L163" s="208">
        <f>Множество_202207112140401240[[#This Row],[3]]-Множество_202207112140401240[[#This Row],[5]]</f>
        <v>0</v>
      </c>
      <c r="M163" s="208">
        <f>Множество_202207112140401240[[#This Row],[7]]+Множество_202207112140401240[[#This Row],[6]]</f>
        <v>0</v>
      </c>
      <c r="N163" s="208" t="str">
        <f>CONCATENATE(Множество_202207112140401240[[#This Row],[2]],Множество_202207112140401240[[#This Row],[3]])</f>
        <v/>
      </c>
      <c r="O163" s="208"/>
      <c r="P163" s="208"/>
      <c r="Q163">
        <v>2.2000000000000002</v>
      </c>
      <c r="R163">
        <v>-14.45</v>
      </c>
      <c r="S163" s="208">
        <v>10</v>
      </c>
      <c r="T163" s="208">
        <v>-12.5</v>
      </c>
      <c r="U163" s="208">
        <f>ABS(Множество_202207112140401240[[#This Row],[10]]-Множество_202207112140401240[[#This Row],[12]])</f>
        <v>7.8</v>
      </c>
      <c r="V163" s="208">
        <f>ABS(Множество_202207112140401240[[#This Row],[11]]-Множество_202207112140401240[[#This Row],[13]])</f>
        <v>1.9499999999999993</v>
      </c>
      <c r="W163" s="208">
        <f>Множество_202207112140401240[[#This Row],[15]]+Множество_202207112140401240[[#This Row],[14]]</f>
        <v>9.75</v>
      </c>
      <c r="X163" s="208">
        <f ca="1">IF(ROW()-ROW(Множество_202207112140401240[[#Headers],[17]])&gt;1,Множество_202207112140401240[[#This Row],[16]]-OFFSET(Множество_202207112140401240[[#This Row],[16]],-1,0),0)</f>
        <v>-8.3333333333683868E-3</v>
      </c>
      <c r="Y163" s="208">
        <v>2.125</v>
      </c>
      <c r="Z163" s="208">
        <v>-14.4333333333333</v>
      </c>
      <c r="AA163" s="208">
        <f>ABS(Множество_202207112140401240[[#This Row],[18]]-Множество_202207112140401240[[#This Row],[12]])</f>
        <v>7.875</v>
      </c>
      <c r="AB163" s="208">
        <f>ABS(Множество_202207112140401240[[#This Row],[19]]-Множество_202207112140401240[[#This Row],[13]])</f>
        <v>1.9333333333332998</v>
      </c>
      <c r="AC163" s="208">
        <f>Множество_202207112140401240[[#This Row],[20]]+Множество_202207112140401240[[#This Row],[21]]</f>
        <v>9.8083333333332998</v>
      </c>
    </row>
    <row r="164" spans="6:29" x14ac:dyDescent="0.25">
      <c r="F164" s="213"/>
      <c r="K164" s="208">
        <f>Множество_202207112140401240[[#This Row],[2]]-Множество_202207112140401240[[#This Row],[4]]</f>
        <v>0</v>
      </c>
      <c r="L164" s="208">
        <f>Множество_202207112140401240[[#This Row],[3]]-Множество_202207112140401240[[#This Row],[5]]</f>
        <v>0</v>
      </c>
      <c r="M164" s="208">
        <f>Множество_202207112140401240[[#This Row],[7]]+Множество_202207112140401240[[#This Row],[6]]</f>
        <v>0</v>
      </c>
      <c r="N164" s="208" t="str">
        <f>CONCATENATE(Множество_202207112140401240[[#This Row],[2]],Множество_202207112140401240[[#This Row],[3]])</f>
        <v/>
      </c>
      <c r="O164" s="208"/>
      <c r="P164" s="208"/>
      <c r="Q164">
        <v>2.125</v>
      </c>
      <c r="R164">
        <v>-14.4333333333333</v>
      </c>
      <c r="S164" s="208">
        <v>10</v>
      </c>
      <c r="T164" s="208">
        <v>-12.5</v>
      </c>
      <c r="U164" s="208">
        <f>ABS(Множество_202207112140401240[[#This Row],[10]]-Множество_202207112140401240[[#This Row],[12]])</f>
        <v>7.875</v>
      </c>
      <c r="V164" s="208">
        <f>ABS(Множество_202207112140401240[[#This Row],[11]]-Множество_202207112140401240[[#This Row],[13]])</f>
        <v>1.9333333333332998</v>
      </c>
      <c r="W164" s="208">
        <f>Множество_202207112140401240[[#This Row],[15]]+Множество_202207112140401240[[#This Row],[14]]</f>
        <v>9.8083333333332998</v>
      </c>
      <c r="X164" s="208">
        <f ca="1">IF(ROW()-ROW(Множество_202207112140401240[[#Headers],[17]])&gt;1,Множество_202207112140401240[[#This Row],[16]]-OFFSET(Множество_202207112140401240[[#This Row],[16]],-1,0),0)</f>
        <v>5.8333333333299819E-2</v>
      </c>
      <c r="Y164" s="208">
        <v>2.2000000000000002</v>
      </c>
      <c r="Z164" s="208">
        <v>-14.45</v>
      </c>
      <c r="AA164" s="208">
        <f>ABS(Множество_202207112140401240[[#This Row],[18]]-Множество_202207112140401240[[#This Row],[12]])</f>
        <v>7.8</v>
      </c>
      <c r="AB164" s="208">
        <f>ABS(Множество_202207112140401240[[#This Row],[19]]-Множество_202207112140401240[[#This Row],[13]])</f>
        <v>1.9499999999999993</v>
      </c>
      <c r="AC164" s="208">
        <f>Множество_202207112140401240[[#This Row],[20]]+Множество_202207112140401240[[#This Row],[21]]</f>
        <v>9.75</v>
      </c>
    </row>
    <row r="165" spans="6:29" x14ac:dyDescent="0.25">
      <c r="F165" s="213"/>
      <c r="K165" s="208">
        <f>Множество_202207112140401240[[#This Row],[2]]-Множество_202207112140401240[[#This Row],[4]]</f>
        <v>0</v>
      </c>
      <c r="L165" s="208">
        <f>Множество_202207112140401240[[#This Row],[3]]-Множество_202207112140401240[[#This Row],[5]]</f>
        <v>0</v>
      </c>
      <c r="M165" s="208">
        <f>Множество_202207112140401240[[#This Row],[7]]+Множество_202207112140401240[[#This Row],[6]]</f>
        <v>0</v>
      </c>
      <c r="N165" s="208" t="str">
        <f>CONCATENATE(Множество_202207112140401240[[#This Row],[2]],Множество_202207112140401240[[#This Row],[3]])</f>
        <v/>
      </c>
      <c r="O165" s="208"/>
      <c r="P165" s="208"/>
      <c r="Q165">
        <v>3.43333333333333</v>
      </c>
      <c r="R165">
        <v>-15.8</v>
      </c>
      <c r="S165" s="208">
        <v>10</v>
      </c>
      <c r="T165" s="208">
        <v>-12.5</v>
      </c>
      <c r="U165" s="208">
        <f>ABS(Множество_202207112140401240[[#This Row],[10]]-Множество_202207112140401240[[#This Row],[12]])</f>
        <v>6.56666666666667</v>
      </c>
      <c r="V165" s="208">
        <f>ABS(Множество_202207112140401240[[#This Row],[11]]-Множество_202207112140401240[[#This Row],[13]])</f>
        <v>3.3000000000000007</v>
      </c>
      <c r="W165" s="208">
        <f>Множество_202207112140401240[[#This Row],[15]]+Множество_202207112140401240[[#This Row],[14]]</f>
        <v>9.8666666666666707</v>
      </c>
      <c r="X165" s="208">
        <f ca="1">IF(ROW()-ROW(Множество_202207112140401240[[#Headers],[17]])&gt;1,Множество_202207112140401240[[#This Row],[16]]-OFFSET(Множество_202207112140401240[[#This Row],[16]],-1,0),0)</f>
        <v>5.8333333333370874E-2</v>
      </c>
      <c r="Y165" s="208">
        <v>3.43333333333333</v>
      </c>
      <c r="Z165" s="208">
        <v>-15.8</v>
      </c>
      <c r="AA165" s="208">
        <f>ABS(Множество_202207112140401240[[#This Row],[18]]-Множество_202207112140401240[[#This Row],[12]])</f>
        <v>6.56666666666667</v>
      </c>
      <c r="AB165" s="208">
        <f>ABS(Множество_202207112140401240[[#This Row],[19]]-Множество_202207112140401240[[#This Row],[13]])</f>
        <v>3.3000000000000007</v>
      </c>
      <c r="AC165" s="208">
        <f>Множество_202207112140401240[[#This Row],[20]]+Множество_202207112140401240[[#This Row],[21]]</f>
        <v>9.8666666666666707</v>
      </c>
    </row>
    <row r="166" spans="6:29" x14ac:dyDescent="0.25">
      <c r="F166" s="213"/>
      <c r="K166" s="208">
        <f>Множество_202207112140401240[[#This Row],[2]]-Множество_202207112140401240[[#This Row],[4]]</f>
        <v>0</v>
      </c>
      <c r="L166" s="208">
        <f>Множество_202207112140401240[[#This Row],[3]]-Множество_202207112140401240[[#This Row],[5]]</f>
        <v>0</v>
      </c>
      <c r="M166" s="208">
        <f>Множество_202207112140401240[[#This Row],[7]]+Множество_202207112140401240[[#This Row],[6]]</f>
        <v>0</v>
      </c>
      <c r="N166" s="208" t="str">
        <f>CONCATENATE(Множество_202207112140401240[[#This Row],[2]],Множество_202207112140401240[[#This Row],[3]])</f>
        <v/>
      </c>
      <c r="O166" s="208"/>
      <c r="P166" s="208"/>
      <c r="Q166">
        <v>3.4916666666666698</v>
      </c>
      <c r="R166">
        <v>-15.8333333333333</v>
      </c>
      <c r="S166" s="208">
        <v>10</v>
      </c>
      <c r="T166" s="208">
        <v>-12.5</v>
      </c>
      <c r="U166" s="208">
        <f>ABS(Множество_202207112140401240[[#This Row],[10]]-Множество_202207112140401240[[#This Row],[12]])</f>
        <v>6.5083333333333302</v>
      </c>
      <c r="V166" s="208">
        <f>ABS(Множество_202207112140401240[[#This Row],[11]]-Множество_202207112140401240[[#This Row],[13]])</f>
        <v>3.3333333333333002</v>
      </c>
      <c r="W166" s="208">
        <f>Множество_202207112140401240[[#This Row],[15]]+Множество_202207112140401240[[#This Row],[14]]</f>
        <v>9.8416666666666295</v>
      </c>
      <c r="X166" s="208">
        <f ca="1">IF(ROW()-ROW(Множество_202207112140401240[[#Headers],[17]])&gt;1,Множество_202207112140401240[[#This Row],[16]]-OFFSET(Множество_202207112140401240[[#This Row],[16]],-1,0),0)</f>
        <v>-2.5000000000041211E-2</v>
      </c>
      <c r="Y166" s="208">
        <v>1.9750000000000001</v>
      </c>
      <c r="Z166" s="208">
        <v>-14.383333333333301</v>
      </c>
      <c r="AA166" s="208">
        <f>ABS(Множество_202207112140401240[[#This Row],[18]]-Множество_202207112140401240[[#This Row],[12]])</f>
        <v>8.0250000000000004</v>
      </c>
      <c r="AB166" s="208">
        <f>ABS(Множество_202207112140401240[[#This Row],[19]]-Множество_202207112140401240[[#This Row],[13]])</f>
        <v>1.8833333333333009</v>
      </c>
      <c r="AC166" s="208">
        <f>Множество_202207112140401240[[#This Row],[20]]+Множество_202207112140401240[[#This Row],[21]]</f>
        <v>9.9083333333333012</v>
      </c>
    </row>
    <row r="167" spans="6:29" x14ac:dyDescent="0.25">
      <c r="F167" s="213"/>
      <c r="K167" s="208">
        <f>Множество_202207112140401240[[#This Row],[2]]-Множество_202207112140401240[[#This Row],[4]]</f>
        <v>0</v>
      </c>
      <c r="L167" s="208">
        <f>Множество_202207112140401240[[#This Row],[3]]-Множество_202207112140401240[[#This Row],[5]]</f>
        <v>0</v>
      </c>
      <c r="M167" s="208">
        <f>Множество_202207112140401240[[#This Row],[7]]+Множество_202207112140401240[[#This Row],[6]]</f>
        <v>0</v>
      </c>
      <c r="N167" s="208" t="str">
        <f>CONCATENATE(Множество_202207112140401240[[#This Row],[2]],Множество_202207112140401240[[#This Row],[3]])</f>
        <v/>
      </c>
      <c r="O167" s="208"/>
      <c r="P167" s="208"/>
      <c r="Q167">
        <v>1.9750000000000001</v>
      </c>
      <c r="R167">
        <v>-14.383333333333301</v>
      </c>
      <c r="S167" s="208">
        <v>10</v>
      </c>
      <c r="T167" s="208">
        <v>-12.5</v>
      </c>
      <c r="U167" s="208">
        <f>ABS(Множество_202207112140401240[[#This Row],[10]]-Множество_202207112140401240[[#This Row],[12]])</f>
        <v>8.0250000000000004</v>
      </c>
      <c r="V167" s="208">
        <f>ABS(Множество_202207112140401240[[#This Row],[11]]-Множество_202207112140401240[[#This Row],[13]])</f>
        <v>1.8833333333333009</v>
      </c>
      <c r="W167" s="208">
        <f>Множество_202207112140401240[[#This Row],[15]]+Множество_202207112140401240[[#This Row],[14]]</f>
        <v>9.9083333333333012</v>
      </c>
      <c r="X167" s="208">
        <f ca="1">IF(ROW()-ROW(Множество_202207112140401240[[#Headers],[17]])&gt;1,Множество_202207112140401240[[#This Row],[16]]-OFFSET(Множество_202207112140401240[[#This Row],[16]],-1,0),0)</f>
        <v>6.6666666666671759E-2</v>
      </c>
      <c r="Y167" s="208">
        <v>3.4916666666666698</v>
      </c>
      <c r="Z167" s="208">
        <v>-15.8333333333333</v>
      </c>
      <c r="AA167" s="208">
        <f>ABS(Множество_202207112140401240[[#This Row],[18]]-Множество_202207112140401240[[#This Row],[12]])</f>
        <v>6.5083333333333302</v>
      </c>
      <c r="AB167" s="208">
        <f>ABS(Множество_202207112140401240[[#This Row],[19]]-Множество_202207112140401240[[#This Row],[13]])</f>
        <v>3.3333333333333002</v>
      </c>
      <c r="AC167" s="208">
        <f>Множество_202207112140401240[[#This Row],[20]]+Множество_202207112140401240[[#This Row],[21]]</f>
        <v>9.8416666666666295</v>
      </c>
    </row>
    <row r="168" spans="6:29" x14ac:dyDescent="0.25">
      <c r="F168" s="213"/>
      <c r="K168" s="208">
        <f>Множество_202207112140401240[[#This Row],[2]]-Множество_202207112140401240[[#This Row],[4]]</f>
        <v>0</v>
      </c>
      <c r="L168" s="208">
        <f>Множество_202207112140401240[[#This Row],[3]]-Множество_202207112140401240[[#This Row],[5]]</f>
        <v>0</v>
      </c>
      <c r="M168" s="208">
        <f>Множество_202207112140401240[[#This Row],[7]]+Множество_202207112140401240[[#This Row],[6]]</f>
        <v>0</v>
      </c>
      <c r="N168" s="208" t="str">
        <f>CONCATENATE(Множество_202207112140401240[[#This Row],[2]],Множество_202207112140401240[[#This Row],[3]])</f>
        <v/>
      </c>
      <c r="O168" s="208"/>
      <c r="P168" s="208"/>
      <c r="Q168">
        <v>2.0499999999999998</v>
      </c>
      <c r="R168">
        <v>-14.4</v>
      </c>
      <c r="S168" s="208">
        <v>10</v>
      </c>
      <c r="T168" s="208">
        <v>-12.5</v>
      </c>
      <c r="U168" s="208">
        <f>ABS(Множество_202207112140401240[[#This Row],[10]]-Множество_202207112140401240[[#This Row],[12]])</f>
        <v>7.95</v>
      </c>
      <c r="V168" s="208">
        <f>ABS(Множество_202207112140401240[[#This Row],[11]]-Множество_202207112140401240[[#This Row],[13]])</f>
        <v>1.9000000000000004</v>
      </c>
      <c r="W168" s="208">
        <f>Множество_202207112140401240[[#This Row],[15]]+Множество_202207112140401240[[#This Row],[14]]</f>
        <v>9.8500000000000014</v>
      </c>
      <c r="X168" s="208">
        <f ca="1">IF(ROW()-ROW(Множество_202207112140401240[[#Headers],[17]])&gt;1,Множество_202207112140401240[[#This Row],[16]]-OFFSET(Множество_202207112140401240[[#This Row],[16]],-1,0),0)</f>
        <v>-5.8333333333299819E-2</v>
      </c>
      <c r="Y168" s="208">
        <v>2.0499999999999998</v>
      </c>
      <c r="Z168" s="208">
        <v>-14.4</v>
      </c>
      <c r="AA168" s="208">
        <f>ABS(Множество_202207112140401240[[#This Row],[18]]-Множество_202207112140401240[[#This Row],[12]])</f>
        <v>7.95</v>
      </c>
      <c r="AB168" s="208">
        <f>ABS(Множество_202207112140401240[[#This Row],[19]]-Множество_202207112140401240[[#This Row],[13]])</f>
        <v>1.9000000000000004</v>
      </c>
      <c r="AC168" s="208">
        <f>Множество_202207112140401240[[#This Row],[20]]+Множество_202207112140401240[[#This Row],[21]]</f>
        <v>9.8500000000000014</v>
      </c>
    </row>
    <row r="169" spans="6:29" x14ac:dyDescent="0.25">
      <c r="F169" s="213"/>
      <c r="K169" s="208">
        <f>Множество_202207112140401240[[#This Row],[2]]-Множество_202207112140401240[[#This Row],[4]]</f>
        <v>0</v>
      </c>
      <c r="L169" s="208">
        <f>Множество_202207112140401240[[#This Row],[3]]-Множество_202207112140401240[[#This Row],[5]]</f>
        <v>0</v>
      </c>
      <c r="M169" s="208">
        <f>Множество_202207112140401240[[#This Row],[7]]+Множество_202207112140401240[[#This Row],[6]]</f>
        <v>0</v>
      </c>
      <c r="N169" s="208" t="str">
        <f>CONCATENATE(Множество_202207112140401240[[#This Row],[2]],Множество_202207112140401240[[#This Row],[3]])</f>
        <v/>
      </c>
      <c r="O169" s="208"/>
      <c r="P169" s="208"/>
      <c r="Q169">
        <v>3.31666666666667</v>
      </c>
      <c r="R169">
        <v>-15.766666666666699</v>
      </c>
      <c r="S169" s="208">
        <v>10</v>
      </c>
      <c r="T169" s="208">
        <v>-12.5</v>
      </c>
      <c r="U169" s="208">
        <f>ABS(Множество_202207112140401240[[#This Row],[10]]-Множество_202207112140401240[[#This Row],[12]])</f>
        <v>6.68333333333333</v>
      </c>
      <c r="V169" s="208">
        <f>ABS(Множество_202207112140401240[[#This Row],[11]]-Множество_202207112140401240[[#This Row],[13]])</f>
        <v>3.2666666666666995</v>
      </c>
      <c r="W169" s="208">
        <f>Множество_202207112140401240[[#This Row],[15]]+Множество_202207112140401240[[#This Row],[14]]</f>
        <v>9.9500000000000295</v>
      </c>
      <c r="X169" s="208">
        <f ca="1">IF(ROW()-ROW(Множество_202207112140401240[[#Headers],[17]])&gt;1,Множество_202207112140401240[[#This Row],[16]]-OFFSET(Множество_202207112140401240[[#This Row],[16]],-1,0),0)</f>
        <v>0.10000000000002807</v>
      </c>
      <c r="Y169" s="208">
        <v>3.31666666666667</v>
      </c>
      <c r="Z169" s="208">
        <v>-15.766666666666699</v>
      </c>
      <c r="AA169" s="208">
        <f>ABS(Множество_202207112140401240[[#This Row],[18]]-Множество_202207112140401240[[#This Row],[12]])</f>
        <v>6.68333333333333</v>
      </c>
      <c r="AB169" s="208">
        <f>ABS(Множество_202207112140401240[[#This Row],[19]]-Множество_202207112140401240[[#This Row],[13]])</f>
        <v>3.2666666666666995</v>
      </c>
      <c r="AC169" s="208">
        <f>Множество_202207112140401240[[#This Row],[20]]+Множество_202207112140401240[[#This Row],[21]]</f>
        <v>9.9500000000000295</v>
      </c>
    </row>
    <row r="170" spans="6:29" x14ac:dyDescent="0.25">
      <c r="F170" s="213"/>
      <c r="K170" s="208">
        <f>Множество_202207112140401240[[#This Row],[2]]-Множество_202207112140401240[[#This Row],[4]]</f>
        <v>0</v>
      </c>
      <c r="L170" s="208">
        <f>Множество_202207112140401240[[#This Row],[3]]-Множество_202207112140401240[[#This Row],[5]]</f>
        <v>0</v>
      </c>
      <c r="M170" s="208">
        <f>Множество_202207112140401240[[#This Row],[7]]+Множество_202207112140401240[[#This Row],[6]]</f>
        <v>0</v>
      </c>
      <c r="N170" s="208" t="str">
        <f>CONCATENATE(Множество_202207112140401240[[#This Row],[2]],Множество_202207112140401240[[#This Row],[3]])</f>
        <v/>
      </c>
      <c r="O170" s="208"/>
      <c r="P170" s="208"/>
      <c r="Q170">
        <v>1.825</v>
      </c>
      <c r="R170">
        <v>-14.35</v>
      </c>
      <c r="S170" s="208">
        <v>10</v>
      </c>
      <c r="T170" s="208">
        <v>-12.5</v>
      </c>
      <c r="U170" s="208">
        <f>ABS(Множество_202207112140401240[[#This Row],[10]]-Множество_202207112140401240[[#This Row],[12]])</f>
        <v>8.1750000000000007</v>
      </c>
      <c r="V170" s="208">
        <f>ABS(Множество_202207112140401240[[#This Row],[11]]-Множество_202207112140401240[[#This Row],[13]])</f>
        <v>1.8499999999999996</v>
      </c>
      <c r="W170" s="208">
        <f>Множество_202207112140401240[[#This Row],[15]]+Множество_202207112140401240[[#This Row],[14]]</f>
        <v>10.025</v>
      </c>
      <c r="X170" s="208">
        <f ca="1">IF(ROW()-ROW(Множество_202207112140401240[[#Headers],[17]])&gt;1,Множество_202207112140401240[[#This Row],[16]]-OFFSET(Множество_202207112140401240[[#This Row],[16]],-1,0),0)</f>
        <v>7.4999999999970868E-2</v>
      </c>
      <c r="Y170" s="208">
        <v>3.375</v>
      </c>
      <c r="Z170" s="208">
        <v>-15.783333333333299</v>
      </c>
      <c r="AA170" s="208">
        <f>ABS(Множество_202207112140401240[[#This Row],[18]]-Множество_202207112140401240[[#This Row],[12]])</f>
        <v>6.625</v>
      </c>
      <c r="AB170" s="208">
        <f>ABS(Множество_202207112140401240[[#This Row],[19]]-Множество_202207112140401240[[#This Row],[13]])</f>
        <v>3.2833333333332995</v>
      </c>
      <c r="AC170" s="208">
        <f>Множество_202207112140401240[[#This Row],[20]]+Множество_202207112140401240[[#This Row],[21]]</f>
        <v>9.9083333333332995</v>
      </c>
    </row>
    <row r="171" spans="6:29" x14ac:dyDescent="0.25">
      <c r="F171" s="213"/>
      <c r="K171" s="208">
        <f>Множество_202207112140401240[[#This Row],[2]]-Множество_202207112140401240[[#This Row],[4]]</f>
        <v>0</v>
      </c>
      <c r="L171" s="208">
        <f>Множество_202207112140401240[[#This Row],[3]]-Множество_202207112140401240[[#This Row],[5]]</f>
        <v>0</v>
      </c>
      <c r="M171" s="208">
        <f>Множество_202207112140401240[[#This Row],[7]]+Множество_202207112140401240[[#This Row],[6]]</f>
        <v>0</v>
      </c>
      <c r="N171" s="208" t="str">
        <f>CONCATENATE(Множество_202207112140401240[[#This Row],[2]],Множество_202207112140401240[[#This Row],[3]])</f>
        <v/>
      </c>
      <c r="O171" s="208"/>
      <c r="P171" s="208"/>
      <c r="Q171">
        <v>3.375</v>
      </c>
      <c r="R171">
        <v>-15.783333333333299</v>
      </c>
      <c r="S171" s="208">
        <v>10</v>
      </c>
      <c r="T171" s="208">
        <v>-12.5</v>
      </c>
      <c r="U171" s="208">
        <f>ABS(Множество_202207112140401240[[#This Row],[10]]-Множество_202207112140401240[[#This Row],[12]])</f>
        <v>6.625</v>
      </c>
      <c r="V171" s="208">
        <f>ABS(Множество_202207112140401240[[#This Row],[11]]-Множество_202207112140401240[[#This Row],[13]])</f>
        <v>3.2833333333332995</v>
      </c>
      <c r="W171" s="208">
        <f>Множество_202207112140401240[[#This Row],[15]]+Множество_202207112140401240[[#This Row],[14]]</f>
        <v>9.9083333333332995</v>
      </c>
      <c r="X171" s="208">
        <f ca="1">IF(ROW()-ROW(Множество_202207112140401240[[#Headers],[17]])&gt;1,Множество_202207112140401240[[#This Row],[16]]-OFFSET(Множество_202207112140401240[[#This Row],[16]],-1,0),0)</f>
        <v>-0.11666666666670089</v>
      </c>
      <c r="Y171" s="208">
        <v>1.825</v>
      </c>
      <c r="Z171" s="208">
        <v>-14.35</v>
      </c>
      <c r="AA171" s="208">
        <f>ABS(Множество_202207112140401240[[#This Row],[18]]-Множество_202207112140401240[[#This Row],[12]])</f>
        <v>8.1750000000000007</v>
      </c>
      <c r="AB171" s="208">
        <f>ABS(Множество_202207112140401240[[#This Row],[19]]-Множество_202207112140401240[[#This Row],[13]])</f>
        <v>1.8499999999999996</v>
      </c>
      <c r="AC171" s="208">
        <f>Множество_202207112140401240[[#This Row],[20]]+Множество_202207112140401240[[#This Row],[21]]</f>
        <v>10.025</v>
      </c>
    </row>
    <row r="172" spans="6:29" x14ac:dyDescent="0.25">
      <c r="F172" s="213"/>
      <c r="K172" s="208">
        <f>Множество_202207112140401240[[#This Row],[2]]-Множество_202207112140401240[[#This Row],[4]]</f>
        <v>0</v>
      </c>
      <c r="L172" s="208">
        <f>Множество_202207112140401240[[#This Row],[3]]-Множество_202207112140401240[[#This Row],[5]]</f>
        <v>0</v>
      </c>
      <c r="M172" s="208">
        <f>Множество_202207112140401240[[#This Row],[7]]+Множество_202207112140401240[[#This Row],[6]]</f>
        <v>0</v>
      </c>
      <c r="N172" s="208" t="str">
        <f>CONCATENATE(Множество_202207112140401240[[#This Row],[2]],Множество_202207112140401240[[#This Row],[3]])</f>
        <v/>
      </c>
      <c r="O172" s="208"/>
      <c r="P172" s="208"/>
      <c r="Q172">
        <v>3.1416666666666702</v>
      </c>
      <c r="R172">
        <v>-15.7</v>
      </c>
      <c r="S172" s="208">
        <v>10</v>
      </c>
      <c r="T172" s="208">
        <v>-12.5</v>
      </c>
      <c r="U172" s="208">
        <f>ABS(Множество_202207112140401240[[#This Row],[10]]-Множество_202207112140401240[[#This Row],[12]])</f>
        <v>6.8583333333333298</v>
      </c>
      <c r="V172" s="208">
        <f>ABS(Множество_202207112140401240[[#This Row],[11]]-Множество_202207112140401240[[#This Row],[13]])</f>
        <v>3.1999999999999993</v>
      </c>
      <c r="W172" s="208">
        <f>Множество_202207112140401240[[#This Row],[15]]+Множество_202207112140401240[[#This Row],[14]]</f>
        <v>10.05833333333333</v>
      </c>
      <c r="X172" s="208">
        <f ca="1">IF(ROW()-ROW(Множество_202207112140401240[[#Headers],[17]])&gt;1,Множество_202207112140401240[[#This Row],[16]]-OFFSET(Множество_202207112140401240[[#This Row],[16]],-1,0),0)</f>
        <v>0.15000000000003055</v>
      </c>
      <c r="Y172" s="208">
        <v>3.1416666666666702</v>
      </c>
      <c r="Z172" s="208">
        <v>-15.7</v>
      </c>
      <c r="AA172" s="208">
        <f>ABS(Множество_202207112140401240[[#This Row],[18]]-Множество_202207112140401240[[#This Row],[12]])</f>
        <v>6.8583333333333298</v>
      </c>
      <c r="AB172" s="208">
        <f>ABS(Множество_202207112140401240[[#This Row],[19]]-Множество_202207112140401240[[#This Row],[13]])</f>
        <v>3.1999999999999993</v>
      </c>
      <c r="AC172" s="208">
        <f>Множество_202207112140401240[[#This Row],[20]]+Множество_202207112140401240[[#This Row],[21]]</f>
        <v>10.05833333333333</v>
      </c>
    </row>
    <row r="173" spans="6:29" x14ac:dyDescent="0.25">
      <c r="F173" s="213"/>
      <c r="K173" s="208">
        <f>Множество_202207112140401240[[#This Row],[2]]-Множество_202207112140401240[[#This Row],[4]]</f>
        <v>0</v>
      </c>
      <c r="L173" s="208">
        <f>Множество_202207112140401240[[#This Row],[3]]-Множество_202207112140401240[[#This Row],[5]]</f>
        <v>0</v>
      </c>
      <c r="M173" s="208">
        <f>Множество_202207112140401240[[#This Row],[7]]+Множество_202207112140401240[[#This Row],[6]]</f>
        <v>0</v>
      </c>
      <c r="N173" s="208" t="str">
        <f>CONCATENATE(Множество_202207112140401240[[#This Row],[2]],Множество_202207112140401240[[#This Row],[3]])</f>
        <v/>
      </c>
      <c r="O173" s="208"/>
      <c r="P173" s="208"/>
      <c r="Q173">
        <v>1.9</v>
      </c>
      <c r="R173">
        <v>-14.366666666666699</v>
      </c>
      <c r="S173" s="208">
        <v>10</v>
      </c>
      <c r="T173" s="208">
        <v>-12.5</v>
      </c>
      <c r="U173" s="208">
        <f>ABS(Множество_202207112140401240[[#This Row],[10]]-Множество_202207112140401240[[#This Row],[12]])</f>
        <v>8.1</v>
      </c>
      <c r="V173" s="208">
        <f>ABS(Множество_202207112140401240[[#This Row],[11]]-Множество_202207112140401240[[#This Row],[13]])</f>
        <v>1.8666666666666991</v>
      </c>
      <c r="W173" s="208">
        <f>Множество_202207112140401240[[#This Row],[15]]+Множество_202207112140401240[[#This Row],[14]]</f>
        <v>9.9666666666666988</v>
      </c>
      <c r="X173" s="208">
        <f ca="1">IF(ROW()-ROW(Множество_202207112140401240[[#Headers],[17]])&gt;1,Множество_202207112140401240[[#This Row],[16]]-OFFSET(Множество_202207112140401240[[#This Row],[16]],-1,0),0)</f>
        <v>-9.1666666666631258E-2</v>
      </c>
      <c r="Y173" s="208">
        <v>1.9</v>
      </c>
      <c r="Z173" s="208">
        <v>-14.366666666666699</v>
      </c>
      <c r="AA173" s="208">
        <f>ABS(Множество_202207112140401240[[#This Row],[18]]-Множество_202207112140401240[[#This Row],[12]])</f>
        <v>8.1</v>
      </c>
      <c r="AB173" s="208">
        <f>ABS(Множество_202207112140401240[[#This Row],[19]]-Множество_202207112140401240[[#This Row],[13]])</f>
        <v>1.8666666666666991</v>
      </c>
      <c r="AC173" s="208">
        <f>Множество_202207112140401240[[#This Row],[20]]+Множество_202207112140401240[[#This Row],[21]]</f>
        <v>9.9666666666666988</v>
      </c>
    </row>
    <row r="174" spans="6:29" x14ac:dyDescent="0.25">
      <c r="F174" s="213"/>
      <c r="K174" s="208">
        <f>Множество_202207112140401240[[#This Row],[2]]-Множество_202207112140401240[[#This Row],[4]]</f>
        <v>0</v>
      </c>
      <c r="L174" s="208">
        <f>Множество_202207112140401240[[#This Row],[3]]-Множество_202207112140401240[[#This Row],[5]]</f>
        <v>0</v>
      </c>
      <c r="M174" s="208">
        <f>Множество_202207112140401240[[#This Row],[7]]+Множество_202207112140401240[[#This Row],[6]]</f>
        <v>0</v>
      </c>
      <c r="N174" s="208" t="str">
        <f>CONCATENATE(Множество_202207112140401240[[#This Row],[2]],Множество_202207112140401240[[#This Row],[3]])</f>
        <v/>
      </c>
      <c r="O174" s="208"/>
      <c r="P174" s="208"/>
      <c r="Q174">
        <v>3.2</v>
      </c>
      <c r="R174">
        <v>-15.716666666666701</v>
      </c>
      <c r="S174" s="208">
        <v>10</v>
      </c>
      <c r="T174" s="208">
        <v>-12.5</v>
      </c>
      <c r="U174" s="208">
        <f>ABS(Множество_202207112140401240[[#This Row],[10]]-Множество_202207112140401240[[#This Row],[12]])</f>
        <v>6.8</v>
      </c>
      <c r="V174" s="208">
        <f>ABS(Множество_202207112140401240[[#This Row],[11]]-Множество_202207112140401240[[#This Row],[13]])</f>
        <v>3.2166666666667005</v>
      </c>
      <c r="W174" s="208">
        <f>Множество_202207112140401240[[#This Row],[15]]+Множество_202207112140401240[[#This Row],[14]]</f>
        <v>10.016666666666701</v>
      </c>
      <c r="X174" s="208">
        <f ca="1">IF(ROW()-ROW(Множество_202207112140401240[[#Headers],[17]])&gt;1,Множество_202207112140401240[[#This Row],[16]]-OFFSET(Множество_202207112140401240[[#This Row],[16]],-1,0),0)</f>
        <v>5.0000000000002487E-2</v>
      </c>
      <c r="Y174" s="208">
        <v>3.2583333333333302</v>
      </c>
      <c r="Z174" s="208">
        <v>-15.75</v>
      </c>
      <c r="AA174" s="208">
        <f>ABS(Множество_202207112140401240[[#This Row],[18]]-Множество_202207112140401240[[#This Row],[12]])</f>
        <v>6.7416666666666698</v>
      </c>
      <c r="AB174" s="208">
        <f>ABS(Множество_202207112140401240[[#This Row],[19]]-Множество_202207112140401240[[#This Row],[13]])</f>
        <v>3.25</v>
      </c>
      <c r="AC174" s="208">
        <f>Множество_202207112140401240[[#This Row],[20]]+Множество_202207112140401240[[#This Row],[21]]</f>
        <v>9.9916666666666707</v>
      </c>
    </row>
    <row r="175" spans="6:29" x14ac:dyDescent="0.25">
      <c r="F175" s="213"/>
      <c r="K175" s="208">
        <f>Множество_202207112140401240[[#This Row],[2]]-Множество_202207112140401240[[#This Row],[4]]</f>
        <v>0</v>
      </c>
      <c r="L175" s="208">
        <f>Множество_202207112140401240[[#This Row],[3]]-Множество_202207112140401240[[#This Row],[5]]</f>
        <v>0</v>
      </c>
      <c r="M175" s="208">
        <f>Множество_202207112140401240[[#This Row],[7]]+Множество_202207112140401240[[#This Row],[6]]</f>
        <v>0</v>
      </c>
      <c r="N175" s="208" t="str">
        <f>CONCATENATE(Множество_202207112140401240[[#This Row],[2]],Множество_202207112140401240[[#This Row],[3]])</f>
        <v/>
      </c>
      <c r="O175" s="208"/>
      <c r="P175" s="208"/>
      <c r="Q175">
        <v>3.2583333333333302</v>
      </c>
      <c r="R175">
        <v>-15.75</v>
      </c>
      <c r="S175" s="208">
        <v>10</v>
      </c>
      <c r="T175" s="208">
        <v>-12.5</v>
      </c>
      <c r="U175" s="208">
        <f>ABS(Множество_202207112140401240[[#This Row],[10]]-Множество_202207112140401240[[#This Row],[12]])</f>
        <v>6.7416666666666698</v>
      </c>
      <c r="V175" s="208">
        <f>ABS(Множество_202207112140401240[[#This Row],[11]]-Множество_202207112140401240[[#This Row],[13]])</f>
        <v>3.25</v>
      </c>
      <c r="W175" s="208">
        <f>Множество_202207112140401240[[#This Row],[15]]+Множество_202207112140401240[[#This Row],[14]]</f>
        <v>9.9916666666666707</v>
      </c>
      <c r="X175" s="208">
        <f ca="1">IF(ROW()-ROW(Множество_202207112140401240[[#Headers],[17]])&gt;1,Множество_202207112140401240[[#This Row],[16]]-OFFSET(Множество_202207112140401240[[#This Row],[16]],-1,0),0)</f>
        <v>-2.5000000000030553E-2</v>
      </c>
      <c r="Y175" s="208">
        <v>3.2</v>
      </c>
      <c r="Z175" s="208">
        <v>-15.716666666666701</v>
      </c>
      <c r="AA175" s="208">
        <f>ABS(Множество_202207112140401240[[#This Row],[18]]-Множество_202207112140401240[[#This Row],[12]])</f>
        <v>6.8</v>
      </c>
      <c r="AB175" s="208">
        <f>ABS(Множество_202207112140401240[[#This Row],[19]]-Множество_202207112140401240[[#This Row],[13]])</f>
        <v>3.2166666666667005</v>
      </c>
      <c r="AC175" s="208">
        <f>Множество_202207112140401240[[#This Row],[20]]+Множество_202207112140401240[[#This Row],[21]]</f>
        <v>10.016666666666701</v>
      </c>
    </row>
    <row r="176" spans="6:29" x14ac:dyDescent="0.25">
      <c r="F176" s="213"/>
      <c r="K176" s="208">
        <f>Множество_202207112140401240[[#This Row],[2]]-Множество_202207112140401240[[#This Row],[4]]</f>
        <v>0</v>
      </c>
      <c r="L176" s="208">
        <f>Множество_202207112140401240[[#This Row],[3]]-Множество_202207112140401240[[#This Row],[5]]</f>
        <v>0</v>
      </c>
      <c r="M176" s="208">
        <f>Множество_202207112140401240[[#This Row],[7]]+Множество_202207112140401240[[#This Row],[6]]</f>
        <v>0</v>
      </c>
      <c r="N176" s="208" t="str">
        <f>CONCATENATE(Множество_202207112140401240[[#This Row],[2]],Множество_202207112140401240[[#This Row],[3]])</f>
        <v/>
      </c>
      <c r="O176" s="208"/>
      <c r="P176" s="208"/>
      <c r="Q176">
        <v>1.675</v>
      </c>
      <c r="R176">
        <v>-14.3</v>
      </c>
      <c r="S176" s="208">
        <v>10</v>
      </c>
      <c r="T176" s="208">
        <v>-12.5</v>
      </c>
      <c r="U176" s="208">
        <f>ABS(Множество_202207112140401240[[#This Row],[10]]-Множество_202207112140401240[[#This Row],[12]])</f>
        <v>8.3249999999999993</v>
      </c>
      <c r="V176" s="208">
        <f>ABS(Множество_202207112140401240[[#This Row],[11]]-Множество_202207112140401240[[#This Row],[13]])</f>
        <v>1.8000000000000007</v>
      </c>
      <c r="W176" s="208">
        <f>Множество_202207112140401240[[#This Row],[15]]+Множество_202207112140401240[[#This Row],[14]]</f>
        <v>10.125</v>
      </c>
      <c r="X176" s="208">
        <f ca="1">IF(ROW()-ROW(Множество_202207112140401240[[#Headers],[17]])&gt;1,Множество_202207112140401240[[#This Row],[16]]-OFFSET(Множество_202207112140401240[[#This Row],[16]],-1,0),0)</f>
        <v>0.13333333333332931</v>
      </c>
      <c r="Y176" s="208">
        <v>1.675</v>
      </c>
      <c r="Z176" s="208">
        <v>-14.3</v>
      </c>
      <c r="AA176" s="208">
        <f>ABS(Множество_202207112140401240[[#This Row],[18]]-Множество_202207112140401240[[#This Row],[12]])</f>
        <v>8.3249999999999993</v>
      </c>
      <c r="AB176" s="208">
        <f>ABS(Множество_202207112140401240[[#This Row],[19]]-Множество_202207112140401240[[#This Row],[13]])</f>
        <v>1.8000000000000007</v>
      </c>
      <c r="AC176" s="208">
        <f>Множество_202207112140401240[[#This Row],[20]]+Множество_202207112140401240[[#This Row],[21]]</f>
        <v>10.125</v>
      </c>
    </row>
    <row r="177" spans="6:29" x14ac:dyDescent="0.25">
      <c r="F177" s="213"/>
      <c r="K177" s="208">
        <f>Множество_202207112140401240[[#This Row],[2]]-Множество_202207112140401240[[#This Row],[4]]</f>
        <v>0</v>
      </c>
      <c r="L177" s="208">
        <f>Множество_202207112140401240[[#This Row],[3]]-Множество_202207112140401240[[#This Row],[5]]</f>
        <v>0</v>
      </c>
      <c r="M177" s="208">
        <f>Множество_202207112140401240[[#This Row],[7]]+Множество_202207112140401240[[#This Row],[6]]</f>
        <v>0</v>
      </c>
      <c r="N177" s="208" t="str">
        <f>CONCATENATE(Множество_202207112140401240[[#This Row],[2]],Множество_202207112140401240[[#This Row],[3]])</f>
        <v/>
      </c>
      <c r="O177" s="208"/>
      <c r="P177" s="208"/>
      <c r="Q177">
        <v>1.75</v>
      </c>
      <c r="R177">
        <v>-14.3166666666667</v>
      </c>
      <c r="S177" s="208">
        <v>10</v>
      </c>
      <c r="T177" s="208">
        <v>-12.5</v>
      </c>
      <c r="U177" s="208">
        <f>ABS(Множество_202207112140401240[[#This Row],[10]]-Множество_202207112140401240[[#This Row],[12]])</f>
        <v>8.25</v>
      </c>
      <c r="V177" s="208">
        <f>ABS(Множество_202207112140401240[[#This Row],[11]]-Множество_202207112140401240[[#This Row],[13]])</f>
        <v>1.8166666666667002</v>
      </c>
      <c r="W177" s="208">
        <f>Множество_202207112140401240[[#This Row],[15]]+Множество_202207112140401240[[#This Row],[14]]</f>
        <v>10.0666666666667</v>
      </c>
      <c r="X177" s="208">
        <f ca="1">IF(ROW()-ROW(Множество_202207112140401240[[#Headers],[17]])&gt;1,Множество_202207112140401240[[#This Row],[16]]-OFFSET(Множество_202207112140401240[[#This Row],[16]],-1,0),0)</f>
        <v>-5.8333333333299819E-2</v>
      </c>
      <c r="Y177" s="208">
        <v>1.75</v>
      </c>
      <c r="Z177" s="208">
        <v>-14.3166666666667</v>
      </c>
      <c r="AA177" s="208">
        <f>ABS(Множество_202207112140401240[[#This Row],[18]]-Множество_202207112140401240[[#This Row],[12]])</f>
        <v>8.25</v>
      </c>
      <c r="AB177" s="208">
        <f>ABS(Множество_202207112140401240[[#This Row],[19]]-Множество_202207112140401240[[#This Row],[13]])</f>
        <v>1.8166666666667002</v>
      </c>
      <c r="AC177" s="208">
        <f>Множество_202207112140401240[[#This Row],[20]]+Множество_202207112140401240[[#This Row],[21]]</f>
        <v>10.0666666666667</v>
      </c>
    </row>
    <row r="178" spans="6:29" x14ac:dyDescent="0.25">
      <c r="F178" s="213"/>
      <c r="K178" s="208">
        <f>Множество_202207112140401240[[#This Row],[2]]-Множество_202207112140401240[[#This Row],[4]]</f>
        <v>0</v>
      </c>
      <c r="L178" s="208">
        <f>Множество_202207112140401240[[#This Row],[3]]-Множество_202207112140401240[[#This Row],[5]]</f>
        <v>0</v>
      </c>
      <c r="M178" s="208">
        <f>Множество_202207112140401240[[#This Row],[7]]+Множество_202207112140401240[[#This Row],[6]]</f>
        <v>0</v>
      </c>
      <c r="N178" s="208" t="str">
        <f>CONCATENATE(Множество_202207112140401240[[#This Row],[2]],Множество_202207112140401240[[#This Row],[3]])</f>
        <v/>
      </c>
      <c r="O178" s="208"/>
      <c r="P178" s="208"/>
      <c r="Q178">
        <v>3.0833333333333299</v>
      </c>
      <c r="R178">
        <v>-15.6833333333333</v>
      </c>
      <c r="S178" s="208">
        <v>10</v>
      </c>
      <c r="T178" s="208">
        <v>-12.5</v>
      </c>
      <c r="U178" s="208">
        <f>ABS(Множество_202207112140401240[[#This Row],[10]]-Множество_202207112140401240[[#This Row],[12]])</f>
        <v>6.9166666666666696</v>
      </c>
      <c r="V178" s="208">
        <f>ABS(Множество_202207112140401240[[#This Row],[11]]-Множество_202207112140401240[[#This Row],[13]])</f>
        <v>3.1833333333332998</v>
      </c>
      <c r="W178" s="208">
        <f>Множество_202207112140401240[[#This Row],[15]]+Множество_202207112140401240[[#This Row],[14]]</f>
        <v>10.099999999999969</v>
      </c>
      <c r="X178" s="208">
        <f ca="1">IF(ROW()-ROW(Множество_202207112140401240[[#Headers],[17]])&gt;1,Множество_202207112140401240[[#This Row],[16]]-OFFSET(Множество_202207112140401240[[#This Row],[16]],-1,0),0)</f>
        <v>3.3333333333269266E-2</v>
      </c>
      <c r="Y178" s="208">
        <v>3.0833333333333299</v>
      </c>
      <c r="Z178" s="208">
        <v>-15.6833333333333</v>
      </c>
      <c r="AA178" s="208">
        <f>ABS(Множество_202207112140401240[[#This Row],[18]]-Множество_202207112140401240[[#This Row],[12]])</f>
        <v>6.9166666666666696</v>
      </c>
      <c r="AB178" s="208">
        <f>ABS(Множество_202207112140401240[[#This Row],[19]]-Множество_202207112140401240[[#This Row],[13]])</f>
        <v>3.1833333333332998</v>
      </c>
      <c r="AC178" s="208">
        <f>Множество_202207112140401240[[#This Row],[20]]+Множество_202207112140401240[[#This Row],[21]]</f>
        <v>10.099999999999969</v>
      </c>
    </row>
    <row r="179" spans="6:29" x14ac:dyDescent="0.25">
      <c r="F179" s="213"/>
      <c r="K179" s="208">
        <f>Множество_202207112140401240[[#This Row],[2]]-Множество_202207112140401240[[#This Row],[4]]</f>
        <v>0</v>
      </c>
      <c r="L179" s="208">
        <f>Множество_202207112140401240[[#This Row],[3]]-Множество_202207112140401240[[#This Row],[5]]</f>
        <v>0</v>
      </c>
      <c r="M179" s="208">
        <f>Множество_202207112140401240[[#This Row],[7]]+Множество_202207112140401240[[#This Row],[6]]</f>
        <v>0</v>
      </c>
      <c r="N179" s="208" t="str">
        <f>CONCATENATE(Множество_202207112140401240[[#This Row],[2]],Множество_202207112140401240[[#This Row],[3]])</f>
        <v/>
      </c>
      <c r="O179" s="208"/>
      <c r="P179" s="208"/>
      <c r="Q179">
        <v>3.0249999999999999</v>
      </c>
      <c r="R179">
        <v>-15.65</v>
      </c>
      <c r="S179" s="208">
        <v>10</v>
      </c>
      <c r="T179" s="208">
        <v>-12.5</v>
      </c>
      <c r="U179" s="208">
        <f>ABS(Множество_202207112140401240[[#This Row],[10]]-Множество_202207112140401240[[#This Row],[12]])</f>
        <v>6.9749999999999996</v>
      </c>
      <c r="V179" s="208">
        <f>ABS(Множество_202207112140401240[[#This Row],[11]]-Множество_202207112140401240[[#This Row],[13]])</f>
        <v>3.1500000000000004</v>
      </c>
      <c r="W179" s="208">
        <f>Множество_202207112140401240[[#This Row],[15]]+Множество_202207112140401240[[#This Row],[14]]</f>
        <v>10.125</v>
      </c>
      <c r="X179" s="208">
        <f ca="1">IF(ROW()-ROW(Множество_202207112140401240[[#Headers],[17]])&gt;1,Множество_202207112140401240[[#This Row],[16]]-OFFSET(Множество_202207112140401240[[#This Row],[16]],-1,0),0)</f>
        <v>2.5000000000030553E-2</v>
      </c>
      <c r="Y179" s="208">
        <v>3.0249999999999999</v>
      </c>
      <c r="Z179" s="208">
        <v>-15.65</v>
      </c>
      <c r="AA179" s="208">
        <f>ABS(Множество_202207112140401240[[#This Row],[18]]-Множество_202207112140401240[[#This Row],[12]])</f>
        <v>6.9749999999999996</v>
      </c>
      <c r="AB179" s="208">
        <f>ABS(Множество_202207112140401240[[#This Row],[19]]-Множество_202207112140401240[[#This Row],[13]])</f>
        <v>3.1500000000000004</v>
      </c>
      <c r="AC179" s="208">
        <f>Множество_202207112140401240[[#This Row],[20]]+Множество_202207112140401240[[#This Row],[21]]</f>
        <v>10.125</v>
      </c>
    </row>
    <row r="180" spans="6:29" x14ac:dyDescent="0.25">
      <c r="F180" s="213"/>
      <c r="K180" s="208">
        <f>Множество_202207112140401240[[#This Row],[2]]-Множество_202207112140401240[[#This Row],[4]]</f>
        <v>0</v>
      </c>
      <c r="L180" s="208">
        <f>Множество_202207112140401240[[#This Row],[3]]-Множество_202207112140401240[[#This Row],[5]]</f>
        <v>0</v>
      </c>
      <c r="M180" s="208">
        <f>Множество_202207112140401240[[#This Row],[7]]+Множество_202207112140401240[[#This Row],[6]]</f>
        <v>0</v>
      </c>
      <c r="N180" s="208" t="str">
        <f>CONCATENATE(Множество_202207112140401240[[#This Row],[2]],Множество_202207112140401240[[#This Row],[3]])</f>
        <v/>
      </c>
      <c r="O180" s="208"/>
      <c r="P180" s="208"/>
      <c r="Q180">
        <v>2.9083333333333301</v>
      </c>
      <c r="R180">
        <v>-15.616666666666699</v>
      </c>
      <c r="S180" s="208">
        <v>10</v>
      </c>
      <c r="T180" s="208">
        <v>-12.5</v>
      </c>
      <c r="U180" s="208">
        <f>ABS(Множество_202207112140401240[[#This Row],[10]]-Множество_202207112140401240[[#This Row],[12]])</f>
        <v>7.0916666666666703</v>
      </c>
      <c r="V180" s="208">
        <f>ABS(Множество_202207112140401240[[#This Row],[11]]-Множество_202207112140401240[[#This Row],[13]])</f>
        <v>3.1166666666666991</v>
      </c>
      <c r="W180" s="208">
        <f>Множество_202207112140401240[[#This Row],[15]]+Множество_202207112140401240[[#This Row],[14]]</f>
        <v>10.208333333333369</v>
      </c>
      <c r="X180" s="208">
        <f ca="1">IF(ROW()-ROW(Множество_202207112140401240[[#Headers],[17]])&gt;1,Множество_202207112140401240[[#This Row],[16]]-OFFSET(Множество_202207112140401240[[#This Row],[16]],-1,0),0)</f>
        <v>8.3333333333369453E-2</v>
      </c>
      <c r="Y180" s="208">
        <v>2.9083333333333301</v>
      </c>
      <c r="Z180" s="208">
        <v>-15.616666666666699</v>
      </c>
      <c r="AA180" s="208">
        <f>ABS(Множество_202207112140401240[[#This Row],[18]]-Множество_202207112140401240[[#This Row],[12]])</f>
        <v>7.0916666666666703</v>
      </c>
      <c r="AB180" s="208">
        <f>ABS(Множество_202207112140401240[[#This Row],[19]]-Множество_202207112140401240[[#This Row],[13]])</f>
        <v>3.1166666666666991</v>
      </c>
      <c r="AC180" s="208">
        <f>Множество_202207112140401240[[#This Row],[20]]+Множество_202207112140401240[[#This Row],[21]]</f>
        <v>10.208333333333369</v>
      </c>
    </row>
    <row r="181" spans="6:29" x14ac:dyDescent="0.25">
      <c r="F181" s="213"/>
      <c r="K181" s="208">
        <f>Множество_202207112140401240[[#This Row],[2]]-Множество_202207112140401240[[#This Row],[4]]</f>
        <v>0</v>
      </c>
      <c r="L181" s="208">
        <f>Множество_202207112140401240[[#This Row],[3]]-Множество_202207112140401240[[#This Row],[5]]</f>
        <v>0</v>
      </c>
      <c r="M181" s="208">
        <f>Множество_202207112140401240[[#This Row],[7]]+Множество_202207112140401240[[#This Row],[6]]</f>
        <v>0</v>
      </c>
      <c r="N181" s="208" t="str">
        <f>CONCATENATE(Множество_202207112140401240[[#This Row],[2]],Множество_202207112140401240[[#This Row],[3]])</f>
        <v/>
      </c>
      <c r="O181" s="208"/>
      <c r="P181" s="208"/>
      <c r="Q181">
        <v>1.6</v>
      </c>
      <c r="R181">
        <v>-14.283333333333299</v>
      </c>
      <c r="S181" s="208">
        <v>10</v>
      </c>
      <c r="T181" s="208">
        <v>-12.5</v>
      </c>
      <c r="U181" s="208">
        <f>ABS(Множество_202207112140401240[[#This Row],[10]]-Множество_202207112140401240[[#This Row],[12]])</f>
        <v>8.4</v>
      </c>
      <c r="V181" s="208">
        <f>ABS(Множество_202207112140401240[[#This Row],[11]]-Множество_202207112140401240[[#This Row],[13]])</f>
        <v>1.7833333333332995</v>
      </c>
      <c r="W181" s="208">
        <f>Множество_202207112140401240[[#This Row],[15]]+Множество_202207112140401240[[#This Row],[14]]</f>
        <v>10.1833333333333</v>
      </c>
      <c r="X181" s="208">
        <f ca="1">IF(ROW()-ROW(Множество_202207112140401240[[#Headers],[17]])&gt;1,Множество_202207112140401240[[#This Row],[16]]-OFFSET(Множество_202207112140401240[[#This Row],[16]],-1,0),0)</f>
        <v>-2.5000000000069633E-2</v>
      </c>
      <c r="Y181" s="208">
        <v>2.9666666666666699</v>
      </c>
      <c r="Z181" s="208">
        <v>-15.633333333333301</v>
      </c>
      <c r="AA181" s="208">
        <f>ABS(Множество_202207112140401240[[#This Row],[18]]-Множество_202207112140401240[[#This Row],[12]])</f>
        <v>7.0333333333333297</v>
      </c>
      <c r="AB181" s="208">
        <f>ABS(Множество_202207112140401240[[#This Row],[19]]-Множество_202207112140401240[[#This Row],[13]])</f>
        <v>3.1333333333333009</v>
      </c>
      <c r="AC181" s="208">
        <f>Множество_202207112140401240[[#This Row],[20]]+Множество_202207112140401240[[#This Row],[21]]</f>
        <v>10.166666666666631</v>
      </c>
    </row>
    <row r="182" spans="6:29" x14ac:dyDescent="0.25">
      <c r="F182" s="213"/>
      <c r="K182" s="208">
        <f>Множество_202207112140401240[[#This Row],[2]]-Множество_202207112140401240[[#This Row],[4]]</f>
        <v>0</v>
      </c>
      <c r="L182" s="208">
        <f>Множество_202207112140401240[[#This Row],[3]]-Множество_202207112140401240[[#This Row],[5]]</f>
        <v>0</v>
      </c>
      <c r="M182" s="208">
        <f>Множество_202207112140401240[[#This Row],[7]]+Множество_202207112140401240[[#This Row],[6]]</f>
        <v>0</v>
      </c>
      <c r="N182" s="208" t="str">
        <f>CONCATENATE(Множество_202207112140401240[[#This Row],[2]],Множество_202207112140401240[[#This Row],[3]])</f>
        <v/>
      </c>
      <c r="O182" s="208"/>
      <c r="P182" s="208"/>
      <c r="Q182">
        <v>2.9666666666666699</v>
      </c>
      <c r="R182">
        <v>-15.633333333333301</v>
      </c>
      <c r="S182" s="208">
        <v>10</v>
      </c>
      <c r="T182" s="208">
        <v>-12.5</v>
      </c>
      <c r="U182" s="208">
        <f>ABS(Множество_202207112140401240[[#This Row],[10]]-Множество_202207112140401240[[#This Row],[12]])</f>
        <v>7.0333333333333297</v>
      </c>
      <c r="V182" s="208">
        <f>ABS(Множество_202207112140401240[[#This Row],[11]]-Множество_202207112140401240[[#This Row],[13]])</f>
        <v>3.1333333333333009</v>
      </c>
      <c r="W182" s="208">
        <f>Множество_202207112140401240[[#This Row],[15]]+Множество_202207112140401240[[#This Row],[14]]</f>
        <v>10.166666666666631</v>
      </c>
      <c r="X182" s="208">
        <f ca="1">IF(ROW()-ROW(Множество_202207112140401240[[#Headers],[17]])&gt;1,Множество_202207112140401240[[#This Row],[16]]-OFFSET(Множество_202207112140401240[[#This Row],[16]],-1,0),0)</f>
        <v>-1.6666666666669272E-2</v>
      </c>
      <c r="Y182" s="208">
        <v>1.6</v>
      </c>
      <c r="Z182" s="208">
        <v>-14.283333333333299</v>
      </c>
      <c r="AA182" s="208">
        <f>ABS(Множество_202207112140401240[[#This Row],[18]]-Множество_202207112140401240[[#This Row],[12]])</f>
        <v>8.4</v>
      </c>
      <c r="AB182" s="208">
        <f>ABS(Множество_202207112140401240[[#This Row],[19]]-Множество_202207112140401240[[#This Row],[13]])</f>
        <v>1.7833333333332995</v>
      </c>
      <c r="AC182" s="208">
        <f>Множество_202207112140401240[[#This Row],[20]]+Множество_202207112140401240[[#This Row],[21]]</f>
        <v>10.1833333333333</v>
      </c>
    </row>
    <row r="183" spans="6:29" x14ac:dyDescent="0.25">
      <c r="F183" s="213"/>
      <c r="K183" s="208">
        <f>Множество_202207112140401240[[#This Row],[2]]-Множество_202207112140401240[[#This Row],[4]]</f>
        <v>0</v>
      </c>
      <c r="L183" s="208">
        <f>Множество_202207112140401240[[#This Row],[3]]-Множество_202207112140401240[[#This Row],[5]]</f>
        <v>0</v>
      </c>
      <c r="M183" s="208">
        <f>Множество_202207112140401240[[#This Row],[7]]+Множество_202207112140401240[[#This Row],[6]]</f>
        <v>0</v>
      </c>
      <c r="N183" s="208" t="str">
        <f>CONCATENATE(Множество_202207112140401240[[#This Row],[2]],Множество_202207112140401240[[#This Row],[3]])</f>
        <v/>
      </c>
      <c r="O183" s="208"/>
      <c r="P183" s="208"/>
      <c r="Q183">
        <v>1.45</v>
      </c>
      <c r="R183">
        <v>-14.233333333333301</v>
      </c>
      <c r="S183" s="208">
        <v>10</v>
      </c>
      <c r="T183" s="208">
        <v>-12.5</v>
      </c>
      <c r="U183" s="208">
        <f>ABS(Множество_202207112140401240[[#This Row],[10]]-Множество_202207112140401240[[#This Row],[12]])</f>
        <v>8.5500000000000007</v>
      </c>
      <c r="V183" s="208">
        <f>ABS(Множество_202207112140401240[[#This Row],[11]]-Множество_202207112140401240[[#This Row],[13]])</f>
        <v>1.7333333333333005</v>
      </c>
      <c r="W183" s="208">
        <f>Множество_202207112140401240[[#This Row],[15]]+Множество_202207112140401240[[#This Row],[14]]</f>
        <v>10.283333333333301</v>
      </c>
      <c r="X183" s="208">
        <f ca="1">IF(ROW()-ROW(Множество_202207112140401240[[#Headers],[17]])&gt;1,Множество_202207112140401240[[#This Row],[16]]-OFFSET(Множество_202207112140401240[[#This Row],[16]],-1,0),0)</f>
        <v>0.11666666666667069</v>
      </c>
      <c r="Y183" s="208">
        <v>2.7916666666666701</v>
      </c>
      <c r="Z183" s="208">
        <v>-15.5666666666667</v>
      </c>
      <c r="AA183" s="208">
        <f>ABS(Множество_202207112140401240[[#This Row],[18]]-Множество_202207112140401240[[#This Row],[12]])</f>
        <v>7.2083333333333304</v>
      </c>
      <c r="AB183" s="208">
        <f>ABS(Множество_202207112140401240[[#This Row],[19]]-Множество_202207112140401240[[#This Row],[13]])</f>
        <v>3.0666666666667002</v>
      </c>
      <c r="AC183" s="208">
        <f>Множество_202207112140401240[[#This Row],[20]]+Множество_202207112140401240[[#This Row],[21]]</f>
        <v>10.275000000000031</v>
      </c>
    </row>
    <row r="184" spans="6:29" x14ac:dyDescent="0.25">
      <c r="F184" s="213"/>
      <c r="K184" s="208">
        <f>Множество_202207112140401240[[#This Row],[2]]-Множество_202207112140401240[[#This Row],[4]]</f>
        <v>0</v>
      </c>
      <c r="L184" s="208">
        <f>Множество_202207112140401240[[#This Row],[3]]-Множество_202207112140401240[[#This Row],[5]]</f>
        <v>0</v>
      </c>
      <c r="M184" s="208">
        <f>Множество_202207112140401240[[#This Row],[7]]+Множество_202207112140401240[[#This Row],[6]]</f>
        <v>0</v>
      </c>
      <c r="N184" s="208" t="str">
        <f>CONCATENATE(Множество_202207112140401240[[#This Row],[2]],Множество_202207112140401240[[#This Row],[3]])</f>
        <v/>
      </c>
      <c r="O184" s="208"/>
      <c r="P184" s="208"/>
      <c r="Q184">
        <v>2.7916666666666701</v>
      </c>
      <c r="R184">
        <v>-15.5666666666667</v>
      </c>
      <c r="S184" s="208">
        <v>10</v>
      </c>
      <c r="T184" s="208">
        <v>-12.5</v>
      </c>
      <c r="U184" s="208">
        <f>ABS(Множество_202207112140401240[[#This Row],[10]]-Множество_202207112140401240[[#This Row],[12]])</f>
        <v>7.2083333333333304</v>
      </c>
      <c r="V184" s="208">
        <f>ABS(Множество_202207112140401240[[#This Row],[11]]-Множество_202207112140401240[[#This Row],[13]])</f>
        <v>3.0666666666667002</v>
      </c>
      <c r="W184" s="208">
        <f>Множество_202207112140401240[[#This Row],[15]]+Множество_202207112140401240[[#This Row],[14]]</f>
        <v>10.275000000000031</v>
      </c>
      <c r="X184" s="208">
        <f ca="1">IF(ROW()-ROW(Множество_202207112140401240[[#Headers],[17]])&gt;1,Множество_202207112140401240[[#This Row],[16]]-OFFSET(Множество_202207112140401240[[#This Row],[16]],-1,0),0)</f>
        <v>-8.3333333332706871E-3</v>
      </c>
      <c r="Y184" s="208">
        <v>1.45</v>
      </c>
      <c r="Z184" s="208">
        <v>-14.233333333333301</v>
      </c>
      <c r="AA184" s="208">
        <f>ABS(Множество_202207112140401240[[#This Row],[18]]-Множество_202207112140401240[[#This Row],[12]])</f>
        <v>8.5500000000000007</v>
      </c>
      <c r="AB184" s="208">
        <f>ABS(Множество_202207112140401240[[#This Row],[19]]-Множество_202207112140401240[[#This Row],[13]])</f>
        <v>1.7333333333333005</v>
      </c>
      <c r="AC184" s="208">
        <f>Множество_202207112140401240[[#This Row],[20]]+Множество_202207112140401240[[#This Row],[21]]</f>
        <v>10.283333333333301</v>
      </c>
    </row>
    <row r="185" spans="6:29" x14ac:dyDescent="0.25">
      <c r="F185" s="213"/>
      <c r="K185" s="208">
        <f>Множество_202207112140401240[[#This Row],[2]]-Множество_202207112140401240[[#This Row],[4]]</f>
        <v>0</v>
      </c>
      <c r="L185" s="208">
        <f>Множество_202207112140401240[[#This Row],[3]]-Множество_202207112140401240[[#This Row],[5]]</f>
        <v>0</v>
      </c>
      <c r="M185" s="208">
        <f>Множество_202207112140401240[[#This Row],[7]]+Множество_202207112140401240[[#This Row],[6]]</f>
        <v>0</v>
      </c>
      <c r="N185" s="208" t="str">
        <f>CONCATENATE(Множество_202207112140401240[[#This Row],[2]],Множество_202207112140401240[[#This Row],[3]])</f>
        <v/>
      </c>
      <c r="O185" s="208"/>
      <c r="P185" s="208"/>
      <c r="Q185">
        <v>1.5249999999999999</v>
      </c>
      <c r="R185">
        <v>-14.25</v>
      </c>
      <c r="S185" s="208">
        <v>10</v>
      </c>
      <c r="T185" s="208">
        <v>-12.5</v>
      </c>
      <c r="U185" s="208">
        <f>ABS(Множество_202207112140401240[[#This Row],[10]]-Множество_202207112140401240[[#This Row],[12]])</f>
        <v>8.4749999999999996</v>
      </c>
      <c r="V185" s="208">
        <f>ABS(Множество_202207112140401240[[#This Row],[11]]-Множество_202207112140401240[[#This Row],[13]])</f>
        <v>1.75</v>
      </c>
      <c r="W185" s="208">
        <f>Множество_202207112140401240[[#This Row],[15]]+Множество_202207112140401240[[#This Row],[14]]</f>
        <v>10.225</v>
      </c>
      <c r="X185" s="208">
        <f ca="1">IF(ROW()-ROW(Множество_202207112140401240[[#Headers],[17]])&gt;1,Множество_202207112140401240[[#This Row],[16]]-OFFSET(Множество_202207112140401240[[#This Row],[16]],-1,0),0)</f>
        <v>-5.0000000000030909E-2</v>
      </c>
      <c r="Y185" s="208">
        <v>1.5249999999999999</v>
      </c>
      <c r="Z185" s="208">
        <v>-14.25</v>
      </c>
      <c r="AA185" s="208">
        <f>ABS(Множество_202207112140401240[[#This Row],[18]]-Множество_202207112140401240[[#This Row],[12]])</f>
        <v>8.4749999999999996</v>
      </c>
      <c r="AB185" s="208">
        <f>ABS(Множество_202207112140401240[[#This Row],[19]]-Множество_202207112140401240[[#This Row],[13]])</f>
        <v>1.75</v>
      </c>
      <c r="AC185" s="208">
        <f>Множество_202207112140401240[[#This Row],[20]]+Множество_202207112140401240[[#This Row],[21]]</f>
        <v>10.225</v>
      </c>
    </row>
    <row r="186" spans="6:29" x14ac:dyDescent="0.25">
      <c r="F186" s="213"/>
      <c r="K186" s="208">
        <f>Множество_202207112140401240[[#This Row],[2]]-Множество_202207112140401240[[#This Row],[4]]</f>
        <v>0</v>
      </c>
      <c r="L186" s="208">
        <f>Множество_202207112140401240[[#This Row],[3]]-Множество_202207112140401240[[#This Row],[5]]</f>
        <v>0</v>
      </c>
      <c r="M186" s="208">
        <f>Множество_202207112140401240[[#This Row],[7]]+Множество_202207112140401240[[#This Row],[6]]</f>
        <v>0</v>
      </c>
      <c r="N186" s="208" t="str">
        <f>CONCATENATE(Множество_202207112140401240[[#This Row],[2]],Множество_202207112140401240[[#This Row],[3]])</f>
        <v/>
      </c>
      <c r="O186" s="208"/>
      <c r="P186" s="208"/>
      <c r="Q186">
        <v>2.85</v>
      </c>
      <c r="R186">
        <v>-15.6</v>
      </c>
      <c r="S186" s="208">
        <v>10</v>
      </c>
      <c r="T186" s="208">
        <v>-12.5</v>
      </c>
      <c r="U186" s="208">
        <f>ABS(Множество_202207112140401240[[#This Row],[10]]-Множество_202207112140401240[[#This Row],[12]])</f>
        <v>7.15</v>
      </c>
      <c r="V186" s="208">
        <f>ABS(Множество_202207112140401240[[#This Row],[11]]-Множество_202207112140401240[[#This Row],[13]])</f>
        <v>3.0999999999999996</v>
      </c>
      <c r="W186" s="208">
        <f>Множество_202207112140401240[[#This Row],[15]]+Множество_202207112140401240[[#This Row],[14]]</f>
        <v>10.25</v>
      </c>
      <c r="X186" s="208">
        <f ca="1">IF(ROW()-ROW(Множество_202207112140401240[[#Headers],[17]])&gt;1,Множество_202207112140401240[[#This Row],[16]]-OFFSET(Множество_202207112140401240[[#This Row],[16]],-1,0),0)</f>
        <v>2.5000000000000355E-2</v>
      </c>
      <c r="Y186" s="208">
        <v>2.85</v>
      </c>
      <c r="Z186" s="208">
        <v>-15.6</v>
      </c>
      <c r="AA186" s="208">
        <f>ABS(Множество_202207112140401240[[#This Row],[18]]-Множество_202207112140401240[[#This Row],[12]])</f>
        <v>7.15</v>
      </c>
      <c r="AB186" s="208">
        <f>ABS(Множество_202207112140401240[[#This Row],[19]]-Множество_202207112140401240[[#This Row],[13]])</f>
        <v>3.0999999999999996</v>
      </c>
      <c r="AC186" s="208">
        <f>Множество_202207112140401240[[#This Row],[20]]+Множество_202207112140401240[[#This Row],[21]]</f>
        <v>10.25</v>
      </c>
    </row>
    <row r="187" spans="6:29" x14ac:dyDescent="0.25">
      <c r="F187" s="213"/>
      <c r="K187" s="208">
        <f>Множество_202207112140401240[[#This Row],[2]]-Множество_202207112140401240[[#This Row],[4]]</f>
        <v>0</v>
      </c>
      <c r="L187" s="208">
        <f>Множество_202207112140401240[[#This Row],[3]]-Множество_202207112140401240[[#This Row],[5]]</f>
        <v>0</v>
      </c>
      <c r="M187" s="208">
        <f>Множество_202207112140401240[[#This Row],[7]]+Множество_202207112140401240[[#This Row],[6]]</f>
        <v>0</v>
      </c>
      <c r="N187" s="208" t="str">
        <f>CONCATENATE(Множество_202207112140401240[[#This Row],[2]],Множество_202207112140401240[[#This Row],[3]])</f>
        <v/>
      </c>
      <c r="O187" s="208"/>
      <c r="P187" s="208"/>
      <c r="Q187">
        <v>2.6749999999999998</v>
      </c>
      <c r="R187">
        <v>-15.533333333333299</v>
      </c>
      <c r="S187" s="208">
        <v>10</v>
      </c>
      <c r="T187" s="208">
        <v>-12.5</v>
      </c>
      <c r="U187" s="208">
        <f>ABS(Множество_202207112140401240[[#This Row],[10]]-Множество_202207112140401240[[#This Row],[12]])</f>
        <v>7.3250000000000002</v>
      </c>
      <c r="V187" s="208">
        <f>ABS(Множество_202207112140401240[[#This Row],[11]]-Множество_202207112140401240[[#This Row],[13]])</f>
        <v>3.0333333333332995</v>
      </c>
      <c r="W187" s="208">
        <f>Множество_202207112140401240[[#This Row],[15]]+Множество_202207112140401240[[#This Row],[14]]</f>
        <v>10.358333333333299</v>
      </c>
      <c r="X187" s="208">
        <f ca="1">IF(ROW()-ROW(Множество_202207112140401240[[#Headers],[17]])&gt;1,Множество_202207112140401240[[#This Row],[16]]-OFFSET(Множество_202207112140401240[[#This Row],[16]],-1,0),0)</f>
        <v>0.10833333333329875</v>
      </c>
      <c r="Y187" s="208">
        <v>1.375</v>
      </c>
      <c r="Z187" s="208">
        <v>-14.216666666666701</v>
      </c>
      <c r="AA187" s="208">
        <f>ABS(Множество_202207112140401240[[#This Row],[18]]-Множество_202207112140401240[[#This Row],[12]])</f>
        <v>8.625</v>
      </c>
      <c r="AB187" s="208">
        <f>ABS(Множество_202207112140401240[[#This Row],[19]]-Множество_202207112140401240[[#This Row],[13]])</f>
        <v>1.7166666666667005</v>
      </c>
      <c r="AC187" s="208">
        <f>Множество_202207112140401240[[#This Row],[20]]+Множество_202207112140401240[[#This Row],[21]]</f>
        <v>10.341666666666701</v>
      </c>
    </row>
    <row r="188" spans="6:29" x14ac:dyDescent="0.25">
      <c r="F188" s="213"/>
      <c r="K188" s="208">
        <f>Множество_202207112140401240[[#This Row],[2]]-Множество_202207112140401240[[#This Row],[4]]</f>
        <v>0</v>
      </c>
      <c r="L188" s="208">
        <f>Множество_202207112140401240[[#This Row],[3]]-Множество_202207112140401240[[#This Row],[5]]</f>
        <v>0</v>
      </c>
      <c r="M188" s="208">
        <f>Множество_202207112140401240[[#This Row],[7]]+Множество_202207112140401240[[#This Row],[6]]</f>
        <v>0</v>
      </c>
      <c r="N188" s="208" t="str">
        <f>CONCATENATE(Множество_202207112140401240[[#This Row],[2]],Множество_202207112140401240[[#This Row],[3]])</f>
        <v/>
      </c>
      <c r="O188" s="208"/>
      <c r="P188" s="208"/>
      <c r="Q188">
        <v>2.6166666666666698</v>
      </c>
      <c r="R188">
        <v>-15.516666666666699</v>
      </c>
      <c r="S188" s="208">
        <v>10</v>
      </c>
      <c r="T188" s="208">
        <v>-12.5</v>
      </c>
      <c r="U188" s="208">
        <f>ABS(Множество_202207112140401240[[#This Row],[10]]-Множество_202207112140401240[[#This Row],[12]])</f>
        <v>7.3833333333333302</v>
      </c>
      <c r="V188" s="208">
        <f>ABS(Множество_202207112140401240[[#This Row],[11]]-Множество_202207112140401240[[#This Row],[13]])</f>
        <v>3.0166666666666995</v>
      </c>
      <c r="W188" s="208">
        <f>Множество_202207112140401240[[#This Row],[15]]+Множество_202207112140401240[[#This Row],[14]]</f>
        <v>10.400000000000031</v>
      </c>
      <c r="X188" s="208">
        <f ca="1">IF(ROW()-ROW(Множество_202207112140401240[[#Headers],[17]])&gt;1,Множество_202207112140401240[[#This Row],[16]]-OFFSET(Множество_202207112140401240[[#This Row],[16]],-1,0),0)</f>
        <v>4.16666666667318E-2</v>
      </c>
      <c r="Y188" s="208">
        <v>1.3</v>
      </c>
      <c r="Z188" s="208">
        <v>-14.2</v>
      </c>
      <c r="AA188" s="208">
        <f>ABS(Множество_202207112140401240[[#This Row],[18]]-Множество_202207112140401240[[#This Row],[12]])</f>
        <v>8.6999999999999993</v>
      </c>
      <c r="AB188" s="208">
        <f>ABS(Множество_202207112140401240[[#This Row],[19]]-Множество_202207112140401240[[#This Row],[13]])</f>
        <v>1.6999999999999993</v>
      </c>
      <c r="AC188" s="208">
        <f>Множество_202207112140401240[[#This Row],[20]]+Множество_202207112140401240[[#This Row],[21]]</f>
        <v>10.399999999999999</v>
      </c>
    </row>
    <row r="189" spans="6:29" x14ac:dyDescent="0.25">
      <c r="F189" s="213"/>
      <c r="K189" s="208">
        <f>Множество_202207112140401240[[#This Row],[2]]-Множество_202207112140401240[[#This Row],[4]]</f>
        <v>0</v>
      </c>
      <c r="L189" s="208">
        <f>Множество_202207112140401240[[#This Row],[3]]-Множество_202207112140401240[[#This Row],[5]]</f>
        <v>0</v>
      </c>
      <c r="M189" s="208">
        <f>Множество_202207112140401240[[#This Row],[7]]+Множество_202207112140401240[[#This Row],[6]]</f>
        <v>0</v>
      </c>
      <c r="N189" s="208" t="str">
        <f>CONCATENATE(Множество_202207112140401240[[#This Row],[2]],Множество_202207112140401240[[#This Row],[3]])</f>
        <v/>
      </c>
      <c r="O189" s="208"/>
      <c r="P189" s="208"/>
      <c r="Q189">
        <v>1.3</v>
      </c>
      <c r="R189">
        <v>-14.2</v>
      </c>
      <c r="S189" s="208">
        <v>10</v>
      </c>
      <c r="T189" s="208">
        <v>-12.5</v>
      </c>
      <c r="U189" s="208">
        <f>ABS(Множество_202207112140401240[[#This Row],[10]]-Множество_202207112140401240[[#This Row],[12]])</f>
        <v>8.6999999999999993</v>
      </c>
      <c r="V189" s="208">
        <f>ABS(Множество_202207112140401240[[#This Row],[11]]-Множество_202207112140401240[[#This Row],[13]])</f>
        <v>1.6999999999999993</v>
      </c>
      <c r="W189" s="208">
        <f>Множество_202207112140401240[[#This Row],[15]]+Множество_202207112140401240[[#This Row],[14]]</f>
        <v>10.399999999999999</v>
      </c>
      <c r="X189" s="208">
        <f ca="1">IF(ROW()-ROW(Множество_202207112140401240[[#Headers],[17]])&gt;1,Множество_202207112140401240[[#This Row],[16]]-OFFSET(Множество_202207112140401240[[#This Row],[16]],-1,0),0)</f>
        <v>-3.1974423109204508E-14</v>
      </c>
      <c r="Y189" s="208">
        <v>2.6166666666666698</v>
      </c>
      <c r="Z189" s="208">
        <v>-15.516666666666699</v>
      </c>
      <c r="AA189" s="208">
        <f>ABS(Множество_202207112140401240[[#This Row],[18]]-Множество_202207112140401240[[#This Row],[12]])</f>
        <v>7.3833333333333302</v>
      </c>
      <c r="AB189" s="208">
        <f>ABS(Множество_202207112140401240[[#This Row],[19]]-Множество_202207112140401240[[#This Row],[13]])</f>
        <v>3.0166666666666995</v>
      </c>
      <c r="AC189" s="208">
        <f>Множество_202207112140401240[[#This Row],[20]]+Множество_202207112140401240[[#This Row],[21]]</f>
        <v>10.400000000000031</v>
      </c>
    </row>
    <row r="190" spans="6:29" x14ac:dyDescent="0.25">
      <c r="F190" s="213"/>
      <c r="K190" s="208">
        <f>Множество_202207112140401240[[#This Row],[2]]-Множество_202207112140401240[[#This Row],[4]]</f>
        <v>0</v>
      </c>
      <c r="L190" s="208">
        <f>Множество_202207112140401240[[#This Row],[3]]-Множество_202207112140401240[[#This Row],[5]]</f>
        <v>0</v>
      </c>
      <c r="M190" s="208">
        <f>Множество_202207112140401240[[#This Row],[7]]+Множество_202207112140401240[[#This Row],[6]]</f>
        <v>0</v>
      </c>
      <c r="N190" s="208" t="str">
        <f>CONCATENATE(Множество_202207112140401240[[#This Row],[2]],Множество_202207112140401240[[#This Row],[3]])</f>
        <v/>
      </c>
      <c r="O190" s="208"/>
      <c r="P190" s="208"/>
      <c r="Q190">
        <v>1.375</v>
      </c>
      <c r="R190">
        <v>-14.216666666666701</v>
      </c>
      <c r="S190" s="208">
        <v>10</v>
      </c>
      <c r="T190" s="208">
        <v>-12.5</v>
      </c>
      <c r="U190" s="208">
        <f>ABS(Множество_202207112140401240[[#This Row],[10]]-Множество_202207112140401240[[#This Row],[12]])</f>
        <v>8.625</v>
      </c>
      <c r="V190" s="208">
        <f>ABS(Множество_202207112140401240[[#This Row],[11]]-Множество_202207112140401240[[#This Row],[13]])</f>
        <v>1.7166666666667005</v>
      </c>
      <c r="W190" s="208">
        <f>Множество_202207112140401240[[#This Row],[15]]+Множество_202207112140401240[[#This Row],[14]]</f>
        <v>10.341666666666701</v>
      </c>
      <c r="X190" s="208">
        <f ca="1">IF(ROW()-ROW(Множество_202207112140401240[[#Headers],[17]])&gt;1,Множество_202207112140401240[[#This Row],[16]]-OFFSET(Множество_202207112140401240[[#This Row],[16]],-1,0),0)</f>
        <v>-5.8333333333298043E-2</v>
      </c>
      <c r="Y190" s="208">
        <v>2.6749999999999998</v>
      </c>
      <c r="Z190" s="208">
        <v>-15.533333333333299</v>
      </c>
      <c r="AA190" s="208">
        <f>ABS(Множество_202207112140401240[[#This Row],[18]]-Множество_202207112140401240[[#This Row],[12]])</f>
        <v>7.3250000000000002</v>
      </c>
      <c r="AB190" s="208">
        <f>ABS(Множество_202207112140401240[[#This Row],[19]]-Множество_202207112140401240[[#This Row],[13]])</f>
        <v>3.0333333333332995</v>
      </c>
      <c r="AC190" s="208">
        <f>Множество_202207112140401240[[#This Row],[20]]+Множество_202207112140401240[[#This Row],[21]]</f>
        <v>10.358333333333299</v>
      </c>
    </row>
    <row r="191" spans="6:29" x14ac:dyDescent="0.25">
      <c r="F191" s="213"/>
      <c r="K191" s="208">
        <f>Множество_202207112140401240[[#This Row],[2]]-Множество_202207112140401240[[#This Row],[4]]</f>
        <v>0</v>
      </c>
      <c r="L191" s="208">
        <f>Множество_202207112140401240[[#This Row],[3]]-Множество_202207112140401240[[#This Row],[5]]</f>
        <v>0</v>
      </c>
      <c r="M191" s="208">
        <f>Множество_202207112140401240[[#This Row],[7]]+Множество_202207112140401240[[#This Row],[6]]</f>
        <v>0</v>
      </c>
      <c r="N191" s="208" t="str">
        <f>CONCATENATE(Множество_202207112140401240[[#This Row],[2]],Множество_202207112140401240[[#This Row],[3]])</f>
        <v/>
      </c>
      <c r="O191" s="208"/>
      <c r="P191" s="208"/>
      <c r="Q191">
        <v>2.7333333333333298</v>
      </c>
      <c r="R191">
        <v>-15.55</v>
      </c>
      <c r="S191" s="208">
        <v>10</v>
      </c>
      <c r="T191" s="208">
        <v>-12.5</v>
      </c>
      <c r="U191" s="208">
        <f>ABS(Множество_202207112140401240[[#This Row],[10]]-Множество_202207112140401240[[#This Row],[12]])</f>
        <v>7.2666666666666702</v>
      </c>
      <c r="V191" s="208">
        <f>ABS(Множество_202207112140401240[[#This Row],[11]]-Множество_202207112140401240[[#This Row],[13]])</f>
        <v>3.0500000000000007</v>
      </c>
      <c r="W191" s="208">
        <f>Множество_202207112140401240[[#This Row],[15]]+Множество_202207112140401240[[#This Row],[14]]</f>
        <v>10.31666666666667</v>
      </c>
      <c r="X191" s="208">
        <f ca="1">IF(ROW()-ROW(Множество_202207112140401240[[#Headers],[17]])&gt;1,Множество_202207112140401240[[#This Row],[16]]-OFFSET(Множество_202207112140401240[[#This Row],[16]],-1,0),0)</f>
        <v>-2.5000000000030553E-2</v>
      </c>
      <c r="Y191" s="208">
        <v>2.7333333333333298</v>
      </c>
      <c r="Z191" s="208">
        <v>-15.55</v>
      </c>
      <c r="AA191" s="208">
        <f>ABS(Множество_202207112140401240[[#This Row],[18]]-Множество_202207112140401240[[#This Row],[12]])</f>
        <v>7.2666666666666702</v>
      </c>
      <c r="AB191" s="208">
        <f>ABS(Множество_202207112140401240[[#This Row],[19]]-Множество_202207112140401240[[#This Row],[13]])</f>
        <v>3.0500000000000007</v>
      </c>
      <c r="AC191" s="208">
        <f>Множество_202207112140401240[[#This Row],[20]]+Множество_202207112140401240[[#This Row],[21]]</f>
        <v>10.31666666666667</v>
      </c>
    </row>
    <row r="192" spans="6:29" x14ac:dyDescent="0.25">
      <c r="F192" s="213"/>
      <c r="K192" s="208">
        <f>Множество_202207112140401240[[#This Row],[2]]-Множество_202207112140401240[[#This Row],[4]]</f>
        <v>0</v>
      </c>
      <c r="L192" s="208">
        <f>Множество_202207112140401240[[#This Row],[3]]-Множество_202207112140401240[[#This Row],[5]]</f>
        <v>0</v>
      </c>
      <c r="M192" s="208">
        <f>Множество_202207112140401240[[#This Row],[7]]+Множество_202207112140401240[[#This Row],[6]]</f>
        <v>0</v>
      </c>
      <c r="N192" s="208" t="str">
        <f>CONCATENATE(Множество_202207112140401240[[#This Row],[2]],Множество_202207112140401240[[#This Row],[3]])</f>
        <v/>
      </c>
      <c r="O192" s="208"/>
      <c r="P192" s="208"/>
      <c r="Q192">
        <v>1.1499999999999999</v>
      </c>
      <c r="R192">
        <v>-14.15</v>
      </c>
      <c r="S192" s="208">
        <v>10</v>
      </c>
      <c r="T192" s="208">
        <v>-12.5</v>
      </c>
      <c r="U192" s="208">
        <f>ABS(Множество_202207112140401240[[#This Row],[10]]-Множество_202207112140401240[[#This Row],[12]])</f>
        <v>8.85</v>
      </c>
      <c r="V192" s="208">
        <f>ABS(Множество_202207112140401240[[#This Row],[11]]-Множество_202207112140401240[[#This Row],[13]])</f>
        <v>1.6500000000000004</v>
      </c>
      <c r="W192" s="208">
        <f>Множество_202207112140401240[[#This Row],[15]]+Множество_202207112140401240[[#This Row],[14]]</f>
        <v>10.5</v>
      </c>
      <c r="X192" s="208">
        <f ca="1">IF(ROW()-ROW(Множество_202207112140401240[[#Headers],[17]])&gt;1,Множество_202207112140401240[[#This Row],[16]]-OFFSET(Множество_202207112140401240[[#This Row],[16]],-1,0),0)</f>
        <v>0.18333333333333002</v>
      </c>
      <c r="Y192" s="208">
        <v>2.5</v>
      </c>
      <c r="Z192" s="208">
        <v>-15.466666666666701</v>
      </c>
      <c r="AA192" s="208">
        <f>ABS(Множество_202207112140401240[[#This Row],[18]]-Множество_202207112140401240[[#This Row],[12]])</f>
        <v>7.5</v>
      </c>
      <c r="AB192" s="208">
        <f>ABS(Множество_202207112140401240[[#This Row],[19]]-Множество_202207112140401240[[#This Row],[13]])</f>
        <v>2.9666666666667005</v>
      </c>
      <c r="AC192" s="208">
        <f>Множество_202207112140401240[[#This Row],[20]]+Множество_202207112140401240[[#This Row],[21]]</f>
        <v>10.466666666666701</v>
      </c>
    </row>
    <row r="193" spans="6:29" x14ac:dyDescent="0.25">
      <c r="F193" s="213"/>
      <c r="K193" s="208">
        <f>Множество_202207112140401240[[#This Row],[2]]-Множество_202207112140401240[[#This Row],[4]]</f>
        <v>0</v>
      </c>
      <c r="L193" s="208">
        <f>Множество_202207112140401240[[#This Row],[3]]-Множество_202207112140401240[[#This Row],[5]]</f>
        <v>0</v>
      </c>
      <c r="M193" s="208">
        <f>Множество_202207112140401240[[#This Row],[7]]+Множество_202207112140401240[[#This Row],[6]]</f>
        <v>0</v>
      </c>
      <c r="N193" s="208" t="str">
        <f>CONCATENATE(Множество_202207112140401240[[#This Row],[2]],Множество_202207112140401240[[#This Row],[3]])</f>
        <v/>
      </c>
      <c r="O193" s="208"/>
      <c r="P193" s="208"/>
      <c r="Q193">
        <v>2.5</v>
      </c>
      <c r="R193">
        <v>-15.466666666666701</v>
      </c>
      <c r="S193" s="208">
        <v>10</v>
      </c>
      <c r="T193" s="208">
        <v>-12.5</v>
      </c>
      <c r="U193" s="208">
        <f>ABS(Множество_202207112140401240[[#This Row],[10]]-Множество_202207112140401240[[#This Row],[12]])</f>
        <v>7.5</v>
      </c>
      <c r="V193" s="208">
        <f>ABS(Множество_202207112140401240[[#This Row],[11]]-Множество_202207112140401240[[#This Row],[13]])</f>
        <v>2.9666666666667005</v>
      </c>
      <c r="W193" s="208">
        <f>Множество_202207112140401240[[#This Row],[15]]+Множество_202207112140401240[[#This Row],[14]]</f>
        <v>10.466666666666701</v>
      </c>
      <c r="X193" s="208">
        <f ca="1">IF(ROW()-ROW(Множество_202207112140401240[[#Headers],[17]])&gt;1,Множество_202207112140401240[[#This Row],[16]]-OFFSET(Множество_202207112140401240[[#This Row],[16]],-1,0),0)</f>
        <v>-3.3333333333299464E-2</v>
      </c>
      <c r="Y193" s="208">
        <v>1.1499999999999999</v>
      </c>
      <c r="Z193" s="208">
        <v>-14.15</v>
      </c>
      <c r="AA193" s="208">
        <f>ABS(Множество_202207112140401240[[#This Row],[18]]-Множество_202207112140401240[[#This Row],[12]])</f>
        <v>8.85</v>
      </c>
      <c r="AB193" s="208">
        <f>ABS(Множество_202207112140401240[[#This Row],[19]]-Множество_202207112140401240[[#This Row],[13]])</f>
        <v>1.6500000000000004</v>
      </c>
      <c r="AC193" s="208">
        <f>Множество_202207112140401240[[#This Row],[20]]+Множество_202207112140401240[[#This Row],[21]]</f>
        <v>10.5</v>
      </c>
    </row>
    <row r="194" spans="6:29" x14ac:dyDescent="0.25">
      <c r="F194" s="213"/>
      <c r="K194" s="208">
        <f>Множество_202207112140401240[[#This Row],[2]]-Множество_202207112140401240[[#This Row],[4]]</f>
        <v>0</v>
      </c>
      <c r="L194" s="208">
        <f>Множество_202207112140401240[[#This Row],[3]]-Множество_202207112140401240[[#This Row],[5]]</f>
        <v>0</v>
      </c>
      <c r="M194" s="208">
        <f>Множество_202207112140401240[[#This Row],[7]]+Множество_202207112140401240[[#This Row],[6]]</f>
        <v>0</v>
      </c>
      <c r="N194" s="208" t="str">
        <f>CONCATENATE(Множество_202207112140401240[[#This Row],[2]],Множество_202207112140401240[[#This Row],[3]])</f>
        <v/>
      </c>
      <c r="O194" s="208"/>
      <c r="P194" s="208"/>
      <c r="Q194">
        <v>1.2250000000000001</v>
      </c>
      <c r="R194">
        <v>-14.1666666666667</v>
      </c>
      <c r="S194" s="208">
        <v>10</v>
      </c>
      <c r="T194" s="208">
        <v>-12.5</v>
      </c>
      <c r="U194" s="208">
        <f>ABS(Множество_202207112140401240[[#This Row],[10]]-Множество_202207112140401240[[#This Row],[12]])</f>
        <v>8.7750000000000004</v>
      </c>
      <c r="V194" s="208">
        <f>ABS(Множество_202207112140401240[[#This Row],[11]]-Множество_202207112140401240[[#This Row],[13]])</f>
        <v>1.6666666666666998</v>
      </c>
      <c r="W194" s="208">
        <f>Множество_202207112140401240[[#This Row],[15]]+Множество_202207112140401240[[#This Row],[14]]</f>
        <v>10.4416666666667</v>
      </c>
      <c r="X194" s="208">
        <f ca="1">IF(ROW()-ROW(Множество_202207112140401240[[#Headers],[17]])&gt;1,Множество_202207112140401240[[#This Row],[16]]-OFFSET(Множество_202207112140401240[[#This Row],[16]],-1,0),0)</f>
        <v>-2.5000000000000355E-2</v>
      </c>
      <c r="Y194" s="208">
        <v>2.55833333333333</v>
      </c>
      <c r="Z194" s="208">
        <v>-15.483333333333301</v>
      </c>
      <c r="AA194" s="208">
        <f>ABS(Множество_202207112140401240[[#This Row],[18]]-Множество_202207112140401240[[#This Row],[12]])</f>
        <v>7.44166666666667</v>
      </c>
      <c r="AB194" s="208">
        <f>ABS(Множество_202207112140401240[[#This Row],[19]]-Множество_202207112140401240[[#This Row],[13]])</f>
        <v>2.9833333333333005</v>
      </c>
      <c r="AC194" s="208">
        <f>Множество_202207112140401240[[#This Row],[20]]+Множество_202207112140401240[[#This Row],[21]]</f>
        <v>10.424999999999971</v>
      </c>
    </row>
    <row r="195" spans="6:29" x14ac:dyDescent="0.25">
      <c r="F195" s="213"/>
      <c r="K195" s="208">
        <f>Множество_202207112140401240[[#This Row],[2]]-Множество_202207112140401240[[#This Row],[4]]</f>
        <v>0</v>
      </c>
      <c r="L195" s="208">
        <f>Множество_202207112140401240[[#This Row],[3]]-Множество_202207112140401240[[#This Row],[5]]</f>
        <v>0</v>
      </c>
      <c r="M195" s="208">
        <f>Множество_202207112140401240[[#This Row],[7]]+Множество_202207112140401240[[#This Row],[6]]</f>
        <v>0</v>
      </c>
      <c r="N195" s="208" t="str">
        <f>CONCATENATE(Множество_202207112140401240[[#This Row],[2]],Множество_202207112140401240[[#This Row],[3]])</f>
        <v/>
      </c>
      <c r="O195" s="208"/>
      <c r="P195" s="208"/>
      <c r="Q195">
        <v>2.55833333333333</v>
      </c>
      <c r="R195">
        <v>-15.483333333333301</v>
      </c>
      <c r="S195" s="208">
        <v>10</v>
      </c>
      <c r="T195" s="208">
        <v>-12.5</v>
      </c>
      <c r="U195" s="208">
        <f>ABS(Множество_202207112140401240[[#This Row],[10]]-Множество_202207112140401240[[#This Row],[12]])</f>
        <v>7.44166666666667</v>
      </c>
      <c r="V195" s="208">
        <f>ABS(Множество_202207112140401240[[#This Row],[11]]-Множество_202207112140401240[[#This Row],[13]])</f>
        <v>2.9833333333333005</v>
      </c>
      <c r="W195" s="208">
        <f>Множество_202207112140401240[[#This Row],[15]]+Множество_202207112140401240[[#This Row],[14]]</f>
        <v>10.424999999999971</v>
      </c>
      <c r="X195" s="208">
        <f ca="1">IF(ROW()-ROW(Множество_202207112140401240[[#Headers],[17]])&gt;1,Множество_202207112140401240[[#This Row],[16]]-OFFSET(Множество_202207112140401240[[#This Row],[16]],-1,0),0)</f>
        <v>-1.6666666666729668E-2</v>
      </c>
      <c r="Y195" s="208">
        <v>1.2250000000000001</v>
      </c>
      <c r="Z195" s="208">
        <v>-14.1666666666667</v>
      </c>
      <c r="AA195" s="208">
        <f>ABS(Множество_202207112140401240[[#This Row],[18]]-Множество_202207112140401240[[#This Row],[12]])</f>
        <v>8.7750000000000004</v>
      </c>
      <c r="AB195" s="208">
        <f>ABS(Множество_202207112140401240[[#This Row],[19]]-Множество_202207112140401240[[#This Row],[13]])</f>
        <v>1.6666666666666998</v>
      </c>
      <c r="AC195" s="208">
        <f>Множество_202207112140401240[[#This Row],[20]]+Множество_202207112140401240[[#This Row],[21]]</f>
        <v>10.4416666666667</v>
      </c>
    </row>
    <row r="196" spans="6:29" x14ac:dyDescent="0.25">
      <c r="F196" s="213"/>
      <c r="K196" s="208">
        <f>Множество_202207112140401240[[#This Row],[2]]-Множество_202207112140401240[[#This Row],[4]]</f>
        <v>0</v>
      </c>
      <c r="L196" s="208">
        <f>Множество_202207112140401240[[#This Row],[3]]-Множество_202207112140401240[[#This Row],[5]]</f>
        <v>0</v>
      </c>
      <c r="M196" s="208">
        <f>Множество_202207112140401240[[#This Row],[7]]+Множество_202207112140401240[[#This Row],[6]]</f>
        <v>0</v>
      </c>
      <c r="N196" s="208" t="str">
        <f>CONCATENATE(Множество_202207112140401240[[#This Row],[2]],Множество_202207112140401240[[#This Row],[3]])</f>
        <v/>
      </c>
      <c r="O196" s="208"/>
      <c r="P196" s="208"/>
      <c r="Q196">
        <v>1.075</v>
      </c>
      <c r="R196">
        <v>-14.133333333333301</v>
      </c>
      <c r="S196" s="208">
        <v>10</v>
      </c>
      <c r="T196" s="208">
        <v>-12.5</v>
      </c>
      <c r="U196" s="208">
        <f>ABS(Множество_202207112140401240[[#This Row],[10]]-Множество_202207112140401240[[#This Row],[12]])</f>
        <v>8.9250000000000007</v>
      </c>
      <c r="V196" s="208">
        <f>ABS(Множество_202207112140401240[[#This Row],[11]]-Множество_202207112140401240[[#This Row],[13]])</f>
        <v>1.6333333333333009</v>
      </c>
      <c r="W196" s="208">
        <f>Множество_202207112140401240[[#This Row],[15]]+Множество_202207112140401240[[#This Row],[14]]</f>
        <v>10.558333333333302</v>
      </c>
      <c r="X196" s="208">
        <f ca="1">IF(ROW()-ROW(Множество_202207112140401240[[#Headers],[17]])&gt;1,Множество_202207112140401240[[#This Row],[16]]-OFFSET(Множество_202207112140401240[[#This Row],[16]],-1,0),0)</f>
        <v>0.13333333333333108</v>
      </c>
      <c r="Y196" s="208">
        <v>1.075</v>
      </c>
      <c r="Z196" s="208">
        <v>-14.133333333333301</v>
      </c>
      <c r="AA196" s="208">
        <f>ABS(Множество_202207112140401240[[#This Row],[18]]-Множество_202207112140401240[[#This Row],[12]])</f>
        <v>8.9250000000000007</v>
      </c>
      <c r="AB196" s="208">
        <f>ABS(Множество_202207112140401240[[#This Row],[19]]-Множество_202207112140401240[[#This Row],[13]])</f>
        <v>1.6333333333333009</v>
      </c>
      <c r="AC196" s="208">
        <f>Множество_202207112140401240[[#This Row],[20]]+Множество_202207112140401240[[#This Row],[21]]</f>
        <v>10.558333333333302</v>
      </c>
    </row>
    <row r="197" spans="6:29" x14ac:dyDescent="0.25">
      <c r="F197" s="213"/>
      <c r="K197" s="208">
        <f>Множество_202207112140401240[[#This Row],[2]]-Множество_202207112140401240[[#This Row],[4]]</f>
        <v>0</v>
      </c>
      <c r="L197" s="208">
        <f>Множество_202207112140401240[[#This Row],[3]]-Множество_202207112140401240[[#This Row],[5]]</f>
        <v>0</v>
      </c>
      <c r="M197" s="208">
        <f>Множество_202207112140401240[[#This Row],[7]]+Множество_202207112140401240[[#This Row],[6]]</f>
        <v>0</v>
      </c>
      <c r="N197" s="208" t="str">
        <f>CONCATENATE(Множество_202207112140401240[[#This Row],[2]],Множество_202207112140401240[[#This Row],[3]])</f>
        <v/>
      </c>
      <c r="O197" s="208"/>
      <c r="P197" s="208"/>
      <c r="Q197">
        <v>2.4249999999999998</v>
      </c>
      <c r="R197">
        <v>-15.483333333333301</v>
      </c>
      <c r="S197" s="208">
        <v>10</v>
      </c>
      <c r="T197" s="208">
        <v>-12.5</v>
      </c>
      <c r="U197" s="208">
        <f>ABS(Множество_202207112140401240[[#This Row],[10]]-Множество_202207112140401240[[#This Row],[12]])</f>
        <v>7.5750000000000002</v>
      </c>
      <c r="V197" s="208">
        <f>ABS(Множество_202207112140401240[[#This Row],[11]]-Множество_202207112140401240[[#This Row],[13]])</f>
        <v>2.9833333333333005</v>
      </c>
      <c r="W197" s="208">
        <f>Множество_202207112140401240[[#This Row],[15]]+Множество_202207112140401240[[#This Row],[14]]</f>
        <v>10.558333333333302</v>
      </c>
      <c r="X197" s="208">
        <f ca="1">IF(ROW()-ROW(Множество_202207112140401240[[#Headers],[17]])&gt;1,Множество_202207112140401240[[#This Row],[16]]-OFFSET(Множество_202207112140401240[[#This Row],[16]],-1,0),0)</f>
        <v>0</v>
      </c>
      <c r="Y197" s="208">
        <v>2.4249999999999998</v>
      </c>
      <c r="Z197" s="208">
        <v>-15.483333333333301</v>
      </c>
      <c r="AA197" s="208">
        <f>ABS(Множество_202207112140401240[[#This Row],[18]]-Множество_202207112140401240[[#This Row],[12]])</f>
        <v>7.5750000000000002</v>
      </c>
      <c r="AB197" s="208">
        <f>ABS(Множество_202207112140401240[[#This Row],[19]]-Множество_202207112140401240[[#This Row],[13]])</f>
        <v>2.9833333333333005</v>
      </c>
      <c r="AC197" s="208">
        <f>Множество_202207112140401240[[#This Row],[20]]+Множество_202207112140401240[[#This Row],[21]]</f>
        <v>10.558333333333302</v>
      </c>
    </row>
    <row r="198" spans="6:29" x14ac:dyDescent="0.25">
      <c r="F198" s="213"/>
      <c r="K198" s="208">
        <f>Множество_202207112140401240[[#This Row],[2]]-Множество_202207112140401240[[#This Row],[4]]</f>
        <v>0</v>
      </c>
      <c r="L198" s="208">
        <f>Множество_202207112140401240[[#This Row],[3]]-Множество_202207112140401240[[#This Row],[5]]</f>
        <v>0</v>
      </c>
      <c r="M198" s="208">
        <f>Множество_202207112140401240[[#This Row],[7]]+Множество_202207112140401240[[#This Row],[6]]</f>
        <v>0</v>
      </c>
      <c r="N198" s="208" t="str">
        <f>CONCATENATE(Множество_202207112140401240[[#This Row],[2]],Множество_202207112140401240[[#This Row],[3]])</f>
        <v/>
      </c>
      <c r="O198" s="208"/>
      <c r="P198" s="208"/>
      <c r="Q198">
        <v>2.35</v>
      </c>
      <c r="R198">
        <v>-15.516666666666699</v>
      </c>
      <c r="S198" s="208">
        <v>10</v>
      </c>
      <c r="T198" s="208">
        <v>-12.5</v>
      </c>
      <c r="U198" s="208">
        <f>ABS(Множество_202207112140401240[[#This Row],[10]]-Множество_202207112140401240[[#This Row],[12]])</f>
        <v>7.65</v>
      </c>
      <c r="V198" s="208">
        <f>ABS(Множество_202207112140401240[[#This Row],[11]]-Множество_202207112140401240[[#This Row],[13]])</f>
        <v>3.0166666666666995</v>
      </c>
      <c r="W198" s="208">
        <f>Множество_202207112140401240[[#This Row],[15]]+Множество_202207112140401240[[#This Row],[14]]</f>
        <v>10.6666666666667</v>
      </c>
      <c r="X198" s="208">
        <f ca="1">IF(ROW()-ROW(Множество_202207112140401240[[#Headers],[17]])&gt;1,Множество_202207112140401240[[#This Row],[16]]-OFFSET(Множество_202207112140401240[[#This Row],[16]],-1,0),0)</f>
        <v>0.10833333333339823</v>
      </c>
      <c r="Y198" s="208">
        <v>2.35</v>
      </c>
      <c r="Z198" s="208">
        <v>-15.516666666666699</v>
      </c>
      <c r="AA198" s="208">
        <f>ABS(Множество_202207112140401240[[#This Row],[18]]-Множество_202207112140401240[[#This Row],[12]])</f>
        <v>7.65</v>
      </c>
      <c r="AB198" s="208">
        <f>ABS(Множество_202207112140401240[[#This Row],[19]]-Множество_202207112140401240[[#This Row],[13]])</f>
        <v>3.0166666666666995</v>
      </c>
      <c r="AC198" s="208">
        <f>Множество_202207112140401240[[#This Row],[20]]+Множество_202207112140401240[[#This Row],[21]]</f>
        <v>10.6666666666667</v>
      </c>
    </row>
    <row r="199" spans="6:29" x14ac:dyDescent="0.25">
      <c r="F199" s="213"/>
      <c r="K199" s="208">
        <f>Множество_202207112140401240[[#This Row],[2]]-Множество_202207112140401240[[#This Row],[4]]</f>
        <v>0</v>
      </c>
      <c r="L199" s="208">
        <f>Множество_202207112140401240[[#This Row],[3]]-Множество_202207112140401240[[#This Row],[5]]</f>
        <v>0</v>
      </c>
      <c r="M199" s="208">
        <f>Множество_202207112140401240[[#This Row],[7]]+Множество_202207112140401240[[#This Row],[6]]</f>
        <v>0</v>
      </c>
      <c r="N199" s="208" t="str">
        <f>CONCATENATE(Множество_202207112140401240[[#This Row],[2]],Множество_202207112140401240[[#This Row],[3]])</f>
        <v/>
      </c>
      <c r="O199" s="208"/>
      <c r="P199" s="208"/>
      <c r="Q199">
        <v>0.999999999999996</v>
      </c>
      <c r="R199">
        <v>-14.1</v>
      </c>
      <c r="S199" s="208">
        <v>10</v>
      </c>
      <c r="T199" s="208">
        <v>-12.5</v>
      </c>
      <c r="U199" s="208">
        <f>ABS(Множество_202207112140401240[[#This Row],[10]]-Множество_202207112140401240[[#This Row],[12]])</f>
        <v>9.0000000000000036</v>
      </c>
      <c r="V199" s="208">
        <f>ABS(Множество_202207112140401240[[#This Row],[11]]-Множество_202207112140401240[[#This Row],[13]])</f>
        <v>1.5999999999999996</v>
      </c>
      <c r="W199" s="208">
        <f>Множество_202207112140401240[[#This Row],[15]]+Множество_202207112140401240[[#This Row],[14]]</f>
        <v>10.600000000000003</v>
      </c>
      <c r="X199" s="208">
        <f ca="1">IF(ROW()-ROW(Множество_202207112140401240[[#Headers],[17]])&gt;1,Множество_202207112140401240[[#This Row],[16]]-OFFSET(Множество_202207112140401240[[#This Row],[16]],-1,0),0)</f>
        <v>-6.6666666666696628E-2</v>
      </c>
      <c r="Y199" s="208">
        <v>0.999999999999996</v>
      </c>
      <c r="Z199" s="208">
        <v>-14.1</v>
      </c>
      <c r="AA199" s="208">
        <f>ABS(Множество_202207112140401240[[#This Row],[18]]-Множество_202207112140401240[[#This Row],[12]])</f>
        <v>9.0000000000000036</v>
      </c>
      <c r="AB199" s="208">
        <f>ABS(Множество_202207112140401240[[#This Row],[19]]-Множество_202207112140401240[[#This Row],[13]])</f>
        <v>1.5999999999999996</v>
      </c>
      <c r="AC199" s="208">
        <f>Множество_202207112140401240[[#This Row],[20]]+Множество_202207112140401240[[#This Row],[21]]</f>
        <v>10.600000000000003</v>
      </c>
    </row>
    <row r="200" spans="6:29" x14ac:dyDescent="0.25">
      <c r="F200" s="213"/>
      <c r="K200" s="208">
        <f>Множество_202207112140401240[[#This Row],[2]]-Множество_202207112140401240[[#This Row],[4]]</f>
        <v>0</v>
      </c>
      <c r="L200" s="208">
        <f>Множество_202207112140401240[[#This Row],[3]]-Множество_202207112140401240[[#This Row],[5]]</f>
        <v>0</v>
      </c>
      <c r="M200" s="208">
        <f>Множество_202207112140401240[[#This Row],[7]]+Множество_202207112140401240[[#This Row],[6]]</f>
        <v>0</v>
      </c>
      <c r="N200" s="208" t="str">
        <f>CONCATENATE(Множество_202207112140401240[[#This Row],[2]],Множество_202207112140401240[[#This Row],[3]])</f>
        <v/>
      </c>
      <c r="O200" s="208"/>
      <c r="P200" s="208"/>
      <c r="Q200">
        <v>0.92500000000000104</v>
      </c>
      <c r="R200">
        <v>-14.0833333333333</v>
      </c>
      <c r="S200" s="208">
        <v>10</v>
      </c>
      <c r="T200" s="208">
        <v>-12.5</v>
      </c>
      <c r="U200" s="208">
        <f>ABS(Множество_202207112140401240[[#This Row],[10]]-Множество_202207112140401240[[#This Row],[12]])</f>
        <v>9.0749999999999993</v>
      </c>
      <c r="V200" s="208">
        <f>ABS(Множество_202207112140401240[[#This Row],[11]]-Множество_202207112140401240[[#This Row],[13]])</f>
        <v>1.5833333333333002</v>
      </c>
      <c r="W200" s="208">
        <f>Множество_202207112140401240[[#This Row],[15]]+Множество_202207112140401240[[#This Row],[14]]</f>
        <v>10.658333333333299</v>
      </c>
      <c r="X200" s="208">
        <f ca="1">IF(ROW()-ROW(Множество_202207112140401240[[#Headers],[17]])&gt;1,Множество_202207112140401240[[#This Row],[16]]-OFFSET(Множество_202207112140401240[[#This Row],[16]],-1,0),0)</f>
        <v>5.8333333333296267E-2</v>
      </c>
      <c r="Y200" s="208">
        <v>0.92500000000000104</v>
      </c>
      <c r="Z200" s="208">
        <v>-14.0833333333333</v>
      </c>
      <c r="AA200" s="208">
        <f>ABS(Множество_202207112140401240[[#This Row],[18]]-Множество_202207112140401240[[#This Row],[12]])</f>
        <v>9.0749999999999993</v>
      </c>
      <c r="AB200" s="208">
        <f>ABS(Множество_202207112140401240[[#This Row],[19]]-Множество_202207112140401240[[#This Row],[13]])</f>
        <v>1.5833333333333002</v>
      </c>
      <c r="AC200" s="208">
        <f>Множество_202207112140401240[[#This Row],[20]]+Множество_202207112140401240[[#This Row],[21]]</f>
        <v>10.658333333333299</v>
      </c>
    </row>
    <row r="201" spans="6:29" x14ac:dyDescent="0.25">
      <c r="F201" s="213"/>
      <c r="K201" s="208">
        <f>Множество_202207112140401240[[#This Row],[2]]-Множество_202207112140401240[[#This Row],[4]]</f>
        <v>0</v>
      </c>
      <c r="L201" s="208">
        <f>Множество_202207112140401240[[#This Row],[3]]-Множество_202207112140401240[[#This Row],[5]]</f>
        <v>0</v>
      </c>
      <c r="M201" s="208">
        <f>Множество_202207112140401240[[#This Row],[7]]+Множество_202207112140401240[[#This Row],[6]]</f>
        <v>0</v>
      </c>
      <c r="N201" s="208" t="str">
        <f>CONCATENATE(Множество_202207112140401240[[#This Row],[2]],Множество_202207112140401240[[#This Row],[3]])</f>
        <v/>
      </c>
      <c r="O201" s="208"/>
      <c r="P201" s="208"/>
      <c r="Q201">
        <v>2.2749999999999999</v>
      </c>
      <c r="R201">
        <v>-15.533333333333299</v>
      </c>
      <c r="S201" s="208">
        <v>10</v>
      </c>
      <c r="T201" s="208">
        <v>-12.5</v>
      </c>
      <c r="U201" s="208">
        <f>ABS(Множество_202207112140401240[[#This Row],[10]]-Множество_202207112140401240[[#This Row],[12]])</f>
        <v>7.7249999999999996</v>
      </c>
      <c r="V201" s="208">
        <f>ABS(Множество_202207112140401240[[#This Row],[11]]-Множество_202207112140401240[[#This Row],[13]])</f>
        <v>3.0333333333332995</v>
      </c>
      <c r="W201" s="208">
        <f>Множество_202207112140401240[[#This Row],[15]]+Множество_202207112140401240[[#This Row],[14]]</f>
        <v>10.758333333333299</v>
      </c>
      <c r="X201" s="208">
        <f ca="1">IF(ROW()-ROW(Множество_202207112140401240[[#Headers],[17]])&gt;1,Множество_202207112140401240[[#This Row],[16]]-OFFSET(Множество_202207112140401240[[#This Row],[16]],-1,0),0)</f>
        <v>9.9999999999999645E-2</v>
      </c>
      <c r="Y201" s="208">
        <v>0.84999999999999798</v>
      </c>
      <c r="Z201" s="208">
        <v>-14.0666666666667</v>
      </c>
      <c r="AA201" s="208">
        <f>ABS(Множество_202207112140401240[[#This Row],[18]]-Множество_202207112140401240[[#This Row],[12]])</f>
        <v>9.1500000000000021</v>
      </c>
      <c r="AB201" s="208">
        <f>ABS(Множество_202207112140401240[[#This Row],[19]]-Множество_202207112140401240[[#This Row],[13]])</f>
        <v>1.5666666666667002</v>
      </c>
      <c r="AC201" s="208">
        <f>Множество_202207112140401240[[#This Row],[20]]+Множество_202207112140401240[[#This Row],[21]]</f>
        <v>10.716666666666702</v>
      </c>
    </row>
    <row r="202" spans="6:29" x14ac:dyDescent="0.25">
      <c r="F202" s="213"/>
      <c r="K202" s="208">
        <f>Множество_202207112140401240[[#This Row],[2]]-Множество_202207112140401240[[#This Row],[4]]</f>
        <v>0</v>
      </c>
      <c r="L202" s="208">
        <f>Множество_202207112140401240[[#This Row],[3]]-Множество_202207112140401240[[#This Row],[5]]</f>
        <v>0</v>
      </c>
      <c r="M202" s="208">
        <f>Множество_202207112140401240[[#This Row],[7]]+Множество_202207112140401240[[#This Row],[6]]</f>
        <v>0</v>
      </c>
      <c r="N202" s="208" t="str">
        <f>CONCATENATE(Множество_202207112140401240[[#This Row],[2]],Множество_202207112140401240[[#This Row],[3]])</f>
        <v/>
      </c>
      <c r="O202" s="208"/>
      <c r="P202" s="208"/>
      <c r="Q202">
        <v>0.77499999999999902</v>
      </c>
      <c r="R202">
        <v>-14.05</v>
      </c>
      <c r="S202" s="208">
        <v>10</v>
      </c>
      <c r="T202" s="208">
        <v>-12.5</v>
      </c>
      <c r="U202" s="208">
        <f>ABS(Множество_202207112140401240[[#This Row],[10]]-Множество_202207112140401240[[#This Row],[12]])</f>
        <v>9.2250000000000014</v>
      </c>
      <c r="V202" s="208">
        <f>ABS(Множество_202207112140401240[[#This Row],[11]]-Множество_202207112140401240[[#This Row],[13]])</f>
        <v>1.5500000000000007</v>
      </c>
      <c r="W202" s="208">
        <f>Множество_202207112140401240[[#This Row],[15]]+Множество_202207112140401240[[#This Row],[14]]</f>
        <v>10.775000000000002</v>
      </c>
      <c r="X202" s="208">
        <f ca="1">IF(ROW()-ROW(Множество_202207112140401240[[#Headers],[17]])&gt;1,Множество_202207112140401240[[#This Row],[16]]-OFFSET(Множество_202207112140401240[[#This Row],[16]],-1,0),0)</f>
        <v>1.6666666666703023E-2</v>
      </c>
      <c r="Y202" s="208">
        <v>0.77499999999999902</v>
      </c>
      <c r="Z202" s="208">
        <v>-14.05</v>
      </c>
      <c r="AA202" s="208">
        <f>ABS(Множество_202207112140401240[[#This Row],[18]]-Множество_202207112140401240[[#This Row],[12]])</f>
        <v>9.2250000000000014</v>
      </c>
      <c r="AB202" s="208">
        <f>ABS(Множество_202207112140401240[[#This Row],[19]]-Множество_202207112140401240[[#This Row],[13]])</f>
        <v>1.5500000000000007</v>
      </c>
      <c r="AC202" s="208">
        <f>Множество_202207112140401240[[#This Row],[20]]+Множество_202207112140401240[[#This Row],[21]]</f>
        <v>10.775000000000002</v>
      </c>
    </row>
    <row r="203" spans="6:29" x14ac:dyDescent="0.25">
      <c r="F203" s="213"/>
      <c r="K203" s="208">
        <f>Множество_202207112140401240[[#This Row],[2]]-Множество_202207112140401240[[#This Row],[4]]</f>
        <v>0</v>
      </c>
      <c r="L203" s="208">
        <f>Множество_202207112140401240[[#This Row],[3]]-Множество_202207112140401240[[#This Row],[5]]</f>
        <v>0</v>
      </c>
      <c r="M203" s="208">
        <f>Множество_202207112140401240[[#This Row],[7]]+Множество_202207112140401240[[#This Row],[6]]</f>
        <v>0</v>
      </c>
      <c r="N203" s="208" t="str">
        <f>CONCATENATE(Множество_202207112140401240[[#This Row],[2]],Множество_202207112140401240[[#This Row],[3]])</f>
        <v/>
      </c>
      <c r="O203" s="208"/>
      <c r="P203" s="208"/>
      <c r="Q203">
        <v>0.84999999999999798</v>
      </c>
      <c r="R203">
        <v>-14.0666666666667</v>
      </c>
      <c r="S203" s="208">
        <v>10</v>
      </c>
      <c r="T203" s="208">
        <v>-12.5</v>
      </c>
      <c r="U203" s="208">
        <f>ABS(Множество_202207112140401240[[#This Row],[10]]-Множество_202207112140401240[[#This Row],[12]])</f>
        <v>9.1500000000000021</v>
      </c>
      <c r="V203" s="208">
        <f>ABS(Множество_202207112140401240[[#This Row],[11]]-Множество_202207112140401240[[#This Row],[13]])</f>
        <v>1.5666666666667002</v>
      </c>
      <c r="W203" s="208">
        <f>Множество_202207112140401240[[#This Row],[15]]+Множество_202207112140401240[[#This Row],[14]]</f>
        <v>10.716666666666702</v>
      </c>
      <c r="X203" s="208">
        <f ca="1">IF(ROW()-ROW(Множество_202207112140401240[[#Headers],[17]])&gt;1,Множество_202207112140401240[[#This Row],[16]]-OFFSET(Множество_202207112140401240[[#This Row],[16]],-1,0),0)</f>
        <v>-5.8333333333299819E-2</v>
      </c>
      <c r="Y203" s="208">
        <v>2.2749999999999999</v>
      </c>
      <c r="Z203" s="208">
        <v>-15.533333333333299</v>
      </c>
      <c r="AA203" s="208">
        <f>ABS(Множество_202207112140401240[[#This Row],[18]]-Множество_202207112140401240[[#This Row],[12]])</f>
        <v>7.7249999999999996</v>
      </c>
      <c r="AB203" s="208">
        <f>ABS(Множество_202207112140401240[[#This Row],[19]]-Множество_202207112140401240[[#This Row],[13]])</f>
        <v>3.0333333333332995</v>
      </c>
      <c r="AC203" s="208">
        <f>Множество_202207112140401240[[#This Row],[20]]+Множество_202207112140401240[[#This Row],[21]]</f>
        <v>10.758333333333299</v>
      </c>
    </row>
    <row r="204" spans="6:29" x14ac:dyDescent="0.25">
      <c r="F204" s="213"/>
      <c r="K204" s="208">
        <f>Множество_202207112140401240[[#This Row],[2]]-Множество_202207112140401240[[#This Row],[4]]</f>
        <v>0</v>
      </c>
      <c r="L204" s="208">
        <f>Множество_202207112140401240[[#This Row],[3]]-Множество_202207112140401240[[#This Row],[5]]</f>
        <v>0</v>
      </c>
      <c r="M204" s="208">
        <f>Множество_202207112140401240[[#This Row],[7]]+Множество_202207112140401240[[#This Row],[6]]</f>
        <v>0</v>
      </c>
      <c r="N204" s="208" t="str">
        <f>CONCATENATE(Множество_202207112140401240[[#This Row],[2]],Множество_202207112140401240[[#This Row],[3]])</f>
        <v/>
      </c>
      <c r="O204" s="208"/>
      <c r="P204" s="208"/>
      <c r="Q204">
        <v>0.625</v>
      </c>
      <c r="R204">
        <v>-14</v>
      </c>
      <c r="S204" s="208">
        <v>10</v>
      </c>
      <c r="T204" s="208">
        <v>-12.5</v>
      </c>
      <c r="U204" s="208">
        <f>ABS(Множество_202207112140401240[[#This Row],[10]]-Множество_202207112140401240[[#This Row],[12]])</f>
        <v>9.375</v>
      </c>
      <c r="V204" s="208">
        <f>ABS(Множество_202207112140401240[[#This Row],[11]]-Множество_202207112140401240[[#This Row],[13]])</f>
        <v>1.5</v>
      </c>
      <c r="W204" s="208">
        <f>Множество_202207112140401240[[#This Row],[15]]+Множество_202207112140401240[[#This Row],[14]]</f>
        <v>10.875</v>
      </c>
      <c r="X204" s="208">
        <f ca="1">IF(ROW()-ROW(Множество_202207112140401240[[#Headers],[17]])&gt;1,Множество_202207112140401240[[#This Row],[16]]-OFFSET(Множество_202207112140401240[[#This Row],[16]],-1,0),0)</f>
        <v>0.15833333333329769</v>
      </c>
      <c r="Y204" s="208">
        <v>0.625</v>
      </c>
      <c r="Z204" s="208">
        <v>-14</v>
      </c>
      <c r="AA204" s="208">
        <f>ABS(Множество_202207112140401240[[#This Row],[18]]-Множество_202207112140401240[[#This Row],[12]])</f>
        <v>9.375</v>
      </c>
      <c r="AB204" s="208">
        <f>ABS(Множество_202207112140401240[[#This Row],[19]]-Множество_202207112140401240[[#This Row],[13]])</f>
        <v>1.5</v>
      </c>
      <c r="AC204" s="208">
        <f>Множество_202207112140401240[[#This Row],[20]]+Множество_202207112140401240[[#This Row],[21]]</f>
        <v>10.875</v>
      </c>
    </row>
    <row r="205" spans="6:29" x14ac:dyDescent="0.25">
      <c r="F205" s="213"/>
      <c r="K205" s="208">
        <f>Множество_202207112140401240[[#This Row],[2]]-Множество_202207112140401240[[#This Row],[4]]</f>
        <v>0</v>
      </c>
      <c r="L205" s="208">
        <f>Множество_202207112140401240[[#This Row],[3]]-Множество_202207112140401240[[#This Row],[5]]</f>
        <v>0</v>
      </c>
      <c r="M205" s="208">
        <f>Множество_202207112140401240[[#This Row],[7]]+Множество_202207112140401240[[#This Row],[6]]</f>
        <v>0</v>
      </c>
      <c r="N205" s="208" t="str">
        <f>CONCATENATE(Множество_202207112140401240[[#This Row],[2]],Множество_202207112140401240[[#This Row],[3]])</f>
        <v/>
      </c>
      <c r="O205" s="208"/>
      <c r="P205" s="208"/>
      <c r="Q205">
        <v>0.69999999999999896</v>
      </c>
      <c r="R205">
        <v>-14.016666666666699</v>
      </c>
      <c r="S205" s="208">
        <v>10</v>
      </c>
      <c r="T205" s="208">
        <v>-12.5</v>
      </c>
      <c r="U205" s="208">
        <f>ABS(Множество_202207112140401240[[#This Row],[10]]-Множество_202207112140401240[[#This Row],[12]])</f>
        <v>9.3000000000000007</v>
      </c>
      <c r="V205" s="208">
        <f>ABS(Множество_202207112140401240[[#This Row],[11]]-Множество_202207112140401240[[#This Row],[13]])</f>
        <v>1.5166666666666995</v>
      </c>
      <c r="W205" s="208">
        <f>Множество_202207112140401240[[#This Row],[15]]+Множество_202207112140401240[[#This Row],[14]]</f>
        <v>10.8166666666667</v>
      </c>
      <c r="X205" s="208">
        <f ca="1">IF(ROW()-ROW(Множество_202207112140401240[[#Headers],[17]])&gt;1,Множество_202207112140401240[[#This Row],[16]]-OFFSET(Множество_202207112140401240[[#This Row],[16]],-1,0),0)</f>
        <v>-5.8333333333299819E-2</v>
      </c>
      <c r="Y205" s="208">
        <v>0.69999999999999896</v>
      </c>
      <c r="Z205" s="208">
        <v>-14.016666666666699</v>
      </c>
      <c r="AA205" s="208">
        <f>ABS(Множество_202207112140401240[[#This Row],[18]]-Множество_202207112140401240[[#This Row],[12]])</f>
        <v>9.3000000000000007</v>
      </c>
      <c r="AB205" s="208">
        <f>ABS(Множество_202207112140401240[[#This Row],[19]]-Множество_202207112140401240[[#This Row],[13]])</f>
        <v>1.5166666666666995</v>
      </c>
      <c r="AC205" s="208">
        <f>Множество_202207112140401240[[#This Row],[20]]+Множество_202207112140401240[[#This Row],[21]]</f>
        <v>10.8166666666667</v>
      </c>
    </row>
    <row r="206" spans="6:29" x14ac:dyDescent="0.25">
      <c r="F206" s="213"/>
      <c r="K206" s="208">
        <f>Множество_202207112140401240[[#This Row],[2]]-Множество_202207112140401240[[#This Row],[4]]</f>
        <v>0</v>
      </c>
      <c r="L206" s="208">
        <f>Множество_202207112140401240[[#This Row],[3]]-Множество_202207112140401240[[#This Row],[5]]</f>
        <v>0</v>
      </c>
      <c r="M206" s="208">
        <f>Множество_202207112140401240[[#This Row],[7]]+Множество_202207112140401240[[#This Row],[6]]</f>
        <v>0</v>
      </c>
      <c r="N206" s="208" t="str">
        <f>CONCATENATE(Множество_202207112140401240[[#This Row],[2]],Множество_202207112140401240[[#This Row],[3]])</f>
        <v/>
      </c>
      <c r="O206" s="208"/>
      <c r="P206" s="208"/>
      <c r="Q206">
        <v>2.2000000000000002</v>
      </c>
      <c r="R206">
        <v>-15.55</v>
      </c>
      <c r="S206" s="208">
        <v>10</v>
      </c>
      <c r="T206" s="208">
        <v>-12.5</v>
      </c>
      <c r="U206" s="208">
        <f>ABS(Множество_202207112140401240[[#This Row],[10]]-Множество_202207112140401240[[#This Row],[12]])</f>
        <v>7.8</v>
      </c>
      <c r="V206" s="208">
        <f>ABS(Множество_202207112140401240[[#This Row],[11]]-Множество_202207112140401240[[#This Row],[13]])</f>
        <v>3.0500000000000007</v>
      </c>
      <c r="W206" s="208">
        <f>Множество_202207112140401240[[#This Row],[15]]+Множество_202207112140401240[[#This Row],[14]]</f>
        <v>10.850000000000001</v>
      </c>
      <c r="X206" s="208">
        <f ca="1">IF(ROW()-ROW(Множество_202207112140401240[[#Headers],[17]])&gt;1,Множество_202207112140401240[[#This Row],[16]]-OFFSET(Множество_202207112140401240[[#This Row],[16]],-1,0),0)</f>
        <v>3.333333333330124E-2</v>
      </c>
      <c r="Y206" s="208">
        <v>2.2000000000000002</v>
      </c>
      <c r="Z206" s="208">
        <v>-15.55</v>
      </c>
      <c r="AA206" s="208">
        <f>ABS(Множество_202207112140401240[[#This Row],[18]]-Множество_202207112140401240[[#This Row],[12]])</f>
        <v>7.8</v>
      </c>
      <c r="AB206" s="208">
        <f>ABS(Множество_202207112140401240[[#This Row],[19]]-Множество_202207112140401240[[#This Row],[13]])</f>
        <v>3.0500000000000007</v>
      </c>
      <c r="AC206" s="208">
        <f>Множество_202207112140401240[[#This Row],[20]]+Множество_202207112140401240[[#This Row],[21]]</f>
        <v>10.850000000000001</v>
      </c>
    </row>
    <row r="207" spans="6:29" x14ac:dyDescent="0.25">
      <c r="F207" s="213"/>
      <c r="K207" s="208">
        <f>Множество_202207112140401240[[#This Row],[2]]-Множество_202207112140401240[[#This Row],[4]]</f>
        <v>0</v>
      </c>
      <c r="L207" s="208">
        <f>Множество_202207112140401240[[#This Row],[3]]-Множество_202207112140401240[[#This Row],[5]]</f>
        <v>0</v>
      </c>
      <c r="M207" s="208">
        <f>Множество_202207112140401240[[#This Row],[7]]+Множество_202207112140401240[[#This Row],[6]]</f>
        <v>0</v>
      </c>
      <c r="N207" s="208" t="str">
        <f>CONCATENATE(Множество_202207112140401240[[#This Row],[2]],Множество_202207112140401240[[#This Row],[3]])</f>
        <v/>
      </c>
      <c r="O207" s="208"/>
      <c r="P207" s="208"/>
      <c r="Q207">
        <v>2.125</v>
      </c>
      <c r="R207">
        <v>-15.5666666666667</v>
      </c>
      <c r="S207" s="208">
        <v>10</v>
      </c>
      <c r="T207" s="208">
        <v>-12.5</v>
      </c>
      <c r="U207" s="208">
        <f>ABS(Множество_202207112140401240[[#This Row],[10]]-Множество_202207112140401240[[#This Row],[12]])</f>
        <v>7.875</v>
      </c>
      <c r="V207" s="208">
        <f>ABS(Множество_202207112140401240[[#This Row],[11]]-Множество_202207112140401240[[#This Row],[13]])</f>
        <v>3.0666666666667002</v>
      </c>
      <c r="W207" s="208">
        <f>Множество_202207112140401240[[#This Row],[15]]+Множество_202207112140401240[[#This Row],[14]]</f>
        <v>10.9416666666667</v>
      </c>
      <c r="X207" s="208">
        <f ca="1">IF(ROW()-ROW(Множество_202207112140401240[[#Headers],[17]])&gt;1,Множество_202207112140401240[[#This Row],[16]]-OFFSET(Множество_202207112140401240[[#This Row],[16]],-1,0),0)</f>
        <v>9.166666666669876E-2</v>
      </c>
      <c r="Y207" s="208">
        <v>2.125</v>
      </c>
      <c r="Z207" s="208">
        <v>-15.5666666666667</v>
      </c>
      <c r="AA207" s="208">
        <f>ABS(Множество_202207112140401240[[#This Row],[18]]-Множество_202207112140401240[[#This Row],[12]])</f>
        <v>7.875</v>
      </c>
      <c r="AB207" s="208">
        <f>ABS(Множество_202207112140401240[[#This Row],[19]]-Множество_202207112140401240[[#This Row],[13]])</f>
        <v>3.0666666666667002</v>
      </c>
      <c r="AC207" s="208">
        <f>Множество_202207112140401240[[#This Row],[20]]+Множество_202207112140401240[[#This Row],[21]]</f>
        <v>10.9416666666667</v>
      </c>
    </row>
    <row r="208" spans="6:29" x14ac:dyDescent="0.25">
      <c r="F208" s="213"/>
      <c r="K208" s="208">
        <f>Множество_202207112140401240[[#This Row],[2]]-Множество_202207112140401240[[#This Row],[4]]</f>
        <v>0</v>
      </c>
      <c r="L208" s="208">
        <f>Множество_202207112140401240[[#This Row],[3]]-Множество_202207112140401240[[#This Row],[5]]</f>
        <v>0</v>
      </c>
      <c r="M208" s="208">
        <f>Множество_202207112140401240[[#This Row],[7]]+Множество_202207112140401240[[#This Row],[6]]</f>
        <v>0</v>
      </c>
      <c r="N208" s="208" t="str">
        <f>CONCATENATE(Множество_202207112140401240[[#This Row],[2]],Множество_202207112140401240[[#This Row],[3]])</f>
        <v/>
      </c>
      <c r="O208" s="208"/>
      <c r="P208" s="208"/>
      <c r="Q208">
        <v>0.47500000000000098</v>
      </c>
      <c r="R208">
        <v>-13.966666666666701</v>
      </c>
      <c r="S208" s="208">
        <v>10</v>
      </c>
      <c r="T208" s="208">
        <v>-12.5</v>
      </c>
      <c r="U208" s="208">
        <f>ABS(Множество_202207112140401240[[#This Row],[10]]-Множество_202207112140401240[[#This Row],[12]])</f>
        <v>9.5249999999999986</v>
      </c>
      <c r="V208" s="208">
        <f>ABS(Множество_202207112140401240[[#This Row],[11]]-Множество_202207112140401240[[#This Row],[13]])</f>
        <v>1.4666666666667005</v>
      </c>
      <c r="W208" s="208">
        <f>Множество_202207112140401240[[#This Row],[15]]+Множество_202207112140401240[[#This Row],[14]]</f>
        <v>10.991666666666699</v>
      </c>
      <c r="X208" s="208">
        <f ca="1">IF(ROW()-ROW(Множество_202207112140401240[[#Headers],[17]])&gt;1,Множество_202207112140401240[[#This Row],[16]]-OFFSET(Множество_202207112140401240[[#This Row],[16]],-1,0),0)</f>
        <v>4.9999999999998934E-2</v>
      </c>
      <c r="Y208" s="208">
        <v>0.47500000000000098</v>
      </c>
      <c r="Z208" s="208">
        <v>-13.966666666666701</v>
      </c>
      <c r="AA208" s="208">
        <f>ABS(Множество_202207112140401240[[#This Row],[18]]-Множество_202207112140401240[[#This Row],[12]])</f>
        <v>9.5249999999999986</v>
      </c>
      <c r="AB208" s="208">
        <f>ABS(Множество_202207112140401240[[#This Row],[19]]-Множество_202207112140401240[[#This Row],[13]])</f>
        <v>1.4666666666667005</v>
      </c>
      <c r="AC208" s="208">
        <f>Множество_202207112140401240[[#This Row],[20]]+Множество_202207112140401240[[#This Row],[21]]</f>
        <v>10.991666666666699</v>
      </c>
    </row>
    <row r="209" spans="6:29" x14ac:dyDescent="0.25">
      <c r="F209" s="213"/>
      <c r="K209" s="208">
        <f>Множество_202207112140401240[[#This Row],[2]]-Множество_202207112140401240[[#This Row],[4]]</f>
        <v>0</v>
      </c>
      <c r="L209" s="208">
        <f>Множество_202207112140401240[[#This Row],[3]]-Множество_202207112140401240[[#This Row],[5]]</f>
        <v>0</v>
      </c>
      <c r="M209" s="208">
        <f>Множество_202207112140401240[[#This Row],[7]]+Множество_202207112140401240[[#This Row],[6]]</f>
        <v>0</v>
      </c>
      <c r="N209" s="208" t="str">
        <f>CONCATENATE(Множество_202207112140401240[[#This Row],[2]],Множество_202207112140401240[[#This Row],[3]])</f>
        <v/>
      </c>
      <c r="O209" s="208"/>
      <c r="P209" s="208"/>
      <c r="Q209">
        <v>0.55000000000000104</v>
      </c>
      <c r="R209">
        <v>-13.983333333333301</v>
      </c>
      <c r="S209" s="208">
        <v>10</v>
      </c>
      <c r="T209" s="208">
        <v>-12.5</v>
      </c>
      <c r="U209" s="208">
        <f>ABS(Множество_202207112140401240[[#This Row],[10]]-Множество_202207112140401240[[#This Row],[12]])</f>
        <v>9.4499999999999993</v>
      </c>
      <c r="V209" s="208">
        <f>ABS(Множество_202207112140401240[[#This Row],[11]]-Множество_202207112140401240[[#This Row],[13]])</f>
        <v>1.4833333333333005</v>
      </c>
      <c r="W209" s="208">
        <f>Множество_202207112140401240[[#This Row],[15]]+Множество_202207112140401240[[#This Row],[14]]</f>
        <v>10.9333333333333</v>
      </c>
      <c r="X209" s="208">
        <f ca="1">IF(ROW()-ROW(Множество_202207112140401240[[#Headers],[17]])&gt;1,Множество_202207112140401240[[#This Row],[16]]-OFFSET(Множество_202207112140401240[[#This Row],[16]],-1,0),0)</f>
        <v>-5.8333333333399295E-2</v>
      </c>
      <c r="Y209" s="208">
        <v>0.55000000000000104</v>
      </c>
      <c r="Z209" s="208">
        <v>-13.983333333333301</v>
      </c>
      <c r="AA209" s="208">
        <f>ABS(Множество_202207112140401240[[#This Row],[18]]-Множество_202207112140401240[[#This Row],[12]])</f>
        <v>9.4499999999999993</v>
      </c>
      <c r="AB209" s="208">
        <f>ABS(Множество_202207112140401240[[#This Row],[19]]-Множество_202207112140401240[[#This Row],[13]])</f>
        <v>1.4833333333333005</v>
      </c>
      <c r="AC209" s="208">
        <f>Множество_202207112140401240[[#This Row],[20]]+Множество_202207112140401240[[#This Row],[21]]</f>
        <v>10.9333333333333</v>
      </c>
    </row>
    <row r="210" spans="6:29" x14ac:dyDescent="0.25">
      <c r="F210" s="213"/>
      <c r="K210" s="208">
        <f>Множество_202207112140401240[[#This Row],[2]]-Множество_202207112140401240[[#This Row],[4]]</f>
        <v>0</v>
      </c>
      <c r="L210" s="208">
        <f>Множество_202207112140401240[[#This Row],[3]]-Множество_202207112140401240[[#This Row],[5]]</f>
        <v>0</v>
      </c>
      <c r="M210" s="208">
        <f>Множество_202207112140401240[[#This Row],[7]]+Множество_202207112140401240[[#This Row],[6]]</f>
        <v>0</v>
      </c>
      <c r="N210" s="208" t="str">
        <f>CONCATENATE(Множество_202207112140401240[[#This Row],[2]],Множество_202207112140401240[[#This Row],[3]])</f>
        <v/>
      </c>
      <c r="O210" s="208"/>
      <c r="P210" s="208"/>
      <c r="Q210">
        <v>0.40000000000000202</v>
      </c>
      <c r="R210">
        <v>-13.9333333333333</v>
      </c>
      <c r="S210" s="208">
        <v>10</v>
      </c>
      <c r="T210" s="208">
        <v>-12.5</v>
      </c>
      <c r="U210" s="208">
        <f>ABS(Множество_202207112140401240[[#This Row],[10]]-Множество_202207112140401240[[#This Row],[12]])</f>
        <v>9.5999999999999979</v>
      </c>
      <c r="V210" s="208">
        <f>ABS(Множество_202207112140401240[[#This Row],[11]]-Множество_202207112140401240[[#This Row],[13]])</f>
        <v>1.4333333333332998</v>
      </c>
      <c r="W210" s="208">
        <f>Множество_202207112140401240[[#This Row],[15]]+Множество_202207112140401240[[#This Row],[14]]</f>
        <v>11.033333333333298</v>
      </c>
      <c r="X210" s="208">
        <f ca="1">IF(ROW()-ROW(Множество_202207112140401240[[#Headers],[17]])&gt;1,Множество_202207112140401240[[#This Row],[16]]-OFFSET(Множество_202207112140401240[[#This Row],[16]],-1,0),0)</f>
        <v>9.9999999999997868E-2</v>
      </c>
      <c r="Y210" s="208">
        <v>0.40000000000000202</v>
      </c>
      <c r="Z210" s="208">
        <v>-13.9333333333333</v>
      </c>
      <c r="AA210" s="208">
        <f>ABS(Множество_202207112140401240[[#This Row],[18]]-Множество_202207112140401240[[#This Row],[12]])</f>
        <v>9.5999999999999979</v>
      </c>
      <c r="AB210" s="208">
        <f>ABS(Множество_202207112140401240[[#This Row],[19]]-Множество_202207112140401240[[#This Row],[13]])</f>
        <v>1.4333333333332998</v>
      </c>
      <c r="AC210" s="208">
        <f>Множество_202207112140401240[[#This Row],[20]]+Множество_202207112140401240[[#This Row],[21]]</f>
        <v>11.033333333333298</v>
      </c>
    </row>
    <row r="211" spans="6:29" x14ac:dyDescent="0.25">
      <c r="F211" s="213"/>
      <c r="K211" s="208">
        <f>Множество_202207112140401240[[#This Row],[2]]-Множество_202207112140401240[[#This Row],[4]]</f>
        <v>0</v>
      </c>
      <c r="L211" s="208">
        <f>Множество_202207112140401240[[#This Row],[3]]-Множество_202207112140401240[[#This Row],[5]]</f>
        <v>0</v>
      </c>
      <c r="M211" s="208">
        <f>Множество_202207112140401240[[#This Row],[7]]+Множество_202207112140401240[[#This Row],[6]]</f>
        <v>0</v>
      </c>
      <c r="N211" s="208" t="str">
        <f>CONCATENATE(Множество_202207112140401240[[#This Row],[2]],Множество_202207112140401240[[#This Row],[3]])</f>
        <v/>
      </c>
      <c r="O211" s="208"/>
      <c r="P211" s="208"/>
      <c r="Q211">
        <v>1.9750000000000001</v>
      </c>
      <c r="R211">
        <v>-15.616666666666699</v>
      </c>
      <c r="S211" s="208">
        <v>10</v>
      </c>
      <c r="T211" s="208">
        <v>-12.5</v>
      </c>
      <c r="U211" s="208">
        <f>ABS(Множество_202207112140401240[[#This Row],[10]]-Множество_202207112140401240[[#This Row],[12]])</f>
        <v>8.0250000000000004</v>
      </c>
      <c r="V211" s="208">
        <f>ABS(Множество_202207112140401240[[#This Row],[11]]-Множество_202207112140401240[[#This Row],[13]])</f>
        <v>3.1166666666666991</v>
      </c>
      <c r="W211" s="208">
        <f>Множество_202207112140401240[[#This Row],[15]]+Множество_202207112140401240[[#This Row],[14]]</f>
        <v>11.141666666666699</v>
      </c>
      <c r="X211" s="208">
        <f ca="1">IF(ROW()-ROW(Множество_202207112140401240[[#Headers],[17]])&gt;1,Множество_202207112140401240[[#This Row],[16]]-OFFSET(Множество_202207112140401240[[#This Row],[16]],-1,0),0)</f>
        <v>0.10833333333340178</v>
      </c>
      <c r="Y211" s="208">
        <v>1.9750000000000001</v>
      </c>
      <c r="Z211" s="208">
        <v>-15.616666666666699</v>
      </c>
      <c r="AA211" s="208">
        <f>ABS(Множество_202207112140401240[[#This Row],[18]]-Множество_202207112140401240[[#This Row],[12]])</f>
        <v>8.0250000000000004</v>
      </c>
      <c r="AB211" s="208">
        <f>ABS(Множество_202207112140401240[[#This Row],[19]]-Множество_202207112140401240[[#This Row],[13]])</f>
        <v>3.1166666666666991</v>
      </c>
      <c r="AC211" s="208">
        <f>Множество_202207112140401240[[#This Row],[20]]+Множество_202207112140401240[[#This Row],[21]]</f>
        <v>11.141666666666699</v>
      </c>
    </row>
    <row r="212" spans="6:29" x14ac:dyDescent="0.25">
      <c r="F212" s="213"/>
      <c r="K212" s="208">
        <f>Множество_202207112140401240[[#This Row],[2]]-Множество_202207112140401240[[#This Row],[4]]</f>
        <v>0</v>
      </c>
      <c r="L212" s="208">
        <f>Множество_202207112140401240[[#This Row],[3]]-Множество_202207112140401240[[#This Row],[5]]</f>
        <v>0</v>
      </c>
      <c r="M212" s="208">
        <f>Множество_202207112140401240[[#This Row],[7]]+Множество_202207112140401240[[#This Row],[6]]</f>
        <v>0</v>
      </c>
      <c r="N212" s="208" t="str">
        <f>CONCATENATE(Множество_202207112140401240[[#This Row],[2]],Множество_202207112140401240[[#This Row],[3]])</f>
        <v/>
      </c>
      <c r="O212" s="208"/>
      <c r="P212" s="208"/>
      <c r="Q212">
        <v>2.0499999999999998</v>
      </c>
      <c r="R212">
        <v>-15.6</v>
      </c>
      <c r="S212" s="208">
        <v>10</v>
      </c>
      <c r="T212" s="208">
        <v>-12.5</v>
      </c>
      <c r="U212" s="208">
        <f>ABS(Множество_202207112140401240[[#This Row],[10]]-Множество_202207112140401240[[#This Row],[12]])</f>
        <v>7.95</v>
      </c>
      <c r="V212" s="208">
        <f>ABS(Множество_202207112140401240[[#This Row],[11]]-Множество_202207112140401240[[#This Row],[13]])</f>
        <v>3.0999999999999996</v>
      </c>
      <c r="W212" s="208">
        <f>Множество_202207112140401240[[#This Row],[15]]+Множество_202207112140401240[[#This Row],[14]]</f>
        <v>11.05</v>
      </c>
      <c r="X212" s="208">
        <f ca="1">IF(ROW()-ROW(Множество_202207112140401240[[#Headers],[17]])&gt;1,Множество_202207112140401240[[#This Row],[16]]-OFFSET(Множество_202207112140401240[[#This Row],[16]],-1,0),0)</f>
        <v>-9.166666666669876E-2</v>
      </c>
      <c r="Y212" s="208">
        <v>2.0499999999999998</v>
      </c>
      <c r="Z212" s="208">
        <v>-15.6</v>
      </c>
      <c r="AA212" s="208">
        <f>ABS(Множество_202207112140401240[[#This Row],[18]]-Множество_202207112140401240[[#This Row],[12]])</f>
        <v>7.95</v>
      </c>
      <c r="AB212" s="208">
        <f>ABS(Множество_202207112140401240[[#This Row],[19]]-Множество_202207112140401240[[#This Row],[13]])</f>
        <v>3.0999999999999996</v>
      </c>
      <c r="AC212" s="208">
        <f>Множество_202207112140401240[[#This Row],[20]]+Множество_202207112140401240[[#This Row],[21]]</f>
        <v>11.05</v>
      </c>
    </row>
    <row r="213" spans="6:29" x14ac:dyDescent="0.25">
      <c r="F213" s="213"/>
      <c r="K213" s="208">
        <f>Множество_202207112140401240[[#This Row],[2]]-Множество_202207112140401240[[#This Row],[4]]</f>
        <v>0</v>
      </c>
      <c r="L213" s="208">
        <f>Множество_202207112140401240[[#This Row],[3]]-Множество_202207112140401240[[#This Row],[5]]</f>
        <v>0</v>
      </c>
      <c r="M213" s="208">
        <f>Множество_202207112140401240[[#This Row],[7]]+Множество_202207112140401240[[#This Row],[6]]</f>
        <v>0</v>
      </c>
      <c r="N213" s="208" t="str">
        <f>CONCATENATE(Множество_202207112140401240[[#This Row],[2]],Множество_202207112140401240[[#This Row],[3]])</f>
        <v/>
      </c>
      <c r="O213" s="208"/>
      <c r="P213" s="208"/>
      <c r="Q213">
        <v>0.32499999999999901</v>
      </c>
      <c r="R213">
        <v>-13.9166666666667</v>
      </c>
      <c r="S213" s="208">
        <v>10</v>
      </c>
      <c r="T213" s="208">
        <v>-12.5</v>
      </c>
      <c r="U213" s="208">
        <f>ABS(Множество_202207112140401240[[#This Row],[10]]-Множество_202207112140401240[[#This Row],[12]])</f>
        <v>9.6750000000000007</v>
      </c>
      <c r="V213" s="208">
        <f>ABS(Множество_202207112140401240[[#This Row],[11]]-Множество_202207112140401240[[#This Row],[13]])</f>
        <v>1.4166666666666998</v>
      </c>
      <c r="W213" s="208">
        <f>Множество_202207112140401240[[#This Row],[15]]+Множество_202207112140401240[[#This Row],[14]]</f>
        <v>11.091666666666701</v>
      </c>
      <c r="X213" s="208">
        <f ca="1">IF(ROW()-ROW(Множество_202207112140401240[[#Headers],[17]])&gt;1,Множество_202207112140401240[[#This Row],[16]]-OFFSET(Множество_202207112140401240[[#This Row],[16]],-1,0),0)</f>
        <v>4.1666666666699825E-2</v>
      </c>
      <c r="Y213" s="208">
        <v>0.32499999999999901</v>
      </c>
      <c r="Z213" s="208">
        <v>-13.9166666666667</v>
      </c>
      <c r="AA213" s="208">
        <f>ABS(Множество_202207112140401240[[#This Row],[18]]-Множество_202207112140401240[[#This Row],[12]])</f>
        <v>9.6750000000000007</v>
      </c>
      <c r="AB213" s="208">
        <f>ABS(Множество_202207112140401240[[#This Row],[19]]-Множество_202207112140401240[[#This Row],[13]])</f>
        <v>1.4166666666666998</v>
      </c>
      <c r="AC213" s="208">
        <f>Множество_202207112140401240[[#This Row],[20]]+Множество_202207112140401240[[#This Row],[21]]</f>
        <v>11.091666666666701</v>
      </c>
    </row>
    <row r="214" spans="6:29" x14ac:dyDescent="0.25">
      <c r="F214" s="213"/>
      <c r="K214" s="208">
        <f>Множество_202207112140401240[[#This Row],[2]]-Множество_202207112140401240[[#This Row],[4]]</f>
        <v>0</v>
      </c>
      <c r="L214" s="208">
        <f>Множество_202207112140401240[[#This Row],[3]]-Множество_202207112140401240[[#This Row],[5]]</f>
        <v>0</v>
      </c>
      <c r="M214" s="208">
        <f>Множество_202207112140401240[[#This Row],[7]]+Множество_202207112140401240[[#This Row],[6]]</f>
        <v>0</v>
      </c>
      <c r="N214" s="208" t="str">
        <f>CONCATENATE(Множество_202207112140401240[[#This Row],[2]],Множество_202207112140401240[[#This Row],[3]])</f>
        <v/>
      </c>
      <c r="O214" s="208"/>
      <c r="P214" s="208"/>
      <c r="Q214">
        <v>0.25</v>
      </c>
      <c r="R214">
        <v>-13.9</v>
      </c>
      <c r="S214" s="208">
        <v>10</v>
      </c>
      <c r="T214" s="208">
        <v>-12.5</v>
      </c>
      <c r="U214" s="208">
        <f>ABS(Множество_202207112140401240[[#This Row],[10]]-Множество_202207112140401240[[#This Row],[12]])</f>
        <v>9.75</v>
      </c>
      <c r="V214" s="208">
        <f>ABS(Множество_202207112140401240[[#This Row],[11]]-Множество_202207112140401240[[#This Row],[13]])</f>
        <v>1.4000000000000004</v>
      </c>
      <c r="W214" s="208">
        <f>Множество_202207112140401240[[#This Row],[15]]+Множество_202207112140401240[[#This Row],[14]]</f>
        <v>11.15</v>
      </c>
      <c r="X214" s="208">
        <f ca="1">IF(ROW()-ROW(Множество_202207112140401240[[#Headers],[17]])&gt;1,Множество_202207112140401240[[#This Row],[16]]-OFFSET(Множество_202207112140401240[[#This Row],[16]],-1,0),0)</f>
        <v>5.8333333333299819E-2</v>
      </c>
      <c r="Y214" s="208">
        <v>0.25</v>
      </c>
      <c r="Z214" s="208">
        <v>-13.9</v>
      </c>
      <c r="AA214" s="208">
        <f>ABS(Множество_202207112140401240[[#This Row],[18]]-Множество_202207112140401240[[#This Row],[12]])</f>
        <v>9.75</v>
      </c>
      <c r="AB214" s="208">
        <f>ABS(Множество_202207112140401240[[#This Row],[19]]-Множество_202207112140401240[[#This Row],[13]])</f>
        <v>1.4000000000000004</v>
      </c>
      <c r="AC214" s="208">
        <f>Множество_202207112140401240[[#This Row],[20]]+Множество_202207112140401240[[#This Row],[21]]</f>
        <v>11.15</v>
      </c>
    </row>
    <row r="215" spans="6:29" x14ac:dyDescent="0.25">
      <c r="F215" s="213"/>
      <c r="K215" s="208">
        <f>Множество_202207112140401240[[#This Row],[2]]-Множество_202207112140401240[[#This Row],[4]]</f>
        <v>0</v>
      </c>
      <c r="L215" s="208">
        <f>Множество_202207112140401240[[#This Row],[3]]-Множество_202207112140401240[[#This Row],[5]]</f>
        <v>0</v>
      </c>
      <c r="M215" s="208">
        <f>Множество_202207112140401240[[#This Row],[7]]+Множество_202207112140401240[[#This Row],[6]]</f>
        <v>0</v>
      </c>
      <c r="N215" s="208" t="str">
        <f>CONCATENATE(Множество_202207112140401240[[#This Row],[2]],Множество_202207112140401240[[#This Row],[3]])</f>
        <v/>
      </c>
      <c r="O215" s="208"/>
      <c r="P215" s="208"/>
      <c r="Q215">
        <v>0.17499999999999699</v>
      </c>
      <c r="R215">
        <v>-13.866666666666699</v>
      </c>
      <c r="S215" s="208">
        <v>10</v>
      </c>
      <c r="T215" s="208">
        <v>-12.5</v>
      </c>
      <c r="U215" s="208">
        <f>ABS(Множество_202207112140401240[[#This Row],[10]]-Множество_202207112140401240[[#This Row],[12]])</f>
        <v>9.8250000000000028</v>
      </c>
      <c r="V215" s="208">
        <f>ABS(Множество_202207112140401240[[#This Row],[11]]-Множество_202207112140401240[[#This Row],[13]])</f>
        <v>1.3666666666666991</v>
      </c>
      <c r="W215" s="208">
        <f>Множество_202207112140401240[[#This Row],[15]]+Множество_202207112140401240[[#This Row],[14]]</f>
        <v>11.191666666666702</v>
      </c>
      <c r="X215" s="208">
        <f ca="1">IF(ROW()-ROW(Множество_202207112140401240[[#Headers],[17]])&gt;1,Множество_202207112140401240[[#This Row],[16]]-OFFSET(Множество_202207112140401240[[#This Row],[16]],-1,0),0)</f>
        <v>4.1666666666701602E-2</v>
      </c>
      <c r="Y215" s="208">
        <v>0.17499999999999699</v>
      </c>
      <c r="Z215" s="208">
        <v>-13.866666666666699</v>
      </c>
      <c r="AA215" s="208">
        <f>ABS(Множество_202207112140401240[[#This Row],[18]]-Множество_202207112140401240[[#This Row],[12]])</f>
        <v>9.8250000000000028</v>
      </c>
      <c r="AB215" s="208">
        <f>ABS(Множество_202207112140401240[[#This Row],[19]]-Множество_202207112140401240[[#This Row],[13]])</f>
        <v>1.3666666666666991</v>
      </c>
      <c r="AC215" s="208">
        <f>Множество_202207112140401240[[#This Row],[20]]+Множество_202207112140401240[[#This Row],[21]]</f>
        <v>11.191666666666702</v>
      </c>
    </row>
    <row r="216" spans="6:29" x14ac:dyDescent="0.25">
      <c r="F216" s="213"/>
      <c r="K216" s="208">
        <f>Множество_202207112140401240[[#This Row],[2]]-Множество_202207112140401240[[#This Row],[4]]</f>
        <v>0</v>
      </c>
      <c r="L216" s="208">
        <f>Множество_202207112140401240[[#This Row],[3]]-Множество_202207112140401240[[#This Row],[5]]</f>
        <v>0</v>
      </c>
      <c r="M216" s="208">
        <f>Множество_202207112140401240[[#This Row],[7]]+Множество_202207112140401240[[#This Row],[6]]</f>
        <v>0</v>
      </c>
      <c r="N216" s="208" t="str">
        <f>CONCATENATE(Множество_202207112140401240[[#This Row],[2]],Множество_202207112140401240[[#This Row],[3]])</f>
        <v/>
      </c>
      <c r="O216" s="208"/>
      <c r="P216" s="208"/>
      <c r="Q216">
        <v>0.100000000000001</v>
      </c>
      <c r="R216">
        <v>-13.85</v>
      </c>
      <c r="S216" s="208">
        <v>10</v>
      </c>
      <c r="T216" s="208">
        <v>-12.5</v>
      </c>
      <c r="U216" s="208">
        <f>ABS(Множество_202207112140401240[[#This Row],[10]]-Множество_202207112140401240[[#This Row],[12]])</f>
        <v>9.8999999999999986</v>
      </c>
      <c r="V216" s="208">
        <f>ABS(Множество_202207112140401240[[#This Row],[11]]-Множество_202207112140401240[[#This Row],[13]])</f>
        <v>1.3499999999999996</v>
      </c>
      <c r="W216" s="208">
        <f>Множество_202207112140401240[[#This Row],[15]]+Множество_202207112140401240[[#This Row],[14]]</f>
        <v>11.249999999999998</v>
      </c>
      <c r="X216" s="208">
        <f ca="1">IF(ROW()-ROW(Множество_202207112140401240[[#Headers],[17]])&gt;1,Множество_202207112140401240[[#This Row],[16]]-OFFSET(Множество_202207112140401240[[#This Row],[16]],-1,0),0)</f>
        <v>5.8333333333296267E-2</v>
      </c>
      <c r="Y216" s="208">
        <v>0.100000000000001</v>
      </c>
      <c r="Z216" s="208">
        <v>-13.85</v>
      </c>
      <c r="AA216" s="208">
        <f>ABS(Множество_202207112140401240[[#This Row],[18]]-Множество_202207112140401240[[#This Row],[12]])</f>
        <v>9.8999999999999986</v>
      </c>
      <c r="AB216" s="208">
        <f>ABS(Множество_202207112140401240[[#This Row],[19]]-Множество_202207112140401240[[#This Row],[13]])</f>
        <v>1.3499999999999996</v>
      </c>
      <c r="AC216" s="208">
        <f>Множество_202207112140401240[[#This Row],[20]]+Множество_202207112140401240[[#This Row],[21]]</f>
        <v>11.249999999999998</v>
      </c>
    </row>
    <row r="217" spans="6:29" x14ac:dyDescent="0.25">
      <c r="F217" s="213"/>
      <c r="K217" s="208">
        <f>Множество_202207112140401240[[#This Row],[2]]-Множество_202207112140401240[[#This Row],[4]]</f>
        <v>0</v>
      </c>
      <c r="L217" s="208">
        <f>Множество_202207112140401240[[#This Row],[3]]-Множество_202207112140401240[[#This Row],[5]]</f>
        <v>0</v>
      </c>
      <c r="M217" s="208">
        <f>Множество_202207112140401240[[#This Row],[7]]+Множество_202207112140401240[[#This Row],[6]]</f>
        <v>0</v>
      </c>
      <c r="N217" s="208" t="str">
        <f>CONCATENATE(Множество_202207112140401240[[#This Row],[2]],Множество_202207112140401240[[#This Row],[3]])</f>
        <v/>
      </c>
      <c r="O217" s="208"/>
      <c r="P217" s="208"/>
      <c r="Q217">
        <v>1.9</v>
      </c>
      <c r="R217">
        <v>-15.633333333333301</v>
      </c>
      <c r="S217" s="208">
        <v>10</v>
      </c>
      <c r="T217" s="208">
        <v>-12.5</v>
      </c>
      <c r="U217" s="208">
        <f>ABS(Множество_202207112140401240[[#This Row],[10]]-Множество_202207112140401240[[#This Row],[12]])</f>
        <v>8.1</v>
      </c>
      <c r="V217" s="208">
        <f>ABS(Множество_202207112140401240[[#This Row],[11]]-Множество_202207112140401240[[#This Row],[13]])</f>
        <v>3.1333333333333009</v>
      </c>
      <c r="W217" s="208">
        <f>Множество_202207112140401240[[#This Row],[15]]+Множество_202207112140401240[[#This Row],[14]]</f>
        <v>11.233333333333301</v>
      </c>
      <c r="X217" s="208">
        <f ca="1">IF(ROW()-ROW(Множество_202207112140401240[[#Headers],[17]])&gt;1,Множество_202207112140401240[[#This Row],[16]]-OFFSET(Множество_202207112140401240[[#This Row],[16]],-1,0),0)</f>
        <v>-1.6666666666697694E-2</v>
      </c>
      <c r="Y217" s="208">
        <v>1.9</v>
      </c>
      <c r="Z217" s="208">
        <v>-15.633333333333301</v>
      </c>
      <c r="AA217" s="208">
        <f>ABS(Множество_202207112140401240[[#This Row],[18]]-Множество_202207112140401240[[#This Row],[12]])</f>
        <v>8.1</v>
      </c>
      <c r="AB217" s="208">
        <f>ABS(Множество_202207112140401240[[#This Row],[19]]-Множество_202207112140401240[[#This Row],[13]])</f>
        <v>3.1333333333333009</v>
      </c>
      <c r="AC217" s="208">
        <f>Множество_202207112140401240[[#This Row],[20]]+Множество_202207112140401240[[#This Row],[21]]</f>
        <v>11.233333333333301</v>
      </c>
    </row>
    <row r="218" spans="6:29" x14ac:dyDescent="0.25">
      <c r="F218" s="213"/>
      <c r="K218" s="208">
        <f>Множество_202207112140401240[[#This Row],[2]]-Множество_202207112140401240[[#This Row],[4]]</f>
        <v>0</v>
      </c>
      <c r="L218" s="208">
        <f>Множество_202207112140401240[[#This Row],[3]]-Множество_202207112140401240[[#This Row],[5]]</f>
        <v>0</v>
      </c>
      <c r="M218" s="208">
        <f>Множество_202207112140401240[[#This Row],[7]]+Множество_202207112140401240[[#This Row],[6]]</f>
        <v>0</v>
      </c>
      <c r="N218" s="208" t="str">
        <f>CONCATENATE(Множество_202207112140401240[[#This Row],[2]],Множество_202207112140401240[[#This Row],[3]])</f>
        <v/>
      </c>
      <c r="O218" s="208"/>
      <c r="P218" s="208"/>
      <c r="Q218">
        <v>1.825</v>
      </c>
      <c r="R218">
        <v>-15.65</v>
      </c>
      <c r="S218" s="208">
        <v>10</v>
      </c>
      <c r="T218" s="208">
        <v>-12.5</v>
      </c>
      <c r="U218" s="208">
        <f>ABS(Множество_202207112140401240[[#This Row],[10]]-Множество_202207112140401240[[#This Row],[12]])</f>
        <v>8.1750000000000007</v>
      </c>
      <c r="V218" s="208">
        <f>ABS(Множество_202207112140401240[[#This Row],[11]]-Множество_202207112140401240[[#This Row],[13]])</f>
        <v>3.1500000000000004</v>
      </c>
      <c r="W218" s="208">
        <f>Множество_202207112140401240[[#This Row],[15]]+Множество_202207112140401240[[#This Row],[14]]</f>
        <v>11.325000000000001</v>
      </c>
      <c r="X218" s="208">
        <f ca="1">IF(ROW()-ROW(Множество_202207112140401240[[#Headers],[17]])&gt;1,Множество_202207112140401240[[#This Row],[16]]-OFFSET(Множество_202207112140401240[[#This Row],[16]],-1,0),0)</f>
        <v>9.1666666666700536E-2</v>
      </c>
      <c r="Y218" s="208">
        <v>1.825</v>
      </c>
      <c r="Z218" s="208">
        <v>-15.65</v>
      </c>
      <c r="AA218" s="208">
        <f>ABS(Множество_202207112140401240[[#This Row],[18]]-Множество_202207112140401240[[#This Row],[12]])</f>
        <v>8.1750000000000007</v>
      </c>
      <c r="AB218" s="208">
        <f>ABS(Множество_202207112140401240[[#This Row],[19]]-Множество_202207112140401240[[#This Row],[13]])</f>
        <v>3.1500000000000004</v>
      </c>
      <c r="AC218" s="208">
        <f>Множество_202207112140401240[[#This Row],[20]]+Множество_202207112140401240[[#This Row],[21]]</f>
        <v>11.325000000000001</v>
      </c>
    </row>
    <row r="219" spans="6:29" x14ac:dyDescent="0.25">
      <c r="F219" s="213"/>
      <c r="K219" s="208">
        <f>Множество_202207112140401240[[#This Row],[2]]-Множество_202207112140401240[[#This Row],[4]]</f>
        <v>0</v>
      </c>
      <c r="L219" s="208">
        <f>Множество_202207112140401240[[#This Row],[3]]-Множество_202207112140401240[[#This Row],[5]]</f>
        <v>0</v>
      </c>
      <c r="M219" s="208">
        <f>Множество_202207112140401240[[#This Row],[7]]+Множество_202207112140401240[[#This Row],[6]]</f>
        <v>0</v>
      </c>
      <c r="N219" s="208" t="str">
        <f>CONCATENATE(Множество_202207112140401240[[#This Row],[2]],Множество_202207112140401240[[#This Row],[3]])</f>
        <v/>
      </c>
      <c r="O219" s="208"/>
      <c r="P219" s="208"/>
      <c r="Q219" s="234">
        <v>-4.9999999999997199E-2</v>
      </c>
      <c r="R219">
        <v>-13.8333333333333</v>
      </c>
      <c r="S219" s="208">
        <v>10</v>
      </c>
      <c r="T219" s="208">
        <v>-12.5</v>
      </c>
      <c r="U219" s="208">
        <f>ABS(Множество_202207112140401240[[#This Row],[10]]-Множество_202207112140401240[[#This Row],[12]])</f>
        <v>10.049999999999997</v>
      </c>
      <c r="V219" s="208">
        <f>ABS(Множество_202207112140401240[[#This Row],[11]]-Множество_202207112140401240[[#This Row],[13]])</f>
        <v>1.3333333333333002</v>
      </c>
      <c r="W219" s="208">
        <f>Множество_202207112140401240[[#This Row],[15]]+Множество_202207112140401240[[#This Row],[14]]</f>
        <v>11.383333333333297</v>
      </c>
      <c r="X219" s="208">
        <f ca="1">IF(ROW()-ROW(Множество_202207112140401240[[#Headers],[17]])&gt;1,Множество_202207112140401240[[#This Row],[16]]-OFFSET(Множество_202207112140401240[[#This Row],[16]],-1,0),0)</f>
        <v>5.8333333333296267E-2</v>
      </c>
      <c r="Y219" s="208">
        <v>-4.9999999999997199E-2</v>
      </c>
      <c r="Z219" s="208">
        <v>-13.8333333333333</v>
      </c>
      <c r="AA219" s="208">
        <f>ABS(Множество_202207112140401240[[#This Row],[18]]-Множество_202207112140401240[[#This Row],[12]])</f>
        <v>10.049999999999997</v>
      </c>
      <c r="AB219" s="208">
        <f>ABS(Множество_202207112140401240[[#This Row],[19]]-Множество_202207112140401240[[#This Row],[13]])</f>
        <v>1.3333333333333002</v>
      </c>
      <c r="AC219" s="208">
        <f>Множество_202207112140401240[[#This Row],[20]]+Множество_202207112140401240[[#This Row],[21]]</f>
        <v>11.383333333333297</v>
      </c>
    </row>
    <row r="220" spans="6:29" x14ac:dyDescent="0.25">
      <c r="F220" s="213"/>
      <c r="K220" s="208">
        <f>Множество_202207112140401240[[#This Row],[2]]-Множество_202207112140401240[[#This Row],[4]]</f>
        <v>0</v>
      </c>
      <c r="L220" s="208">
        <f>Множество_202207112140401240[[#This Row],[3]]-Множество_202207112140401240[[#This Row],[5]]</f>
        <v>0</v>
      </c>
      <c r="M220" s="208">
        <f>Множество_202207112140401240[[#This Row],[7]]+Множество_202207112140401240[[#This Row],[6]]</f>
        <v>0</v>
      </c>
      <c r="N220" s="208" t="str">
        <f>CONCATENATE(Множество_202207112140401240[[#This Row],[2]],Множество_202207112140401240[[#This Row],[3]])</f>
        <v/>
      </c>
      <c r="O220" s="208"/>
      <c r="P220" s="208"/>
      <c r="Q220" s="234">
        <v>2.49999999999986E-2</v>
      </c>
      <c r="R220">
        <v>-13.8333333333333</v>
      </c>
      <c r="S220" s="208">
        <v>10</v>
      </c>
      <c r="T220" s="208">
        <v>-12.5</v>
      </c>
      <c r="U220" s="208">
        <f>ABS(Множество_202207112140401240[[#This Row],[10]]-Множество_202207112140401240[[#This Row],[12]])</f>
        <v>9.9750000000000014</v>
      </c>
      <c r="V220" s="208">
        <f>ABS(Множество_202207112140401240[[#This Row],[11]]-Множество_202207112140401240[[#This Row],[13]])</f>
        <v>1.3333333333333002</v>
      </c>
      <c r="W220" s="208">
        <f>Множество_202207112140401240[[#This Row],[15]]+Множество_202207112140401240[[#This Row],[14]]</f>
        <v>11.308333333333302</v>
      </c>
      <c r="X220" s="208">
        <f ca="1">IF(ROW()-ROW(Множество_202207112140401240[[#Headers],[17]])&gt;1,Множество_202207112140401240[[#This Row],[16]]-OFFSET(Множество_202207112140401240[[#This Row],[16]],-1,0),0)</f>
        <v>-7.4999999999995737E-2</v>
      </c>
      <c r="Y220" s="208">
        <v>2.49999999999986E-2</v>
      </c>
      <c r="Z220" s="208">
        <v>-13.8333333333333</v>
      </c>
      <c r="AA220" s="208">
        <f>ABS(Множество_202207112140401240[[#This Row],[18]]-Множество_202207112140401240[[#This Row],[12]])</f>
        <v>9.9750000000000014</v>
      </c>
      <c r="AB220" s="208">
        <f>ABS(Множество_202207112140401240[[#This Row],[19]]-Множество_202207112140401240[[#This Row],[13]])</f>
        <v>1.3333333333333002</v>
      </c>
      <c r="AC220" s="208">
        <f>Множество_202207112140401240[[#This Row],[20]]+Множество_202207112140401240[[#This Row],[21]]</f>
        <v>11.308333333333302</v>
      </c>
    </row>
    <row r="221" spans="6:29" x14ac:dyDescent="0.25">
      <c r="F221" s="213"/>
      <c r="K221" s="208">
        <f>Множество_202207112140401240[[#This Row],[2]]-Множество_202207112140401240[[#This Row],[4]]</f>
        <v>0</v>
      </c>
      <c r="L221" s="208">
        <f>Множество_202207112140401240[[#This Row],[3]]-Множество_202207112140401240[[#This Row],[5]]</f>
        <v>0</v>
      </c>
      <c r="M221" s="208">
        <f>Множество_202207112140401240[[#This Row],[7]]+Множество_202207112140401240[[#This Row],[6]]</f>
        <v>0</v>
      </c>
      <c r="N221" s="208" t="str">
        <f>CONCATENATE(Множество_202207112140401240[[#This Row],[2]],Множество_202207112140401240[[#This Row],[3]])</f>
        <v/>
      </c>
      <c r="O221" s="208"/>
      <c r="P221" s="208"/>
      <c r="Q221">
        <v>-0.125</v>
      </c>
      <c r="R221">
        <v>-13.8166666666667</v>
      </c>
      <c r="S221" s="208">
        <v>10</v>
      </c>
      <c r="T221" s="208">
        <v>-12.5</v>
      </c>
      <c r="U221" s="208">
        <f>ABS(Множество_202207112140401240[[#This Row],[10]]-Множество_202207112140401240[[#This Row],[12]])</f>
        <v>10.125</v>
      </c>
      <c r="V221" s="208">
        <f>ABS(Множество_202207112140401240[[#This Row],[11]]-Множество_202207112140401240[[#This Row],[13]])</f>
        <v>1.3166666666667002</v>
      </c>
      <c r="W221" s="208">
        <f>Множество_202207112140401240[[#This Row],[15]]+Множество_202207112140401240[[#This Row],[14]]</f>
        <v>11.4416666666667</v>
      </c>
      <c r="X221" s="208">
        <f ca="1">IF(ROW()-ROW(Множество_202207112140401240[[#Headers],[17]])&gt;1,Множество_202207112140401240[[#This Row],[16]]-OFFSET(Множество_202207112140401240[[#This Row],[16]],-1,0),0)</f>
        <v>0.13333333333339858</v>
      </c>
      <c r="Y221" s="208">
        <v>1.75</v>
      </c>
      <c r="Z221" s="208">
        <v>-15.6833333333333</v>
      </c>
      <c r="AA221" s="208">
        <f>ABS(Множество_202207112140401240[[#This Row],[18]]-Множество_202207112140401240[[#This Row],[12]])</f>
        <v>8.25</v>
      </c>
      <c r="AB221" s="208">
        <f>ABS(Множество_202207112140401240[[#This Row],[19]]-Множество_202207112140401240[[#This Row],[13]])</f>
        <v>3.1833333333332998</v>
      </c>
      <c r="AC221" s="208">
        <f>Множество_202207112140401240[[#This Row],[20]]+Множество_202207112140401240[[#This Row],[21]]</f>
        <v>11.4333333333333</v>
      </c>
    </row>
    <row r="222" spans="6:29" x14ac:dyDescent="0.25">
      <c r="F222" s="213"/>
      <c r="K222" s="208">
        <f>Множество_202207112140401240[[#This Row],[2]]-Множество_202207112140401240[[#This Row],[4]]</f>
        <v>0</v>
      </c>
      <c r="L222" s="208">
        <f>Множество_202207112140401240[[#This Row],[3]]-Множество_202207112140401240[[#This Row],[5]]</f>
        <v>0</v>
      </c>
      <c r="M222" s="208">
        <f>Множество_202207112140401240[[#This Row],[7]]+Множество_202207112140401240[[#This Row],[6]]</f>
        <v>0</v>
      </c>
      <c r="N222" s="208" t="str">
        <f>CONCATENATE(Множество_202207112140401240[[#This Row],[2]],Множество_202207112140401240[[#This Row],[3]])</f>
        <v/>
      </c>
      <c r="O222" s="208"/>
      <c r="P222" s="208"/>
      <c r="Q222">
        <v>1.75</v>
      </c>
      <c r="R222">
        <v>-15.6833333333333</v>
      </c>
      <c r="S222" s="208">
        <v>10</v>
      </c>
      <c r="T222" s="208">
        <v>-12.5</v>
      </c>
      <c r="U222" s="208">
        <f>ABS(Множество_202207112140401240[[#This Row],[10]]-Множество_202207112140401240[[#This Row],[12]])</f>
        <v>8.25</v>
      </c>
      <c r="V222" s="208">
        <f>ABS(Множество_202207112140401240[[#This Row],[11]]-Множество_202207112140401240[[#This Row],[13]])</f>
        <v>3.1833333333332998</v>
      </c>
      <c r="W222" s="208">
        <f>Множество_202207112140401240[[#This Row],[15]]+Множество_202207112140401240[[#This Row],[14]]</f>
        <v>11.4333333333333</v>
      </c>
      <c r="X222" s="208">
        <f ca="1">IF(ROW()-ROW(Множество_202207112140401240[[#Headers],[17]])&gt;1,Множество_202207112140401240[[#This Row],[16]]-OFFSET(Множество_202207112140401240[[#This Row],[16]],-1,0),0)</f>
        <v>-8.3333333334003612E-3</v>
      </c>
      <c r="Y222" s="208">
        <v>-0.125</v>
      </c>
      <c r="Z222" s="208">
        <v>-13.8166666666667</v>
      </c>
      <c r="AA222" s="208">
        <f>ABS(Множество_202207112140401240[[#This Row],[18]]-Множество_202207112140401240[[#This Row],[12]])</f>
        <v>10.125</v>
      </c>
      <c r="AB222" s="208">
        <f>ABS(Множество_202207112140401240[[#This Row],[19]]-Множество_202207112140401240[[#This Row],[13]])</f>
        <v>1.3166666666667002</v>
      </c>
      <c r="AC222" s="208">
        <f>Множество_202207112140401240[[#This Row],[20]]+Множество_202207112140401240[[#This Row],[21]]</f>
        <v>11.4416666666667</v>
      </c>
    </row>
    <row r="223" spans="6:29" x14ac:dyDescent="0.25">
      <c r="F223" s="213"/>
      <c r="K223" s="208">
        <f>Множество_202207112140401240[[#This Row],[2]]-Множество_202207112140401240[[#This Row],[4]]</f>
        <v>0</v>
      </c>
      <c r="L223" s="208">
        <f>Множество_202207112140401240[[#This Row],[3]]-Множество_202207112140401240[[#This Row],[5]]</f>
        <v>0</v>
      </c>
      <c r="M223" s="208">
        <f>Множество_202207112140401240[[#This Row],[7]]+Множество_202207112140401240[[#This Row],[6]]</f>
        <v>0</v>
      </c>
      <c r="N223" s="208" t="str">
        <f>CONCATENATE(Множество_202207112140401240[[#This Row],[2]],Множество_202207112140401240[[#This Row],[3]])</f>
        <v/>
      </c>
      <c r="O223" s="208"/>
      <c r="P223" s="208"/>
      <c r="Q223">
        <v>1.675</v>
      </c>
      <c r="R223">
        <v>-15.7</v>
      </c>
      <c r="S223" s="208">
        <v>10</v>
      </c>
      <c r="T223" s="208">
        <v>-12.5</v>
      </c>
      <c r="U223" s="208">
        <f>ABS(Множество_202207112140401240[[#This Row],[10]]-Множество_202207112140401240[[#This Row],[12]])</f>
        <v>8.3249999999999993</v>
      </c>
      <c r="V223" s="208">
        <f>ABS(Множество_202207112140401240[[#This Row],[11]]-Множество_202207112140401240[[#This Row],[13]])</f>
        <v>3.1999999999999993</v>
      </c>
      <c r="W223" s="208">
        <f>Множество_202207112140401240[[#This Row],[15]]+Множество_202207112140401240[[#This Row],[14]]</f>
        <v>11.524999999999999</v>
      </c>
      <c r="X223" s="208">
        <f ca="1">IF(ROW()-ROW(Множество_202207112140401240[[#Headers],[17]])&gt;1,Множество_202207112140401240[[#This Row],[16]]-OFFSET(Множество_202207112140401240[[#This Row],[16]],-1,0),0)</f>
        <v>9.166666666669876E-2</v>
      </c>
      <c r="Y223" s="208">
        <v>1.675</v>
      </c>
      <c r="Z223" s="208">
        <v>-15.7</v>
      </c>
      <c r="AA223" s="208">
        <f>ABS(Множество_202207112140401240[[#This Row],[18]]-Множество_202207112140401240[[#This Row],[12]])</f>
        <v>8.3249999999999993</v>
      </c>
      <c r="AB223" s="208">
        <f>ABS(Множество_202207112140401240[[#This Row],[19]]-Множество_202207112140401240[[#This Row],[13]])</f>
        <v>3.1999999999999993</v>
      </c>
      <c r="AC223" s="208">
        <f>Множество_202207112140401240[[#This Row],[20]]+Множество_202207112140401240[[#This Row],[21]]</f>
        <v>11.524999999999999</v>
      </c>
    </row>
    <row r="224" spans="6:29" x14ac:dyDescent="0.25">
      <c r="F224" s="213"/>
      <c r="K224" s="208">
        <f>Множество_202207112140401240[[#This Row],[2]]-Множество_202207112140401240[[#This Row],[4]]</f>
        <v>0</v>
      </c>
      <c r="L224" s="208">
        <f>Множество_202207112140401240[[#This Row],[3]]-Множество_202207112140401240[[#This Row],[5]]</f>
        <v>0</v>
      </c>
      <c r="M224" s="208">
        <f>Множество_202207112140401240[[#This Row],[7]]+Множество_202207112140401240[[#This Row],[6]]</f>
        <v>0</v>
      </c>
      <c r="N224" s="208" t="str">
        <f>CONCATENATE(Множество_202207112140401240[[#This Row],[2]],Множество_202207112140401240[[#This Row],[3]])</f>
        <v/>
      </c>
      <c r="O224" s="208"/>
      <c r="P224" s="208"/>
      <c r="Q224">
        <v>-0.27500000000000202</v>
      </c>
      <c r="R224">
        <v>-13.783333333333299</v>
      </c>
      <c r="S224" s="208">
        <v>10</v>
      </c>
      <c r="T224" s="208">
        <v>-12.5</v>
      </c>
      <c r="U224" s="208">
        <f>ABS(Множество_202207112140401240[[#This Row],[10]]-Множество_202207112140401240[[#This Row],[12]])</f>
        <v>10.275000000000002</v>
      </c>
      <c r="V224" s="208">
        <f>ABS(Множество_202207112140401240[[#This Row],[11]]-Множество_202207112140401240[[#This Row],[13]])</f>
        <v>1.2833333333332995</v>
      </c>
      <c r="W224" s="208">
        <f>Множество_202207112140401240[[#This Row],[15]]+Множество_202207112140401240[[#This Row],[14]]</f>
        <v>11.558333333333302</v>
      </c>
      <c r="X224" s="208">
        <f ca="1">IF(ROW()-ROW(Множество_202207112140401240[[#Headers],[17]])&gt;1,Множество_202207112140401240[[#This Row],[16]]-OFFSET(Множество_202207112140401240[[#This Row],[16]],-1,0),0)</f>
        <v>3.3333333333303017E-2</v>
      </c>
      <c r="Y224" s="208">
        <v>-0.27500000000000202</v>
      </c>
      <c r="Z224" s="208">
        <v>-13.783333333333299</v>
      </c>
      <c r="AA224" s="208">
        <f>ABS(Множество_202207112140401240[[#This Row],[18]]-Множество_202207112140401240[[#This Row],[12]])</f>
        <v>10.275000000000002</v>
      </c>
      <c r="AB224" s="208">
        <f>ABS(Множество_202207112140401240[[#This Row],[19]]-Множество_202207112140401240[[#This Row],[13]])</f>
        <v>1.2833333333332995</v>
      </c>
      <c r="AC224" s="208">
        <f>Множество_202207112140401240[[#This Row],[20]]+Множество_202207112140401240[[#This Row],[21]]</f>
        <v>11.558333333333302</v>
      </c>
    </row>
    <row r="225" spans="6:29" x14ac:dyDescent="0.25">
      <c r="F225" s="213"/>
      <c r="K225" s="208">
        <f>Множество_202207112140401240[[#This Row],[2]]-Множество_202207112140401240[[#This Row],[4]]</f>
        <v>0</v>
      </c>
      <c r="L225" s="208">
        <f>Множество_202207112140401240[[#This Row],[3]]-Множество_202207112140401240[[#This Row],[5]]</f>
        <v>0</v>
      </c>
      <c r="M225" s="208">
        <f>Множество_202207112140401240[[#This Row],[7]]+Множество_202207112140401240[[#This Row],[6]]</f>
        <v>0</v>
      </c>
      <c r="N225" s="208" t="str">
        <f>CONCATENATE(Множество_202207112140401240[[#This Row],[2]],Множество_202207112140401240[[#This Row],[3]])</f>
        <v/>
      </c>
      <c r="O225" s="208"/>
      <c r="P225" s="208"/>
      <c r="Q225">
        <v>-0.19999999999999901</v>
      </c>
      <c r="R225">
        <v>-13.8</v>
      </c>
      <c r="S225" s="208">
        <v>10</v>
      </c>
      <c r="T225" s="208">
        <v>-12.5</v>
      </c>
      <c r="U225" s="208">
        <f>ABS(Множество_202207112140401240[[#This Row],[10]]-Множество_202207112140401240[[#This Row],[12]])</f>
        <v>10.199999999999999</v>
      </c>
      <c r="V225" s="208">
        <f>ABS(Множество_202207112140401240[[#This Row],[11]]-Множество_202207112140401240[[#This Row],[13]])</f>
        <v>1.3000000000000007</v>
      </c>
      <c r="W225" s="208">
        <f>Множество_202207112140401240[[#This Row],[15]]+Множество_202207112140401240[[#This Row],[14]]</f>
        <v>11.5</v>
      </c>
      <c r="X225" s="208">
        <f ca="1">IF(ROW()-ROW(Множество_202207112140401240[[#Headers],[17]])&gt;1,Множество_202207112140401240[[#This Row],[16]]-OFFSET(Множество_202207112140401240[[#This Row],[16]],-1,0),0)</f>
        <v>-5.8333333333301596E-2</v>
      </c>
      <c r="Y225" s="208">
        <v>-0.19999999999999901</v>
      </c>
      <c r="Z225" s="208">
        <v>-13.8</v>
      </c>
      <c r="AA225" s="208">
        <f>ABS(Множество_202207112140401240[[#This Row],[18]]-Множество_202207112140401240[[#This Row],[12]])</f>
        <v>10.199999999999999</v>
      </c>
      <c r="AB225" s="208">
        <f>ABS(Множество_202207112140401240[[#This Row],[19]]-Множество_202207112140401240[[#This Row],[13]])</f>
        <v>1.3000000000000007</v>
      </c>
      <c r="AC225" s="208">
        <f>Множество_202207112140401240[[#This Row],[20]]+Множество_202207112140401240[[#This Row],[21]]</f>
        <v>11.5</v>
      </c>
    </row>
    <row r="226" spans="6:29" x14ac:dyDescent="0.25">
      <c r="F226" s="213"/>
      <c r="K226" s="208">
        <f>Множество_202207112140401240[[#This Row],[2]]-Множество_202207112140401240[[#This Row],[4]]</f>
        <v>0</v>
      </c>
      <c r="L226" s="208">
        <f>Множество_202207112140401240[[#This Row],[3]]-Множество_202207112140401240[[#This Row],[5]]</f>
        <v>0</v>
      </c>
      <c r="M226" s="208">
        <f>Множество_202207112140401240[[#This Row],[7]]+Множество_202207112140401240[[#This Row],[6]]</f>
        <v>0</v>
      </c>
      <c r="N226" s="208" t="str">
        <f>CONCATENATE(Множество_202207112140401240[[#This Row],[2]],Множество_202207112140401240[[#This Row],[3]])</f>
        <v/>
      </c>
      <c r="O226" s="208"/>
      <c r="P226" s="208"/>
      <c r="Q226">
        <v>1.6</v>
      </c>
      <c r="R226">
        <v>-15.716666666666701</v>
      </c>
      <c r="S226" s="208">
        <v>10</v>
      </c>
      <c r="T226" s="208">
        <v>-12.5</v>
      </c>
      <c r="U226" s="208">
        <f>ABS(Множество_202207112140401240[[#This Row],[10]]-Множество_202207112140401240[[#This Row],[12]])</f>
        <v>8.4</v>
      </c>
      <c r="V226" s="208">
        <f>ABS(Множество_202207112140401240[[#This Row],[11]]-Множество_202207112140401240[[#This Row],[13]])</f>
        <v>3.2166666666667005</v>
      </c>
      <c r="W226" s="208">
        <f>Множество_202207112140401240[[#This Row],[15]]+Множество_202207112140401240[[#This Row],[14]]</f>
        <v>11.616666666666701</v>
      </c>
      <c r="X226" s="208">
        <f ca="1">IF(ROW()-ROW(Множество_202207112140401240[[#Headers],[17]])&gt;1,Множество_202207112140401240[[#This Row],[16]]-OFFSET(Множество_202207112140401240[[#This Row],[16]],-1,0),0)</f>
        <v>0.11666666666670089</v>
      </c>
      <c r="Y226" s="208">
        <v>1.6</v>
      </c>
      <c r="Z226" s="208">
        <v>-15.716666666666701</v>
      </c>
      <c r="AA226" s="208">
        <f>ABS(Множество_202207112140401240[[#This Row],[18]]-Множество_202207112140401240[[#This Row],[12]])</f>
        <v>8.4</v>
      </c>
      <c r="AB226" s="208">
        <f>ABS(Множество_202207112140401240[[#This Row],[19]]-Множество_202207112140401240[[#This Row],[13]])</f>
        <v>3.2166666666667005</v>
      </c>
      <c r="AC226" s="208">
        <f>Множество_202207112140401240[[#This Row],[20]]+Множество_202207112140401240[[#This Row],[21]]</f>
        <v>11.616666666666701</v>
      </c>
    </row>
    <row r="227" spans="6:29" x14ac:dyDescent="0.25">
      <c r="F227" s="213"/>
      <c r="K227" s="208">
        <f>Множество_202207112140401240[[#This Row],[2]]-Множество_202207112140401240[[#This Row],[4]]</f>
        <v>0</v>
      </c>
      <c r="L227" s="208">
        <f>Множество_202207112140401240[[#This Row],[3]]-Множество_202207112140401240[[#This Row],[5]]</f>
        <v>0</v>
      </c>
      <c r="M227" s="208">
        <f>Множество_202207112140401240[[#This Row],[7]]+Множество_202207112140401240[[#This Row],[6]]</f>
        <v>0</v>
      </c>
      <c r="N227" s="208" t="str">
        <f>CONCATENATE(Множество_202207112140401240[[#This Row],[2]],Множество_202207112140401240[[#This Row],[3]])</f>
        <v/>
      </c>
      <c r="O227" s="208"/>
      <c r="P227" s="208"/>
      <c r="Q227">
        <v>-0.42500000000000099</v>
      </c>
      <c r="R227">
        <v>-13.766666666666699</v>
      </c>
      <c r="S227" s="208">
        <v>10</v>
      </c>
      <c r="T227" s="208">
        <v>-12.5</v>
      </c>
      <c r="U227" s="208">
        <f>ABS(Множество_202207112140401240[[#This Row],[10]]-Множество_202207112140401240[[#This Row],[12]])</f>
        <v>10.425000000000001</v>
      </c>
      <c r="V227" s="208">
        <f>ABS(Множество_202207112140401240[[#This Row],[11]]-Множество_202207112140401240[[#This Row],[13]])</f>
        <v>1.2666666666666995</v>
      </c>
      <c r="W227" s="208">
        <f>Множество_202207112140401240[[#This Row],[15]]+Множество_202207112140401240[[#This Row],[14]]</f>
        <v>11.6916666666667</v>
      </c>
      <c r="X227" s="208">
        <f ca="1">IF(ROW()-ROW(Множество_202207112140401240[[#Headers],[17]])&gt;1,Множество_202207112140401240[[#This Row],[16]]-OFFSET(Множество_202207112140401240[[#This Row],[16]],-1,0),0)</f>
        <v>7.4999999999999289E-2</v>
      </c>
      <c r="Y227" s="208">
        <v>-0.42500000000000099</v>
      </c>
      <c r="Z227" s="208">
        <v>-13.766666666666699</v>
      </c>
      <c r="AA227" s="208">
        <f>ABS(Множество_202207112140401240[[#This Row],[18]]-Множество_202207112140401240[[#This Row],[12]])</f>
        <v>10.425000000000001</v>
      </c>
      <c r="AB227" s="208">
        <f>ABS(Множество_202207112140401240[[#This Row],[19]]-Множество_202207112140401240[[#This Row],[13]])</f>
        <v>1.2666666666666995</v>
      </c>
      <c r="AC227" s="208">
        <f>Множество_202207112140401240[[#This Row],[20]]+Множество_202207112140401240[[#This Row],[21]]</f>
        <v>11.6916666666667</v>
      </c>
    </row>
    <row r="228" spans="6:29" x14ac:dyDescent="0.25">
      <c r="F228" s="213"/>
      <c r="K228" s="208">
        <f>Множество_202207112140401240[[#This Row],[2]]-Множество_202207112140401240[[#This Row],[4]]</f>
        <v>0</v>
      </c>
      <c r="L228" s="208">
        <f>Множество_202207112140401240[[#This Row],[3]]-Множество_202207112140401240[[#This Row],[5]]</f>
        <v>0</v>
      </c>
      <c r="M228" s="208">
        <f>Множество_202207112140401240[[#This Row],[7]]+Множество_202207112140401240[[#This Row],[6]]</f>
        <v>0</v>
      </c>
      <c r="N228" s="208" t="str">
        <f>CONCATENATE(Множество_202207112140401240[[#This Row],[2]],Множество_202207112140401240[[#This Row],[3]])</f>
        <v/>
      </c>
      <c r="O228" s="208"/>
      <c r="P228" s="208"/>
      <c r="Q228">
        <v>-0.34999999999999798</v>
      </c>
      <c r="R228">
        <v>-13.783333333333299</v>
      </c>
      <c r="S228" s="208">
        <v>10</v>
      </c>
      <c r="T228" s="208">
        <v>-12.5</v>
      </c>
      <c r="U228" s="208">
        <f>ABS(Множество_202207112140401240[[#This Row],[10]]-Множество_202207112140401240[[#This Row],[12]])</f>
        <v>10.349999999999998</v>
      </c>
      <c r="V228" s="208">
        <f>ABS(Множество_202207112140401240[[#This Row],[11]]-Множество_202207112140401240[[#This Row],[13]])</f>
        <v>1.2833333333332995</v>
      </c>
      <c r="W228" s="208">
        <f>Множество_202207112140401240[[#This Row],[15]]+Множество_202207112140401240[[#This Row],[14]]</f>
        <v>11.633333333333297</v>
      </c>
      <c r="X228" s="208">
        <f ca="1">IF(ROW()-ROW(Множество_202207112140401240[[#Headers],[17]])&gt;1,Множество_202207112140401240[[#This Row],[16]]-OFFSET(Множество_202207112140401240[[#This Row],[16]],-1,0),0)</f>
        <v>-5.8333333333402848E-2</v>
      </c>
      <c r="Y228" s="208">
        <v>-0.34999999999999798</v>
      </c>
      <c r="Z228" s="208">
        <v>-13.783333333333299</v>
      </c>
      <c r="AA228" s="208">
        <f>ABS(Множество_202207112140401240[[#This Row],[18]]-Множество_202207112140401240[[#This Row],[12]])</f>
        <v>10.349999999999998</v>
      </c>
      <c r="AB228" s="208">
        <f>ABS(Множество_202207112140401240[[#This Row],[19]]-Множество_202207112140401240[[#This Row],[13]])</f>
        <v>1.2833333333332995</v>
      </c>
      <c r="AC228" s="208">
        <f>Множество_202207112140401240[[#This Row],[20]]+Множество_202207112140401240[[#This Row],[21]]</f>
        <v>11.633333333333297</v>
      </c>
    </row>
    <row r="229" spans="6:29" x14ac:dyDescent="0.25">
      <c r="F229" s="213"/>
      <c r="K229" s="208">
        <f>Множество_202207112140401240[[#This Row],[2]]-Множество_202207112140401240[[#This Row],[4]]</f>
        <v>0</v>
      </c>
      <c r="L229" s="208">
        <f>Множество_202207112140401240[[#This Row],[3]]-Множество_202207112140401240[[#This Row],[5]]</f>
        <v>0</v>
      </c>
      <c r="M229" s="208">
        <f>Множество_202207112140401240[[#This Row],[7]]+Множество_202207112140401240[[#This Row],[6]]</f>
        <v>0</v>
      </c>
      <c r="N229" s="208" t="str">
        <f>CONCATENATE(Множество_202207112140401240[[#This Row],[2]],Множество_202207112140401240[[#This Row],[3]])</f>
        <v/>
      </c>
      <c r="O229" s="208"/>
      <c r="P229" s="208"/>
      <c r="Q229">
        <v>-0.5</v>
      </c>
      <c r="R229">
        <v>-13.75</v>
      </c>
      <c r="S229" s="208">
        <v>10</v>
      </c>
      <c r="T229" s="208">
        <v>-12.5</v>
      </c>
      <c r="U229" s="208">
        <f>ABS(Множество_202207112140401240[[#This Row],[10]]-Множество_202207112140401240[[#This Row],[12]])</f>
        <v>10.5</v>
      </c>
      <c r="V229" s="208">
        <f>ABS(Множество_202207112140401240[[#This Row],[11]]-Множество_202207112140401240[[#This Row],[13]])</f>
        <v>1.25</v>
      </c>
      <c r="W229" s="208">
        <f>Множество_202207112140401240[[#This Row],[15]]+Множество_202207112140401240[[#This Row],[14]]</f>
        <v>11.75</v>
      </c>
      <c r="X229" s="208">
        <f ca="1">IF(ROW()-ROW(Множество_202207112140401240[[#Headers],[17]])&gt;1,Множество_202207112140401240[[#This Row],[16]]-OFFSET(Множество_202207112140401240[[#This Row],[16]],-1,0),0)</f>
        <v>0.11666666666670267</v>
      </c>
      <c r="Y229" s="208">
        <v>-0.5</v>
      </c>
      <c r="Z229" s="208">
        <v>-13.75</v>
      </c>
      <c r="AA229" s="208">
        <f>ABS(Множество_202207112140401240[[#This Row],[18]]-Множество_202207112140401240[[#This Row],[12]])</f>
        <v>10.5</v>
      </c>
      <c r="AB229" s="208">
        <f>ABS(Множество_202207112140401240[[#This Row],[19]]-Множество_202207112140401240[[#This Row],[13]])</f>
        <v>1.25</v>
      </c>
      <c r="AC229" s="208">
        <f>Множество_202207112140401240[[#This Row],[20]]+Множество_202207112140401240[[#This Row],[21]]</f>
        <v>11.75</v>
      </c>
    </row>
    <row r="230" spans="6:29" x14ac:dyDescent="0.25">
      <c r="F230" s="213"/>
      <c r="K230" s="208">
        <f>Множество_202207112140401240[[#This Row],[2]]-Множество_202207112140401240[[#This Row],[4]]</f>
        <v>0</v>
      </c>
      <c r="L230" s="208">
        <f>Множество_202207112140401240[[#This Row],[3]]-Множество_202207112140401240[[#This Row],[5]]</f>
        <v>0</v>
      </c>
      <c r="M230" s="208">
        <f>Множество_202207112140401240[[#This Row],[7]]+Множество_202207112140401240[[#This Row],[6]]</f>
        <v>0</v>
      </c>
      <c r="N230" s="208" t="str">
        <f>CONCATENATE(Множество_202207112140401240[[#This Row],[2]],Множество_202207112140401240[[#This Row],[3]])</f>
        <v/>
      </c>
      <c r="O230" s="208"/>
      <c r="P230" s="208"/>
      <c r="Q230">
        <v>1.5249999999999999</v>
      </c>
      <c r="R230">
        <v>-15.75</v>
      </c>
      <c r="S230" s="208">
        <v>10</v>
      </c>
      <c r="T230" s="208">
        <v>-12.5</v>
      </c>
      <c r="U230" s="208">
        <f>ABS(Множество_202207112140401240[[#This Row],[10]]-Множество_202207112140401240[[#This Row],[12]])</f>
        <v>8.4749999999999996</v>
      </c>
      <c r="V230" s="208">
        <f>ABS(Множество_202207112140401240[[#This Row],[11]]-Множество_202207112140401240[[#This Row],[13]])</f>
        <v>3.25</v>
      </c>
      <c r="W230" s="208">
        <f>Множество_202207112140401240[[#This Row],[15]]+Множество_202207112140401240[[#This Row],[14]]</f>
        <v>11.725</v>
      </c>
      <c r="X230" s="208">
        <f ca="1">IF(ROW()-ROW(Множество_202207112140401240[[#Headers],[17]])&gt;1,Множество_202207112140401240[[#This Row],[16]]-OFFSET(Множество_202207112140401240[[#This Row],[16]],-1,0),0)</f>
        <v>-2.5000000000000355E-2</v>
      </c>
      <c r="Y230" s="208">
        <v>1.5249999999999999</v>
      </c>
      <c r="Z230" s="208">
        <v>-15.75</v>
      </c>
      <c r="AA230" s="208">
        <f>ABS(Множество_202207112140401240[[#This Row],[18]]-Множество_202207112140401240[[#This Row],[12]])</f>
        <v>8.4749999999999996</v>
      </c>
      <c r="AB230" s="208">
        <f>ABS(Множество_202207112140401240[[#This Row],[19]]-Множество_202207112140401240[[#This Row],[13]])</f>
        <v>3.25</v>
      </c>
      <c r="AC230" s="208">
        <f>Множество_202207112140401240[[#This Row],[20]]+Множество_202207112140401240[[#This Row],[21]]</f>
        <v>11.725</v>
      </c>
    </row>
    <row r="231" spans="6:29" x14ac:dyDescent="0.25">
      <c r="F231" s="213"/>
      <c r="K231" s="208">
        <f>Множество_202207112140401240[[#This Row],[2]]-Множество_202207112140401240[[#This Row],[4]]</f>
        <v>0</v>
      </c>
      <c r="L231" s="208">
        <f>Множество_202207112140401240[[#This Row],[3]]-Множество_202207112140401240[[#This Row],[5]]</f>
        <v>0</v>
      </c>
      <c r="M231" s="208">
        <f>Множество_202207112140401240[[#This Row],[7]]+Множество_202207112140401240[[#This Row],[6]]</f>
        <v>0</v>
      </c>
      <c r="N231" s="208" t="str">
        <f>CONCATENATE(Множество_202207112140401240[[#This Row],[2]],Множество_202207112140401240[[#This Row],[3]])</f>
        <v/>
      </c>
      <c r="O231" s="208"/>
      <c r="P231" s="208"/>
      <c r="Q231">
        <v>-0.57500000000000295</v>
      </c>
      <c r="R231">
        <v>-13.733333333333301</v>
      </c>
      <c r="S231" s="208">
        <v>10</v>
      </c>
      <c r="T231" s="208">
        <v>-12.5</v>
      </c>
      <c r="U231" s="208">
        <f>ABS(Множество_202207112140401240[[#This Row],[10]]-Множество_202207112140401240[[#This Row],[12]])</f>
        <v>10.575000000000003</v>
      </c>
      <c r="V231" s="208">
        <f>ABS(Множество_202207112140401240[[#This Row],[11]]-Множество_202207112140401240[[#This Row],[13]])</f>
        <v>1.2333333333333005</v>
      </c>
      <c r="W231" s="208">
        <f>Множество_202207112140401240[[#This Row],[15]]+Множество_202207112140401240[[#This Row],[14]]</f>
        <v>11.808333333333303</v>
      </c>
      <c r="X231" s="208">
        <f ca="1">IF(ROW()-ROW(Множество_202207112140401240[[#Headers],[17]])&gt;1,Множество_202207112140401240[[#This Row],[16]]-OFFSET(Множество_202207112140401240[[#This Row],[16]],-1,0),0)</f>
        <v>8.3333333333303727E-2</v>
      </c>
      <c r="Y231" s="208">
        <v>-0.57500000000000295</v>
      </c>
      <c r="Z231" s="208">
        <v>-13.733333333333301</v>
      </c>
      <c r="AA231" s="208">
        <f>ABS(Множество_202207112140401240[[#This Row],[18]]-Множество_202207112140401240[[#This Row],[12]])</f>
        <v>10.575000000000003</v>
      </c>
      <c r="AB231" s="208">
        <f>ABS(Множество_202207112140401240[[#This Row],[19]]-Множество_202207112140401240[[#This Row],[13]])</f>
        <v>1.2333333333333005</v>
      </c>
      <c r="AC231" s="208">
        <f>Множество_202207112140401240[[#This Row],[20]]+Множество_202207112140401240[[#This Row],[21]]</f>
        <v>11.808333333333303</v>
      </c>
    </row>
    <row r="232" spans="6:29" x14ac:dyDescent="0.25">
      <c r="F232" s="213"/>
      <c r="K232" s="208">
        <f>Множество_202207112140401240[[#This Row],[2]]-Множество_202207112140401240[[#This Row],[4]]</f>
        <v>0</v>
      </c>
      <c r="L232" s="208">
        <f>Множество_202207112140401240[[#This Row],[3]]-Множество_202207112140401240[[#This Row],[5]]</f>
        <v>0</v>
      </c>
      <c r="M232" s="208">
        <f>Множество_202207112140401240[[#This Row],[7]]+Множество_202207112140401240[[#This Row],[6]]</f>
        <v>0</v>
      </c>
      <c r="N232" s="208" t="str">
        <f>CONCATENATE(Множество_202207112140401240[[#This Row],[2]],Множество_202207112140401240[[#This Row],[3]])</f>
        <v/>
      </c>
      <c r="O232" s="208"/>
      <c r="P232" s="208"/>
      <c r="Q232">
        <v>1.45</v>
      </c>
      <c r="R232">
        <v>-15.766666666666699</v>
      </c>
      <c r="S232" s="208">
        <v>10</v>
      </c>
      <c r="T232" s="208">
        <v>-12.5</v>
      </c>
      <c r="U232" s="208">
        <f>ABS(Множество_202207112140401240[[#This Row],[10]]-Множество_202207112140401240[[#This Row],[12]])</f>
        <v>8.5500000000000007</v>
      </c>
      <c r="V232" s="208">
        <f>ABS(Множество_202207112140401240[[#This Row],[11]]-Множество_202207112140401240[[#This Row],[13]])</f>
        <v>3.2666666666666995</v>
      </c>
      <c r="W232" s="208">
        <f>Множество_202207112140401240[[#This Row],[15]]+Множество_202207112140401240[[#This Row],[14]]</f>
        <v>11.8166666666667</v>
      </c>
      <c r="X232" s="208">
        <f ca="1">IF(ROW()-ROW(Множество_202207112140401240[[#Headers],[17]])&gt;1,Множество_202207112140401240[[#This Row],[16]]-OFFSET(Множество_202207112140401240[[#This Row],[16]],-1,0),0)</f>
        <v>8.3333333333968085E-3</v>
      </c>
      <c r="Y232" s="208">
        <v>1.45</v>
      </c>
      <c r="Z232" s="208">
        <v>-15.766666666666699</v>
      </c>
      <c r="AA232" s="208">
        <f>ABS(Множество_202207112140401240[[#This Row],[18]]-Множество_202207112140401240[[#This Row],[12]])</f>
        <v>8.5500000000000007</v>
      </c>
      <c r="AB232" s="208">
        <f>ABS(Множество_202207112140401240[[#This Row],[19]]-Множество_202207112140401240[[#This Row],[13]])</f>
        <v>3.2666666666666995</v>
      </c>
      <c r="AC232" s="208">
        <f>Множество_202207112140401240[[#This Row],[20]]+Множество_202207112140401240[[#This Row],[21]]</f>
        <v>11.8166666666667</v>
      </c>
    </row>
    <row r="233" spans="6:29" x14ac:dyDescent="0.25">
      <c r="F233" s="213"/>
      <c r="K233" s="208">
        <f>Множество_202207112140401240[[#This Row],[2]]-Множество_202207112140401240[[#This Row],[4]]</f>
        <v>0</v>
      </c>
      <c r="L233" s="208">
        <f>Множество_202207112140401240[[#This Row],[3]]-Множество_202207112140401240[[#This Row],[5]]</f>
        <v>0</v>
      </c>
      <c r="M233" s="208">
        <f>Множество_202207112140401240[[#This Row],[7]]+Множество_202207112140401240[[#This Row],[6]]</f>
        <v>0</v>
      </c>
      <c r="N233" s="208" t="str">
        <f>CONCATENATE(Множество_202207112140401240[[#This Row],[2]],Множество_202207112140401240[[#This Row],[3]])</f>
        <v/>
      </c>
      <c r="O233" s="208"/>
      <c r="P233" s="208"/>
      <c r="Q233">
        <v>-0.72500000000000098</v>
      </c>
      <c r="R233">
        <v>-13.716666666666701</v>
      </c>
      <c r="S233" s="208">
        <v>10</v>
      </c>
      <c r="T233" s="208">
        <v>-12.5</v>
      </c>
      <c r="U233" s="208">
        <f>ABS(Множество_202207112140401240[[#This Row],[10]]-Множество_202207112140401240[[#This Row],[12]])</f>
        <v>10.725000000000001</v>
      </c>
      <c r="V233" s="208">
        <f>ABS(Множество_202207112140401240[[#This Row],[11]]-Множество_202207112140401240[[#This Row],[13]])</f>
        <v>1.2166666666667005</v>
      </c>
      <c r="W233" s="208">
        <f>Множество_202207112140401240[[#This Row],[15]]+Множество_202207112140401240[[#This Row],[14]]</f>
        <v>11.941666666666702</v>
      </c>
      <c r="X233" s="208">
        <f ca="1">IF(ROW()-ROW(Множество_202207112140401240[[#Headers],[17]])&gt;1,Множество_202207112140401240[[#This Row],[16]]-OFFSET(Множество_202207112140401240[[#This Row],[16]],-1,0),0)</f>
        <v>0.12500000000000178</v>
      </c>
      <c r="Y233" s="208">
        <v>-0.72500000000000098</v>
      </c>
      <c r="Z233" s="208">
        <v>-13.716666666666701</v>
      </c>
      <c r="AA233" s="208">
        <f>ABS(Множество_202207112140401240[[#This Row],[18]]-Множество_202207112140401240[[#This Row],[12]])</f>
        <v>10.725000000000001</v>
      </c>
      <c r="AB233" s="208">
        <f>ABS(Множество_202207112140401240[[#This Row],[19]]-Множество_202207112140401240[[#This Row],[13]])</f>
        <v>1.2166666666667005</v>
      </c>
      <c r="AC233" s="208">
        <f>Множество_202207112140401240[[#This Row],[20]]+Множество_202207112140401240[[#This Row],[21]]</f>
        <v>11.941666666666702</v>
      </c>
    </row>
    <row r="234" spans="6:29" x14ac:dyDescent="0.25">
      <c r="F234" s="213"/>
      <c r="K234" s="208">
        <f>Множество_202207112140401240[[#This Row],[2]]-Множество_202207112140401240[[#This Row],[4]]</f>
        <v>0</v>
      </c>
      <c r="L234" s="208">
        <f>Множество_202207112140401240[[#This Row],[3]]-Множество_202207112140401240[[#This Row],[5]]</f>
        <v>0</v>
      </c>
      <c r="M234" s="208">
        <f>Множество_202207112140401240[[#This Row],[7]]+Множество_202207112140401240[[#This Row],[6]]</f>
        <v>0</v>
      </c>
      <c r="N234" s="208" t="str">
        <f>CONCATENATE(Множество_202207112140401240[[#This Row],[2]],Множество_202207112140401240[[#This Row],[3]])</f>
        <v/>
      </c>
      <c r="O234" s="208"/>
      <c r="P234" s="208"/>
      <c r="Q234">
        <v>-0.64999999999999902</v>
      </c>
      <c r="R234">
        <v>-13.716666666666701</v>
      </c>
      <c r="S234" s="208">
        <v>10</v>
      </c>
      <c r="T234" s="208">
        <v>-12.5</v>
      </c>
      <c r="U234" s="208">
        <f>ABS(Множество_202207112140401240[[#This Row],[10]]-Множество_202207112140401240[[#This Row],[12]])</f>
        <v>10.649999999999999</v>
      </c>
      <c r="V234" s="208">
        <f>ABS(Множество_202207112140401240[[#This Row],[11]]-Множество_202207112140401240[[#This Row],[13]])</f>
        <v>1.2166666666667005</v>
      </c>
      <c r="W234" s="208">
        <f>Множество_202207112140401240[[#This Row],[15]]+Множество_202207112140401240[[#This Row],[14]]</f>
        <v>11.866666666666699</v>
      </c>
      <c r="X234" s="208">
        <f ca="1">IF(ROW()-ROW(Множество_202207112140401240[[#Headers],[17]])&gt;1,Множество_202207112140401240[[#This Row],[16]]-OFFSET(Множество_202207112140401240[[#This Row],[16]],-1,0),0)</f>
        <v>-7.5000000000002842E-2</v>
      </c>
      <c r="Y234" s="208">
        <v>-0.64999999999999902</v>
      </c>
      <c r="Z234" s="208">
        <v>-13.716666666666701</v>
      </c>
      <c r="AA234" s="208">
        <f>ABS(Множество_202207112140401240[[#This Row],[18]]-Множество_202207112140401240[[#This Row],[12]])</f>
        <v>10.649999999999999</v>
      </c>
      <c r="AB234" s="208">
        <f>ABS(Множество_202207112140401240[[#This Row],[19]]-Множество_202207112140401240[[#This Row],[13]])</f>
        <v>1.2166666666667005</v>
      </c>
      <c r="AC234" s="208">
        <f>Множество_202207112140401240[[#This Row],[20]]+Множество_202207112140401240[[#This Row],[21]]</f>
        <v>11.866666666666699</v>
      </c>
    </row>
    <row r="235" spans="6:29" x14ac:dyDescent="0.25">
      <c r="F235" s="213"/>
      <c r="K235" s="208">
        <f>Множество_202207112140401240[[#This Row],[2]]-Множество_202207112140401240[[#This Row],[4]]</f>
        <v>0</v>
      </c>
      <c r="L235" s="208">
        <f>Множество_202207112140401240[[#This Row],[3]]-Множество_202207112140401240[[#This Row],[5]]</f>
        <v>0</v>
      </c>
      <c r="M235" s="208">
        <f>Множество_202207112140401240[[#This Row],[7]]+Множество_202207112140401240[[#This Row],[6]]</f>
        <v>0</v>
      </c>
      <c r="N235" s="208" t="str">
        <f>CONCATENATE(Множество_202207112140401240[[#This Row],[2]],Множество_202207112140401240[[#This Row],[3]])</f>
        <v/>
      </c>
      <c r="O235" s="208"/>
      <c r="P235" s="208"/>
      <c r="Q235">
        <v>1.3</v>
      </c>
      <c r="R235">
        <v>-15.8</v>
      </c>
      <c r="S235" s="208">
        <v>10</v>
      </c>
      <c r="T235" s="208">
        <v>-12.5</v>
      </c>
      <c r="U235" s="208">
        <f>ABS(Множество_202207112140401240[[#This Row],[10]]-Множество_202207112140401240[[#This Row],[12]])</f>
        <v>8.6999999999999993</v>
      </c>
      <c r="V235" s="208">
        <f>ABS(Множество_202207112140401240[[#This Row],[11]]-Множество_202207112140401240[[#This Row],[13]])</f>
        <v>3.3000000000000007</v>
      </c>
      <c r="W235" s="208">
        <f>Множество_202207112140401240[[#This Row],[15]]+Множество_202207112140401240[[#This Row],[14]]</f>
        <v>12</v>
      </c>
      <c r="X235" s="208">
        <f ca="1">IF(ROW()-ROW(Множество_202207112140401240[[#Headers],[17]])&gt;1,Множество_202207112140401240[[#This Row],[16]]-OFFSET(Множество_202207112140401240[[#This Row],[16]],-1,0),0)</f>
        <v>0.13333333333330089</v>
      </c>
      <c r="Y235" s="208">
        <v>1.3</v>
      </c>
      <c r="Z235" s="208">
        <v>-15.8</v>
      </c>
      <c r="AA235" s="208">
        <f>ABS(Множество_202207112140401240[[#This Row],[18]]-Множество_202207112140401240[[#This Row],[12]])</f>
        <v>8.6999999999999993</v>
      </c>
      <c r="AB235" s="208">
        <f>ABS(Множество_202207112140401240[[#This Row],[19]]-Множество_202207112140401240[[#This Row],[13]])</f>
        <v>3.3000000000000007</v>
      </c>
      <c r="AC235" s="208">
        <f>Множество_202207112140401240[[#This Row],[20]]+Множество_202207112140401240[[#This Row],[21]]</f>
        <v>12</v>
      </c>
    </row>
    <row r="236" spans="6:29" x14ac:dyDescent="0.25">
      <c r="F236" s="213"/>
      <c r="K236" s="208">
        <f>Множество_202207112140401240[[#This Row],[2]]-Множество_202207112140401240[[#This Row],[4]]</f>
        <v>0</v>
      </c>
      <c r="L236" s="208">
        <f>Множество_202207112140401240[[#This Row],[3]]-Множество_202207112140401240[[#This Row],[5]]</f>
        <v>0</v>
      </c>
      <c r="M236" s="208">
        <f>Множество_202207112140401240[[#This Row],[7]]+Множество_202207112140401240[[#This Row],[6]]</f>
        <v>0</v>
      </c>
      <c r="N236" s="208" t="str">
        <f>CONCATENATE(Множество_202207112140401240[[#This Row],[2]],Множество_202207112140401240[[#This Row],[3]])</f>
        <v/>
      </c>
      <c r="O236" s="208"/>
      <c r="P236" s="208"/>
      <c r="Q236">
        <v>1.375</v>
      </c>
      <c r="R236">
        <v>-15.783333333333299</v>
      </c>
      <c r="S236" s="208">
        <v>10</v>
      </c>
      <c r="T236" s="208">
        <v>-12.5</v>
      </c>
      <c r="U236" s="208">
        <f>ABS(Множество_202207112140401240[[#This Row],[10]]-Множество_202207112140401240[[#This Row],[12]])</f>
        <v>8.625</v>
      </c>
      <c r="V236" s="208">
        <f>ABS(Множество_202207112140401240[[#This Row],[11]]-Множество_202207112140401240[[#This Row],[13]])</f>
        <v>3.2833333333332995</v>
      </c>
      <c r="W236" s="208">
        <f>Множество_202207112140401240[[#This Row],[15]]+Множество_202207112140401240[[#This Row],[14]]</f>
        <v>11.908333333333299</v>
      </c>
      <c r="X236" s="208">
        <f ca="1">IF(ROW()-ROW(Множество_202207112140401240[[#Headers],[17]])&gt;1,Множество_202207112140401240[[#This Row],[16]]-OFFSET(Множество_202207112140401240[[#This Row],[16]],-1,0),0)</f>
        <v>-9.1666666666700536E-2</v>
      </c>
      <c r="Y236" s="208">
        <v>1.375</v>
      </c>
      <c r="Z236" s="208">
        <v>-15.783333333333299</v>
      </c>
      <c r="AA236" s="208">
        <f>ABS(Множество_202207112140401240[[#This Row],[18]]-Множество_202207112140401240[[#This Row],[12]])</f>
        <v>8.625</v>
      </c>
      <c r="AB236" s="208">
        <f>ABS(Множество_202207112140401240[[#This Row],[19]]-Множество_202207112140401240[[#This Row],[13]])</f>
        <v>3.2833333333332995</v>
      </c>
      <c r="AC236" s="208">
        <f>Множество_202207112140401240[[#This Row],[20]]+Множество_202207112140401240[[#This Row],[21]]</f>
        <v>11.908333333333299</v>
      </c>
    </row>
    <row r="237" spans="6:29" x14ac:dyDescent="0.25">
      <c r="F237" s="213"/>
      <c r="K237" s="208">
        <f>Множество_202207112140401240[[#This Row],[2]]-Множество_202207112140401240[[#This Row],[4]]</f>
        <v>0</v>
      </c>
      <c r="L237" s="208">
        <f>Множество_202207112140401240[[#This Row],[3]]-Множество_202207112140401240[[#This Row],[5]]</f>
        <v>0</v>
      </c>
      <c r="M237" s="208">
        <f>Множество_202207112140401240[[#This Row],[7]]+Множество_202207112140401240[[#This Row],[6]]</f>
        <v>0</v>
      </c>
      <c r="N237" s="208" t="str">
        <f>CONCATENATE(Множество_202207112140401240[[#This Row],[2]],Множество_202207112140401240[[#This Row],[3]])</f>
        <v/>
      </c>
      <c r="O237" s="208"/>
      <c r="P237" s="208"/>
      <c r="Q237">
        <v>-0.79999999999999705</v>
      </c>
      <c r="R237">
        <v>-13.7</v>
      </c>
      <c r="S237" s="208">
        <v>10</v>
      </c>
      <c r="T237" s="208">
        <v>-12.5</v>
      </c>
      <c r="U237" s="208">
        <f>ABS(Множество_202207112140401240[[#This Row],[10]]-Множество_202207112140401240[[#This Row],[12]])</f>
        <v>10.799999999999997</v>
      </c>
      <c r="V237" s="208">
        <f>ABS(Множество_202207112140401240[[#This Row],[11]]-Множество_202207112140401240[[#This Row],[13]])</f>
        <v>1.1999999999999993</v>
      </c>
      <c r="W237" s="208">
        <f>Множество_202207112140401240[[#This Row],[15]]+Множество_202207112140401240[[#This Row],[14]]</f>
        <v>11.999999999999996</v>
      </c>
      <c r="X237" s="208">
        <f ca="1">IF(ROW()-ROW(Множество_202207112140401240[[#Headers],[17]])&gt;1,Множество_202207112140401240[[#This Row],[16]]-OFFSET(Множество_202207112140401240[[#This Row],[16]],-1,0),0)</f>
        <v>9.1666666666696983E-2</v>
      </c>
      <c r="Y237" s="208">
        <v>-0.79999999999999705</v>
      </c>
      <c r="Z237" s="208">
        <v>-13.7</v>
      </c>
      <c r="AA237" s="208">
        <f>ABS(Множество_202207112140401240[[#This Row],[18]]-Множество_202207112140401240[[#This Row],[12]])</f>
        <v>10.799999999999997</v>
      </c>
      <c r="AB237" s="208">
        <f>ABS(Множество_202207112140401240[[#This Row],[19]]-Множество_202207112140401240[[#This Row],[13]])</f>
        <v>1.1999999999999993</v>
      </c>
      <c r="AC237" s="208">
        <f>Множество_202207112140401240[[#This Row],[20]]+Множество_202207112140401240[[#This Row],[21]]</f>
        <v>11.999999999999996</v>
      </c>
    </row>
    <row r="238" spans="6:29" x14ac:dyDescent="0.25">
      <c r="F238" s="213"/>
      <c r="K238" s="208">
        <f>Множество_202207112140401240[[#This Row],[2]]-Множество_202207112140401240[[#This Row],[4]]</f>
        <v>0</v>
      </c>
      <c r="L238" s="208">
        <f>Множество_202207112140401240[[#This Row],[3]]-Множество_202207112140401240[[#This Row],[5]]</f>
        <v>0</v>
      </c>
      <c r="M238" s="208">
        <f>Множество_202207112140401240[[#This Row],[7]]+Множество_202207112140401240[[#This Row],[6]]</f>
        <v>0</v>
      </c>
      <c r="N238" s="208" t="str">
        <f>CONCATENATE(Множество_202207112140401240[[#This Row],[2]],Множество_202207112140401240[[#This Row],[3]])</f>
        <v/>
      </c>
      <c r="O238" s="208"/>
      <c r="P238" s="208"/>
      <c r="Q238">
        <v>-0.875</v>
      </c>
      <c r="R238">
        <v>-13.6833333333333</v>
      </c>
      <c r="S238" s="208">
        <v>10</v>
      </c>
      <c r="T238" s="208">
        <v>-12.5</v>
      </c>
      <c r="U238" s="208">
        <f>ABS(Множество_202207112140401240[[#This Row],[10]]-Множество_202207112140401240[[#This Row],[12]])</f>
        <v>10.875</v>
      </c>
      <c r="V238" s="208">
        <f>ABS(Множество_202207112140401240[[#This Row],[11]]-Множество_202207112140401240[[#This Row],[13]])</f>
        <v>1.1833333333332998</v>
      </c>
      <c r="W238" s="208">
        <f>Множество_202207112140401240[[#This Row],[15]]+Множество_202207112140401240[[#This Row],[14]]</f>
        <v>12.0583333333333</v>
      </c>
      <c r="X238" s="208">
        <f ca="1">IF(ROW()-ROW(Множество_202207112140401240[[#Headers],[17]])&gt;1,Множество_202207112140401240[[#This Row],[16]]-OFFSET(Множество_202207112140401240[[#This Row],[16]],-1,0),0)</f>
        <v>5.8333333333303372E-2</v>
      </c>
      <c r="Y238" s="208">
        <v>-0.875</v>
      </c>
      <c r="Z238" s="208">
        <v>-13.6833333333333</v>
      </c>
      <c r="AA238" s="208">
        <f>ABS(Множество_202207112140401240[[#This Row],[18]]-Множество_202207112140401240[[#This Row],[12]])</f>
        <v>10.875</v>
      </c>
      <c r="AB238" s="208">
        <f>ABS(Множество_202207112140401240[[#This Row],[19]]-Множество_202207112140401240[[#This Row],[13]])</f>
        <v>1.1833333333332998</v>
      </c>
      <c r="AC238" s="208">
        <f>Множество_202207112140401240[[#This Row],[20]]+Множество_202207112140401240[[#This Row],[21]]</f>
        <v>12.0583333333333</v>
      </c>
    </row>
    <row r="239" spans="6:29" x14ac:dyDescent="0.25">
      <c r="F239" s="213"/>
      <c r="K239" s="208">
        <f>Множество_202207112140401240[[#This Row],[2]]-Множество_202207112140401240[[#This Row],[4]]</f>
        <v>0</v>
      </c>
      <c r="L239" s="208">
        <f>Множество_202207112140401240[[#This Row],[3]]-Множество_202207112140401240[[#This Row],[5]]</f>
        <v>0</v>
      </c>
      <c r="M239" s="208">
        <f>Множество_202207112140401240[[#This Row],[7]]+Множество_202207112140401240[[#This Row],[6]]</f>
        <v>0</v>
      </c>
      <c r="N239" s="208" t="str">
        <f>CONCATENATE(Множество_202207112140401240[[#This Row],[2]],Множество_202207112140401240[[#This Row],[3]])</f>
        <v/>
      </c>
      <c r="O239" s="208"/>
      <c r="P239" s="208"/>
      <c r="Q239">
        <v>-0.94999999999999896</v>
      </c>
      <c r="R239">
        <v>-13.6666666666667</v>
      </c>
      <c r="S239" s="208">
        <v>10</v>
      </c>
      <c r="T239" s="208">
        <v>-12.5</v>
      </c>
      <c r="U239" s="208">
        <f>ABS(Множество_202207112140401240[[#This Row],[10]]-Множество_202207112140401240[[#This Row],[12]])</f>
        <v>10.95</v>
      </c>
      <c r="V239" s="208">
        <f>ABS(Множество_202207112140401240[[#This Row],[11]]-Множество_202207112140401240[[#This Row],[13]])</f>
        <v>1.1666666666666998</v>
      </c>
      <c r="W239" s="208">
        <f>Множество_202207112140401240[[#This Row],[15]]+Множество_202207112140401240[[#This Row],[14]]</f>
        <v>12.116666666666699</v>
      </c>
      <c r="X239" s="208">
        <f ca="1">IF(ROW()-ROW(Множество_202207112140401240[[#Headers],[17]])&gt;1,Множество_202207112140401240[[#This Row],[16]]-OFFSET(Множество_202207112140401240[[#This Row],[16]],-1,0),0)</f>
        <v>5.8333333333399295E-2</v>
      </c>
      <c r="Y239" s="208">
        <v>-0.94999999999999896</v>
      </c>
      <c r="Z239" s="208">
        <v>-13.6666666666667</v>
      </c>
      <c r="AA239" s="208">
        <f>ABS(Множество_202207112140401240[[#This Row],[18]]-Множество_202207112140401240[[#This Row],[12]])</f>
        <v>10.95</v>
      </c>
      <c r="AB239" s="208">
        <f>ABS(Множество_202207112140401240[[#This Row],[19]]-Множество_202207112140401240[[#This Row],[13]])</f>
        <v>1.1666666666666998</v>
      </c>
      <c r="AC239" s="208">
        <f>Множество_202207112140401240[[#This Row],[20]]+Множество_202207112140401240[[#This Row],[21]]</f>
        <v>12.116666666666699</v>
      </c>
    </row>
    <row r="240" spans="6:29" x14ac:dyDescent="0.25">
      <c r="F240" s="213"/>
      <c r="K240" s="208">
        <f>Множество_202207112140401240[[#This Row],[2]]-Множество_202207112140401240[[#This Row],[4]]</f>
        <v>0</v>
      </c>
      <c r="L240" s="208">
        <f>Множество_202207112140401240[[#This Row],[3]]-Множество_202207112140401240[[#This Row],[5]]</f>
        <v>0</v>
      </c>
      <c r="M240" s="208">
        <f>Множество_202207112140401240[[#This Row],[7]]+Множество_202207112140401240[[#This Row],[6]]</f>
        <v>0</v>
      </c>
      <c r="N240" s="208" t="str">
        <f>CONCATENATE(Множество_202207112140401240[[#This Row],[2]],Множество_202207112140401240[[#This Row],[3]])</f>
        <v/>
      </c>
      <c r="O240" s="208"/>
      <c r="P240" s="208"/>
      <c r="Q240">
        <v>1.1499999999999999</v>
      </c>
      <c r="R240">
        <v>-15.85</v>
      </c>
      <c r="S240" s="208">
        <v>10</v>
      </c>
      <c r="T240" s="208">
        <v>-12.5</v>
      </c>
      <c r="U240" s="208">
        <f>ABS(Множество_202207112140401240[[#This Row],[10]]-Множество_202207112140401240[[#This Row],[12]])</f>
        <v>8.85</v>
      </c>
      <c r="V240" s="208">
        <f>ABS(Множество_202207112140401240[[#This Row],[11]]-Множество_202207112140401240[[#This Row],[13]])</f>
        <v>3.3499999999999996</v>
      </c>
      <c r="W240" s="208">
        <f>Множество_202207112140401240[[#This Row],[15]]+Множество_202207112140401240[[#This Row],[14]]</f>
        <v>12.2</v>
      </c>
      <c r="X240" s="208">
        <f ca="1">IF(ROW()-ROW(Множество_202207112140401240[[#Headers],[17]])&gt;1,Множество_202207112140401240[[#This Row],[16]]-OFFSET(Множество_202207112140401240[[#This Row],[16]],-1,0),0)</f>
        <v>8.3333333333300175E-2</v>
      </c>
      <c r="Y240" s="208">
        <v>1.1499999999999999</v>
      </c>
      <c r="Z240" s="208">
        <v>-15.85</v>
      </c>
      <c r="AA240" s="208">
        <f>ABS(Множество_202207112140401240[[#This Row],[18]]-Множество_202207112140401240[[#This Row],[12]])</f>
        <v>8.85</v>
      </c>
      <c r="AB240" s="208">
        <f>ABS(Множество_202207112140401240[[#This Row],[19]]-Множество_202207112140401240[[#This Row],[13]])</f>
        <v>3.3499999999999996</v>
      </c>
      <c r="AC240" s="208">
        <f>Множество_202207112140401240[[#This Row],[20]]+Множество_202207112140401240[[#This Row],[21]]</f>
        <v>12.2</v>
      </c>
    </row>
    <row r="241" spans="6:29" x14ac:dyDescent="0.25">
      <c r="F241" s="213"/>
      <c r="K241" s="208">
        <f>Множество_202207112140401240[[#This Row],[2]]-Множество_202207112140401240[[#This Row],[4]]</f>
        <v>0</v>
      </c>
      <c r="L241" s="208">
        <f>Множество_202207112140401240[[#This Row],[3]]-Множество_202207112140401240[[#This Row],[5]]</f>
        <v>0</v>
      </c>
      <c r="M241" s="208">
        <f>Множество_202207112140401240[[#This Row],[7]]+Множество_202207112140401240[[#This Row],[6]]</f>
        <v>0</v>
      </c>
      <c r="N241" s="208" t="str">
        <f>CONCATENATE(Множество_202207112140401240[[#This Row],[2]],Множество_202207112140401240[[#This Row],[3]])</f>
        <v/>
      </c>
      <c r="O241" s="208"/>
      <c r="P241" s="208"/>
      <c r="Q241">
        <v>1.2250000000000001</v>
      </c>
      <c r="R241">
        <v>-15.8333333333333</v>
      </c>
      <c r="S241" s="208">
        <v>10</v>
      </c>
      <c r="T241" s="208">
        <v>-12.5</v>
      </c>
      <c r="U241" s="208">
        <f>ABS(Множество_202207112140401240[[#This Row],[10]]-Множество_202207112140401240[[#This Row],[12]])</f>
        <v>8.7750000000000004</v>
      </c>
      <c r="V241" s="208">
        <f>ABS(Множество_202207112140401240[[#This Row],[11]]-Множество_202207112140401240[[#This Row],[13]])</f>
        <v>3.3333333333333002</v>
      </c>
      <c r="W241" s="208">
        <f>Множество_202207112140401240[[#This Row],[15]]+Множество_202207112140401240[[#This Row],[14]]</f>
        <v>12.108333333333301</v>
      </c>
      <c r="X241" s="208">
        <f ca="1">IF(ROW()-ROW(Множество_202207112140401240[[#Headers],[17]])&gt;1,Множество_202207112140401240[[#This Row],[16]]-OFFSET(Множество_202207112140401240[[#This Row],[16]],-1,0),0)</f>
        <v>-9.166666666669876E-2</v>
      </c>
      <c r="Y241" s="208">
        <v>1.2250000000000001</v>
      </c>
      <c r="Z241" s="208">
        <v>-15.8333333333333</v>
      </c>
      <c r="AA241" s="208">
        <f>ABS(Множество_202207112140401240[[#This Row],[18]]-Множество_202207112140401240[[#This Row],[12]])</f>
        <v>8.7750000000000004</v>
      </c>
      <c r="AB241" s="208">
        <f>ABS(Множество_202207112140401240[[#This Row],[19]]-Множество_202207112140401240[[#This Row],[13]])</f>
        <v>3.3333333333333002</v>
      </c>
      <c r="AC241" s="208">
        <f>Множество_202207112140401240[[#This Row],[20]]+Множество_202207112140401240[[#This Row],[21]]</f>
        <v>12.108333333333301</v>
      </c>
    </row>
    <row r="242" spans="6:29" x14ac:dyDescent="0.25">
      <c r="F242" s="213"/>
      <c r="K242" s="208">
        <f>Множество_202207112140401240[[#This Row],[2]]-Множество_202207112140401240[[#This Row],[4]]</f>
        <v>0</v>
      </c>
      <c r="L242" s="208">
        <f>Множество_202207112140401240[[#This Row],[3]]-Множество_202207112140401240[[#This Row],[5]]</f>
        <v>0</v>
      </c>
      <c r="M242" s="208">
        <f>Множество_202207112140401240[[#This Row],[7]]+Множество_202207112140401240[[#This Row],[6]]</f>
        <v>0</v>
      </c>
      <c r="N242" s="208" t="str">
        <f>CONCATENATE(Множество_202207112140401240[[#This Row],[2]],Множество_202207112140401240[[#This Row],[3]])</f>
        <v/>
      </c>
      <c r="O242" s="208"/>
      <c r="P242" s="208"/>
      <c r="Q242">
        <v>-1.1000000000000001</v>
      </c>
      <c r="R242">
        <v>-13.65</v>
      </c>
      <c r="S242" s="208">
        <v>10</v>
      </c>
      <c r="T242" s="208">
        <v>-12.5</v>
      </c>
      <c r="U242" s="208">
        <f>ABS(Множество_202207112140401240[[#This Row],[10]]-Множество_202207112140401240[[#This Row],[12]])</f>
        <v>11.1</v>
      </c>
      <c r="V242" s="208">
        <f>ABS(Множество_202207112140401240[[#This Row],[11]]-Множество_202207112140401240[[#This Row],[13]])</f>
        <v>1.1500000000000004</v>
      </c>
      <c r="W242" s="208">
        <f>Множество_202207112140401240[[#This Row],[15]]+Множество_202207112140401240[[#This Row],[14]]</f>
        <v>12.25</v>
      </c>
      <c r="X242" s="208">
        <f ca="1">IF(ROW()-ROW(Множество_202207112140401240[[#Headers],[17]])&gt;1,Множество_202207112140401240[[#This Row],[16]]-OFFSET(Множество_202207112140401240[[#This Row],[16]],-1,0),0)</f>
        <v>0.14166666666669947</v>
      </c>
      <c r="Y242" s="208">
        <v>-1.1000000000000001</v>
      </c>
      <c r="Z242" s="208">
        <v>-13.65</v>
      </c>
      <c r="AA242" s="208">
        <f>ABS(Множество_202207112140401240[[#This Row],[18]]-Множество_202207112140401240[[#This Row],[12]])</f>
        <v>11.1</v>
      </c>
      <c r="AB242" s="208">
        <f>ABS(Множество_202207112140401240[[#This Row],[19]]-Множество_202207112140401240[[#This Row],[13]])</f>
        <v>1.1500000000000004</v>
      </c>
      <c r="AC242" s="208">
        <f>Множество_202207112140401240[[#This Row],[20]]+Множество_202207112140401240[[#This Row],[21]]</f>
        <v>12.25</v>
      </c>
    </row>
    <row r="243" spans="6:29" x14ac:dyDescent="0.25">
      <c r="F243" s="213"/>
      <c r="K243" s="208">
        <f>Множество_202207112140401240[[#This Row],[2]]-Множество_202207112140401240[[#This Row],[4]]</f>
        <v>0</v>
      </c>
      <c r="L243" s="208">
        <f>Множество_202207112140401240[[#This Row],[3]]-Множество_202207112140401240[[#This Row],[5]]</f>
        <v>0</v>
      </c>
      <c r="M243" s="208">
        <f>Множество_202207112140401240[[#This Row],[7]]+Множество_202207112140401240[[#This Row],[6]]</f>
        <v>0</v>
      </c>
      <c r="N243" s="208" t="str">
        <f>CONCATENATE(Множество_202207112140401240[[#This Row],[2]],Множество_202207112140401240[[#This Row],[3]])</f>
        <v/>
      </c>
      <c r="O243" s="208"/>
      <c r="P243" s="208"/>
      <c r="Q243">
        <v>-1.25</v>
      </c>
      <c r="R243">
        <v>-13.616666666666699</v>
      </c>
      <c r="S243" s="208">
        <v>10</v>
      </c>
      <c r="T243" s="208">
        <v>-12.5</v>
      </c>
      <c r="U243" s="208">
        <f>ABS(Множество_202207112140401240[[#This Row],[10]]-Множество_202207112140401240[[#This Row],[12]])</f>
        <v>11.25</v>
      </c>
      <c r="V243" s="208">
        <f>ABS(Множество_202207112140401240[[#This Row],[11]]-Множество_202207112140401240[[#This Row],[13]])</f>
        <v>1.1166666666666991</v>
      </c>
      <c r="W243" s="208">
        <f>Множество_202207112140401240[[#This Row],[15]]+Множество_202207112140401240[[#This Row],[14]]</f>
        <v>12.366666666666699</v>
      </c>
      <c r="X243" s="208">
        <f ca="1">IF(ROW()-ROW(Множество_202207112140401240[[#Headers],[17]])&gt;1,Множество_202207112140401240[[#This Row],[16]]-OFFSET(Множество_202207112140401240[[#This Row],[16]],-1,0),0)</f>
        <v>0.11666666666669911</v>
      </c>
      <c r="Y243" s="208">
        <v>-1.25</v>
      </c>
      <c r="Z243" s="208">
        <v>-13.616666666666699</v>
      </c>
      <c r="AA243" s="208">
        <f>ABS(Множество_202207112140401240[[#This Row],[18]]-Множество_202207112140401240[[#This Row],[12]])</f>
        <v>11.25</v>
      </c>
      <c r="AB243" s="208">
        <f>ABS(Множество_202207112140401240[[#This Row],[19]]-Множество_202207112140401240[[#This Row],[13]])</f>
        <v>1.1166666666666991</v>
      </c>
      <c r="AC243" s="208">
        <f>Множество_202207112140401240[[#This Row],[20]]+Множество_202207112140401240[[#This Row],[21]]</f>
        <v>12.366666666666699</v>
      </c>
    </row>
    <row r="244" spans="6:29" x14ac:dyDescent="0.25">
      <c r="F244" s="213"/>
      <c r="K244" s="208">
        <f>Множество_202207112140401240[[#This Row],[2]]-Множество_202207112140401240[[#This Row],[4]]</f>
        <v>0</v>
      </c>
      <c r="L244" s="208">
        <f>Множество_202207112140401240[[#This Row],[3]]-Множество_202207112140401240[[#This Row],[5]]</f>
        <v>0</v>
      </c>
      <c r="M244" s="208">
        <f>Множество_202207112140401240[[#This Row],[7]]+Множество_202207112140401240[[#This Row],[6]]</f>
        <v>0</v>
      </c>
      <c r="N244" s="208" t="str">
        <f>CONCATENATE(Множество_202207112140401240[[#This Row],[2]],Множество_202207112140401240[[#This Row],[3]])</f>
        <v/>
      </c>
      <c r="O244" s="208"/>
      <c r="P244" s="208"/>
      <c r="Q244">
        <v>1.075</v>
      </c>
      <c r="R244">
        <v>-15.866666666666699</v>
      </c>
      <c r="S244" s="208">
        <v>10</v>
      </c>
      <c r="T244" s="208">
        <v>-12.5</v>
      </c>
      <c r="U244" s="208">
        <f>ABS(Множество_202207112140401240[[#This Row],[10]]-Множество_202207112140401240[[#This Row],[12]])</f>
        <v>8.9250000000000007</v>
      </c>
      <c r="V244" s="208">
        <f>ABS(Множество_202207112140401240[[#This Row],[11]]-Множество_202207112140401240[[#This Row],[13]])</f>
        <v>3.3666666666666991</v>
      </c>
      <c r="W244" s="208">
        <f>Множество_202207112140401240[[#This Row],[15]]+Множество_202207112140401240[[#This Row],[14]]</f>
        <v>12.2916666666667</v>
      </c>
      <c r="X244" s="208">
        <f ca="1">IF(ROW()-ROW(Множество_202207112140401240[[#Headers],[17]])&gt;1,Множество_202207112140401240[[#This Row],[16]]-OFFSET(Множество_202207112140401240[[#This Row],[16]],-1,0),0)</f>
        <v>-7.4999999999999289E-2</v>
      </c>
      <c r="Y244" s="208">
        <v>1.075</v>
      </c>
      <c r="Z244" s="208">
        <v>-15.866666666666699</v>
      </c>
      <c r="AA244" s="208">
        <f>ABS(Множество_202207112140401240[[#This Row],[18]]-Множество_202207112140401240[[#This Row],[12]])</f>
        <v>8.9250000000000007</v>
      </c>
      <c r="AB244" s="208">
        <f>ABS(Множество_202207112140401240[[#This Row],[19]]-Множество_202207112140401240[[#This Row],[13]])</f>
        <v>3.3666666666666991</v>
      </c>
      <c r="AC244" s="208">
        <f>Множество_202207112140401240[[#This Row],[20]]+Множество_202207112140401240[[#This Row],[21]]</f>
        <v>12.2916666666667</v>
      </c>
    </row>
    <row r="245" spans="6:29" x14ac:dyDescent="0.25">
      <c r="F245" s="213"/>
      <c r="K245" s="208">
        <f>Множество_202207112140401240[[#This Row],[2]]-Множество_202207112140401240[[#This Row],[4]]</f>
        <v>0</v>
      </c>
      <c r="L245" s="208">
        <f>Множество_202207112140401240[[#This Row],[3]]-Множество_202207112140401240[[#This Row],[5]]</f>
        <v>0</v>
      </c>
      <c r="M245" s="208">
        <f>Множество_202207112140401240[[#This Row],[7]]+Множество_202207112140401240[[#This Row],[6]]</f>
        <v>0</v>
      </c>
      <c r="N245" s="208" t="str">
        <f>CONCATENATE(Множество_202207112140401240[[#This Row],[2]],Множество_202207112140401240[[#This Row],[3]])</f>
        <v/>
      </c>
      <c r="O245" s="208"/>
      <c r="P245" s="208"/>
      <c r="Q245">
        <v>-1.175</v>
      </c>
      <c r="R245">
        <v>-13.633333333333301</v>
      </c>
      <c r="S245" s="208">
        <v>10</v>
      </c>
      <c r="T245" s="208">
        <v>-12.5</v>
      </c>
      <c r="U245" s="208">
        <f>ABS(Множество_202207112140401240[[#This Row],[10]]-Множество_202207112140401240[[#This Row],[12]])</f>
        <v>11.175000000000001</v>
      </c>
      <c r="V245" s="208">
        <f>ABS(Множество_202207112140401240[[#This Row],[11]]-Множество_202207112140401240[[#This Row],[13]])</f>
        <v>1.1333333333333009</v>
      </c>
      <c r="W245" s="208">
        <f>Множество_202207112140401240[[#This Row],[15]]+Множество_202207112140401240[[#This Row],[14]]</f>
        <v>12.308333333333302</v>
      </c>
      <c r="X245" s="208">
        <f ca="1">IF(ROW()-ROW(Множество_202207112140401240[[#Headers],[17]])&gt;1,Множество_202207112140401240[[#This Row],[16]]-OFFSET(Множество_202207112140401240[[#This Row],[16]],-1,0),0)</f>
        <v>1.666666666660177E-2</v>
      </c>
      <c r="Y245" s="208">
        <v>-1.175</v>
      </c>
      <c r="Z245" s="208">
        <v>-13.633333333333301</v>
      </c>
      <c r="AA245" s="208">
        <f>ABS(Множество_202207112140401240[[#This Row],[18]]-Множество_202207112140401240[[#This Row],[12]])</f>
        <v>11.175000000000001</v>
      </c>
      <c r="AB245" s="208">
        <f>ABS(Множество_202207112140401240[[#This Row],[19]]-Множество_202207112140401240[[#This Row],[13]])</f>
        <v>1.1333333333333009</v>
      </c>
      <c r="AC245" s="208">
        <f>Множество_202207112140401240[[#This Row],[20]]+Множество_202207112140401240[[#This Row],[21]]</f>
        <v>12.308333333333302</v>
      </c>
    </row>
    <row r="246" spans="6:29" x14ac:dyDescent="0.25">
      <c r="F246" s="213"/>
      <c r="K246" s="208">
        <f>Множество_202207112140401240[[#This Row],[2]]-Множество_202207112140401240[[#This Row],[4]]</f>
        <v>0</v>
      </c>
      <c r="L246" s="208">
        <f>Множество_202207112140401240[[#This Row],[3]]-Множество_202207112140401240[[#This Row],[5]]</f>
        <v>0</v>
      </c>
      <c r="M246" s="208">
        <f>Множество_202207112140401240[[#This Row],[7]]+Множество_202207112140401240[[#This Row],[6]]</f>
        <v>0</v>
      </c>
      <c r="N246" s="208" t="str">
        <f>CONCATENATE(Множество_202207112140401240[[#This Row],[2]],Множество_202207112140401240[[#This Row],[3]])</f>
        <v/>
      </c>
      <c r="O246" s="208"/>
      <c r="P246" s="208"/>
      <c r="Q246">
        <v>-1.4</v>
      </c>
      <c r="R246">
        <v>-13.6</v>
      </c>
      <c r="S246" s="208">
        <v>10</v>
      </c>
      <c r="T246" s="208">
        <v>-12.5</v>
      </c>
      <c r="U246" s="208">
        <f>ABS(Множество_202207112140401240[[#This Row],[10]]-Множество_202207112140401240[[#This Row],[12]])</f>
        <v>11.4</v>
      </c>
      <c r="V246" s="208">
        <f>ABS(Множество_202207112140401240[[#This Row],[11]]-Множество_202207112140401240[[#This Row],[13]])</f>
        <v>1.0999999999999996</v>
      </c>
      <c r="W246" s="208">
        <f>Множество_202207112140401240[[#This Row],[15]]+Множество_202207112140401240[[#This Row],[14]]</f>
        <v>12.5</v>
      </c>
      <c r="X246" s="208">
        <f ca="1">IF(ROW()-ROW(Множество_202207112140401240[[#Headers],[17]])&gt;1,Множество_202207112140401240[[#This Row],[16]]-OFFSET(Множество_202207112140401240[[#This Row],[16]],-1,0),0)</f>
        <v>0.1916666666666984</v>
      </c>
      <c r="Y246" s="208">
        <v>-1.4</v>
      </c>
      <c r="Z246" s="208">
        <v>-13.6</v>
      </c>
      <c r="AA246" s="208">
        <f>ABS(Множество_202207112140401240[[#This Row],[18]]-Множество_202207112140401240[[#This Row],[12]])</f>
        <v>11.4</v>
      </c>
      <c r="AB246" s="208">
        <f>ABS(Множество_202207112140401240[[#This Row],[19]]-Множество_202207112140401240[[#This Row],[13]])</f>
        <v>1.0999999999999996</v>
      </c>
      <c r="AC246" s="208">
        <f>Множество_202207112140401240[[#This Row],[20]]+Множество_202207112140401240[[#This Row],[21]]</f>
        <v>12.5</v>
      </c>
    </row>
    <row r="247" spans="6:29" x14ac:dyDescent="0.25">
      <c r="F247" s="213"/>
      <c r="K247" s="208">
        <f>Множество_202207112140401240[[#This Row],[2]]-Множество_202207112140401240[[#This Row],[4]]</f>
        <v>0</v>
      </c>
      <c r="L247" s="208">
        <f>Множество_202207112140401240[[#This Row],[3]]-Множество_202207112140401240[[#This Row],[5]]</f>
        <v>0</v>
      </c>
      <c r="M247" s="208">
        <f>Множество_202207112140401240[[#This Row],[7]]+Множество_202207112140401240[[#This Row],[6]]</f>
        <v>0</v>
      </c>
      <c r="N247" s="208" t="str">
        <f>CONCATENATE(Множество_202207112140401240[[#This Row],[2]],Множество_202207112140401240[[#This Row],[3]])</f>
        <v/>
      </c>
      <c r="O247" s="208"/>
      <c r="P247" s="208"/>
      <c r="Q247">
        <v>-1.325</v>
      </c>
      <c r="R247">
        <v>-13.6</v>
      </c>
      <c r="S247" s="208">
        <v>10</v>
      </c>
      <c r="T247" s="208">
        <v>-12.5</v>
      </c>
      <c r="U247" s="208">
        <f>ABS(Множество_202207112140401240[[#This Row],[10]]-Множество_202207112140401240[[#This Row],[12]])</f>
        <v>11.324999999999999</v>
      </c>
      <c r="V247" s="208">
        <f>ABS(Множество_202207112140401240[[#This Row],[11]]-Множество_202207112140401240[[#This Row],[13]])</f>
        <v>1.0999999999999996</v>
      </c>
      <c r="W247" s="208">
        <f>Множество_202207112140401240[[#This Row],[15]]+Множество_202207112140401240[[#This Row],[14]]</f>
        <v>12.424999999999999</v>
      </c>
      <c r="X247" s="208">
        <f ca="1">IF(ROW()-ROW(Множество_202207112140401240[[#Headers],[17]])&gt;1,Множество_202207112140401240[[#This Row],[16]]-OFFSET(Множество_202207112140401240[[#This Row],[16]],-1,0),0)</f>
        <v>-7.5000000000001066E-2</v>
      </c>
      <c r="Y247" s="208">
        <v>-1.325</v>
      </c>
      <c r="Z247" s="208">
        <v>-13.6</v>
      </c>
      <c r="AA247" s="208">
        <f>ABS(Множество_202207112140401240[[#This Row],[18]]-Множество_202207112140401240[[#This Row],[12]])</f>
        <v>11.324999999999999</v>
      </c>
      <c r="AB247" s="208">
        <f>ABS(Множество_202207112140401240[[#This Row],[19]]-Множество_202207112140401240[[#This Row],[13]])</f>
        <v>1.0999999999999996</v>
      </c>
      <c r="AC247" s="208">
        <f>Множество_202207112140401240[[#This Row],[20]]+Множество_202207112140401240[[#This Row],[21]]</f>
        <v>12.424999999999999</v>
      </c>
    </row>
    <row r="248" spans="6:29" x14ac:dyDescent="0.25">
      <c r="F248" s="213"/>
      <c r="K248" s="208">
        <f>Множество_202207112140401240[[#This Row],[2]]-Множество_202207112140401240[[#This Row],[4]]</f>
        <v>0</v>
      </c>
      <c r="L248" s="208">
        <f>Множество_202207112140401240[[#This Row],[3]]-Множество_202207112140401240[[#This Row],[5]]</f>
        <v>0</v>
      </c>
      <c r="M248" s="208">
        <f>Множество_202207112140401240[[#This Row],[7]]+Множество_202207112140401240[[#This Row],[6]]</f>
        <v>0</v>
      </c>
      <c r="N248" s="208" t="str">
        <f>CONCATENATE(Множество_202207112140401240[[#This Row],[2]],Множество_202207112140401240[[#This Row],[3]])</f>
        <v/>
      </c>
      <c r="O248" s="208"/>
      <c r="P248" s="208"/>
      <c r="Q248">
        <v>0.999999999999996</v>
      </c>
      <c r="R248">
        <v>-15.9</v>
      </c>
      <c r="S248" s="208">
        <v>10</v>
      </c>
      <c r="T248" s="208">
        <v>-12.5</v>
      </c>
      <c r="U248" s="208">
        <f>ABS(Множество_202207112140401240[[#This Row],[10]]-Множество_202207112140401240[[#This Row],[12]])</f>
        <v>9.0000000000000036</v>
      </c>
      <c r="V248" s="208">
        <f>ABS(Множество_202207112140401240[[#This Row],[11]]-Множество_202207112140401240[[#This Row],[13]])</f>
        <v>3.4000000000000004</v>
      </c>
      <c r="W248" s="208">
        <f>Множество_202207112140401240[[#This Row],[15]]+Множество_202207112140401240[[#This Row],[14]]</f>
        <v>12.400000000000004</v>
      </c>
      <c r="X248" s="208">
        <f ca="1">IF(ROW()-ROW(Множество_202207112140401240[[#Headers],[17]])&gt;1,Множество_202207112140401240[[#This Row],[16]]-OFFSET(Множество_202207112140401240[[#This Row],[16]],-1,0),0)</f>
        <v>-2.4999999999995026E-2</v>
      </c>
      <c r="Y248" s="208">
        <v>0.999999999999996</v>
      </c>
      <c r="Z248" s="208">
        <v>-15.9</v>
      </c>
      <c r="AA248" s="208">
        <f>ABS(Множество_202207112140401240[[#This Row],[18]]-Множество_202207112140401240[[#This Row],[12]])</f>
        <v>9.0000000000000036</v>
      </c>
      <c r="AB248" s="208">
        <f>ABS(Множество_202207112140401240[[#This Row],[19]]-Множество_202207112140401240[[#This Row],[13]])</f>
        <v>3.4000000000000004</v>
      </c>
      <c r="AC248" s="208">
        <f>Множество_202207112140401240[[#This Row],[20]]+Множество_202207112140401240[[#This Row],[21]]</f>
        <v>12.400000000000004</v>
      </c>
    </row>
    <row r="249" spans="6:29" x14ac:dyDescent="0.25">
      <c r="F249" s="213"/>
      <c r="K249" s="208">
        <f>Множество_202207112140401240[[#This Row],[2]]-Множество_202207112140401240[[#This Row],[4]]</f>
        <v>0</v>
      </c>
      <c r="L249" s="208">
        <f>Множество_202207112140401240[[#This Row],[3]]-Множество_202207112140401240[[#This Row],[5]]</f>
        <v>0</v>
      </c>
      <c r="M249" s="208">
        <f>Множество_202207112140401240[[#This Row],[7]]+Множество_202207112140401240[[#This Row],[6]]</f>
        <v>0</v>
      </c>
      <c r="N249" s="208" t="str">
        <f>CONCATENATE(Множество_202207112140401240[[#This Row],[2]],Множество_202207112140401240[[#This Row],[3]])</f>
        <v/>
      </c>
      <c r="O249" s="208"/>
      <c r="P249" s="208"/>
      <c r="Q249">
        <v>0.92500000000000104</v>
      </c>
      <c r="R249">
        <v>-15.9166666666667</v>
      </c>
      <c r="S249" s="208">
        <v>10</v>
      </c>
      <c r="T249" s="208">
        <v>-12.5</v>
      </c>
      <c r="U249" s="208">
        <f>ABS(Множество_202207112140401240[[#This Row],[10]]-Множество_202207112140401240[[#This Row],[12]])</f>
        <v>9.0749999999999993</v>
      </c>
      <c r="V249" s="208">
        <f>ABS(Множество_202207112140401240[[#This Row],[11]]-Множество_202207112140401240[[#This Row],[13]])</f>
        <v>3.4166666666666998</v>
      </c>
      <c r="W249" s="208">
        <f>Множество_202207112140401240[[#This Row],[15]]+Множество_202207112140401240[[#This Row],[14]]</f>
        <v>12.491666666666699</v>
      </c>
      <c r="X249" s="208">
        <f ca="1">IF(ROW()-ROW(Множество_202207112140401240[[#Headers],[17]])&gt;1,Множество_202207112140401240[[#This Row],[16]]-OFFSET(Множество_202207112140401240[[#This Row],[16]],-1,0),0)</f>
        <v>9.1666666666695207E-2</v>
      </c>
      <c r="Y249" s="208">
        <v>0.92500000000000104</v>
      </c>
      <c r="Z249" s="208">
        <v>-15.9166666666667</v>
      </c>
      <c r="AA249" s="208">
        <f>ABS(Множество_202207112140401240[[#This Row],[18]]-Множество_202207112140401240[[#This Row],[12]])</f>
        <v>9.0749999999999993</v>
      </c>
      <c r="AB249" s="208">
        <f>ABS(Множество_202207112140401240[[#This Row],[19]]-Множество_202207112140401240[[#This Row],[13]])</f>
        <v>3.4166666666666998</v>
      </c>
      <c r="AC249" s="208">
        <f>Множество_202207112140401240[[#This Row],[20]]+Множество_202207112140401240[[#This Row],[21]]</f>
        <v>12.491666666666699</v>
      </c>
    </row>
    <row r="250" spans="6:29" x14ac:dyDescent="0.25">
      <c r="F250" s="213"/>
      <c r="K250" s="208">
        <f>Множество_202207112140401240[[#This Row],[2]]-Множество_202207112140401240[[#This Row],[4]]</f>
        <v>0</v>
      </c>
      <c r="L250" s="208">
        <f>Множество_202207112140401240[[#This Row],[3]]-Множество_202207112140401240[[#This Row],[5]]</f>
        <v>0</v>
      </c>
      <c r="M250" s="208">
        <f>Множество_202207112140401240[[#This Row],[7]]+Множество_202207112140401240[[#This Row],[6]]</f>
        <v>0</v>
      </c>
      <c r="N250" s="208" t="str">
        <f>CONCATENATE(Множество_202207112140401240[[#This Row],[2]],Множество_202207112140401240[[#This Row],[3]])</f>
        <v/>
      </c>
      <c r="O250" s="208"/>
      <c r="P250" s="208"/>
      <c r="Q250">
        <v>-1.4750000000000001</v>
      </c>
      <c r="R250">
        <v>-13.5833333333333</v>
      </c>
      <c r="S250" s="208">
        <v>10</v>
      </c>
      <c r="T250" s="208">
        <v>-12.5</v>
      </c>
      <c r="U250" s="208">
        <f>ABS(Множество_202207112140401240[[#This Row],[10]]-Множество_202207112140401240[[#This Row],[12]])</f>
        <v>11.475</v>
      </c>
      <c r="V250" s="208">
        <f>ABS(Множество_202207112140401240[[#This Row],[11]]-Множество_202207112140401240[[#This Row],[13]])</f>
        <v>1.0833333333333002</v>
      </c>
      <c r="W250" s="208">
        <f>Множество_202207112140401240[[#This Row],[15]]+Множество_202207112140401240[[#This Row],[14]]</f>
        <v>12.5583333333333</v>
      </c>
      <c r="X250" s="208">
        <f ca="1">IF(ROW()-ROW(Множество_202207112140401240[[#Headers],[17]])&gt;1,Множество_202207112140401240[[#This Row],[16]]-OFFSET(Множество_202207112140401240[[#This Row],[16]],-1,0),0)</f>
        <v>6.6666666666600705E-2</v>
      </c>
      <c r="Y250" s="208">
        <v>-1.4750000000000001</v>
      </c>
      <c r="Z250" s="208">
        <v>-13.5833333333333</v>
      </c>
      <c r="AA250" s="208">
        <f>ABS(Множество_202207112140401240[[#This Row],[18]]-Множество_202207112140401240[[#This Row],[12]])</f>
        <v>11.475</v>
      </c>
      <c r="AB250" s="208">
        <f>ABS(Множество_202207112140401240[[#This Row],[19]]-Множество_202207112140401240[[#This Row],[13]])</f>
        <v>1.0833333333333002</v>
      </c>
      <c r="AC250" s="208">
        <f>Множество_202207112140401240[[#This Row],[20]]+Множество_202207112140401240[[#This Row],[21]]</f>
        <v>12.5583333333333</v>
      </c>
    </row>
    <row r="251" spans="6:29" x14ac:dyDescent="0.25">
      <c r="F251" s="213"/>
      <c r="K251" s="208">
        <f>Множество_202207112140401240[[#This Row],[2]]-Множество_202207112140401240[[#This Row],[4]]</f>
        <v>0</v>
      </c>
      <c r="L251" s="208">
        <f>Множество_202207112140401240[[#This Row],[3]]-Множество_202207112140401240[[#This Row],[5]]</f>
        <v>0</v>
      </c>
      <c r="M251" s="208">
        <f>Множество_202207112140401240[[#This Row],[7]]+Множество_202207112140401240[[#This Row],[6]]</f>
        <v>0</v>
      </c>
      <c r="N251" s="208" t="str">
        <f>CONCATENATE(Множество_202207112140401240[[#This Row],[2]],Множество_202207112140401240[[#This Row],[3]])</f>
        <v/>
      </c>
      <c r="O251" s="208"/>
      <c r="P251" s="208"/>
      <c r="Q251">
        <v>0.84999999999999798</v>
      </c>
      <c r="R251">
        <v>-15.9333333333333</v>
      </c>
      <c r="S251" s="208">
        <v>10</v>
      </c>
      <c r="T251" s="208">
        <v>-12.5</v>
      </c>
      <c r="U251" s="208">
        <f>ABS(Множество_202207112140401240[[#This Row],[10]]-Множество_202207112140401240[[#This Row],[12]])</f>
        <v>9.1500000000000021</v>
      </c>
      <c r="V251" s="208">
        <f>ABS(Множество_202207112140401240[[#This Row],[11]]-Множество_202207112140401240[[#This Row],[13]])</f>
        <v>3.4333333333332998</v>
      </c>
      <c r="W251" s="208">
        <f>Множество_202207112140401240[[#This Row],[15]]+Множество_202207112140401240[[#This Row],[14]]</f>
        <v>12.583333333333302</v>
      </c>
      <c r="X251" s="208">
        <f ca="1">IF(ROW()-ROW(Множество_202207112140401240[[#Headers],[17]])&gt;1,Множество_202207112140401240[[#This Row],[16]]-OFFSET(Множество_202207112140401240[[#This Row],[16]],-1,0),0)</f>
        <v>2.5000000000002132E-2</v>
      </c>
      <c r="Y251" s="208">
        <v>0.84999999999999798</v>
      </c>
      <c r="Z251" s="208">
        <v>-15.9333333333333</v>
      </c>
      <c r="AA251" s="208">
        <f>ABS(Множество_202207112140401240[[#This Row],[18]]-Множество_202207112140401240[[#This Row],[12]])</f>
        <v>9.1500000000000021</v>
      </c>
      <c r="AB251" s="208">
        <f>ABS(Множество_202207112140401240[[#This Row],[19]]-Множество_202207112140401240[[#This Row],[13]])</f>
        <v>3.4333333333332998</v>
      </c>
      <c r="AC251" s="208">
        <f>Множество_202207112140401240[[#This Row],[20]]+Множество_202207112140401240[[#This Row],[21]]</f>
        <v>12.583333333333302</v>
      </c>
    </row>
    <row r="252" spans="6:29" x14ac:dyDescent="0.25">
      <c r="F252" s="213"/>
      <c r="K252" s="208">
        <f>Множество_202207112140401240[[#This Row],[2]]-Множество_202207112140401240[[#This Row],[4]]</f>
        <v>0</v>
      </c>
      <c r="L252" s="208">
        <f>Множество_202207112140401240[[#This Row],[3]]-Множество_202207112140401240[[#This Row],[5]]</f>
        <v>0</v>
      </c>
      <c r="M252" s="208">
        <f>Множество_202207112140401240[[#This Row],[7]]+Множество_202207112140401240[[#This Row],[6]]</f>
        <v>0</v>
      </c>
      <c r="N252" s="208" t="str">
        <f>CONCATENATE(Множество_202207112140401240[[#This Row],[2]],Множество_202207112140401240[[#This Row],[3]])</f>
        <v/>
      </c>
      <c r="O252" s="208"/>
      <c r="P252" s="208"/>
      <c r="Q252">
        <v>0.77499999999999902</v>
      </c>
      <c r="R252">
        <v>-15.95</v>
      </c>
      <c r="S252" s="208">
        <v>10</v>
      </c>
      <c r="T252" s="208">
        <v>-12.5</v>
      </c>
      <c r="U252" s="208">
        <f>ABS(Множество_202207112140401240[[#This Row],[10]]-Множество_202207112140401240[[#This Row],[12]])</f>
        <v>9.2250000000000014</v>
      </c>
      <c r="V252" s="208">
        <f>ABS(Множество_202207112140401240[[#This Row],[11]]-Множество_202207112140401240[[#This Row],[13]])</f>
        <v>3.4499999999999993</v>
      </c>
      <c r="W252" s="208">
        <f>Множество_202207112140401240[[#This Row],[15]]+Множество_202207112140401240[[#This Row],[14]]</f>
        <v>12.675000000000001</v>
      </c>
      <c r="X252" s="208">
        <f ca="1">IF(ROW()-ROW(Множество_202207112140401240[[#Headers],[17]])&gt;1,Множество_202207112140401240[[#This Row],[16]]-OFFSET(Множество_202207112140401240[[#This Row],[16]],-1,0),0)</f>
        <v>9.166666666669876E-2</v>
      </c>
      <c r="Y252" s="208">
        <v>0.77499999999999902</v>
      </c>
      <c r="Z252" s="208">
        <v>-15.95</v>
      </c>
      <c r="AA252" s="208">
        <f>ABS(Множество_202207112140401240[[#This Row],[18]]-Множество_202207112140401240[[#This Row],[12]])</f>
        <v>9.2250000000000014</v>
      </c>
      <c r="AB252" s="208">
        <f>ABS(Множество_202207112140401240[[#This Row],[19]]-Множество_202207112140401240[[#This Row],[13]])</f>
        <v>3.4499999999999993</v>
      </c>
      <c r="AC252" s="208">
        <f>Множество_202207112140401240[[#This Row],[20]]+Множество_202207112140401240[[#This Row],[21]]</f>
        <v>12.675000000000001</v>
      </c>
    </row>
    <row r="253" spans="6:29" x14ac:dyDescent="0.25">
      <c r="F253" s="213"/>
      <c r="K253" s="208">
        <f>Множество_202207112140401240[[#This Row],[2]]-Множество_202207112140401240[[#This Row],[4]]</f>
        <v>0</v>
      </c>
      <c r="L253" s="208">
        <f>Множество_202207112140401240[[#This Row],[3]]-Множество_202207112140401240[[#This Row],[5]]</f>
        <v>0</v>
      </c>
      <c r="M253" s="208">
        <f>Множество_202207112140401240[[#This Row],[7]]+Множество_202207112140401240[[#This Row],[6]]</f>
        <v>0</v>
      </c>
      <c r="N253" s="208" t="str">
        <f>CONCATENATE(Множество_202207112140401240[[#This Row],[2]],Множество_202207112140401240[[#This Row],[3]])</f>
        <v/>
      </c>
      <c r="O253" s="208"/>
      <c r="P253" s="208"/>
      <c r="Q253">
        <v>-1.55</v>
      </c>
      <c r="R253">
        <v>-13.5666666666667</v>
      </c>
      <c r="S253" s="208">
        <v>10</v>
      </c>
      <c r="T253" s="208">
        <v>-12.5</v>
      </c>
      <c r="U253" s="208">
        <f>ABS(Множество_202207112140401240[[#This Row],[10]]-Множество_202207112140401240[[#This Row],[12]])</f>
        <v>11.55</v>
      </c>
      <c r="V253" s="208">
        <f>ABS(Множество_202207112140401240[[#This Row],[11]]-Множество_202207112140401240[[#This Row],[13]])</f>
        <v>1.0666666666667002</v>
      </c>
      <c r="W253" s="208">
        <f>Множество_202207112140401240[[#This Row],[15]]+Множество_202207112140401240[[#This Row],[14]]</f>
        <v>12.616666666666701</v>
      </c>
      <c r="X253" s="208">
        <f ca="1">IF(ROW()-ROW(Множество_202207112140401240[[#Headers],[17]])&gt;1,Множество_202207112140401240[[#This Row],[16]]-OFFSET(Множество_202207112140401240[[#This Row],[16]],-1,0),0)</f>
        <v>-5.8333333333299819E-2</v>
      </c>
      <c r="Y253" s="208">
        <v>-1.55</v>
      </c>
      <c r="Z253" s="208">
        <v>-13.5666666666667</v>
      </c>
      <c r="AA253" s="208">
        <f>ABS(Множество_202207112140401240[[#This Row],[18]]-Множество_202207112140401240[[#This Row],[12]])</f>
        <v>11.55</v>
      </c>
      <c r="AB253" s="208">
        <f>ABS(Множество_202207112140401240[[#This Row],[19]]-Множество_202207112140401240[[#This Row],[13]])</f>
        <v>1.0666666666667002</v>
      </c>
      <c r="AC253" s="208">
        <f>Множество_202207112140401240[[#This Row],[20]]+Множество_202207112140401240[[#This Row],[21]]</f>
        <v>12.616666666666701</v>
      </c>
    </row>
    <row r="254" spans="6:29" x14ac:dyDescent="0.25">
      <c r="F254" s="213"/>
      <c r="K254" s="208">
        <f>Множество_202207112140401240[[#This Row],[2]]-Множество_202207112140401240[[#This Row],[4]]</f>
        <v>0</v>
      </c>
      <c r="L254" s="208">
        <f>Множество_202207112140401240[[#This Row],[3]]-Множество_202207112140401240[[#This Row],[5]]</f>
        <v>0</v>
      </c>
      <c r="M254" s="208">
        <f>Множество_202207112140401240[[#This Row],[7]]+Множество_202207112140401240[[#This Row],[6]]</f>
        <v>0</v>
      </c>
      <c r="N254" s="208" t="str">
        <f>CONCATENATE(Множество_202207112140401240[[#This Row],[2]],Множество_202207112140401240[[#This Row],[3]])</f>
        <v/>
      </c>
      <c r="O254" s="208"/>
      <c r="P254" s="208"/>
      <c r="Q254">
        <v>-1.625</v>
      </c>
      <c r="R254">
        <v>-13.55</v>
      </c>
      <c r="S254" s="208">
        <v>10</v>
      </c>
      <c r="T254" s="208">
        <v>-12.5</v>
      </c>
      <c r="U254" s="208">
        <f>ABS(Множество_202207112140401240[[#This Row],[10]]-Множество_202207112140401240[[#This Row],[12]])</f>
        <v>11.625</v>
      </c>
      <c r="V254" s="208">
        <f>ABS(Множество_202207112140401240[[#This Row],[11]]-Множество_202207112140401240[[#This Row],[13]])</f>
        <v>1.0500000000000007</v>
      </c>
      <c r="W254" s="208">
        <f>Множество_202207112140401240[[#This Row],[15]]+Множество_202207112140401240[[#This Row],[14]]</f>
        <v>12.675000000000001</v>
      </c>
      <c r="X254" s="208">
        <f ca="1">IF(ROW()-ROW(Множество_202207112140401240[[#Headers],[17]])&gt;1,Множество_202207112140401240[[#This Row],[16]]-OFFSET(Множество_202207112140401240[[#This Row],[16]],-1,0),0)</f>
        <v>5.8333333333299819E-2</v>
      </c>
      <c r="Y254" s="208">
        <v>-1.625</v>
      </c>
      <c r="Z254" s="208">
        <v>-13.55</v>
      </c>
      <c r="AA254" s="208">
        <f>ABS(Множество_202207112140401240[[#This Row],[18]]-Множество_202207112140401240[[#This Row],[12]])</f>
        <v>11.625</v>
      </c>
      <c r="AB254" s="208">
        <f>ABS(Множество_202207112140401240[[#This Row],[19]]-Множество_202207112140401240[[#This Row],[13]])</f>
        <v>1.0500000000000007</v>
      </c>
      <c r="AC254" s="208">
        <f>Множество_202207112140401240[[#This Row],[20]]+Множество_202207112140401240[[#This Row],[21]]</f>
        <v>12.675000000000001</v>
      </c>
    </row>
    <row r="255" spans="6:29" x14ac:dyDescent="0.25">
      <c r="F255" s="213"/>
      <c r="K255" s="208">
        <f>Множество_202207112140401240[[#This Row],[2]]-Множество_202207112140401240[[#This Row],[4]]</f>
        <v>0</v>
      </c>
      <c r="L255" s="208">
        <f>Множество_202207112140401240[[#This Row],[3]]-Множество_202207112140401240[[#This Row],[5]]</f>
        <v>0</v>
      </c>
      <c r="M255" s="208">
        <f>Множество_202207112140401240[[#This Row],[7]]+Множество_202207112140401240[[#This Row],[6]]</f>
        <v>0</v>
      </c>
      <c r="N255" s="208" t="str">
        <f>CONCATENATE(Множество_202207112140401240[[#This Row],[2]],Множество_202207112140401240[[#This Row],[3]])</f>
        <v/>
      </c>
      <c r="O255" s="208"/>
      <c r="P255" s="208"/>
      <c r="Q255">
        <v>-1.7749999999999999</v>
      </c>
      <c r="R255">
        <v>-13.533333333333299</v>
      </c>
      <c r="S255" s="208">
        <v>10</v>
      </c>
      <c r="T255" s="208">
        <v>-12.5</v>
      </c>
      <c r="U255" s="208">
        <f>ABS(Множество_202207112140401240[[#This Row],[10]]-Множество_202207112140401240[[#This Row],[12]])</f>
        <v>11.775</v>
      </c>
      <c r="V255" s="208">
        <f>ABS(Множество_202207112140401240[[#This Row],[11]]-Множество_202207112140401240[[#This Row],[13]])</f>
        <v>1.0333333333332995</v>
      </c>
      <c r="W255" s="208">
        <f>Множество_202207112140401240[[#This Row],[15]]+Множество_202207112140401240[[#This Row],[14]]</f>
        <v>12.8083333333333</v>
      </c>
      <c r="X255" s="208">
        <f ca="1">IF(ROW()-ROW(Множество_202207112140401240[[#Headers],[17]])&gt;1,Множество_202207112140401240[[#This Row],[16]]-OFFSET(Множество_202207112140401240[[#This Row],[16]],-1,0),0)</f>
        <v>0.13333333333329911</v>
      </c>
      <c r="Y255" s="208">
        <v>-1.7749999999999999</v>
      </c>
      <c r="Z255" s="208">
        <v>-13.533333333333299</v>
      </c>
      <c r="AA255" s="208">
        <f>ABS(Множество_202207112140401240[[#This Row],[18]]-Множество_202207112140401240[[#This Row],[12]])</f>
        <v>11.775</v>
      </c>
      <c r="AB255" s="208">
        <f>ABS(Множество_202207112140401240[[#This Row],[19]]-Множество_202207112140401240[[#This Row],[13]])</f>
        <v>1.0333333333332995</v>
      </c>
      <c r="AC255" s="208">
        <f>Множество_202207112140401240[[#This Row],[20]]+Множество_202207112140401240[[#This Row],[21]]</f>
        <v>12.8083333333333</v>
      </c>
    </row>
    <row r="256" spans="6:29" x14ac:dyDescent="0.25">
      <c r="F256" s="213"/>
      <c r="K256" s="208">
        <f>Множество_202207112140401240[[#This Row],[2]]-Множество_202207112140401240[[#This Row],[4]]</f>
        <v>0</v>
      </c>
      <c r="L256" s="208">
        <f>Множество_202207112140401240[[#This Row],[3]]-Множество_202207112140401240[[#This Row],[5]]</f>
        <v>0</v>
      </c>
      <c r="M256" s="208">
        <f>Множество_202207112140401240[[#This Row],[7]]+Множество_202207112140401240[[#This Row],[6]]</f>
        <v>0</v>
      </c>
      <c r="N256" s="208" t="str">
        <f>CONCATENATE(Множество_202207112140401240[[#This Row],[2]],Множество_202207112140401240[[#This Row],[3]])</f>
        <v/>
      </c>
      <c r="O256" s="208"/>
      <c r="P256" s="208"/>
      <c r="Q256">
        <v>0.69999999999999896</v>
      </c>
      <c r="R256">
        <v>-15.983333333333301</v>
      </c>
      <c r="S256" s="208">
        <v>10</v>
      </c>
      <c r="T256" s="208">
        <v>-12.5</v>
      </c>
      <c r="U256" s="208">
        <f>ABS(Множество_202207112140401240[[#This Row],[10]]-Множество_202207112140401240[[#This Row],[12]])</f>
        <v>9.3000000000000007</v>
      </c>
      <c r="V256" s="208">
        <f>ABS(Множество_202207112140401240[[#This Row],[11]]-Множество_202207112140401240[[#This Row],[13]])</f>
        <v>3.4833333333333005</v>
      </c>
      <c r="W256" s="208">
        <f>Множество_202207112140401240[[#This Row],[15]]+Множество_202207112140401240[[#This Row],[14]]</f>
        <v>12.783333333333301</v>
      </c>
      <c r="X256" s="208">
        <f ca="1">IF(ROW()-ROW(Множество_202207112140401240[[#Headers],[17]])&gt;1,Множество_202207112140401240[[#This Row],[16]]-OFFSET(Множество_202207112140401240[[#This Row],[16]],-1,0),0)</f>
        <v>-2.4999999999998579E-2</v>
      </c>
      <c r="Y256" s="208">
        <v>0.69999999999999896</v>
      </c>
      <c r="Z256" s="208">
        <v>-15.983333333333301</v>
      </c>
      <c r="AA256" s="208">
        <f>ABS(Множество_202207112140401240[[#This Row],[18]]-Множество_202207112140401240[[#This Row],[12]])</f>
        <v>9.3000000000000007</v>
      </c>
      <c r="AB256" s="208">
        <f>ABS(Множество_202207112140401240[[#This Row],[19]]-Множество_202207112140401240[[#This Row],[13]])</f>
        <v>3.4833333333333005</v>
      </c>
      <c r="AC256" s="208">
        <f>Множество_202207112140401240[[#This Row],[20]]+Множество_202207112140401240[[#This Row],[21]]</f>
        <v>12.783333333333301</v>
      </c>
    </row>
    <row r="257" spans="6:29" x14ac:dyDescent="0.25">
      <c r="F257" s="213"/>
      <c r="K257" s="208">
        <f>Множество_202207112140401240[[#This Row],[2]]-Множество_202207112140401240[[#This Row],[4]]</f>
        <v>0</v>
      </c>
      <c r="L257" s="208">
        <f>Множество_202207112140401240[[#This Row],[3]]-Множество_202207112140401240[[#This Row],[5]]</f>
        <v>0</v>
      </c>
      <c r="M257" s="208">
        <f>Множество_202207112140401240[[#This Row],[7]]+Множество_202207112140401240[[#This Row],[6]]</f>
        <v>0</v>
      </c>
      <c r="N257" s="208" t="str">
        <f>CONCATENATE(Множество_202207112140401240[[#This Row],[2]],Множество_202207112140401240[[#This Row],[3]])</f>
        <v/>
      </c>
      <c r="O257" s="208"/>
      <c r="P257" s="208"/>
      <c r="Q257">
        <v>0.625</v>
      </c>
      <c r="R257">
        <v>-16</v>
      </c>
      <c r="S257" s="208">
        <v>10</v>
      </c>
      <c r="T257" s="208">
        <v>-12.5</v>
      </c>
      <c r="U257" s="208">
        <f>ABS(Множество_202207112140401240[[#This Row],[10]]-Множество_202207112140401240[[#This Row],[12]])</f>
        <v>9.375</v>
      </c>
      <c r="V257" s="208">
        <f>ABS(Множество_202207112140401240[[#This Row],[11]]-Множество_202207112140401240[[#This Row],[13]])</f>
        <v>3.5</v>
      </c>
      <c r="W257" s="208">
        <f>Множество_202207112140401240[[#This Row],[15]]+Множество_202207112140401240[[#This Row],[14]]</f>
        <v>12.875</v>
      </c>
      <c r="X257" s="208">
        <f ca="1">IF(ROW()-ROW(Множество_202207112140401240[[#Headers],[17]])&gt;1,Множество_202207112140401240[[#This Row],[16]]-OFFSET(Множество_202207112140401240[[#This Row],[16]],-1,0),0)</f>
        <v>9.166666666669876E-2</v>
      </c>
      <c r="Y257" s="208">
        <v>0.625</v>
      </c>
      <c r="Z257" s="208">
        <v>-16</v>
      </c>
      <c r="AA257" s="208">
        <f>ABS(Множество_202207112140401240[[#This Row],[18]]-Множество_202207112140401240[[#This Row],[12]])</f>
        <v>9.375</v>
      </c>
      <c r="AB257" s="208">
        <f>ABS(Множество_202207112140401240[[#This Row],[19]]-Множество_202207112140401240[[#This Row],[13]])</f>
        <v>3.5</v>
      </c>
      <c r="AC257" s="208">
        <f>Множество_202207112140401240[[#This Row],[20]]+Множество_202207112140401240[[#This Row],[21]]</f>
        <v>12.875</v>
      </c>
    </row>
    <row r="258" spans="6:29" x14ac:dyDescent="0.25">
      <c r="F258" s="213"/>
      <c r="K258" s="208">
        <f>Множество_202207112140401240[[#This Row],[2]]-Множество_202207112140401240[[#This Row],[4]]</f>
        <v>0</v>
      </c>
      <c r="L258" s="208">
        <f>Множество_202207112140401240[[#This Row],[3]]-Множество_202207112140401240[[#This Row],[5]]</f>
        <v>0</v>
      </c>
      <c r="M258" s="208">
        <f>Множество_202207112140401240[[#This Row],[7]]+Множество_202207112140401240[[#This Row],[6]]</f>
        <v>0</v>
      </c>
      <c r="N258" s="208" t="str">
        <f>CONCATENATE(Множество_202207112140401240[[#This Row],[2]],Множество_202207112140401240[[#This Row],[3]])</f>
        <v/>
      </c>
      <c r="O258" s="208"/>
      <c r="P258" s="208"/>
      <c r="Q258">
        <v>-1.925</v>
      </c>
      <c r="R258">
        <v>-13.5</v>
      </c>
      <c r="S258" s="208">
        <v>10</v>
      </c>
      <c r="T258" s="208">
        <v>-12.5</v>
      </c>
      <c r="U258" s="208">
        <f>ABS(Множество_202207112140401240[[#This Row],[10]]-Множество_202207112140401240[[#This Row],[12]])</f>
        <v>11.925000000000001</v>
      </c>
      <c r="V258" s="208">
        <f>ABS(Множество_202207112140401240[[#This Row],[11]]-Множество_202207112140401240[[#This Row],[13]])</f>
        <v>1</v>
      </c>
      <c r="W258" s="208">
        <f>Множество_202207112140401240[[#This Row],[15]]+Множество_202207112140401240[[#This Row],[14]]</f>
        <v>12.925000000000001</v>
      </c>
      <c r="X258" s="208">
        <f ca="1">IF(ROW()-ROW(Множество_202207112140401240[[#Headers],[17]])&gt;1,Множество_202207112140401240[[#This Row],[16]]-OFFSET(Множество_202207112140401240[[#This Row],[16]],-1,0),0)</f>
        <v>5.0000000000000711E-2</v>
      </c>
      <c r="Y258" s="208">
        <v>-1.925</v>
      </c>
      <c r="Z258" s="208">
        <v>-13.5</v>
      </c>
      <c r="AA258" s="208">
        <f>ABS(Множество_202207112140401240[[#This Row],[18]]-Множество_202207112140401240[[#This Row],[12]])</f>
        <v>11.925000000000001</v>
      </c>
      <c r="AB258" s="208">
        <f>ABS(Множество_202207112140401240[[#This Row],[19]]-Множество_202207112140401240[[#This Row],[13]])</f>
        <v>1</v>
      </c>
      <c r="AC258" s="208">
        <f>Множество_202207112140401240[[#This Row],[20]]+Множество_202207112140401240[[#This Row],[21]]</f>
        <v>12.925000000000001</v>
      </c>
    </row>
    <row r="259" spans="6:29" x14ac:dyDescent="0.25">
      <c r="F259" s="213"/>
      <c r="K259" s="208">
        <f>Множество_202207112140401240[[#This Row],[2]]-Множество_202207112140401240[[#This Row],[4]]</f>
        <v>0</v>
      </c>
      <c r="L259" s="208">
        <f>Множество_202207112140401240[[#This Row],[3]]-Множество_202207112140401240[[#This Row],[5]]</f>
        <v>0</v>
      </c>
      <c r="M259" s="208">
        <f>Множество_202207112140401240[[#This Row],[7]]+Множество_202207112140401240[[#This Row],[6]]</f>
        <v>0</v>
      </c>
      <c r="N259" s="208" t="str">
        <f>CONCATENATE(Множество_202207112140401240[[#This Row],[2]],Множество_202207112140401240[[#This Row],[3]])</f>
        <v/>
      </c>
      <c r="O259" s="208"/>
      <c r="P259" s="208"/>
      <c r="Q259">
        <v>-1.85</v>
      </c>
      <c r="R259">
        <v>-13.516666666666699</v>
      </c>
      <c r="S259" s="208">
        <v>10</v>
      </c>
      <c r="T259" s="208">
        <v>-12.5</v>
      </c>
      <c r="U259" s="208">
        <f>ABS(Множество_202207112140401240[[#This Row],[10]]-Множество_202207112140401240[[#This Row],[12]])</f>
        <v>11.85</v>
      </c>
      <c r="V259" s="208">
        <f>ABS(Множество_202207112140401240[[#This Row],[11]]-Множество_202207112140401240[[#This Row],[13]])</f>
        <v>1.0166666666666995</v>
      </c>
      <c r="W259" s="208">
        <f>Множество_202207112140401240[[#This Row],[15]]+Множество_202207112140401240[[#This Row],[14]]</f>
        <v>12.866666666666699</v>
      </c>
      <c r="X259" s="208">
        <f ca="1">IF(ROW()-ROW(Множество_202207112140401240[[#Headers],[17]])&gt;1,Множество_202207112140401240[[#This Row],[16]]-OFFSET(Множество_202207112140401240[[#This Row],[16]],-1,0),0)</f>
        <v>-5.8333333333301596E-2</v>
      </c>
      <c r="Y259" s="208">
        <v>-1.85</v>
      </c>
      <c r="Z259" s="208">
        <v>-13.516666666666699</v>
      </c>
      <c r="AA259" s="208">
        <f>ABS(Множество_202207112140401240[[#This Row],[18]]-Множество_202207112140401240[[#This Row],[12]])</f>
        <v>11.85</v>
      </c>
      <c r="AB259" s="208">
        <f>ABS(Множество_202207112140401240[[#This Row],[19]]-Множество_202207112140401240[[#This Row],[13]])</f>
        <v>1.0166666666666995</v>
      </c>
      <c r="AC259" s="208">
        <f>Множество_202207112140401240[[#This Row],[20]]+Множество_202207112140401240[[#This Row],[21]]</f>
        <v>12.866666666666699</v>
      </c>
    </row>
    <row r="260" spans="6:29" x14ac:dyDescent="0.25">
      <c r="F260" s="213"/>
      <c r="K260" s="208">
        <f>Множество_202207112140401240[[#This Row],[2]]-Множество_202207112140401240[[#This Row],[4]]</f>
        <v>0</v>
      </c>
      <c r="L260" s="208">
        <f>Множество_202207112140401240[[#This Row],[3]]-Множество_202207112140401240[[#This Row],[5]]</f>
        <v>0</v>
      </c>
      <c r="M260" s="208">
        <f>Множество_202207112140401240[[#This Row],[7]]+Множество_202207112140401240[[#This Row],[6]]</f>
        <v>0</v>
      </c>
      <c r="N260" s="208" t="str">
        <f>CONCATENATE(Множество_202207112140401240[[#This Row],[2]],Множество_202207112140401240[[#This Row],[3]])</f>
        <v/>
      </c>
      <c r="O260" s="208"/>
      <c r="P260" s="208"/>
      <c r="Q260">
        <v>0.55000000000000104</v>
      </c>
      <c r="R260">
        <v>-16.016666666666701</v>
      </c>
      <c r="S260" s="208">
        <v>10</v>
      </c>
      <c r="T260" s="208">
        <v>-12.5</v>
      </c>
      <c r="U260" s="208">
        <f>ABS(Множество_202207112140401240[[#This Row],[10]]-Множество_202207112140401240[[#This Row],[12]])</f>
        <v>9.4499999999999993</v>
      </c>
      <c r="V260" s="208">
        <f>ABS(Множество_202207112140401240[[#This Row],[11]]-Множество_202207112140401240[[#This Row],[13]])</f>
        <v>3.5166666666667012</v>
      </c>
      <c r="W260" s="208">
        <f>Множество_202207112140401240[[#This Row],[15]]+Множество_202207112140401240[[#This Row],[14]]</f>
        <v>12.966666666666701</v>
      </c>
      <c r="X260" s="208">
        <f ca="1">IF(ROW()-ROW(Множество_202207112140401240[[#Headers],[17]])&gt;1,Множество_202207112140401240[[#This Row],[16]]-OFFSET(Множество_202207112140401240[[#This Row],[16]],-1,0),0)</f>
        <v>0.10000000000000142</v>
      </c>
      <c r="Y260" s="208">
        <v>0.55000000000000104</v>
      </c>
      <c r="Z260" s="208">
        <v>-16.016666666666701</v>
      </c>
      <c r="AA260" s="208">
        <f>ABS(Множество_202207112140401240[[#This Row],[18]]-Множество_202207112140401240[[#This Row],[12]])</f>
        <v>9.4499999999999993</v>
      </c>
      <c r="AB260" s="208">
        <f>ABS(Множество_202207112140401240[[#This Row],[19]]-Множество_202207112140401240[[#This Row],[13]])</f>
        <v>3.5166666666667012</v>
      </c>
      <c r="AC260" s="208">
        <f>Множество_202207112140401240[[#This Row],[20]]+Множество_202207112140401240[[#This Row],[21]]</f>
        <v>12.966666666666701</v>
      </c>
    </row>
    <row r="261" spans="6:29" x14ac:dyDescent="0.25">
      <c r="F261" s="213"/>
      <c r="K261" s="208">
        <f>Множество_202207112140401240[[#This Row],[2]]-Множество_202207112140401240[[#This Row],[4]]</f>
        <v>0</v>
      </c>
      <c r="L261" s="208">
        <f>Множество_202207112140401240[[#This Row],[3]]-Множество_202207112140401240[[#This Row],[5]]</f>
        <v>0</v>
      </c>
      <c r="M261" s="208">
        <f>Множество_202207112140401240[[#This Row],[7]]+Множество_202207112140401240[[#This Row],[6]]</f>
        <v>0</v>
      </c>
      <c r="N261" s="208" t="str">
        <f>CONCATENATE(Множество_202207112140401240[[#This Row],[2]],Множество_202207112140401240[[#This Row],[3]])</f>
        <v/>
      </c>
      <c r="O261" s="208"/>
      <c r="P261" s="208"/>
      <c r="Q261">
        <v>-2</v>
      </c>
      <c r="R261">
        <v>-13.483333333333301</v>
      </c>
      <c r="S261" s="208">
        <v>10</v>
      </c>
      <c r="T261" s="208">
        <v>-12.5</v>
      </c>
      <c r="U261" s="208">
        <f>ABS(Множество_202207112140401240[[#This Row],[10]]-Множество_202207112140401240[[#This Row],[12]])</f>
        <v>12</v>
      </c>
      <c r="V261" s="208">
        <f>ABS(Множество_202207112140401240[[#This Row],[11]]-Множество_202207112140401240[[#This Row],[13]])</f>
        <v>0.98333333333330053</v>
      </c>
      <c r="W261" s="208">
        <f>Множество_202207112140401240[[#This Row],[15]]+Множество_202207112140401240[[#This Row],[14]]</f>
        <v>12.983333333333301</v>
      </c>
      <c r="X261" s="208">
        <f ca="1">IF(ROW()-ROW(Множество_202207112140401240[[#Headers],[17]])&gt;1,Множество_202207112140401240[[#This Row],[16]]-OFFSET(Множество_202207112140401240[[#This Row],[16]],-1,0),0)</f>
        <v>1.6666666666599994E-2</v>
      </c>
      <c r="Y261" s="208">
        <v>-2</v>
      </c>
      <c r="Z261" s="208">
        <v>-13.483333333333301</v>
      </c>
      <c r="AA261" s="208">
        <f>ABS(Множество_202207112140401240[[#This Row],[18]]-Множество_202207112140401240[[#This Row],[12]])</f>
        <v>12</v>
      </c>
      <c r="AB261" s="208">
        <f>ABS(Множество_202207112140401240[[#This Row],[19]]-Множество_202207112140401240[[#This Row],[13]])</f>
        <v>0.98333333333330053</v>
      </c>
      <c r="AC261" s="208">
        <f>Множество_202207112140401240[[#This Row],[20]]+Множество_202207112140401240[[#This Row],[21]]</f>
        <v>12.983333333333301</v>
      </c>
    </row>
    <row r="262" spans="6:29" x14ac:dyDescent="0.25">
      <c r="F262" s="213"/>
      <c r="K262" s="208">
        <f>Множество_202207112140401240[[#This Row],[2]]-Множество_202207112140401240[[#This Row],[4]]</f>
        <v>0</v>
      </c>
      <c r="L262" s="208">
        <f>Множество_202207112140401240[[#This Row],[3]]-Множество_202207112140401240[[#This Row],[5]]</f>
        <v>0</v>
      </c>
      <c r="M262" s="208">
        <f>Множество_202207112140401240[[#This Row],[7]]+Множество_202207112140401240[[#This Row],[6]]</f>
        <v>0</v>
      </c>
      <c r="N262" s="208" t="str">
        <f>CONCATENATE(Множество_202207112140401240[[#This Row],[2]],Множество_202207112140401240[[#This Row],[3]])</f>
        <v/>
      </c>
      <c r="O262" s="208"/>
      <c r="P262" s="208"/>
      <c r="Q262">
        <v>0.47500000000000098</v>
      </c>
      <c r="R262">
        <v>-16.033333333333299</v>
      </c>
      <c r="S262" s="208">
        <v>10</v>
      </c>
      <c r="T262" s="208">
        <v>-12.5</v>
      </c>
      <c r="U262" s="208">
        <f>ABS(Множество_202207112140401240[[#This Row],[10]]-Множество_202207112140401240[[#This Row],[12]])</f>
        <v>9.5249999999999986</v>
      </c>
      <c r="V262" s="208">
        <f>ABS(Множество_202207112140401240[[#This Row],[11]]-Множество_202207112140401240[[#This Row],[13]])</f>
        <v>3.5333333333332995</v>
      </c>
      <c r="W262" s="208">
        <f>Множество_202207112140401240[[#This Row],[15]]+Множество_202207112140401240[[#This Row],[14]]</f>
        <v>13.058333333333298</v>
      </c>
      <c r="X262" s="208">
        <f ca="1">IF(ROW()-ROW(Множество_202207112140401240[[#Headers],[17]])&gt;1,Множество_202207112140401240[[#This Row],[16]]-OFFSET(Множество_202207112140401240[[#This Row],[16]],-1,0),0)</f>
        <v>7.4999999999997513E-2</v>
      </c>
      <c r="Y262" s="208">
        <v>0.47500000000000098</v>
      </c>
      <c r="Z262" s="208">
        <v>-16.033333333333299</v>
      </c>
      <c r="AA262" s="208">
        <f>ABS(Множество_202207112140401240[[#This Row],[18]]-Множество_202207112140401240[[#This Row],[12]])</f>
        <v>9.5249999999999986</v>
      </c>
      <c r="AB262" s="208">
        <f>ABS(Множество_202207112140401240[[#This Row],[19]]-Множество_202207112140401240[[#This Row],[13]])</f>
        <v>3.5333333333332995</v>
      </c>
      <c r="AC262" s="208">
        <f>Множество_202207112140401240[[#This Row],[20]]+Множество_202207112140401240[[#This Row],[21]]</f>
        <v>13.058333333333298</v>
      </c>
    </row>
    <row r="263" spans="6:29" x14ac:dyDescent="0.25">
      <c r="F263" s="213"/>
      <c r="K263" s="208">
        <f>Множество_202207112140401240[[#This Row],[2]]-Множество_202207112140401240[[#This Row],[4]]</f>
        <v>0</v>
      </c>
      <c r="L263" s="208">
        <f>Множество_202207112140401240[[#This Row],[3]]-Множество_202207112140401240[[#This Row],[5]]</f>
        <v>0</v>
      </c>
      <c r="M263" s="208">
        <f>Множество_202207112140401240[[#This Row],[7]]+Множество_202207112140401240[[#This Row],[6]]</f>
        <v>0</v>
      </c>
      <c r="N263" s="208" t="str">
        <f>CONCATENATE(Множество_202207112140401240[[#This Row],[2]],Множество_202207112140401240[[#This Row],[3]])</f>
        <v/>
      </c>
      <c r="O263" s="208"/>
      <c r="P263" s="208"/>
      <c r="Q263">
        <v>-2.15</v>
      </c>
      <c r="R263">
        <v>-13.466666666666701</v>
      </c>
      <c r="S263" s="208">
        <v>10</v>
      </c>
      <c r="T263" s="208">
        <v>-12.5</v>
      </c>
      <c r="U263" s="208">
        <f>ABS(Множество_202207112140401240[[#This Row],[10]]-Множество_202207112140401240[[#This Row],[12]])</f>
        <v>12.15</v>
      </c>
      <c r="V263" s="208">
        <f>ABS(Множество_202207112140401240[[#This Row],[11]]-Множество_202207112140401240[[#This Row],[13]])</f>
        <v>0.96666666666670054</v>
      </c>
      <c r="W263" s="208">
        <f>Множество_202207112140401240[[#This Row],[15]]+Множество_202207112140401240[[#This Row],[14]]</f>
        <v>13.116666666666701</v>
      </c>
      <c r="X263" s="208">
        <f ca="1">IF(ROW()-ROW(Множество_202207112140401240[[#Headers],[17]])&gt;1,Множество_202207112140401240[[#This Row],[16]]-OFFSET(Множество_202207112140401240[[#This Row],[16]],-1,0),0)</f>
        <v>5.8333333333402848E-2</v>
      </c>
      <c r="Y263" s="208">
        <v>-2.15</v>
      </c>
      <c r="Z263" s="208">
        <v>-13.466666666666701</v>
      </c>
      <c r="AA263" s="208">
        <f>ABS(Множество_202207112140401240[[#This Row],[18]]-Множество_202207112140401240[[#This Row],[12]])</f>
        <v>12.15</v>
      </c>
      <c r="AB263" s="208">
        <f>ABS(Множество_202207112140401240[[#This Row],[19]]-Множество_202207112140401240[[#This Row],[13]])</f>
        <v>0.96666666666670054</v>
      </c>
      <c r="AC263" s="208">
        <f>Множество_202207112140401240[[#This Row],[20]]+Множество_202207112140401240[[#This Row],[21]]</f>
        <v>13.116666666666701</v>
      </c>
    </row>
    <row r="264" spans="6:29" x14ac:dyDescent="0.25">
      <c r="F264" s="213"/>
      <c r="K264" s="208">
        <f>Множество_202207112140401240[[#This Row],[2]]-Множество_202207112140401240[[#This Row],[4]]</f>
        <v>0</v>
      </c>
      <c r="L264" s="208">
        <f>Множество_202207112140401240[[#This Row],[3]]-Множество_202207112140401240[[#This Row],[5]]</f>
        <v>0</v>
      </c>
      <c r="M264" s="208">
        <f>Множество_202207112140401240[[#This Row],[7]]+Множество_202207112140401240[[#This Row],[6]]</f>
        <v>0</v>
      </c>
      <c r="N264" s="208" t="str">
        <f>CONCATENATE(Множество_202207112140401240[[#This Row],[2]],Множество_202207112140401240[[#This Row],[3]])</f>
        <v/>
      </c>
      <c r="O264" s="208"/>
      <c r="P264" s="208"/>
      <c r="Q264">
        <v>-2.0750000000000002</v>
      </c>
      <c r="R264">
        <v>-13.483333333333301</v>
      </c>
      <c r="S264" s="208">
        <v>10</v>
      </c>
      <c r="T264" s="208">
        <v>-12.5</v>
      </c>
      <c r="U264" s="208">
        <f>ABS(Множество_202207112140401240[[#This Row],[10]]-Множество_202207112140401240[[#This Row],[12]])</f>
        <v>12.074999999999999</v>
      </c>
      <c r="V264" s="208">
        <f>ABS(Множество_202207112140401240[[#This Row],[11]]-Множество_202207112140401240[[#This Row],[13]])</f>
        <v>0.98333333333330053</v>
      </c>
      <c r="W264" s="208">
        <f>Множество_202207112140401240[[#This Row],[15]]+Множество_202207112140401240[[#This Row],[14]]</f>
        <v>13.0583333333333</v>
      </c>
      <c r="X264" s="208">
        <f ca="1">IF(ROW()-ROW(Множество_202207112140401240[[#Headers],[17]])&gt;1,Множество_202207112140401240[[#This Row],[16]]-OFFSET(Множество_202207112140401240[[#This Row],[16]],-1,0),0)</f>
        <v>-5.8333333333401072E-2</v>
      </c>
      <c r="Y264" s="208">
        <v>-2.0750000000000002</v>
      </c>
      <c r="Z264" s="208">
        <v>-13.483333333333301</v>
      </c>
      <c r="AA264" s="208">
        <f>ABS(Множество_202207112140401240[[#This Row],[18]]-Множество_202207112140401240[[#This Row],[12]])</f>
        <v>12.074999999999999</v>
      </c>
      <c r="AB264" s="208">
        <f>ABS(Множество_202207112140401240[[#This Row],[19]]-Множество_202207112140401240[[#This Row],[13]])</f>
        <v>0.98333333333330053</v>
      </c>
      <c r="AC264" s="208">
        <f>Множество_202207112140401240[[#This Row],[20]]+Множество_202207112140401240[[#This Row],[21]]</f>
        <v>13.0583333333333</v>
      </c>
    </row>
    <row r="265" spans="6:29" x14ac:dyDescent="0.25">
      <c r="F265" s="213"/>
      <c r="K265" s="208">
        <f>Множество_202207112140401240[[#This Row],[2]]-Множество_202207112140401240[[#This Row],[4]]</f>
        <v>0</v>
      </c>
      <c r="L265" s="208">
        <f>Множество_202207112140401240[[#This Row],[3]]-Множество_202207112140401240[[#This Row],[5]]</f>
        <v>0</v>
      </c>
      <c r="M265" s="208">
        <f>Множество_202207112140401240[[#This Row],[7]]+Множество_202207112140401240[[#This Row],[6]]</f>
        <v>0</v>
      </c>
      <c r="N265" s="208" t="str">
        <f>CONCATENATE(Множество_202207112140401240[[#This Row],[2]],Множество_202207112140401240[[#This Row],[3]])</f>
        <v/>
      </c>
      <c r="O265" s="208"/>
      <c r="P265" s="208"/>
      <c r="Q265">
        <v>0.40000000000000202</v>
      </c>
      <c r="R265">
        <v>-16.066666666666698</v>
      </c>
      <c r="S265" s="208">
        <v>10</v>
      </c>
      <c r="T265" s="208">
        <v>-12.5</v>
      </c>
      <c r="U265" s="208">
        <f>ABS(Множество_202207112140401240[[#This Row],[10]]-Множество_202207112140401240[[#This Row],[12]])</f>
        <v>9.5999999999999979</v>
      </c>
      <c r="V265" s="208">
        <f>ABS(Множество_202207112140401240[[#This Row],[11]]-Множество_202207112140401240[[#This Row],[13]])</f>
        <v>3.5666666666666984</v>
      </c>
      <c r="W265" s="208">
        <f>Множество_202207112140401240[[#This Row],[15]]+Множество_202207112140401240[[#This Row],[14]]</f>
        <v>13.166666666666696</v>
      </c>
      <c r="X265" s="208">
        <f ca="1">IF(ROW()-ROW(Множество_202207112140401240[[#Headers],[17]])&gt;1,Множество_202207112140401240[[#This Row],[16]]-OFFSET(Множество_202207112140401240[[#This Row],[16]],-1,0),0)</f>
        <v>0.10833333333339645</v>
      </c>
      <c r="Y265" s="208">
        <v>0.40000000000000202</v>
      </c>
      <c r="Z265" s="208">
        <v>-16.066666666666698</v>
      </c>
      <c r="AA265" s="208">
        <f>ABS(Множество_202207112140401240[[#This Row],[18]]-Множество_202207112140401240[[#This Row],[12]])</f>
        <v>9.5999999999999979</v>
      </c>
      <c r="AB265" s="208">
        <f>ABS(Множество_202207112140401240[[#This Row],[19]]-Множество_202207112140401240[[#This Row],[13]])</f>
        <v>3.5666666666666984</v>
      </c>
      <c r="AC265" s="208">
        <f>Множество_202207112140401240[[#This Row],[20]]+Множество_202207112140401240[[#This Row],[21]]</f>
        <v>13.166666666666696</v>
      </c>
    </row>
    <row r="266" spans="6:29" x14ac:dyDescent="0.25">
      <c r="F266" s="213"/>
      <c r="K266" s="208">
        <f>Множество_202207112140401240[[#This Row],[2]]-Множество_202207112140401240[[#This Row],[4]]</f>
        <v>0</v>
      </c>
      <c r="L266" s="208">
        <f>Множество_202207112140401240[[#This Row],[3]]-Множество_202207112140401240[[#This Row],[5]]</f>
        <v>0</v>
      </c>
      <c r="M266" s="208">
        <f>Множество_202207112140401240[[#This Row],[7]]+Множество_202207112140401240[[#This Row],[6]]</f>
        <v>0</v>
      </c>
      <c r="N266" s="208" t="str">
        <f>CONCATENATE(Множество_202207112140401240[[#This Row],[2]],Множество_202207112140401240[[#This Row],[3]])</f>
        <v/>
      </c>
      <c r="O266" s="208"/>
      <c r="P266" s="208"/>
      <c r="Q266">
        <v>-2.2250000000000001</v>
      </c>
      <c r="R266">
        <v>-13.45</v>
      </c>
      <c r="S266" s="208">
        <v>10</v>
      </c>
      <c r="T266" s="208">
        <v>-12.5</v>
      </c>
      <c r="U266" s="208">
        <f>ABS(Множество_202207112140401240[[#This Row],[10]]-Множество_202207112140401240[[#This Row],[12]])</f>
        <v>12.225</v>
      </c>
      <c r="V266" s="208">
        <f>ABS(Множество_202207112140401240[[#This Row],[11]]-Множество_202207112140401240[[#This Row],[13]])</f>
        <v>0.94999999999999929</v>
      </c>
      <c r="W266" s="208">
        <f>Множество_202207112140401240[[#This Row],[15]]+Множество_202207112140401240[[#This Row],[14]]</f>
        <v>13.174999999999999</v>
      </c>
      <c r="X266" s="208">
        <f ca="1">IF(ROW()-ROW(Множество_202207112140401240[[#Headers],[17]])&gt;1,Множество_202207112140401240[[#This Row],[16]]-OFFSET(Множество_202207112140401240[[#This Row],[16]],-1,0),0)</f>
        <v>8.3333333333026616E-3</v>
      </c>
      <c r="Y266" s="208">
        <v>-2.2250000000000001</v>
      </c>
      <c r="Z266" s="208">
        <v>-13.45</v>
      </c>
      <c r="AA266" s="208">
        <f>ABS(Множество_202207112140401240[[#This Row],[18]]-Множество_202207112140401240[[#This Row],[12]])</f>
        <v>12.225</v>
      </c>
      <c r="AB266" s="208">
        <f>ABS(Множество_202207112140401240[[#This Row],[19]]-Множество_202207112140401240[[#This Row],[13]])</f>
        <v>0.94999999999999929</v>
      </c>
      <c r="AC266" s="208">
        <f>Множество_202207112140401240[[#This Row],[20]]+Множество_202207112140401240[[#This Row],[21]]</f>
        <v>13.174999999999999</v>
      </c>
    </row>
    <row r="267" spans="6:29" x14ac:dyDescent="0.25">
      <c r="F267" s="213"/>
      <c r="K267" s="208">
        <f>Множество_202207112140401240[[#This Row],[2]]-Множество_202207112140401240[[#This Row],[4]]</f>
        <v>0</v>
      </c>
      <c r="L267" s="208">
        <f>Множество_202207112140401240[[#This Row],[3]]-Множество_202207112140401240[[#This Row],[5]]</f>
        <v>0</v>
      </c>
      <c r="M267" s="208">
        <f>Множество_202207112140401240[[#This Row],[7]]+Множество_202207112140401240[[#This Row],[6]]</f>
        <v>0</v>
      </c>
      <c r="N267" s="208" t="str">
        <f>CONCATENATE(Множество_202207112140401240[[#This Row],[2]],Множество_202207112140401240[[#This Row],[3]])</f>
        <v/>
      </c>
      <c r="O267" s="208"/>
      <c r="P267" s="208"/>
      <c r="Q267">
        <v>-2.2999999999999998</v>
      </c>
      <c r="R267">
        <v>-13.4333333333333</v>
      </c>
      <c r="S267" s="208">
        <v>10</v>
      </c>
      <c r="T267" s="208">
        <v>-12.5</v>
      </c>
      <c r="U267" s="208">
        <f>ABS(Множество_202207112140401240[[#This Row],[10]]-Множество_202207112140401240[[#This Row],[12]])</f>
        <v>12.3</v>
      </c>
      <c r="V267" s="208">
        <f>ABS(Множество_202207112140401240[[#This Row],[11]]-Множество_202207112140401240[[#This Row],[13]])</f>
        <v>0.93333333333329982</v>
      </c>
      <c r="W267" s="208">
        <f>Множество_202207112140401240[[#This Row],[15]]+Множество_202207112140401240[[#This Row],[14]]</f>
        <v>13.233333333333301</v>
      </c>
      <c r="X267" s="208">
        <f ca="1">IF(ROW()-ROW(Множество_202207112140401240[[#Headers],[17]])&gt;1,Множество_202207112140401240[[#This Row],[16]]-OFFSET(Множество_202207112140401240[[#This Row],[16]],-1,0),0)</f>
        <v>5.8333333333301596E-2</v>
      </c>
      <c r="Y267" s="208">
        <v>-2.2999999999999998</v>
      </c>
      <c r="Z267" s="208">
        <v>-13.4333333333333</v>
      </c>
      <c r="AA267" s="208">
        <f>ABS(Множество_202207112140401240[[#This Row],[18]]-Множество_202207112140401240[[#This Row],[12]])</f>
        <v>12.3</v>
      </c>
      <c r="AB267" s="208">
        <f>ABS(Множество_202207112140401240[[#This Row],[19]]-Множество_202207112140401240[[#This Row],[13]])</f>
        <v>0.93333333333329982</v>
      </c>
      <c r="AC267" s="208">
        <f>Множество_202207112140401240[[#This Row],[20]]+Множество_202207112140401240[[#This Row],[21]]</f>
        <v>13.233333333333301</v>
      </c>
    </row>
    <row r="268" spans="6:29" x14ac:dyDescent="0.25">
      <c r="F268" s="213"/>
      <c r="K268" s="208">
        <f>Множество_202207112140401240[[#This Row],[2]]-Множество_202207112140401240[[#This Row],[4]]</f>
        <v>0</v>
      </c>
      <c r="L268" s="208">
        <f>Множество_202207112140401240[[#This Row],[3]]-Множество_202207112140401240[[#This Row],[5]]</f>
        <v>0</v>
      </c>
      <c r="M268" s="208">
        <f>Множество_202207112140401240[[#This Row],[7]]+Множество_202207112140401240[[#This Row],[6]]</f>
        <v>0</v>
      </c>
      <c r="N268" s="208" t="str">
        <f>CONCATENATE(Множество_202207112140401240[[#This Row],[2]],Множество_202207112140401240[[#This Row],[3]])</f>
        <v/>
      </c>
      <c r="O268" s="208"/>
      <c r="P268" s="208"/>
      <c r="Q268">
        <v>-3.125</v>
      </c>
      <c r="R268">
        <v>-12.75</v>
      </c>
      <c r="S268" s="208">
        <v>10</v>
      </c>
      <c r="T268" s="208">
        <v>-12.5</v>
      </c>
      <c r="U268" s="208">
        <f>ABS(Множество_202207112140401240[[#This Row],[10]]-Множество_202207112140401240[[#This Row],[12]])</f>
        <v>13.125</v>
      </c>
      <c r="V268" s="208">
        <f>ABS(Множество_202207112140401240[[#This Row],[11]]-Множество_202207112140401240[[#This Row],[13]])</f>
        <v>0.25</v>
      </c>
      <c r="W268" s="208">
        <f>Множество_202207112140401240[[#This Row],[15]]+Множество_202207112140401240[[#This Row],[14]]</f>
        <v>13.375</v>
      </c>
      <c r="X268" s="208">
        <f ca="1">IF(ROW()-ROW(Множество_202207112140401240[[#Headers],[17]])&gt;1,Множество_202207112140401240[[#This Row],[16]]-OFFSET(Множество_202207112140401240[[#This Row],[16]],-1,0),0)</f>
        <v>0.14166666666669947</v>
      </c>
      <c r="Y268" s="208">
        <v>-3.125</v>
      </c>
      <c r="Z268" s="208">
        <v>-12.75</v>
      </c>
      <c r="AA268" s="208">
        <f>ABS(Множество_202207112140401240[[#This Row],[18]]-Множество_202207112140401240[[#This Row],[12]])</f>
        <v>13.125</v>
      </c>
      <c r="AB268" s="208">
        <f>ABS(Множество_202207112140401240[[#This Row],[19]]-Множество_202207112140401240[[#This Row],[13]])</f>
        <v>0.25</v>
      </c>
      <c r="AC268" s="208">
        <f>Множество_202207112140401240[[#This Row],[20]]+Множество_202207112140401240[[#This Row],[21]]</f>
        <v>13.375</v>
      </c>
    </row>
    <row r="269" spans="6:29" x14ac:dyDescent="0.25">
      <c r="F269" s="213"/>
      <c r="K269" s="208">
        <f>Множество_202207112140401240[[#This Row],[2]]-Множество_202207112140401240[[#This Row],[4]]</f>
        <v>0</v>
      </c>
      <c r="L269" s="208">
        <f>Множество_202207112140401240[[#This Row],[3]]-Множество_202207112140401240[[#This Row],[5]]</f>
        <v>0</v>
      </c>
      <c r="M269" s="208">
        <f>Множество_202207112140401240[[#This Row],[7]]+Множество_202207112140401240[[#This Row],[6]]</f>
        <v>0</v>
      </c>
      <c r="N269" s="208" t="str">
        <f>CONCATENATE(Множество_202207112140401240[[#This Row],[2]],Множество_202207112140401240[[#This Row],[3]])</f>
        <v/>
      </c>
      <c r="O269" s="208"/>
      <c r="P269" s="208"/>
      <c r="Q269">
        <v>-2.4500000000000002</v>
      </c>
      <c r="R269">
        <v>-13.4166666666667</v>
      </c>
      <c r="S269" s="208">
        <v>10</v>
      </c>
      <c r="T269" s="208">
        <v>-12.5</v>
      </c>
      <c r="U269" s="208">
        <f>ABS(Множество_202207112140401240[[#This Row],[10]]-Множество_202207112140401240[[#This Row],[12]])</f>
        <v>12.45</v>
      </c>
      <c r="V269" s="208">
        <f>ABS(Множество_202207112140401240[[#This Row],[11]]-Множество_202207112140401240[[#This Row],[13]])</f>
        <v>0.91666666666669983</v>
      </c>
      <c r="W269" s="208">
        <f>Множество_202207112140401240[[#This Row],[15]]+Множество_202207112140401240[[#This Row],[14]]</f>
        <v>13.366666666666699</v>
      </c>
      <c r="X269" s="208">
        <f ca="1">IF(ROW()-ROW(Множество_202207112140401240[[#Headers],[17]])&gt;1,Множество_202207112140401240[[#This Row],[16]]-OFFSET(Множество_202207112140401240[[#This Row],[16]],-1,0),0)</f>
        <v>-8.3333333333008852E-3</v>
      </c>
      <c r="Y269" s="208">
        <v>-2.4500000000000002</v>
      </c>
      <c r="Z269" s="208">
        <v>-13.4166666666667</v>
      </c>
      <c r="AA269" s="208">
        <f>ABS(Множество_202207112140401240[[#This Row],[18]]-Множество_202207112140401240[[#This Row],[12]])</f>
        <v>12.45</v>
      </c>
      <c r="AB269" s="208">
        <f>ABS(Множество_202207112140401240[[#This Row],[19]]-Множество_202207112140401240[[#This Row],[13]])</f>
        <v>0.91666666666669983</v>
      </c>
      <c r="AC269" s="208">
        <f>Множество_202207112140401240[[#This Row],[20]]+Множество_202207112140401240[[#This Row],[21]]</f>
        <v>13.366666666666699</v>
      </c>
    </row>
    <row r="270" spans="6:29" x14ac:dyDescent="0.25">
      <c r="F270" s="213"/>
      <c r="K270" s="208">
        <f>Множество_202207112140401240[[#This Row],[2]]-Множество_202207112140401240[[#This Row],[4]]</f>
        <v>0</v>
      </c>
      <c r="L270" s="208">
        <f>Множество_202207112140401240[[#This Row],[3]]-Множество_202207112140401240[[#This Row],[5]]</f>
        <v>0</v>
      </c>
      <c r="M270" s="208">
        <f>Множество_202207112140401240[[#This Row],[7]]+Множество_202207112140401240[[#This Row],[6]]</f>
        <v>0</v>
      </c>
      <c r="N270" s="208" t="str">
        <f>CONCATENATE(Множество_202207112140401240[[#This Row],[2]],Множество_202207112140401240[[#This Row],[3]])</f>
        <v/>
      </c>
      <c r="O270" s="208"/>
      <c r="P270" s="208"/>
      <c r="Q270">
        <v>-2.9750000000000001</v>
      </c>
      <c r="R270">
        <v>-12.85</v>
      </c>
      <c r="S270" s="208">
        <v>10</v>
      </c>
      <c r="T270" s="208">
        <v>-12.5</v>
      </c>
      <c r="U270" s="208">
        <f>ABS(Множество_202207112140401240[[#This Row],[10]]-Множество_202207112140401240[[#This Row],[12]])</f>
        <v>12.975</v>
      </c>
      <c r="V270" s="208">
        <f>ABS(Множество_202207112140401240[[#This Row],[11]]-Множество_202207112140401240[[#This Row],[13]])</f>
        <v>0.34999999999999964</v>
      </c>
      <c r="W270" s="208">
        <f>Множество_202207112140401240[[#This Row],[15]]+Множество_202207112140401240[[#This Row],[14]]</f>
        <v>13.324999999999999</v>
      </c>
      <c r="X270" s="208">
        <f ca="1">IF(ROW()-ROW(Множество_202207112140401240[[#Headers],[17]])&gt;1,Множество_202207112140401240[[#This Row],[16]]-OFFSET(Множество_202207112140401240[[#This Row],[16]],-1,0),0)</f>
        <v>-4.1666666666699825E-2</v>
      </c>
      <c r="Y270" s="208">
        <v>-2.9750000000000001</v>
      </c>
      <c r="Z270" s="208">
        <v>-12.85</v>
      </c>
      <c r="AA270" s="208">
        <f>ABS(Множество_202207112140401240[[#This Row],[18]]-Множество_202207112140401240[[#This Row],[12]])</f>
        <v>12.975</v>
      </c>
      <c r="AB270" s="208">
        <f>ABS(Множество_202207112140401240[[#This Row],[19]]-Множество_202207112140401240[[#This Row],[13]])</f>
        <v>0.34999999999999964</v>
      </c>
      <c r="AC270" s="208">
        <f>Множество_202207112140401240[[#This Row],[20]]+Множество_202207112140401240[[#This Row],[21]]</f>
        <v>13.324999999999999</v>
      </c>
    </row>
    <row r="271" spans="6:29" x14ac:dyDescent="0.25">
      <c r="F271" s="213"/>
      <c r="K271" s="208">
        <f>Множество_202207112140401240[[#This Row],[2]]-Множество_202207112140401240[[#This Row],[4]]</f>
        <v>0</v>
      </c>
      <c r="L271" s="208">
        <f>Множество_202207112140401240[[#This Row],[3]]-Множество_202207112140401240[[#This Row],[5]]</f>
        <v>0</v>
      </c>
      <c r="M271" s="208">
        <f>Множество_202207112140401240[[#This Row],[7]]+Множество_202207112140401240[[#This Row],[6]]</f>
        <v>0</v>
      </c>
      <c r="N271" s="208" t="str">
        <f>CONCATENATE(Множество_202207112140401240[[#This Row],[2]],Множество_202207112140401240[[#This Row],[3]])</f>
        <v/>
      </c>
      <c r="O271" s="208"/>
      <c r="P271" s="208"/>
      <c r="Q271">
        <v>0.32499999999999901</v>
      </c>
      <c r="R271">
        <v>-16.0833333333333</v>
      </c>
      <c r="S271" s="208">
        <v>10</v>
      </c>
      <c r="T271" s="208">
        <v>-12.5</v>
      </c>
      <c r="U271" s="208">
        <f>ABS(Множество_202207112140401240[[#This Row],[10]]-Множество_202207112140401240[[#This Row],[12]])</f>
        <v>9.6750000000000007</v>
      </c>
      <c r="V271" s="208">
        <f>ABS(Множество_202207112140401240[[#This Row],[11]]-Множество_202207112140401240[[#This Row],[13]])</f>
        <v>3.5833333333333002</v>
      </c>
      <c r="W271" s="208">
        <f>Множество_202207112140401240[[#This Row],[15]]+Множество_202207112140401240[[#This Row],[14]]</f>
        <v>13.258333333333301</v>
      </c>
      <c r="X271" s="208">
        <f ca="1">IF(ROW()-ROW(Множество_202207112140401240[[#Headers],[17]])&gt;1,Множество_202207112140401240[[#This Row],[16]]-OFFSET(Множество_202207112140401240[[#This Row],[16]],-1,0),0)</f>
        <v>-6.6666666666698404E-2</v>
      </c>
      <c r="Y271" s="208">
        <v>0.32499999999999901</v>
      </c>
      <c r="Z271" s="208">
        <v>-16.0833333333333</v>
      </c>
      <c r="AA271" s="208">
        <f>ABS(Множество_202207112140401240[[#This Row],[18]]-Множество_202207112140401240[[#This Row],[12]])</f>
        <v>9.6750000000000007</v>
      </c>
      <c r="AB271" s="208">
        <f>ABS(Множество_202207112140401240[[#This Row],[19]]-Множество_202207112140401240[[#This Row],[13]])</f>
        <v>3.5833333333333002</v>
      </c>
      <c r="AC271" s="208">
        <f>Множество_202207112140401240[[#This Row],[20]]+Множество_202207112140401240[[#This Row],[21]]</f>
        <v>13.258333333333301</v>
      </c>
    </row>
    <row r="272" spans="6:29" x14ac:dyDescent="0.25">
      <c r="F272" s="213"/>
      <c r="K272" s="208">
        <f>Множество_202207112140401240[[#This Row],[2]]-Множество_202207112140401240[[#This Row],[4]]</f>
        <v>0</v>
      </c>
      <c r="L272" s="208">
        <f>Множество_202207112140401240[[#This Row],[3]]-Множество_202207112140401240[[#This Row],[5]]</f>
        <v>0</v>
      </c>
      <c r="M272" s="208">
        <f>Множество_202207112140401240[[#This Row],[7]]+Множество_202207112140401240[[#This Row],[6]]</f>
        <v>0</v>
      </c>
      <c r="N272" s="208" t="str">
        <f>CONCATENATE(Множество_202207112140401240[[#This Row],[2]],Множество_202207112140401240[[#This Row],[3]])</f>
        <v/>
      </c>
      <c r="O272" s="208"/>
      <c r="P272" s="208"/>
      <c r="Q272">
        <v>0.25</v>
      </c>
      <c r="R272">
        <v>-16.100000000000001</v>
      </c>
      <c r="S272" s="208">
        <v>10</v>
      </c>
      <c r="T272" s="208">
        <v>-12.5</v>
      </c>
      <c r="U272" s="208">
        <f>ABS(Множество_202207112140401240[[#This Row],[10]]-Множество_202207112140401240[[#This Row],[12]])</f>
        <v>9.75</v>
      </c>
      <c r="V272" s="208">
        <f>ABS(Множество_202207112140401240[[#This Row],[11]]-Множество_202207112140401240[[#This Row],[13]])</f>
        <v>3.6000000000000014</v>
      </c>
      <c r="W272" s="208">
        <f>Множество_202207112140401240[[#This Row],[15]]+Множество_202207112140401240[[#This Row],[14]]</f>
        <v>13.350000000000001</v>
      </c>
      <c r="X272" s="208">
        <f ca="1">IF(ROW()-ROW(Множество_202207112140401240[[#Headers],[17]])&gt;1,Множество_202207112140401240[[#This Row],[16]]-OFFSET(Множество_202207112140401240[[#This Row],[16]],-1,0),0)</f>
        <v>9.1666666666700536E-2</v>
      </c>
      <c r="Y272" s="208">
        <v>0.25</v>
      </c>
      <c r="Z272" s="208">
        <v>-16.100000000000001</v>
      </c>
      <c r="AA272" s="208">
        <f>ABS(Множество_202207112140401240[[#This Row],[18]]-Множество_202207112140401240[[#This Row],[12]])</f>
        <v>9.75</v>
      </c>
      <c r="AB272" s="208">
        <f>ABS(Множество_202207112140401240[[#This Row],[19]]-Множество_202207112140401240[[#This Row],[13]])</f>
        <v>3.6000000000000014</v>
      </c>
      <c r="AC272" s="208">
        <f>Множество_202207112140401240[[#This Row],[20]]+Множество_202207112140401240[[#This Row],[21]]</f>
        <v>13.350000000000001</v>
      </c>
    </row>
    <row r="273" spans="6:29" x14ac:dyDescent="0.25">
      <c r="F273" s="213"/>
      <c r="K273" s="208">
        <f>Множество_202207112140401240[[#This Row],[2]]-Множество_202207112140401240[[#This Row],[4]]</f>
        <v>0</v>
      </c>
      <c r="L273" s="208">
        <f>Множество_202207112140401240[[#This Row],[3]]-Множество_202207112140401240[[#This Row],[5]]</f>
        <v>0</v>
      </c>
      <c r="M273" s="208">
        <f>Множество_202207112140401240[[#This Row],[7]]+Множество_202207112140401240[[#This Row],[6]]</f>
        <v>0</v>
      </c>
      <c r="N273" s="208" t="str">
        <f>CONCATENATE(Множество_202207112140401240[[#This Row],[2]],Множество_202207112140401240[[#This Row],[3]])</f>
        <v/>
      </c>
      <c r="O273" s="208"/>
      <c r="P273" s="208"/>
      <c r="Q273">
        <v>-3.05</v>
      </c>
      <c r="R273">
        <v>-12.8</v>
      </c>
      <c r="S273" s="208">
        <v>10</v>
      </c>
      <c r="T273" s="208">
        <v>-12.5</v>
      </c>
      <c r="U273" s="208">
        <f>ABS(Множество_202207112140401240[[#This Row],[10]]-Множество_202207112140401240[[#This Row],[12]])</f>
        <v>13.05</v>
      </c>
      <c r="V273" s="208">
        <f>ABS(Множество_202207112140401240[[#This Row],[11]]-Множество_202207112140401240[[#This Row],[13]])</f>
        <v>0.30000000000000071</v>
      </c>
      <c r="W273" s="208">
        <f>Множество_202207112140401240[[#This Row],[15]]+Множество_202207112140401240[[#This Row],[14]]</f>
        <v>13.350000000000001</v>
      </c>
      <c r="X273" s="208">
        <f ca="1">IF(ROW()-ROW(Множество_202207112140401240[[#Headers],[17]])&gt;1,Множество_202207112140401240[[#This Row],[16]]-OFFSET(Множество_202207112140401240[[#This Row],[16]],-1,0),0)</f>
        <v>0</v>
      </c>
      <c r="Y273" s="208">
        <v>-3.05</v>
      </c>
      <c r="Z273" s="208">
        <v>-12.8</v>
      </c>
      <c r="AA273" s="208">
        <f>ABS(Множество_202207112140401240[[#This Row],[18]]-Множество_202207112140401240[[#This Row],[12]])</f>
        <v>13.05</v>
      </c>
      <c r="AB273" s="208">
        <f>ABS(Множество_202207112140401240[[#This Row],[19]]-Множество_202207112140401240[[#This Row],[13]])</f>
        <v>0.30000000000000071</v>
      </c>
      <c r="AC273" s="208">
        <f>Множество_202207112140401240[[#This Row],[20]]+Множество_202207112140401240[[#This Row],[21]]</f>
        <v>13.350000000000001</v>
      </c>
    </row>
    <row r="274" spans="6:29" x14ac:dyDescent="0.25">
      <c r="F274" s="213"/>
      <c r="K274" s="208">
        <f>Множество_202207112140401240[[#This Row],[2]]-Множество_202207112140401240[[#This Row],[4]]</f>
        <v>0</v>
      </c>
      <c r="L274" s="208">
        <f>Множество_202207112140401240[[#This Row],[3]]-Множество_202207112140401240[[#This Row],[5]]</f>
        <v>0</v>
      </c>
      <c r="M274" s="208">
        <f>Множество_202207112140401240[[#This Row],[7]]+Множество_202207112140401240[[#This Row],[6]]</f>
        <v>0</v>
      </c>
      <c r="N274" s="208" t="str">
        <f>CONCATENATE(Множество_202207112140401240[[#This Row],[2]],Множество_202207112140401240[[#This Row],[3]])</f>
        <v/>
      </c>
      <c r="O274" s="208"/>
      <c r="P274" s="208"/>
      <c r="Q274">
        <v>-2.5249999999999999</v>
      </c>
      <c r="R274">
        <v>-13.4</v>
      </c>
      <c r="S274" s="208">
        <v>10</v>
      </c>
      <c r="T274" s="208">
        <v>-12.5</v>
      </c>
      <c r="U274" s="208">
        <f>ABS(Множество_202207112140401240[[#This Row],[10]]-Множество_202207112140401240[[#This Row],[12]])</f>
        <v>12.525</v>
      </c>
      <c r="V274" s="208">
        <f>ABS(Множество_202207112140401240[[#This Row],[11]]-Множество_202207112140401240[[#This Row],[13]])</f>
        <v>0.90000000000000036</v>
      </c>
      <c r="W274" s="208">
        <f>Множество_202207112140401240[[#This Row],[15]]+Множество_202207112140401240[[#This Row],[14]]</f>
        <v>13.425000000000001</v>
      </c>
      <c r="X274" s="208">
        <f ca="1">IF(ROW()-ROW(Множество_202207112140401240[[#Headers],[17]])&gt;1,Множество_202207112140401240[[#This Row],[16]]-OFFSET(Множество_202207112140401240[[#This Row],[16]],-1,0),0)</f>
        <v>7.4999999999999289E-2</v>
      </c>
      <c r="Y274" s="208">
        <v>-2.5249999999999999</v>
      </c>
      <c r="Z274" s="208">
        <v>-13.4</v>
      </c>
      <c r="AA274" s="208">
        <f>ABS(Множество_202207112140401240[[#This Row],[18]]-Множество_202207112140401240[[#This Row],[12]])</f>
        <v>12.525</v>
      </c>
      <c r="AB274" s="208">
        <f>ABS(Множество_202207112140401240[[#This Row],[19]]-Множество_202207112140401240[[#This Row],[13]])</f>
        <v>0.90000000000000036</v>
      </c>
      <c r="AC274" s="208">
        <f>Множество_202207112140401240[[#This Row],[20]]+Множество_202207112140401240[[#This Row],[21]]</f>
        <v>13.425000000000001</v>
      </c>
    </row>
    <row r="275" spans="6:29" x14ac:dyDescent="0.25">
      <c r="F275" s="213"/>
      <c r="K275" s="208">
        <f>Множество_202207112140401240[[#This Row],[2]]-Множество_202207112140401240[[#This Row],[4]]</f>
        <v>0</v>
      </c>
      <c r="L275" s="208">
        <f>Множество_202207112140401240[[#This Row],[3]]-Множество_202207112140401240[[#This Row],[5]]</f>
        <v>0</v>
      </c>
      <c r="M275" s="208">
        <f>Множество_202207112140401240[[#This Row],[7]]+Множество_202207112140401240[[#This Row],[6]]</f>
        <v>0</v>
      </c>
      <c r="N275" s="208" t="str">
        <f>CONCATENATE(Множество_202207112140401240[[#This Row],[2]],Множество_202207112140401240[[#This Row],[3]])</f>
        <v/>
      </c>
      <c r="O275" s="208"/>
      <c r="P275" s="208"/>
      <c r="Q275">
        <v>-3.2</v>
      </c>
      <c r="R275">
        <v>-12.716666666666701</v>
      </c>
      <c r="S275" s="208">
        <v>10</v>
      </c>
      <c r="T275" s="208">
        <v>-12.5</v>
      </c>
      <c r="U275" s="208">
        <f>ABS(Множество_202207112140401240[[#This Row],[10]]-Множество_202207112140401240[[#This Row],[12]])</f>
        <v>13.2</v>
      </c>
      <c r="V275" s="208">
        <f>ABS(Множество_202207112140401240[[#This Row],[11]]-Множество_202207112140401240[[#This Row],[13]])</f>
        <v>0.21666666666670054</v>
      </c>
      <c r="W275" s="208">
        <f>Множество_202207112140401240[[#This Row],[15]]+Множество_202207112140401240[[#This Row],[14]]</f>
        <v>13.4166666666667</v>
      </c>
      <c r="X275" s="208">
        <f ca="1">IF(ROW()-ROW(Множество_202207112140401240[[#Headers],[17]])&gt;1,Множество_202207112140401240[[#This Row],[16]]-OFFSET(Множество_202207112140401240[[#This Row],[16]],-1,0),0)</f>
        <v>-8.3333333333008852E-3</v>
      </c>
      <c r="Y275" s="208">
        <v>-3.2</v>
      </c>
      <c r="Z275" s="208">
        <v>-12.716666666666701</v>
      </c>
      <c r="AA275" s="208">
        <f>ABS(Множество_202207112140401240[[#This Row],[18]]-Множество_202207112140401240[[#This Row],[12]])</f>
        <v>13.2</v>
      </c>
      <c r="AB275" s="208">
        <f>ABS(Множество_202207112140401240[[#This Row],[19]]-Множество_202207112140401240[[#This Row],[13]])</f>
        <v>0.21666666666670054</v>
      </c>
      <c r="AC275" s="208">
        <f>Множество_202207112140401240[[#This Row],[20]]+Множество_202207112140401240[[#This Row],[21]]</f>
        <v>13.4166666666667</v>
      </c>
    </row>
    <row r="276" spans="6:29" x14ac:dyDescent="0.25">
      <c r="F276" s="213"/>
      <c r="K276" s="208">
        <f>Множество_202207112140401240[[#This Row],[2]]-Множество_202207112140401240[[#This Row],[4]]</f>
        <v>0</v>
      </c>
      <c r="L276" s="208">
        <f>Множество_202207112140401240[[#This Row],[3]]-Множество_202207112140401240[[#This Row],[5]]</f>
        <v>0</v>
      </c>
      <c r="M276" s="208">
        <f>Множество_202207112140401240[[#This Row],[7]]+Множество_202207112140401240[[#This Row],[6]]</f>
        <v>0</v>
      </c>
      <c r="N276" s="208" t="str">
        <f>CONCATENATE(Множество_202207112140401240[[#This Row],[2]],Множество_202207112140401240[[#This Row],[3]])</f>
        <v/>
      </c>
      <c r="O276" s="208"/>
      <c r="P276" s="208"/>
      <c r="Q276">
        <v>-3.35</v>
      </c>
      <c r="R276">
        <v>-12.633333333333301</v>
      </c>
      <c r="S276" s="208">
        <v>10</v>
      </c>
      <c r="T276" s="208">
        <v>-12.5</v>
      </c>
      <c r="U276" s="208">
        <f>ABS(Множество_202207112140401240[[#This Row],[10]]-Множество_202207112140401240[[#This Row],[12]])</f>
        <v>13.35</v>
      </c>
      <c r="V276" s="208">
        <f>ABS(Множество_202207112140401240[[#This Row],[11]]-Множество_202207112140401240[[#This Row],[13]])</f>
        <v>0.13333333333330089</v>
      </c>
      <c r="W276" s="208">
        <f>Множество_202207112140401240[[#This Row],[15]]+Множество_202207112140401240[[#This Row],[14]]</f>
        <v>13.483333333333301</v>
      </c>
      <c r="X276" s="208">
        <f ca="1">IF(ROW()-ROW(Множество_202207112140401240[[#Headers],[17]])&gt;1,Множество_202207112140401240[[#This Row],[16]]-OFFSET(Множество_202207112140401240[[#This Row],[16]],-1,0),0)</f>
        <v>6.6666666666600705E-2</v>
      </c>
      <c r="Y276" s="208">
        <v>-3.35</v>
      </c>
      <c r="Z276" s="208">
        <v>-12.633333333333301</v>
      </c>
      <c r="AA276" s="208">
        <f>ABS(Множество_202207112140401240[[#This Row],[18]]-Множество_202207112140401240[[#This Row],[12]])</f>
        <v>13.35</v>
      </c>
      <c r="AB276" s="208">
        <f>ABS(Множество_202207112140401240[[#This Row],[19]]-Множество_202207112140401240[[#This Row],[13]])</f>
        <v>0.13333333333330089</v>
      </c>
      <c r="AC276" s="208">
        <f>Множество_202207112140401240[[#This Row],[20]]+Множество_202207112140401240[[#This Row],[21]]</f>
        <v>13.483333333333301</v>
      </c>
    </row>
    <row r="277" spans="6:29" x14ac:dyDescent="0.25">
      <c r="F277" s="213"/>
      <c r="K277" s="208">
        <f>Множество_202207112140401240[[#This Row],[2]]-Множество_202207112140401240[[#This Row],[4]]</f>
        <v>0</v>
      </c>
      <c r="L277" s="208">
        <f>Множество_202207112140401240[[#This Row],[3]]-Множество_202207112140401240[[#This Row],[5]]</f>
        <v>0</v>
      </c>
      <c r="M277" s="208">
        <f>Множество_202207112140401240[[#This Row],[7]]+Множество_202207112140401240[[#This Row],[6]]</f>
        <v>0</v>
      </c>
      <c r="N277" s="208" t="str">
        <f>CONCATENATE(Множество_202207112140401240[[#This Row],[2]],Множество_202207112140401240[[#This Row],[3]])</f>
        <v/>
      </c>
      <c r="O277" s="208"/>
      <c r="P277" s="208"/>
      <c r="Q277">
        <v>-3.5</v>
      </c>
      <c r="R277">
        <v>-12.533333333333299</v>
      </c>
      <c r="S277" s="208">
        <v>10</v>
      </c>
      <c r="T277" s="208">
        <v>-12.5</v>
      </c>
      <c r="U277" s="208">
        <f>ABS(Множество_202207112140401240[[#This Row],[10]]-Множество_202207112140401240[[#This Row],[12]])</f>
        <v>13.5</v>
      </c>
      <c r="V277" s="208">
        <f>ABS(Множество_202207112140401240[[#This Row],[11]]-Множество_202207112140401240[[#This Row],[13]])</f>
        <v>3.3333333333299464E-2</v>
      </c>
      <c r="W277" s="208">
        <f>Множество_202207112140401240[[#This Row],[15]]+Множество_202207112140401240[[#This Row],[14]]</f>
        <v>13.533333333333299</v>
      </c>
      <c r="X277" s="208">
        <f ca="1">IF(ROW()-ROW(Множество_202207112140401240[[#Headers],[17]])&gt;1,Множество_202207112140401240[[#This Row],[16]]-OFFSET(Множество_202207112140401240[[#This Row],[16]],-1,0),0)</f>
        <v>4.9999999999998934E-2</v>
      </c>
      <c r="Y277" s="208">
        <v>-3.5</v>
      </c>
      <c r="Z277" s="208">
        <v>-12.533333333333299</v>
      </c>
      <c r="AA277" s="208">
        <f>ABS(Множество_202207112140401240[[#This Row],[18]]-Множество_202207112140401240[[#This Row],[12]])</f>
        <v>13.5</v>
      </c>
      <c r="AB277" s="208">
        <f>ABS(Множество_202207112140401240[[#This Row],[19]]-Множество_202207112140401240[[#This Row],[13]])</f>
        <v>3.3333333333299464E-2</v>
      </c>
      <c r="AC277" s="208">
        <f>Множество_202207112140401240[[#This Row],[20]]+Множество_202207112140401240[[#This Row],[21]]</f>
        <v>13.533333333333299</v>
      </c>
    </row>
    <row r="278" spans="6:29" x14ac:dyDescent="0.25">
      <c r="F278" s="213"/>
      <c r="K278" s="208">
        <f>Множество_202207112140401240[[#This Row],[2]]-Множество_202207112140401240[[#This Row],[4]]</f>
        <v>0</v>
      </c>
      <c r="L278" s="208">
        <f>Множество_202207112140401240[[#This Row],[3]]-Множество_202207112140401240[[#This Row],[5]]</f>
        <v>0</v>
      </c>
      <c r="M278" s="208">
        <f>Множество_202207112140401240[[#This Row],[7]]+Множество_202207112140401240[[#This Row],[6]]</f>
        <v>0</v>
      </c>
      <c r="N278" s="208" t="str">
        <f>CONCATENATE(Множество_202207112140401240[[#This Row],[2]],Множество_202207112140401240[[#This Row],[3]])</f>
        <v/>
      </c>
      <c r="O278" s="208"/>
      <c r="P278" s="208"/>
      <c r="Q278">
        <v>0.100000000000001</v>
      </c>
      <c r="R278">
        <v>-16.149999999999999</v>
      </c>
      <c r="S278" s="208">
        <v>10</v>
      </c>
      <c r="T278" s="208">
        <v>-12.5</v>
      </c>
      <c r="U278" s="208">
        <f>ABS(Множество_202207112140401240[[#This Row],[10]]-Множество_202207112140401240[[#This Row],[12]])</f>
        <v>9.8999999999999986</v>
      </c>
      <c r="V278" s="208">
        <f>ABS(Множество_202207112140401240[[#This Row],[11]]-Множество_202207112140401240[[#This Row],[13]])</f>
        <v>3.6499999999999986</v>
      </c>
      <c r="W278" s="208">
        <f>Множество_202207112140401240[[#This Row],[15]]+Множество_202207112140401240[[#This Row],[14]]</f>
        <v>13.549999999999997</v>
      </c>
      <c r="X278" s="208">
        <f ca="1">IF(ROW()-ROW(Множество_202207112140401240[[#Headers],[17]])&gt;1,Множество_202207112140401240[[#This Row],[16]]-OFFSET(Множество_202207112140401240[[#This Row],[16]],-1,0),0)</f>
        <v>1.6666666666697694E-2</v>
      </c>
      <c r="Y278" s="208">
        <v>0.100000000000001</v>
      </c>
      <c r="Z278" s="208">
        <v>-16.149999999999999</v>
      </c>
      <c r="AA278" s="208">
        <f>ABS(Множество_202207112140401240[[#This Row],[18]]-Множество_202207112140401240[[#This Row],[12]])</f>
        <v>9.8999999999999986</v>
      </c>
      <c r="AB278" s="208">
        <f>ABS(Множество_202207112140401240[[#This Row],[19]]-Множество_202207112140401240[[#This Row],[13]])</f>
        <v>3.6499999999999986</v>
      </c>
      <c r="AC278" s="208">
        <f>Множество_202207112140401240[[#This Row],[20]]+Множество_202207112140401240[[#This Row],[21]]</f>
        <v>13.549999999999997</v>
      </c>
    </row>
    <row r="279" spans="6:29" x14ac:dyDescent="0.25">
      <c r="F279" s="213"/>
      <c r="K279" s="208">
        <f>Множество_202207112140401240[[#This Row],[2]]-Множество_202207112140401240[[#This Row],[4]]</f>
        <v>0</v>
      </c>
      <c r="L279" s="208">
        <f>Множество_202207112140401240[[#This Row],[3]]-Множество_202207112140401240[[#This Row],[5]]</f>
        <v>0</v>
      </c>
      <c r="M279" s="208">
        <f>Множество_202207112140401240[[#This Row],[7]]+Множество_202207112140401240[[#This Row],[6]]</f>
        <v>0</v>
      </c>
      <c r="N279" s="208" t="str">
        <f>CONCATENATE(Множество_202207112140401240[[#This Row],[2]],Множество_202207112140401240[[#This Row],[3]])</f>
        <v/>
      </c>
      <c r="O279" s="208"/>
      <c r="P279" s="208"/>
      <c r="Q279">
        <v>-3.2749999999999999</v>
      </c>
      <c r="R279">
        <v>-12.6666666666667</v>
      </c>
      <c r="S279" s="208">
        <v>10</v>
      </c>
      <c r="T279" s="208">
        <v>-12.5</v>
      </c>
      <c r="U279" s="208">
        <f>ABS(Множество_202207112140401240[[#This Row],[10]]-Множество_202207112140401240[[#This Row],[12]])</f>
        <v>13.275</v>
      </c>
      <c r="V279" s="208">
        <f>ABS(Множество_202207112140401240[[#This Row],[11]]-Множество_202207112140401240[[#This Row],[13]])</f>
        <v>0.16666666666669983</v>
      </c>
      <c r="W279" s="208">
        <f>Множество_202207112140401240[[#This Row],[15]]+Множество_202207112140401240[[#This Row],[14]]</f>
        <v>13.4416666666667</v>
      </c>
      <c r="X279" s="208">
        <f ca="1">IF(ROW()-ROW(Множество_202207112140401240[[#Headers],[17]])&gt;1,Множество_202207112140401240[[#This Row],[16]]-OFFSET(Множество_202207112140401240[[#This Row],[16]],-1,0),0)</f>
        <v>-0.10833333333329698</v>
      </c>
      <c r="Y279" s="208">
        <v>-3.2749999999999999</v>
      </c>
      <c r="Z279" s="208">
        <v>-12.6666666666667</v>
      </c>
      <c r="AA279" s="208">
        <f>ABS(Множество_202207112140401240[[#This Row],[18]]-Множество_202207112140401240[[#This Row],[12]])</f>
        <v>13.275</v>
      </c>
      <c r="AB279" s="208">
        <f>ABS(Множество_202207112140401240[[#This Row],[19]]-Множество_202207112140401240[[#This Row],[13]])</f>
        <v>0.16666666666669983</v>
      </c>
      <c r="AC279" s="208">
        <f>Множество_202207112140401240[[#This Row],[20]]+Множество_202207112140401240[[#This Row],[21]]</f>
        <v>13.4416666666667</v>
      </c>
    </row>
    <row r="280" spans="6:29" x14ac:dyDescent="0.25">
      <c r="F280" s="213"/>
      <c r="K280" s="208">
        <f>Множество_202207112140401240[[#This Row],[2]]-Множество_202207112140401240[[#This Row],[4]]</f>
        <v>0</v>
      </c>
      <c r="L280" s="208">
        <f>Множество_202207112140401240[[#This Row],[3]]-Множество_202207112140401240[[#This Row],[5]]</f>
        <v>0</v>
      </c>
      <c r="M280" s="208">
        <f>Множество_202207112140401240[[#This Row],[7]]+Множество_202207112140401240[[#This Row],[6]]</f>
        <v>0</v>
      </c>
      <c r="N280" s="208" t="str">
        <f>CONCATENATE(Множество_202207112140401240[[#This Row],[2]],Множество_202207112140401240[[#This Row],[3]])</f>
        <v/>
      </c>
      <c r="O280" s="208"/>
      <c r="P280" s="208"/>
      <c r="Q280">
        <v>0.17499999999999699</v>
      </c>
      <c r="R280">
        <v>-16.133333333333301</v>
      </c>
      <c r="S280" s="208">
        <v>10</v>
      </c>
      <c r="T280" s="208">
        <v>-12.5</v>
      </c>
      <c r="U280" s="208">
        <f>ABS(Множество_202207112140401240[[#This Row],[10]]-Множество_202207112140401240[[#This Row],[12]])</f>
        <v>9.8250000000000028</v>
      </c>
      <c r="V280" s="208">
        <f>ABS(Множество_202207112140401240[[#This Row],[11]]-Множество_202207112140401240[[#This Row],[13]])</f>
        <v>3.6333333333333009</v>
      </c>
      <c r="W280" s="208">
        <f>Множество_202207112140401240[[#This Row],[15]]+Множество_202207112140401240[[#This Row],[14]]</f>
        <v>13.458333333333304</v>
      </c>
      <c r="X280" s="208">
        <f ca="1">IF(ROW()-ROW(Множество_202207112140401240[[#Headers],[17]])&gt;1,Множество_202207112140401240[[#This Row],[16]]-OFFSET(Множество_202207112140401240[[#This Row],[16]],-1,0),0)</f>
        <v>1.6666666666603547E-2</v>
      </c>
      <c r="Y280" s="208">
        <v>0.17499999999999699</v>
      </c>
      <c r="Z280" s="208">
        <v>-16.133333333333301</v>
      </c>
      <c r="AA280" s="208">
        <f>ABS(Множество_202207112140401240[[#This Row],[18]]-Множество_202207112140401240[[#This Row],[12]])</f>
        <v>9.8250000000000028</v>
      </c>
      <c r="AB280" s="208">
        <f>ABS(Множество_202207112140401240[[#This Row],[19]]-Множество_202207112140401240[[#This Row],[13]])</f>
        <v>3.6333333333333009</v>
      </c>
      <c r="AC280" s="208">
        <f>Множество_202207112140401240[[#This Row],[20]]+Множество_202207112140401240[[#This Row],[21]]</f>
        <v>13.458333333333304</v>
      </c>
    </row>
    <row r="281" spans="6:29" x14ac:dyDescent="0.25">
      <c r="F281" s="213"/>
      <c r="K281" s="208">
        <f>Множество_202207112140401240[[#This Row],[2]]-Множество_202207112140401240[[#This Row],[4]]</f>
        <v>0</v>
      </c>
      <c r="L281" s="208">
        <f>Множество_202207112140401240[[#This Row],[3]]-Множество_202207112140401240[[#This Row],[5]]</f>
        <v>0</v>
      </c>
      <c r="M281" s="208">
        <f>Множество_202207112140401240[[#This Row],[7]]+Множество_202207112140401240[[#This Row],[6]]</f>
        <v>0</v>
      </c>
      <c r="N281" s="208" t="str">
        <f>CONCATENATE(Множество_202207112140401240[[#This Row],[2]],Множество_202207112140401240[[#This Row],[3]])</f>
        <v/>
      </c>
      <c r="O281" s="208"/>
      <c r="P281" s="208"/>
      <c r="Q281">
        <v>-2.6749999999999998</v>
      </c>
      <c r="R281">
        <v>-13.366666666666699</v>
      </c>
      <c r="S281" s="208">
        <v>10</v>
      </c>
      <c r="T281" s="208">
        <v>-12.5</v>
      </c>
      <c r="U281" s="208">
        <f>ABS(Множество_202207112140401240[[#This Row],[10]]-Множество_202207112140401240[[#This Row],[12]])</f>
        <v>12.675000000000001</v>
      </c>
      <c r="V281" s="208">
        <f>ABS(Множество_202207112140401240[[#This Row],[11]]-Множество_202207112140401240[[#This Row],[13]])</f>
        <v>0.86666666666669911</v>
      </c>
      <c r="W281" s="208">
        <f>Множество_202207112140401240[[#This Row],[15]]+Множество_202207112140401240[[#This Row],[14]]</f>
        <v>13.5416666666667</v>
      </c>
      <c r="X281" s="208">
        <f ca="1">IF(ROW()-ROW(Множество_202207112140401240[[#Headers],[17]])&gt;1,Множество_202207112140401240[[#This Row],[16]]-OFFSET(Множество_202207112140401240[[#This Row],[16]],-1,0),0)</f>
        <v>8.3333333333396098E-2</v>
      </c>
      <c r="Y281" s="208">
        <v>-2.6749999999999998</v>
      </c>
      <c r="Z281" s="208">
        <v>-13.366666666666699</v>
      </c>
      <c r="AA281" s="208">
        <f>ABS(Множество_202207112140401240[[#This Row],[18]]-Множество_202207112140401240[[#This Row],[12]])</f>
        <v>12.675000000000001</v>
      </c>
      <c r="AB281" s="208">
        <f>ABS(Множество_202207112140401240[[#This Row],[19]]-Множество_202207112140401240[[#This Row],[13]])</f>
        <v>0.86666666666669911</v>
      </c>
      <c r="AC281" s="208">
        <f>Множество_202207112140401240[[#This Row],[20]]+Множество_202207112140401240[[#This Row],[21]]</f>
        <v>13.5416666666667</v>
      </c>
    </row>
    <row r="282" spans="6:29" x14ac:dyDescent="0.25">
      <c r="F282" s="213"/>
      <c r="K282" s="208">
        <f>Множество_202207112140401240[[#This Row],[2]]-Множество_202207112140401240[[#This Row],[4]]</f>
        <v>0</v>
      </c>
      <c r="L282" s="208">
        <f>Множество_202207112140401240[[#This Row],[3]]-Множество_202207112140401240[[#This Row],[5]]</f>
        <v>0</v>
      </c>
      <c r="M282" s="208">
        <f>Множество_202207112140401240[[#This Row],[7]]+Множество_202207112140401240[[#This Row],[6]]</f>
        <v>0</v>
      </c>
      <c r="N282" s="208" t="str">
        <f>CONCATENATE(Множество_202207112140401240[[#This Row],[2]],Множество_202207112140401240[[#This Row],[3]])</f>
        <v/>
      </c>
      <c r="O282" s="208"/>
      <c r="P282" s="208"/>
      <c r="Q282">
        <v>-2.6</v>
      </c>
      <c r="R282">
        <v>-13.383333333333301</v>
      </c>
      <c r="S282" s="208">
        <v>10</v>
      </c>
      <c r="T282" s="208">
        <v>-12.5</v>
      </c>
      <c r="U282" s="208">
        <f>ABS(Множество_202207112140401240[[#This Row],[10]]-Множество_202207112140401240[[#This Row],[12]])</f>
        <v>12.6</v>
      </c>
      <c r="V282" s="208">
        <f>ABS(Множество_202207112140401240[[#This Row],[11]]-Множество_202207112140401240[[#This Row],[13]])</f>
        <v>0.88333333333330089</v>
      </c>
      <c r="W282" s="208">
        <f>Множество_202207112140401240[[#This Row],[15]]+Множество_202207112140401240[[#This Row],[14]]</f>
        <v>13.483333333333301</v>
      </c>
      <c r="X282" s="208">
        <f ca="1">IF(ROW()-ROW(Множество_202207112140401240[[#Headers],[17]])&gt;1,Множество_202207112140401240[[#This Row],[16]]-OFFSET(Множество_202207112140401240[[#This Row],[16]],-1,0),0)</f>
        <v>-5.8333333333399295E-2</v>
      </c>
      <c r="Y282" s="208">
        <v>-2.6</v>
      </c>
      <c r="Z282" s="208">
        <v>-13.383333333333301</v>
      </c>
      <c r="AA282" s="208">
        <f>ABS(Множество_202207112140401240[[#This Row],[18]]-Множество_202207112140401240[[#This Row],[12]])</f>
        <v>12.6</v>
      </c>
      <c r="AB282" s="208">
        <f>ABS(Множество_202207112140401240[[#This Row],[19]]-Множество_202207112140401240[[#This Row],[13]])</f>
        <v>0.88333333333330089</v>
      </c>
      <c r="AC282" s="208">
        <f>Множество_202207112140401240[[#This Row],[20]]+Множество_202207112140401240[[#This Row],[21]]</f>
        <v>13.483333333333301</v>
      </c>
    </row>
    <row r="283" spans="6:29" x14ac:dyDescent="0.25">
      <c r="F283" s="213"/>
      <c r="K283" s="208">
        <f>Множество_202207112140401240[[#This Row],[2]]-Множество_202207112140401240[[#This Row],[4]]</f>
        <v>0</v>
      </c>
      <c r="L283" s="208">
        <f>Множество_202207112140401240[[#This Row],[3]]-Множество_202207112140401240[[#This Row],[5]]</f>
        <v>0</v>
      </c>
      <c r="M283" s="208">
        <f>Множество_202207112140401240[[#This Row],[7]]+Множество_202207112140401240[[#This Row],[6]]</f>
        <v>0</v>
      </c>
      <c r="N283" s="208" t="str">
        <f>CONCATENATE(Множество_202207112140401240[[#This Row],[2]],Множество_202207112140401240[[#This Row],[3]])</f>
        <v/>
      </c>
      <c r="O283" s="208"/>
      <c r="P283" s="208"/>
      <c r="Q283">
        <v>-3.4249999999999998</v>
      </c>
      <c r="R283">
        <v>-12.5833333333333</v>
      </c>
      <c r="S283" s="208">
        <v>10</v>
      </c>
      <c r="T283" s="208">
        <v>-12.5</v>
      </c>
      <c r="U283" s="208">
        <f>ABS(Множество_202207112140401240[[#This Row],[10]]-Множество_202207112140401240[[#This Row],[12]])</f>
        <v>13.425000000000001</v>
      </c>
      <c r="V283" s="208">
        <f>ABS(Множество_202207112140401240[[#This Row],[11]]-Множество_202207112140401240[[#This Row],[13]])</f>
        <v>8.3333333333300175E-2</v>
      </c>
      <c r="W283" s="208">
        <f>Множество_202207112140401240[[#This Row],[15]]+Множество_202207112140401240[[#This Row],[14]]</f>
        <v>13.508333333333301</v>
      </c>
      <c r="X283" s="208">
        <f ca="1">IF(ROW()-ROW(Множество_202207112140401240[[#Headers],[17]])&gt;1,Множество_202207112140401240[[#This Row],[16]]-OFFSET(Множество_202207112140401240[[#This Row],[16]],-1,0),0)</f>
        <v>2.5000000000000355E-2</v>
      </c>
      <c r="Y283" s="208">
        <v>-3.4249999999999998</v>
      </c>
      <c r="Z283" s="208">
        <v>-12.5833333333333</v>
      </c>
      <c r="AA283" s="208">
        <f>ABS(Множество_202207112140401240[[#This Row],[18]]-Множество_202207112140401240[[#This Row],[12]])</f>
        <v>13.425000000000001</v>
      </c>
      <c r="AB283" s="208">
        <f>ABS(Множество_202207112140401240[[#This Row],[19]]-Множество_202207112140401240[[#This Row],[13]])</f>
        <v>8.3333333333300175E-2</v>
      </c>
      <c r="AC283" s="208">
        <f>Множество_202207112140401240[[#This Row],[20]]+Множество_202207112140401240[[#This Row],[21]]</f>
        <v>13.508333333333301</v>
      </c>
    </row>
    <row r="284" spans="6:29" x14ac:dyDescent="0.25">
      <c r="F284" s="213"/>
      <c r="K284" s="208">
        <f>Множество_202207112140401240[[#This Row],[2]]-Множество_202207112140401240[[#This Row],[4]]</f>
        <v>0</v>
      </c>
      <c r="L284" s="208">
        <f>Множество_202207112140401240[[#This Row],[3]]-Множество_202207112140401240[[#This Row],[5]]</f>
        <v>0</v>
      </c>
      <c r="M284" s="208">
        <f>Множество_202207112140401240[[#This Row],[7]]+Множество_202207112140401240[[#This Row],[6]]</f>
        <v>0</v>
      </c>
      <c r="N284" s="208" t="str">
        <f>CONCATENATE(Множество_202207112140401240[[#This Row],[2]],Множество_202207112140401240[[#This Row],[3]])</f>
        <v/>
      </c>
      <c r="O284" s="208"/>
      <c r="P284" s="208"/>
      <c r="Q284">
        <v>-3.5750000000000002</v>
      </c>
      <c r="R284">
        <v>-12.5</v>
      </c>
      <c r="S284" s="208">
        <v>10</v>
      </c>
      <c r="T284" s="208">
        <v>-12.5</v>
      </c>
      <c r="U284" s="208">
        <f>ABS(Множество_202207112140401240[[#This Row],[10]]-Множество_202207112140401240[[#This Row],[12]])</f>
        <v>13.574999999999999</v>
      </c>
      <c r="V284" s="208">
        <f>ABS(Множество_202207112140401240[[#This Row],[11]]-Множество_202207112140401240[[#This Row],[13]])</f>
        <v>0</v>
      </c>
      <c r="W284" s="208">
        <f>Множество_202207112140401240[[#This Row],[15]]+Множество_202207112140401240[[#This Row],[14]]</f>
        <v>13.574999999999999</v>
      </c>
      <c r="X284" s="208">
        <f ca="1">IF(ROW()-ROW(Множество_202207112140401240[[#Headers],[17]])&gt;1,Множество_202207112140401240[[#This Row],[16]]-OFFSET(Множество_202207112140401240[[#This Row],[16]],-1,0),0)</f>
        <v>6.6666666666698404E-2</v>
      </c>
      <c r="Y284" s="208">
        <v>-3.5750000000000002</v>
      </c>
      <c r="Z284" s="208">
        <v>-12.5</v>
      </c>
      <c r="AA284" s="208">
        <f>ABS(Множество_202207112140401240[[#This Row],[18]]-Множество_202207112140401240[[#This Row],[12]])</f>
        <v>13.574999999999999</v>
      </c>
      <c r="AB284" s="208">
        <f>ABS(Множество_202207112140401240[[#This Row],[19]]-Множество_202207112140401240[[#This Row],[13]])</f>
        <v>0</v>
      </c>
      <c r="AC284" s="208">
        <f>Множество_202207112140401240[[#This Row],[20]]+Множество_202207112140401240[[#This Row],[21]]</f>
        <v>13.574999999999999</v>
      </c>
    </row>
    <row r="285" spans="6:29" x14ac:dyDescent="0.25">
      <c r="F285" s="213"/>
      <c r="K285" s="208">
        <f>Множество_202207112140401240[[#This Row],[2]]-Множество_202207112140401240[[#This Row],[4]]</f>
        <v>0</v>
      </c>
      <c r="L285" s="208">
        <f>Множество_202207112140401240[[#This Row],[3]]-Множество_202207112140401240[[#This Row],[5]]</f>
        <v>0</v>
      </c>
      <c r="M285" s="208">
        <f>Множество_202207112140401240[[#This Row],[7]]+Множество_202207112140401240[[#This Row],[6]]</f>
        <v>0</v>
      </c>
      <c r="N285" s="208" t="str">
        <f>CONCATENATE(Множество_202207112140401240[[#This Row],[2]],Множество_202207112140401240[[#This Row],[3]])</f>
        <v/>
      </c>
      <c r="O285" s="208"/>
      <c r="P285" s="208"/>
      <c r="Q285">
        <v>-2.8250000000000002</v>
      </c>
      <c r="R285">
        <v>-13.35</v>
      </c>
      <c r="S285" s="208">
        <v>10</v>
      </c>
      <c r="T285" s="208">
        <v>-12.5</v>
      </c>
      <c r="U285" s="208">
        <f>ABS(Множество_202207112140401240[[#This Row],[10]]-Множество_202207112140401240[[#This Row],[12]])</f>
        <v>12.824999999999999</v>
      </c>
      <c r="V285" s="208">
        <f>ABS(Множество_202207112140401240[[#This Row],[11]]-Множество_202207112140401240[[#This Row],[13]])</f>
        <v>0.84999999999999964</v>
      </c>
      <c r="W285" s="208">
        <f>Множество_202207112140401240[[#This Row],[15]]+Множество_202207112140401240[[#This Row],[14]]</f>
        <v>13.674999999999999</v>
      </c>
      <c r="X285" s="208">
        <f ca="1">IF(ROW()-ROW(Множество_202207112140401240[[#Headers],[17]])&gt;1,Множество_202207112140401240[[#This Row],[16]]-OFFSET(Множество_202207112140401240[[#This Row],[16]],-1,0),0)</f>
        <v>9.9999999999999645E-2</v>
      </c>
      <c r="Y285" s="208">
        <v>-2.8250000000000002</v>
      </c>
      <c r="Z285" s="208">
        <v>-13.35</v>
      </c>
      <c r="AA285" s="208">
        <f>ABS(Множество_202207112140401240[[#This Row],[18]]-Множество_202207112140401240[[#This Row],[12]])</f>
        <v>12.824999999999999</v>
      </c>
      <c r="AB285" s="208">
        <f>ABS(Множество_202207112140401240[[#This Row],[19]]-Множество_202207112140401240[[#This Row],[13]])</f>
        <v>0.84999999999999964</v>
      </c>
      <c r="AC285" s="208">
        <f>Множество_202207112140401240[[#This Row],[20]]+Множество_202207112140401240[[#This Row],[21]]</f>
        <v>13.674999999999999</v>
      </c>
    </row>
    <row r="286" spans="6:29" x14ac:dyDescent="0.25">
      <c r="F286" s="213"/>
      <c r="K286" s="208">
        <f>Множество_202207112140401240[[#This Row],[2]]-Множество_202207112140401240[[#This Row],[4]]</f>
        <v>0</v>
      </c>
      <c r="L286" s="208">
        <f>Множество_202207112140401240[[#This Row],[3]]-Множество_202207112140401240[[#This Row],[5]]</f>
        <v>0</v>
      </c>
      <c r="M286" s="208">
        <f>Множество_202207112140401240[[#This Row],[7]]+Множество_202207112140401240[[#This Row],[6]]</f>
        <v>0</v>
      </c>
      <c r="N286" s="208" t="str">
        <f>CONCATENATE(Множество_202207112140401240[[#This Row],[2]],Множество_202207112140401240[[#This Row],[3]])</f>
        <v/>
      </c>
      <c r="O286" s="208"/>
      <c r="P286" s="208"/>
      <c r="Q286" s="234">
        <v>2.49999999999986E-2</v>
      </c>
      <c r="R286">
        <v>-16.1666666666667</v>
      </c>
      <c r="S286" s="208">
        <v>10</v>
      </c>
      <c r="T286" s="208">
        <v>-12.5</v>
      </c>
      <c r="U286" s="208">
        <f>ABS(Множество_202207112140401240[[#This Row],[10]]-Множество_202207112140401240[[#This Row],[12]])</f>
        <v>9.9750000000000014</v>
      </c>
      <c r="V286" s="208">
        <f>ABS(Множество_202207112140401240[[#This Row],[11]]-Множество_202207112140401240[[#This Row],[13]])</f>
        <v>3.6666666666666998</v>
      </c>
      <c r="W286" s="208">
        <f>Множество_202207112140401240[[#This Row],[15]]+Множество_202207112140401240[[#This Row],[14]]</f>
        <v>13.641666666666701</v>
      </c>
      <c r="X286" s="208">
        <f ca="1">IF(ROW()-ROW(Множество_202207112140401240[[#Headers],[17]])&gt;1,Множество_202207112140401240[[#This Row],[16]]-OFFSET(Множество_202207112140401240[[#This Row],[16]],-1,0),0)</f>
        <v>-3.3333333333297688E-2</v>
      </c>
      <c r="Y286" s="208">
        <v>2.49999999999986E-2</v>
      </c>
      <c r="Z286" s="208">
        <v>-16.1666666666667</v>
      </c>
      <c r="AA286" s="208">
        <f>ABS(Множество_202207112140401240[[#This Row],[18]]-Множество_202207112140401240[[#This Row],[12]])</f>
        <v>9.9750000000000014</v>
      </c>
      <c r="AB286" s="208">
        <f>ABS(Множество_202207112140401240[[#This Row],[19]]-Множество_202207112140401240[[#This Row],[13]])</f>
        <v>3.6666666666666998</v>
      </c>
      <c r="AC286" s="208">
        <f>Множество_202207112140401240[[#This Row],[20]]+Множество_202207112140401240[[#This Row],[21]]</f>
        <v>13.641666666666701</v>
      </c>
    </row>
    <row r="287" spans="6:29" x14ac:dyDescent="0.25">
      <c r="F287" s="213"/>
      <c r="K287" s="208">
        <f>Множество_202207112140401240[[#This Row],[2]]-Множество_202207112140401240[[#This Row],[4]]</f>
        <v>0</v>
      </c>
      <c r="L287" s="208">
        <f>Множество_202207112140401240[[#This Row],[3]]-Множество_202207112140401240[[#This Row],[5]]</f>
        <v>0</v>
      </c>
      <c r="M287" s="208">
        <f>Множество_202207112140401240[[#This Row],[7]]+Множество_202207112140401240[[#This Row],[6]]</f>
        <v>0</v>
      </c>
      <c r="N287" s="208" t="str">
        <f>CONCATENATE(Множество_202207112140401240[[#This Row],[2]],Множество_202207112140401240[[#This Row],[3]])</f>
        <v/>
      </c>
      <c r="O287" s="208"/>
      <c r="P287" s="208"/>
      <c r="Q287" s="234">
        <v>-4.9999999999997199E-2</v>
      </c>
      <c r="R287">
        <v>-16.1666666666667</v>
      </c>
      <c r="S287" s="208">
        <v>10</v>
      </c>
      <c r="T287" s="208">
        <v>-12.5</v>
      </c>
      <c r="U287" s="208">
        <f>ABS(Множество_202207112140401240[[#This Row],[10]]-Множество_202207112140401240[[#This Row],[12]])</f>
        <v>10.049999999999997</v>
      </c>
      <c r="V287" s="208">
        <f>ABS(Множество_202207112140401240[[#This Row],[11]]-Множество_202207112140401240[[#This Row],[13]])</f>
        <v>3.6666666666666998</v>
      </c>
      <c r="W287" s="208">
        <f>Множество_202207112140401240[[#This Row],[15]]+Множество_202207112140401240[[#This Row],[14]]</f>
        <v>13.716666666666697</v>
      </c>
      <c r="X287" s="208">
        <f ca="1">IF(ROW()-ROW(Множество_202207112140401240[[#Headers],[17]])&gt;1,Множество_202207112140401240[[#This Row],[16]]-OFFSET(Множество_202207112140401240[[#This Row],[16]],-1,0),0)</f>
        <v>7.4999999999995737E-2</v>
      </c>
      <c r="Y287" s="208">
        <v>-4.9999999999997199E-2</v>
      </c>
      <c r="Z287" s="208">
        <v>-16.1666666666667</v>
      </c>
      <c r="AA287" s="208">
        <f>ABS(Множество_202207112140401240[[#This Row],[18]]-Множество_202207112140401240[[#This Row],[12]])</f>
        <v>10.049999999999997</v>
      </c>
      <c r="AB287" s="208">
        <f>ABS(Множество_202207112140401240[[#This Row],[19]]-Множество_202207112140401240[[#This Row],[13]])</f>
        <v>3.6666666666666998</v>
      </c>
      <c r="AC287" s="208">
        <f>Множество_202207112140401240[[#This Row],[20]]+Множество_202207112140401240[[#This Row],[21]]</f>
        <v>13.716666666666697</v>
      </c>
    </row>
    <row r="288" spans="6:29" x14ac:dyDescent="0.25">
      <c r="F288" s="213"/>
      <c r="K288" s="208">
        <f>Множество_202207112140401240[[#This Row],[2]]-Множество_202207112140401240[[#This Row],[4]]</f>
        <v>0</v>
      </c>
      <c r="L288" s="208">
        <f>Множество_202207112140401240[[#This Row],[3]]-Множество_202207112140401240[[#This Row],[5]]</f>
        <v>0</v>
      </c>
      <c r="M288" s="208">
        <f>Множество_202207112140401240[[#This Row],[7]]+Множество_202207112140401240[[#This Row],[6]]</f>
        <v>0</v>
      </c>
      <c r="N288" s="208" t="str">
        <f>CONCATENATE(Множество_202207112140401240[[#This Row],[2]],Множество_202207112140401240[[#This Row],[3]])</f>
        <v/>
      </c>
      <c r="O288" s="208"/>
      <c r="P288" s="208"/>
      <c r="Q288">
        <v>-2.9</v>
      </c>
      <c r="R288">
        <v>-13.3333333333333</v>
      </c>
      <c r="S288" s="208">
        <v>10</v>
      </c>
      <c r="T288" s="208">
        <v>-12.5</v>
      </c>
      <c r="U288" s="208">
        <f>ABS(Множество_202207112140401240[[#This Row],[10]]-Множество_202207112140401240[[#This Row],[12]])</f>
        <v>12.9</v>
      </c>
      <c r="V288" s="208">
        <f>ABS(Множество_202207112140401240[[#This Row],[11]]-Множество_202207112140401240[[#This Row],[13]])</f>
        <v>0.83333333333330017</v>
      </c>
      <c r="W288" s="208">
        <f>Множество_202207112140401240[[#This Row],[15]]+Множество_202207112140401240[[#This Row],[14]]</f>
        <v>13.733333333333301</v>
      </c>
      <c r="X288" s="208">
        <f ca="1">IF(ROW()-ROW(Множество_202207112140401240[[#Headers],[17]])&gt;1,Множество_202207112140401240[[#This Row],[16]]-OFFSET(Множество_202207112140401240[[#This Row],[16]],-1,0),0)</f>
        <v>1.6666666666603547E-2</v>
      </c>
      <c r="Y288" s="208">
        <v>-2.9</v>
      </c>
      <c r="Z288" s="208">
        <v>-13.3333333333333</v>
      </c>
      <c r="AA288" s="208">
        <f>ABS(Множество_202207112140401240[[#This Row],[18]]-Множество_202207112140401240[[#This Row],[12]])</f>
        <v>12.9</v>
      </c>
      <c r="AB288" s="208">
        <f>ABS(Множество_202207112140401240[[#This Row],[19]]-Множество_202207112140401240[[#This Row],[13]])</f>
        <v>0.83333333333330017</v>
      </c>
      <c r="AC288" s="208">
        <f>Множество_202207112140401240[[#This Row],[20]]+Множество_202207112140401240[[#This Row],[21]]</f>
        <v>13.733333333333301</v>
      </c>
    </row>
    <row r="289" spans="6:29" x14ac:dyDescent="0.25">
      <c r="F289" s="213"/>
      <c r="K289" s="208">
        <f>Множество_202207112140401240[[#This Row],[2]]-Множество_202207112140401240[[#This Row],[4]]</f>
        <v>0</v>
      </c>
      <c r="L289" s="208">
        <f>Множество_202207112140401240[[#This Row],[3]]-Множество_202207112140401240[[#This Row],[5]]</f>
        <v>0</v>
      </c>
      <c r="M289" s="208">
        <f>Множество_202207112140401240[[#This Row],[7]]+Множество_202207112140401240[[#This Row],[6]]</f>
        <v>0</v>
      </c>
      <c r="N289" s="208" t="str">
        <f>CONCATENATE(Множество_202207112140401240[[#This Row],[2]],Множество_202207112140401240[[#This Row],[3]])</f>
        <v/>
      </c>
      <c r="O289" s="208"/>
      <c r="P289" s="208"/>
      <c r="Q289">
        <v>-2.9</v>
      </c>
      <c r="R289">
        <v>-11.6666666666667</v>
      </c>
      <c r="S289" s="208">
        <v>10</v>
      </c>
      <c r="T289" s="208">
        <v>-12.5</v>
      </c>
      <c r="U289" s="208">
        <f>ABS(Множество_202207112140401240[[#This Row],[10]]-Множество_202207112140401240[[#This Row],[12]])</f>
        <v>12.9</v>
      </c>
      <c r="V289" s="208">
        <f>ABS(Множество_202207112140401240[[#This Row],[11]]-Множество_202207112140401240[[#This Row],[13]])</f>
        <v>0.83333333333330017</v>
      </c>
      <c r="W289" s="208">
        <f>Множество_202207112140401240[[#This Row],[15]]+Множество_202207112140401240[[#This Row],[14]]</f>
        <v>13.733333333333301</v>
      </c>
      <c r="X289" s="208">
        <f ca="1">IF(ROW()-ROW(Множество_202207112140401240[[#Headers],[17]])&gt;1,Множество_202207112140401240[[#This Row],[16]]-OFFSET(Множество_202207112140401240[[#This Row],[16]],-1,0),0)</f>
        <v>0</v>
      </c>
      <c r="Y289" s="208">
        <v>-2.9</v>
      </c>
      <c r="Z289" s="208">
        <v>-11.6666666666667</v>
      </c>
      <c r="AA289" s="208">
        <f>ABS(Множество_202207112140401240[[#This Row],[18]]-Множество_202207112140401240[[#This Row],[12]])</f>
        <v>12.9</v>
      </c>
      <c r="AB289" s="208">
        <f>ABS(Множество_202207112140401240[[#This Row],[19]]-Множество_202207112140401240[[#This Row],[13]])</f>
        <v>0.83333333333330017</v>
      </c>
      <c r="AC289" s="208">
        <f>Множество_202207112140401240[[#This Row],[20]]+Множество_202207112140401240[[#This Row],[21]]</f>
        <v>13.733333333333301</v>
      </c>
    </row>
    <row r="290" spans="6:29" x14ac:dyDescent="0.25">
      <c r="F290" s="213"/>
      <c r="K290" s="208">
        <f>Множество_202207112140401240[[#This Row],[2]]-Множество_202207112140401240[[#This Row],[4]]</f>
        <v>0</v>
      </c>
      <c r="L290" s="208">
        <f>Множество_202207112140401240[[#This Row],[3]]-Множество_202207112140401240[[#This Row],[5]]</f>
        <v>0</v>
      </c>
      <c r="M290" s="208">
        <f>Множество_202207112140401240[[#This Row],[7]]+Множество_202207112140401240[[#This Row],[6]]</f>
        <v>0</v>
      </c>
      <c r="N290" s="208" t="str">
        <f>CONCATENATE(Множество_202207112140401240[[#This Row],[2]],Множество_202207112140401240[[#This Row],[3]])</f>
        <v/>
      </c>
      <c r="O290" s="208"/>
      <c r="P290" s="208"/>
      <c r="Q290">
        <v>-0.125</v>
      </c>
      <c r="R290">
        <v>-16.183333333333302</v>
      </c>
      <c r="S290" s="208">
        <v>10</v>
      </c>
      <c r="T290" s="208">
        <v>-12.5</v>
      </c>
      <c r="U290" s="208">
        <f>ABS(Множество_202207112140401240[[#This Row],[10]]-Множество_202207112140401240[[#This Row],[12]])</f>
        <v>10.125</v>
      </c>
      <c r="V290" s="208">
        <f>ABS(Множество_202207112140401240[[#This Row],[11]]-Множество_202207112140401240[[#This Row],[13]])</f>
        <v>3.6833333333333016</v>
      </c>
      <c r="W290" s="208">
        <f>Множество_202207112140401240[[#This Row],[15]]+Множество_202207112140401240[[#This Row],[14]]</f>
        <v>13.808333333333302</v>
      </c>
      <c r="X290" s="208">
        <f ca="1">IF(ROW()-ROW(Множество_202207112140401240[[#Headers],[17]])&gt;1,Множество_202207112140401240[[#This Row],[16]]-OFFSET(Множество_202207112140401240[[#This Row],[16]],-1,0),0)</f>
        <v>7.5000000000001066E-2</v>
      </c>
      <c r="Y290" s="208">
        <v>-0.125</v>
      </c>
      <c r="Z290" s="208">
        <v>-16.183333333333302</v>
      </c>
      <c r="AA290" s="208">
        <f>ABS(Множество_202207112140401240[[#This Row],[18]]-Множество_202207112140401240[[#This Row],[12]])</f>
        <v>10.125</v>
      </c>
      <c r="AB290" s="208">
        <f>ABS(Множество_202207112140401240[[#This Row],[19]]-Множество_202207112140401240[[#This Row],[13]])</f>
        <v>3.6833333333333016</v>
      </c>
      <c r="AC290" s="208">
        <f>Множество_202207112140401240[[#This Row],[20]]+Множество_202207112140401240[[#This Row],[21]]</f>
        <v>13.808333333333302</v>
      </c>
    </row>
    <row r="291" spans="6:29" x14ac:dyDescent="0.25">
      <c r="F291" s="213"/>
      <c r="K291" s="208">
        <f>Множество_202207112140401240[[#This Row],[2]]-Множество_202207112140401240[[#This Row],[4]]</f>
        <v>0</v>
      </c>
      <c r="L291" s="208">
        <f>Множество_202207112140401240[[#This Row],[3]]-Множество_202207112140401240[[#This Row],[5]]</f>
        <v>0</v>
      </c>
      <c r="M291" s="208">
        <f>Множество_202207112140401240[[#This Row],[7]]+Множество_202207112140401240[[#This Row],[6]]</f>
        <v>0</v>
      </c>
      <c r="N291" s="208" t="str">
        <f>CONCATENATE(Множество_202207112140401240[[#This Row],[2]],Множество_202207112140401240[[#This Row],[3]])</f>
        <v/>
      </c>
      <c r="O291" s="208"/>
      <c r="P291" s="208"/>
      <c r="Q291">
        <v>-0.27500000000000202</v>
      </c>
      <c r="R291">
        <v>-16.216666666666701</v>
      </c>
      <c r="S291" s="208">
        <v>10</v>
      </c>
      <c r="T291" s="208">
        <v>-12.5</v>
      </c>
      <c r="U291" s="208">
        <f>ABS(Множество_202207112140401240[[#This Row],[10]]-Множество_202207112140401240[[#This Row],[12]])</f>
        <v>10.275000000000002</v>
      </c>
      <c r="V291" s="208">
        <f>ABS(Множество_202207112140401240[[#This Row],[11]]-Множество_202207112140401240[[#This Row],[13]])</f>
        <v>3.7166666666667005</v>
      </c>
      <c r="W291" s="208">
        <f>Множество_202207112140401240[[#This Row],[15]]+Множество_202207112140401240[[#This Row],[14]]</f>
        <v>13.991666666666703</v>
      </c>
      <c r="X291" s="208">
        <f ca="1">IF(ROW()-ROW(Множество_202207112140401240[[#Headers],[17]])&gt;1,Множество_202207112140401240[[#This Row],[16]]-OFFSET(Множество_202207112140401240[[#This Row],[16]],-1,0),0)</f>
        <v>0.18333333333340107</v>
      </c>
      <c r="Y291" s="208">
        <v>-0.27500000000000202</v>
      </c>
      <c r="Z291" s="208">
        <v>-16.216666666666701</v>
      </c>
      <c r="AA291" s="208">
        <f>ABS(Множество_202207112140401240[[#This Row],[18]]-Множество_202207112140401240[[#This Row],[12]])</f>
        <v>10.275000000000002</v>
      </c>
      <c r="AB291" s="208">
        <f>ABS(Множество_202207112140401240[[#This Row],[19]]-Множество_202207112140401240[[#This Row],[13]])</f>
        <v>3.7166666666667005</v>
      </c>
      <c r="AC291" s="208">
        <f>Множество_202207112140401240[[#This Row],[20]]+Множество_202207112140401240[[#This Row],[21]]</f>
        <v>13.991666666666703</v>
      </c>
    </row>
    <row r="292" spans="6:29" x14ac:dyDescent="0.25">
      <c r="F292" s="213"/>
      <c r="K292" s="208">
        <f>Множество_202207112140401240[[#This Row],[2]]-Множество_202207112140401240[[#This Row],[4]]</f>
        <v>0</v>
      </c>
      <c r="L292" s="208">
        <f>Множество_202207112140401240[[#This Row],[3]]-Множество_202207112140401240[[#This Row],[5]]</f>
        <v>0</v>
      </c>
      <c r="M292" s="208">
        <f>Множество_202207112140401240[[#This Row],[7]]+Множество_202207112140401240[[#This Row],[6]]</f>
        <v>0</v>
      </c>
      <c r="N292" s="208" t="str">
        <f>CONCATENATE(Множество_202207112140401240[[#This Row],[2]],Множество_202207112140401240[[#This Row],[3]])</f>
        <v/>
      </c>
      <c r="O292" s="208"/>
      <c r="P292" s="208"/>
      <c r="Q292">
        <v>-0.19999999999999901</v>
      </c>
      <c r="R292">
        <v>-16.2</v>
      </c>
      <c r="S292" s="208">
        <v>10</v>
      </c>
      <c r="T292" s="208">
        <v>-12.5</v>
      </c>
      <c r="U292" s="208">
        <f>ABS(Множество_202207112140401240[[#This Row],[10]]-Множество_202207112140401240[[#This Row],[12]])</f>
        <v>10.199999999999999</v>
      </c>
      <c r="V292" s="208">
        <f>ABS(Множество_202207112140401240[[#This Row],[11]]-Множество_202207112140401240[[#This Row],[13]])</f>
        <v>3.6999999999999993</v>
      </c>
      <c r="W292" s="208">
        <f>Множество_202207112140401240[[#This Row],[15]]+Множество_202207112140401240[[#This Row],[14]]</f>
        <v>13.899999999999999</v>
      </c>
      <c r="X292" s="208">
        <f ca="1">IF(ROW()-ROW(Множество_202207112140401240[[#Headers],[17]])&gt;1,Множество_202207112140401240[[#This Row],[16]]-OFFSET(Множество_202207112140401240[[#This Row],[16]],-1,0),0)</f>
        <v>-9.1666666666704089E-2</v>
      </c>
      <c r="Y292" s="208">
        <v>-0.19999999999999901</v>
      </c>
      <c r="Z292" s="208">
        <v>-16.2</v>
      </c>
      <c r="AA292" s="208">
        <f>ABS(Множество_202207112140401240[[#This Row],[18]]-Множество_202207112140401240[[#This Row],[12]])</f>
        <v>10.199999999999999</v>
      </c>
      <c r="AB292" s="208">
        <f>ABS(Множество_202207112140401240[[#This Row],[19]]-Множество_202207112140401240[[#This Row],[13]])</f>
        <v>3.6999999999999993</v>
      </c>
      <c r="AC292" s="208">
        <f>Множество_202207112140401240[[#This Row],[20]]+Множество_202207112140401240[[#This Row],[21]]</f>
        <v>13.899999999999999</v>
      </c>
    </row>
    <row r="293" spans="6:29" x14ac:dyDescent="0.25">
      <c r="F293" s="213"/>
      <c r="K293" s="208">
        <f>Множество_202207112140401240[[#This Row],[2]]-Множество_202207112140401240[[#This Row],[4]]</f>
        <v>0</v>
      </c>
      <c r="L293" s="208">
        <f>Множество_202207112140401240[[#This Row],[3]]-Множество_202207112140401240[[#This Row],[5]]</f>
        <v>0</v>
      </c>
      <c r="M293" s="208">
        <f>Множество_202207112140401240[[#This Row],[7]]+Множество_202207112140401240[[#This Row],[6]]</f>
        <v>0</v>
      </c>
      <c r="N293" s="208" t="str">
        <f>CONCATENATE(Множество_202207112140401240[[#This Row],[2]],Множество_202207112140401240[[#This Row],[3]])</f>
        <v/>
      </c>
      <c r="O293" s="208"/>
      <c r="P293" s="208"/>
      <c r="Q293">
        <v>-0.34999999999999798</v>
      </c>
      <c r="R293">
        <v>-16.216666666666701</v>
      </c>
      <c r="S293" s="208">
        <v>10</v>
      </c>
      <c r="T293" s="208">
        <v>-12.5</v>
      </c>
      <c r="U293" s="208">
        <f>ABS(Множество_202207112140401240[[#This Row],[10]]-Множество_202207112140401240[[#This Row],[12]])</f>
        <v>10.349999999999998</v>
      </c>
      <c r="V293" s="208">
        <f>ABS(Множество_202207112140401240[[#This Row],[11]]-Множество_202207112140401240[[#This Row],[13]])</f>
        <v>3.7166666666667005</v>
      </c>
      <c r="W293" s="208">
        <f>Множество_202207112140401240[[#This Row],[15]]+Множество_202207112140401240[[#This Row],[14]]</f>
        <v>14.066666666666698</v>
      </c>
      <c r="X293" s="208">
        <f ca="1">IF(ROW()-ROW(Множество_202207112140401240[[#Headers],[17]])&gt;1,Множество_202207112140401240[[#This Row],[16]]-OFFSET(Множество_202207112140401240[[#This Row],[16]],-1,0),0)</f>
        <v>0.16666666666669983</v>
      </c>
      <c r="Y293" s="208">
        <v>-0.34999999999999798</v>
      </c>
      <c r="Z293" s="208">
        <v>-16.216666666666701</v>
      </c>
      <c r="AA293" s="208">
        <f>ABS(Множество_202207112140401240[[#This Row],[18]]-Множество_202207112140401240[[#This Row],[12]])</f>
        <v>10.349999999999998</v>
      </c>
      <c r="AB293" s="208">
        <f>ABS(Множество_202207112140401240[[#This Row],[19]]-Множество_202207112140401240[[#This Row],[13]])</f>
        <v>3.7166666666667005</v>
      </c>
      <c r="AC293" s="208">
        <f>Множество_202207112140401240[[#This Row],[20]]+Множество_202207112140401240[[#This Row],[21]]</f>
        <v>14.066666666666698</v>
      </c>
    </row>
    <row r="294" spans="6:29" x14ac:dyDescent="0.25">
      <c r="F294" s="213"/>
      <c r="K294" s="208">
        <f>Множество_202207112140401240[[#This Row],[2]]-Множество_202207112140401240[[#This Row],[4]]</f>
        <v>0</v>
      </c>
      <c r="L294" s="208">
        <f>Множество_202207112140401240[[#This Row],[3]]-Множество_202207112140401240[[#This Row],[5]]</f>
        <v>0</v>
      </c>
      <c r="M294" s="208">
        <f>Множество_202207112140401240[[#This Row],[7]]+Множество_202207112140401240[[#This Row],[6]]</f>
        <v>0</v>
      </c>
      <c r="N294" s="208" t="str">
        <f>CONCATENATE(Множество_202207112140401240[[#This Row],[2]],Множество_202207112140401240[[#This Row],[3]])</f>
        <v/>
      </c>
      <c r="O294" s="208"/>
      <c r="P294" s="208"/>
      <c r="Q294">
        <v>-0.42500000000000099</v>
      </c>
      <c r="R294">
        <v>-16.233333333333299</v>
      </c>
      <c r="S294" s="208">
        <v>10</v>
      </c>
      <c r="T294" s="208">
        <v>-12.5</v>
      </c>
      <c r="U294" s="208">
        <f>ABS(Множество_202207112140401240[[#This Row],[10]]-Множество_202207112140401240[[#This Row],[12]])</f>
        <v>10.425000000000001</v>
      </c>
      <c r="V294" s="208">
        <f>ABS(Множество_202207112140401240[[#This Row],[11]]-Множество_202207112140401240[[#This Row],[13]])</f>
        <v>3.7333333333332988</v>
      </c>
      <c r="W294" s="208">
        <f>Множество_202207112140401240[[#This Row],[15]]+Множество_202207112140401240[[#This Row],[14]]</f>
        <v>14.158333333333299</v>
      </c>
      <c r="X294" s="208">
        <f ca="1">IF(ROW()-ROW(Множество_202207112140401240[[#Headers],[17]])&gt;1,Множество_202207112140401240[[#This Row],[16]]-OFFSET(Множество_202207112140401240[[#This Row],[16]],-1,0),0)</f>
        <v>9.166666666660106E-2</v>
      </c>
      <c r="Y294" s="208">
        <v>-0.42500000000000099</v>
      </c>
      <c r="Z294" s="208">
        <v>-16.233333333333299</v>
      </c>
      <c r="AA294" s="208">
        <f>ABS(Множество_202207112140401240[[#This Row],[18]]-Множество_202207112140401240[[#This Row],[12]])</f>
        <v>10.425000000000001</v>
      </c>
      <c r="AB294" s="208">
        <f>ABS(Множество_202207112140401240[[#This Row],[19]]-Множество_202207112140401240[[#This Row],[13]])</f>
        <v>3.7333333333332988</v>
      </c>
      <c r="AC294" s="208">
        <f>Множество_202207112140401240[[#This Row],[20]]+Множество_202207112140401240[[#This Row],[21]]</f>
        <v>14.158333333333299</v>
      </c>
    </row>
    <row r="295" spans="6:29" x14ac:dyDescent="0.25">
      <c r="F295" s="213"/>
      <c r="K295" s="208">
        <f>Множество_202207112140401240[[#This Row],[2]]-Множество_202207112140401240[[#This Row],[4]]</f>
        <v>0</v>
      </c>
      <c r="L295" s="208">
        <f>Множество_202207112140401240[[#This Row],[3]]-Множество_202207112140401240[[#This Row],[5]]</f>
        <v>0</v>
      </c>
      <c r="M295" s="208">
        <f>Множество_202207112140401240[[#This Row],[7]]+Множество_202207112140401240[[#This Row],[6]]</f>
        <v>0</v>
      </c>
      <c r="N295" s="208" t="str">
        <f>CONCATENATE(Множество_202207112140401240[[#This Row],[2]],Множество_202207112140401240[[#This Row],[3]])</f>
        <v/>
      </c>
      <c r="O295" s="208"/>
      <c r="P295" s="208"/>
      <c r="Q295">
        <v>-2.9750000000000001</v>
      </c>
      <c r="R295">
        <v>-11.1833333333333</v>
      </c>
      <c r="S295" s="208">
        <v>10</v>
      </c>
      <c r="T295" s="208">
        <v>-12.5</v>
      </c>
      <c r="U295" s="208">
        <f>ABS(Множество_202207112140401240[[#This Row],[10]]-Множество_202207112140401240[[#This Row],[12]])</f>
        <v>12.975</v>
      </c>
      <c r="V295" s="208">
        <f>ABS(Множество_202207112140401240[[#This Row],[11]]-Множество_202207112140401240[[#This Row],[13]])</f>
        <v>1.3166666666667002</v>
      </c>
      <c r="W295" s="208">
        <f>Множество_202207112140401240[[#This Row],[15]]+Множество_202207112140401240[[#This Row],[14]]</f>
        <v>14.2916666666667</v>
      </c>
      <c r="X295" s="208">
        <f ca="1">IF(ROW()-ROW(Множество_202207112140401240[[#Headers],[17]])&gt;1,Множество_202207112140401240[[#This Row],[16]]-OFFSET(Множество_202207112140401240[[#This Row],[16]],-1,0),0)</f>
        <v>0.13333333333340036</v>
      </c>
      <c r="Y295" s="208">
        <v>-2.9750000000000001</v>
      </c>
      <c r="Z295" s="208">
        <v>-11.1833333333333</v>
      </c>
      <c r="AA295" s="208">
        <f>ABS(Множество_202207112140401240[[#This Row],[18]]-Множество_202207112140401240[[#This Row],[12]])</f>
        <v>12.975</v>
      </c>
      <c r="AB295" s="208">
        <f>ABS(Множество_202207112140401240[[#This Row],[19]]-Множество_202207112140401240[[#This Row],[13]])</f>
        <v>1.3166666666667002</v>
      </c>
      <c r="AC295" s="208">
        <f>Множество_202207112140401240[[#This Row],[20]]+Множество_202207112140401240[[#This Row],[21]]</f>
        <v>14.2916666666667</v>
      </c>
    </row>
    <row r="296" spans="6:29" x14ac:dyDescent="0.25">
      <c r="F296" s="213"/>
      <c r="K296" s="208">
        <f>Множество_202207112140401240[[#This Row],[2]]-Множество_202207112140401240[[#This Row],[4]]</f>
        <v>0</v>
      </c>
      <c r="L296" s="208">
        <f>Множество_202207112140401240[[#This Row],[3]]-Множество_202207112140401240[[#This Row],[5]]</f>
        <v>0</v>
      </c>
      <c r="M296" s="208">
        <f>Множество_202207112140401240[[#This Row],[7]]+Множество_202207112140401240[[#This Row],[6]]</f>
        <v>0</v>
      </c>
      <c r="N296" s="208" t="str">
        <f>CONCATENATE(Множество_202207112140401240[[#This Row],[2]],Множество_202207112140401240[[#This Row],[3]])</f>
        <v/>
      </c>
      <c r="O296" s="208"/>
      <c r="P296" s="208"/>
      <c r="Q296">
        <v>-0.5</v>
      </c>
      <c r="R296">
        <v>-16.25</v>
      </c>
      <c r="S296" s="208">
        <v>10</v>
      </c>
      <c r="T296" s="208">
        <v>-12.5</v>
      </c>
      <c r="U296" s="208">
        <f>ABS(Множество_202207112140401240[[#This Row],[10]]-Множество_202207112140401240[[#This Row],[12]])</f>
        <v>10.5</v>
      </c>
      <c r="V296" s="208">
        <f>ABS(Множество_202207112140401240[[#This Row],[11]]-Множество_202207112140401240[[#This Row],[13]])</f>
        <v>3.75</v>
      </c>
      <c r="W296" s="208">
        <f>Множество_202207112140401240[[#This Row],[15]]+Множество_202207112140401240[[#This Row],[14]]</f>
        <v>14.25</v>
      </c>
      <c r="X296" s="208">
        <f ca="1">IF(ROW()-ROW(Множество_202207112140401240[[#Headers],[17]])&gt;1,Множество_202207112140401240[[#This Row],[16]]-OFFSET(Множество_202207112140401240[[#This Row],[16]],-1,0),0)</f>
        <v>-4.1666666666699825E-2</v>
      </c>
      <c r="Y296" s="208">
        <v>-0.5</v>
      </c>
      <c r="Z296" s="208">
        <v>-16.25</v>
      </c>
      <c r="AA296" s="208">
        <f>ABS(Множество_202207112140401240[[#This Row],[18]]-Множество_202207112140401240[[#This Row],[12]])</f>
        <v>10.5</v>
      </c>
      <c r="AB296" s="208">
        <f>ABS(Множество_202207112140401240[[#This Row],[19]]-Множество_202207112140401240[[#This Row],[13]])</f>
        <v>3.75</v>
      </c>
      <c r="AC296" s="208">
        <f>Множество_202207112140401240[[#This Row],[20]]+Множество_202207112140401240[[#This Row],[21]]</f>
        <v>14.25</v>
      </c>
    </row>
    <row r="297" spans="6:29" x14ac:dyDescent="0.25">
      <c r="F297" s="213"/>
      <c r="K297" s="208">
        <f>Множество_202207112140401240[[#This Row],[2]]-Множество_202207112140401240[[#This Row],[4]]</f>
        <v>0</v>
      </c>
      <c r="L297" s="208">
        <f>Множество_202207112140401240[[#This Row],[3]]-Множество_202207112140401240[[#This Row],[5]]</f>
        <v>0</v>
      </c>
      <c r="M297" s="208">
        <f>Множество_202207112140401240[[#This Row],[7]]+Множество_202207112140401240[[#This Row],[6]]</f>
        <v>0</v>
      </c>
      <c r="N297" s="208" t="str">
        <f>CONCATENATE(Множество_202207112140401240[[#This Row],[2]],Множество_202207112140401240[[#This Row],[3]])</f>
        <v/>
      </c>
      <c r="O297" s="208"/>
      <c r="P297" s="208"/>
      <c r="Q297">
        <v>-0.57500000000000295</v>
      </c>
      <c r="R297">
        <v>-16.266666666666701</v>
      </c>
      <c r="S297" s="208">
        <v>10</v>
      </c>
      <c r="T297" s="208">
        <v>-12.5</v>
      </c>
      <c r="U297" s="208">
        <f>ABS(Множество_202207112140401240[[#This Row],[10]]-Множество_202207112140401240[[#This Row],[12]])</f>
        <v>10.575000000000003</v>
      </c>
      <c r="V297" s="208">
        <f>ABS(Множество_202207112140401240[[#This Row],[11]]-Множество_202207112140401240[[#This Row],[13]])</f>
        <v>3.7666666666667012</v>
      </c>
      <c r="W297" s="208">
        <f>Множество_202207112140401240[[#This Row],[15]]+Множество_202207112140401240[[#This Row],[14]]</f>
        <v>14.341666666666704</v>
      </c>
      <c r="X297" s="208">
        <f ca="1">IF(ROW()-ROW(Множество_202207112140401240[[#Headers],[17]])&gt;1,Множество_202207112140401240[[#This Row],[16]]-OFFSET(Множество_202207112140401240[[#This Row],[16]],-1,0),0)</f>
        <v>9.1666666666704089E-2</v>
      </c>
      <c r="Y297" s="208">
        <v>-0.57500000000000295</v>
      </c>
      <c r="Z297" s="208">
        <v>-16.266666666666701</v>
      </c>
      <c r="AA297" s="208">
        <f>ABS(Множество_202207112140401240[[#This Row],[18]]-Множество_202207112140401240[[#This Row],[12]])</f>
        <v>10.575000000000003</v>
      </c>
      <c r="AB297" s="208">
        <f>ABS(Множество_202207112140401240[[#This Row],[19]]-Множество_202207112140401240[[#This Row],[13]])</f>
        <v>3.7666666666667012</v>
      </c>
      <c r="AC297" s="208">
        <f>Множество_202207112140401240[[#This Row],[20]]+Множество_202207112140401240[[#This Row],[21]]</f>
        <v>14.341666666666704</v>
      </c>
    </row>
    <row r="298" spans="6:29" x14ac:dyDescent="0.25">
      <c r="F298" s="213"/>
      <c r="K298" s="208">
        <f>Множество_202207112140401240[[#This Row],[2]]-Множество_202207112140401240[[#This Row],[4]]</f>
        <v>0</v>
      </c>
      <c r="L298" s="208">
        <f>Множество_202207112140401240[[#This Row],[3]]-Множество_202207112140401240[[#This Row],[5]]</f>
        <v>0</v>
      </c>
      <c r="M298" s="208">
        <f>Множество_202207112140401240[[#This Row],[7]]+Множество_202207112140401240[[#This Row],[6]]</f>
        <v>0</v>
      </c>
      <c r="N298" s="208" t="str">
        <f>CONCATENATE(Множество_202207112140401240[[#This Row],[2]],Множество_202207112140401240[[#This Row],[3]])</f>
        <v/>
      </c>
      <c r="O298" s="208"/>
      <c r="P298" s="208"/>
      <c r="Q298">
        <v>-3.05</v>
      </c>
      <c r="R298">
        <v>-11.133333333333301</v>
      </c>
      <c r="S298" s="208">
        <v>10</v>
      </c>
      <c r="T298" s="208">
        <v>-12.5</v>
      </c>
      <c r="U298" s="208">
        <f>ABS(Множество_202207112140401240[[#This Row],[10]]-Множество_202207112140401240[[#This Row],[12]])</f>
        <v>13.05</v>
      </c>
      <c r="V298" s="208">
        <f>ABS(Множество_202207112140401240[[#This Row],[11]]-Множество_202207112140401240[[#This Row],[13]])</f>
        <v>1.3666666666666991</v>
      </c>
      <c r="W298" s="208">
        <f>Множество_202207112140401240[[#This Row],[15]]+Множество_202207112140401240[[#This Row],[14]]</f>
        <v>14.4166666666667</v>
      </c>
      <c r="X298" s="208">
        <f ca="1">IF(ROW()-ROW(Множество_202207112140401240[[#Headers],[17]])&gt;1,Множество_202207112140401240[[#This Row],[16]]-OFFSET(Множество_202207112140401240[[#This Row],[16]],-1,0),0)</f>
        <v>7.4999999999995737E-2</v>
      </c>
      <c r="Y298" s="208">
        <v>-3.05</v>
      </c>
      <c r="Z298" s="208">
        <v>-11.133333333333301</v>
      </c>
      <c r="AA298" s="208">
        <f>ABS(Множество_202207112140401240[[#This Row],[18]]-Множество_202207112140401240[[#This Row],[12]])</f>
        <v>13.05</v>
      </c>
      <c r="AB298" s="208">
        <f>ABS(Множество_202207112140401240[[#This Row],[19]]-Множество_202207112140401240[[#This Row],[13]])</f>
        <v>1.3666666666666991</v>
      </c>
      <c r="AC298" s="208">
        <f>Множество_202207112140401240[[#This Row],[20]]+Множество_202207112140401240[[#This Row],[21]]</f>
        <v>14.4166666666667</v>
      </c>
    </row>
    <row r="299" spans="6:29" x14ac:dyDescent="0.25">
      <c r="F299" s="213"/>
      <c r="K299" s="208">
        <f>Множество_202207112140401240[[#This Row],[2]]-Множество_202207112140401240[[#This Row],[4]]</f>
        <v>0</v>
      </c>
      <c r="L299" s="208">
        <f>Множество_202207112140401240[[#This Row],[3]]-Множество_202207112140401240[[#This Row],[5]]</f>
        <v>0</v>
      </c>
      <c r="M299" s="208">
        <f>Множество_202207112140401240[[#This Row],[7]]+Множество_202207112140401240[[#This Row],[6]]</f>
        <v>0</v>
      </c>
      <c r="N299" s="208" t="str">
        <f>CONCATENATE(Множество_202207112140401240[[#This Row],[2]],Множество_202207112140401240[[#This Row],[3]])</f>
        <v/>
      </c>
      <c r="O299" s="208"/>
      <c r="P299" s="208"/>
      <c r="Q299">
        <v>-0.64999999999999902</v>
      </c>
      <c r="R299">
        <v>-16.283333333333299</v>
      </c>
      <c r="S299" s="208">
        <v>10</v>
      </c>
      <c r="T299" s="208">
        <v>-12.5</v>
      </c>
      <c r="U299" s="208">
        <f>ABS(Множество_202207112140401240[[#This Row],[10]]-Множество_202207112140401240[[#This Row],[12]])</f>
        <v>10.649999999999999</v>
      </c>
      <c r="V299" s="208">
        <f>ABS(Множество_202207112140401240[[#This Row],[11]]-Множество_202207112140401240[[#This Row],[13]])</f>
        <v>3.7833333333332995</v>
      </c>
      <c r="W299" s="208">
        <f>Множество_202207112140401240[[#This Row],[15]]+Множество_202207112140401240[[#This Row],[14]]</f>
        <v>14.433333333333298</v>
      </c>
      <c r="X299" s="208">
        <f ca="1">IF(ROW()-ROW(Множество_202207112140401240[[#Headers],[17]])&gt;1,Множество_202207112140401240[[#This Row],[16]]-OFFSET(Множество_202207112140401240[[#This Row],[16]],-1,0),0)</f>
        <v>1.6666666666598218E-2</v>
      </c>
      <c r="Y299" s="208">
        <v>-0.64999999999999902</v>
      </c>
      <c r="Z299" s="208">
        <v>-16.283333333333299</v>
      </c>
      <c r="AA299" s="208">
        <f>ABS(Множество_202207112140401240[[#This Row],[18]]-Множество_202207112140401240[[#This Row],[12]])</f>
        <v>10.649999999999999</v>
      </c>
      <c r="AB299" s="208">
        <f>ABS(Множество_202207112140401240[[#This Row],[19]]-Множество_202207112140401240[[#This Row],[13]])</f>
        <v>3.7833333333332995</v>
      </c>
      <c r="AC299" s="208">
        <f>Множество_202207112140401240[[#This Row],[20]]+Множество_202207112140401240[[#This Row],[21]]</f>
        <v>14.433333333333298</v>
      </c>
    </row>
    <row r="300" spans="6:29" x14ac:dyDescent="0.25">
      <c r="F300" s="213"/>
      <c r="K300" s="208">
        <f>Множество_202207112140401240[[#This Row],[2]]-Множество_202207112140401240[[#This Row],[4]]</f>
        <v>0</v>
      </c>
      <c r="L300" s="208">
        <f>Множество_202207112140401240[[#This Row],[3]]-Множество_202207112140401240[[#This Row],[5]]</f>
        <v>0</v>
      </c>
      <c r="M300" s="208">
        <f>Множество_202207112140401240[[#This Row],[7]]+Множество_202207112140401240[[#This Row],[6]]</f>
        <v>0</v>
      </c>
      <c r="N300" s="208" t="str">
        <f>CONCATENATE(Множество_202207112140401240[[#This Row],[2]],Множество_202207112140401240[[#This Row],[3]])</f>
        <v/>
      </c>
      <c r="O300" s="208"/>
      <c r="P300" s="208"/>
      <c r="Q300">
        <v>-0.72500000000000098</v>
      </c>
      <c r="R300">
        <v>-16.283333333333299</v>
      </c>
      <c r="S300" s="208">
        <v>10</v>
      </c>
      <c r="T300" s="208">
        <v>-12.5</v>
      </c>
      <c r="U300" s="208">
        <f>ABS(Множество_202207112140401240[[#This Row],[10]]-Множество_202207112140401240[[#This Row],[12]])</f>
        <v>10.725000000000001</v>
      </c>
      <c r="V300" s="208">
        <f>ABS(Множество_202207112140401240[[#This Row],[11]]-Множество_202207112140401240[[#This Row],[13]])</f>
        <v>3.7833333333332995</v>
      </c>
      <c r="W300" s="208">
        <f>Множество_202207112140401240[[#This Row],[15]]+Множество_202207112140401240[[#This Row],[14]]</f>
        <v>14.508333333333301</v>
      </c>
      <c r="X300" s="208">
        <f ca="1">IF(ROW()-ROW(Множество_202207112140401240[[#Headers],[17]])&gt;1,Множество_202207112140401240[[#This Row],[16]]-OFFSET(Множество_202207112140401240[[#This Row],[16]],-1,0),0)</f>
        <v>7.5000000000002842E-2</v>
      </c>
      <c r="Y300" s="208">
        <v>-0.72500000000000098</v>
      </c>
      <c r="Z300" s="208">
        <v>-16.283333333333299</v>
      </c>
      <c r="AA300" s="208">
        <f>ABS(Множество_202207112140401240[[#This Row],[18]]-Множество_202207112140401240[[#This Row],[12]])</f>
        <v>10.725000000000001</v>
      </c>
      <c r="AB300" s="208">
        <f>ABS(Множество_202207112140401240[[#This Row],[19]]-Множество_202207112140401240[[#This Row],[13]])</f>
        <v>3.7833333333332995</v>
      </c>
      <c r="AC300" s="208">
        <f>Множество_202207112140401240[[#This Row],[20]]+Множество_202207112140401240[[#This Row],[21]]</f>
        <v>14.508333333333301</v>
      </c>
    </row>
    <row r="301" spans="6:29" x14ac:dyDescent="0.25">
      <c r="F301" s="213"/>
      <c r="K301" s="208">
        <f>Множество_202207112140401240[[#This Row],[2]]-Множество_202207112140401240[[#This Row],[4]]</f>
        <v>0</v>
      </c>
      <c r="L301" s="208">
        <f>Множество_202207112140401240[[#This Row],[3]]-Множество_202207112140401240[[#This Row],[5]]</f>
        <v>0</v>
      </c>
      <c r="M301" s="208">
        <f>Множество_202207112140401240[[#This Row],[7]]+Множество_202207112140401240[[#This Row],[6]]</f>
        <v>0</v>
      </c>
      <c r="N301" s="208" t="str">
        <f>CONCATENATE(Множество_202207112140401240[[#This Row],[2]],Множество_202207112140401240[[#This Row],[3]])</f>
        <v/>
      </c>
      <c r="O301" s="208"/>
      <c r="P301" s="208"/>
      <c r="Q301">
        <v>-3.125</v>
      </c>
      <c r="R301">
        <v>-11.0833333333333</v>
      </c>
      <c r="S301" s="208">
        <v>10</v>
      </c>
      <c r="T301" s="208">
        <v>-12.5</v>
      </c>
      <c r="U301" s="208">
        <f>ABS(Множество_202207112140401240[[#This Row],[10]]-Множество_202207112140401240[[#This Row],[12]])</f>
        <v>13.125</v>
      </c>
      <c r="V301" s="208">
        <f>ABS(Множество_202207112140401240[[#This Row],[11]]-Множество_202207112140401240[[#This Row],[13]])</f>
        <v>1.4166666666666998</v>
      </c>
      <c r="W301" s="208">
        <f>Множество_202207112140401240[[#This Row],[15]]+Множество_202207112140401240[[#This Row],[14]]</f>
        <v>14.5416666666667</v>
      </c>
      <c r="X301" s="208">
        <f ca="1">IF(ROW()-ROW(Множество_202207112140401240[[#Headers],[17]])&gt;1,Множество_202207112140401240[[#This Row],[16]]-OFFSET(Множество_202207112140401240[[#This Row],[16]],-1,0),0)</f>
        <v>3.333333333339894E-2</v>
      </c>
      <c r="Y301" s="208">
        <v>-3.125</v>
      </c>
      <c r="Z301" s="208">
        <v>-11.0833333333333</v>
      </c>
      <c r="AA301" s="208">
        <f>ABS(Множество_202207112140401240[[#This Row],[18]]-Множество_202207112140401240[[#This Row],[12]])</f>
        <v>13.125</v>
      </c>
      <c r="AB301" s="208">
        <f>ABS(Множество_202207112140401240[[#This Row],[19]]-Множество_202207112140401240[[#This Row],[13]])</f>
        <v>1.4166666666666998</v>
      </c>
      <c r="AC301" s="208">
        <f>Множество_202207112140401240[[#This Row],[20]]+Множество_202207112140401240[[#This Row],[21]]</f>
        <v>14.5416666666667</v>
      </c>
    </row>
    <row r="302" spans="6:29" x14ac:dyDescent="0.25">
      <c r="F302" s="213"/>
      <c r="K302" s="208">
        <f>Множество_202207112140401240[[#This Row],[2]]-Множество_202207112140401240[[#This Row],[4]]</f>
        <v>0</v>
      </c>
      <c r="L302" s="208">
        <f>Множество_202207112140401240[[#This Row],[3]]-Множество_202207112140401240[[#This Row],[5]]</f>
        <v>0</v>
      </c>
      <c r="M302" s="208">
        <f>Множество_202207112140401240[[#This Row],[7]]+Множество_202207112140401240[[#This Row],[6]]</f>
        <v>0</v>
      </c>
      <c r="N302" s="208" t="str">
        <f>CONCATENATE(Множество_202207112140401240[[#This Row],[2]],Множество_202207112140401240[[#This Row],[3]])</f>
        <v/>
      </c>
      <c r="O302" s="208"/>
      <c r="P302" s="208"/>
      <c r="Q302">
        <v>-0.79999999999999705</v>
      </c>
      <c r="R302">
        <v>-16.3</v>
      </c>
      <c r="S302" s="208">
        <v>10</v>
      </c>
      <c r="T302" s="208">
        <v>-12.5</v>
      </c>
      <c r="U302" s="208">
        <f>ABS(Множество_202207112140401240[[#This Row],[10]]-Множество_202207112140401240[[#This Row],[12]])</f>
        <v>10.799999999999997</v>
      </c>
      <c r="V302" s="208">
        <f>ABS(Множество_202207112140401240[[#This Row],[11]]-Множество_202207112140401240[[#This Row],[13]])</f>
        <v>3.8000000000000007</v>
      </c>
      <c r="W302" s="208">
        <f>Множество_202207112140401240[[#This Row],[15]]+Множество_202207112140401240[[#This Row],[14]]</f>
        <v>14.599999999999998</v>
      </c>
      <c r="X302" s="208">
        <f ca="1">IF(ROW()-ROW(Множество_202207112140401240[[#Headers],[17]])&gt;1,Множество_202207112140401240[[#This Row],[16]]-OFFSET(Множество_202207112140401240[[#This Row],[16]],-1,0),0)</f>
        <v>5.8333333333298043E-2</v>
      </c>
      <c r="Y302" s="208">
        <v>-0.79999999999999705</v>
      </c>
      <c r="Z302" s="208">
        <v>-16.3</v>
      </c>
      <c r="AA302" s="208">
        <f>ABS(Множество_202207112140401240[[#This Row],[18]]-Множество_202207112140401240[[#This Row],[12]])</f>
        <v>10.799999999999997</v>
      </c>
      <c r="AB302" s="208">
        <f>ABS(Множество_202207112140401240[[#This Row],[19]]-Множество_202207112140401240[[#This Row],[13]])</f>
        <v>3.8000000000000007</v>
      </c>
      <c r="AC302" s="208">
        <f>Множество_202207112140401240[[#This Row],[20]]+Множество_202207112140401240[[#This Row],[21]]</f>
        <v>14.599999999999998</v>
      </c>
    </row>
    <row r="303" spans="6:29" x14ac:dyDescent="0.25">
      <c r="F303" s="213"/>
      <c r="K303" s="208">
        <f>Множество_202207112140401240[[#This Row],[2]]-Множество_202207112140401240[[#This Row],[4]]</f>
        <v>0</v>
      </c>
      <c r="L303" s="208">
        <f>Множество_202207112140401240[[#This Row],[3]]-Множество_202207112140401240[[#This Row],[5]]</f>
        <v>0</v>
      </c>
      <c r="M303" s="208">
        <f>Множество_202207112140401240[[#This Row],[7]]+Множество_202207112140401240[[#This Row],[6]]</f>
        <v>0</v>
      </c>
      <c r="N303" s="208" t="str">
        <f>CONCATENATE(Множество_202207112140401240[[#This Row],[2]],Множество_202207112140401240[[#This Row],[3]])</f>
        <v/>
      </c>
      <c r="O303" s="208"/>
      <c r="P303" s="208"/>
      <c r="Q303">
        <v>-3.2</v>
      </c>
      <c r="R303">
        <v>-11.05</v>
      </c>
      <c r="S303" s="208">
        <v>10</v>
      </c>
      <c r="T303" s="208">
        <v>-12.5</v>
      </c>
      <c r="U303" s="208">
        <f>ABS(Множество_202207112140401240[[#This Row],[10]]-Множество_202207112140401240[[#This Row],[12]])</f>
        <v>13.2</v>
      </c>
      <c r="V303" s="208">
        <f>ABS(Множество_202207112140401240[[#This Row],[11]]-Множество_202207112140401240[[#This Row],[13]])</f>
        <v>1.4499999999999993</v>
      </c>
      <c r="W303" s="208">
        <f>Множество_202207112140401240[[#This Row],[15]]+Множество_202207112140401240[[#This Row],[14]]</f>
        <v>14.649999999999999</v>
      </c>
      <c r="X303" s="208">
        <f ca="1">IF(ROW()-ROW(Множество_202207112140401240[[#Headers],[17]])&gt;1,Множество_202207112140401240[[#This Row],[16]]-OFFSET(Множество_202207112140401240[[#This Row],[16]],-1,0),0)</f>
        <v>5.0000000000000711E-2</v>
      </c>
      <c r="Y303" s="208">
        <v>-3.2</v>
      </c>
      <c r="Z303" s="208">
        <v>-11.05</v>
      </c>
      <c r="AA303" s="208">
        <f>ABS(Множество_202207112140401240[[#This Row],[18]]-Множество_202207112140401240[[#This Row],[12]])</f>
        <v>13.2</v>
      </c>
      <c r="AB303" s="208">
        <f>ABS(Множество_202207112140401240[[#This Row],[19]]-Множество_202207112140401240[[#This Row],[13]])</f>
        <v>1.4499999999999993</v>
      </c>
      <c r="AC303" s="208">
        <f>Множество_202207112140401240[[#This Row],[20]]+Множество_202207112140401240[[#This Row],[21]]</f>
        <v>14.649999999999999</v>
      </c>
    </row>
    <row r="304" spans="6:29" x14ac:dyDescent="0.25">
      <c r="F304" s="213"/>
      <c r="K304" s="208">
        <f>Множество_202207112140401240[[#This Row],[2]]-Множество_202207112140401240[[#This Row],[4]]</f>
        <v>0</v>
      </c>
      <c r="L304" s="208">
        <f>Множество_202207112140401240[[#This Row],[3]]-Множество_202207112140401240[[#This Row],[5]]</f>
        <v>0</v>
      </c>
      <c r="M304" s="208">
        <f>Множество_202207112140401240[[#This Row],[7]]+Множество_202207112140401240[[#This Row],[6]]</f>
        <v>0</v>
      </c>
      <c r="N304" s="208" t="str">
        <f>CONCATENATE(Множество_202207112140401240[[#This Row],[2]],Множество_202207112140401240[[#This Row],[3]])</f>
        <v/>
      </c>
      <c r="O304" s="208"/>
      <c r="P304" s="208"/>
      <c r="Q304">
        <v>-0.875</v>
      </c>
      <c r="R304">
        <v>-16.316666666666698</v>
      </c>
      <c r="S304" s="208">
        <v>10</v>
      </c>
      <c r="T304" s="208">
        <v>-12.5</v>
      </c>
      <c r="U304" s="208">
        <f>ABS(Множество_202207112140401240[[#This Row],[10]]-Множество_202207112140401240[[#This Row],[12]])</f>
        <v>10.875</v>
      </c>
      <c r="V304" s="208">
        <f>ABS(Множество_202207112140401240[[#This Row],[11]]-Множество_202207112140401240[[#This Row],[13]])</f>
        <v>3.8166666666666984</v>
      </c>
      <c r="W304" s="208">
        <f>Множество_202207112140401240[[#This Row],[15]]+Множество_202207112140401240[[#This Row],[14]]</f>
        <v>14.691666666666698</v>
      </c>
      <c r="X304" s="208">
        <f ca="1">IF(ROW()-ROW(Множество_202207112140401240[[#Headers],[17]])&gt;1,Множество_202207112140401240[[#This Row],[16]]-OFFSET(Множество_202207112140401240[[#This Row],[16]],-1,0),0)</f>
        <v>4.1666666666699825E-2</v>
      </c>
      <c r="Y304" s="208">
        <v>-0.875</v>
      </c>
      <c r="Z304" s="208">
        <v>-16.316666666666698</v>
      </c>
      <c r="AA304" s="208">
        <f>ABS(Множество_202207112140401240[[#This Row],[18]]-Множество_202207112140401240[[#This Row],[12]])</f>
        <v>10.875</v>
      </c>
      <c r="AB304" s="208">
        <f>ABS(Множество_202207112140401240[[#This Row],[19]]-Множество_202207112140401240[[#This Row],[13]])</f>
        <v>3.8166666666666984</v>
      </c>
      <c r="AC304" s="208">
        <f>Множество_202207112140401240[[#This Row],[20]]+Множество_202207112140401240[[#This Row],[21]]</f>
        <v>14.691666666666698</v>
      </c>
    </row>
    <row r="305" spans="6:29" x14ac:dyDescent="0.25">
      <c r="F305" s="213"/>
      <c r="K305" s="208">
        <f>Множество_202207112140401240[[#This Row],[2]]-Множество_202207112140401240[[#This Row],[4]]</f>
        <v>0</v>
      </c>
      <c r="L305" s="208">
        <f>Множество_202207112140401240[[#This Row],[3]]-Множество_202207112140401240[[#This Row],[5]]</f>
        <v>0</v>
      </c>
      <c r="M305" s="208">
        <f>Множество_202207112140401240[[#This Row],[7]]+Множество_202207112140401240[[#This Row],[6]]</f>
        <v>0</v>
      </c>
      <c r="N305" s="208" t="str">
        <f>CONCATENATE(Множество_202207112140401240[[#This Row],[2]],Множество_202207112140401240[[#This Row],[3]])</f>
        <v/>
      </c>
      <c r="O305" s="208"/>
      <c r="P305" s="208"/>
      <c r="Q305">
        <v>-0.94999999999999896</v>
      </c>
      <c r="R305">
        <v>-16.3333333333333</v>
      </c>
      <c r="S305" s="208">
        <v>10</v>
      </c>
      <c r="T305" s="208">
        <v>-12.5</v>
      </c>
      <c r="U305" s="208">
        <f>ABS(Множество_202207112140401240[[#This Row],[10]]-Множество_202207112140401240[[#This Row],[12]])</f>
        <v>10.95</v>
      </c>
      <c r="V305" s="208">
        <f>ABS(Множество_202207112140401240[[#This Row],[11]]-Множество_202207112140401240[[#This Row],[13]])</f>
        <v>3.8333333333333002</v>
      </c>
      <c r="W305" s="208">
        <f>Множество_202207112140401240[[#This Row],[15]]+Множество_202207112140401240[[#This Row],[14]]</f>
        <v>14.783333333333299</v>
      </c>
      <c r="X305" s="208">
        <f ca="1">IF(ROW()-ROW(Множество_202207112140401240[[#Headers],[17]])&gt;1,Множество_202207112140401240[[#This Row],[16]]-OFFSET(Множество_202207112140401240[[#This Row],[16]],-1,0),0)</f>
        <v>9.166666666660106E-2</v>
      </c>
      <c r="Y305" s="208">
        <v>-0.94999999999999896</v>
      </c>
      <c r="Z305" s="208">
        <v>-16.3333333333333</v>
      </c>
      <c r="AA305" s="208">
        <f>ABS(Множество_202207112140401240[[#This Row],[18]]-Множество_202207112140401240[[#This Row],[12]])</f>
        <v>10.95</v>
      </c>
      <c r="AB305" s="208">
        <f>ABS(Множество_202207112140401240[[#This Row],[19]]-Множество_202207112140401240[[#This Row],[13]])</f>
        <v>3.8333333333333002</v>
      </c>
      <c r="AC305" s="208">
        <f>Множество_202207112140401240[[#This Row],[20]]+Множество_202207112140401240[[#This Row],[21]]</f>
        <v>14.783333333333299</v>
      </c>
    </row>
    <row r="306" spans="6:29" x14ac:dyDescent="0.25">
      <c r="F306" s="213"/>
      <c r="K306" s="208">
        <f>Множество_202207112140401240[[#This Row],[2]]-Множество_202207112140401240[[#This Row],[4]]</f>
        <v>0</v>
      </c>
      <c r="L306" s="208">
        <f>Множество_202207112140401240[[#This Row],[3]]-Множество_202207112140401240[[#This Row],[5]]</f>
        <v>0</v>
      </c>
      <c r="M306" s="208">
        <f>Множество_202207112140401240[[#This Row],[7]]+Множество_202207112140401240[[#This Row],[6]]</f>
        <v>0</v>
      </c>
      <c r="N306" s="208" t="str">
        <f>CONCATENATE(Множество_202207112140401240[[#This Row],[2]],Множество_202207112140401240[[#This Row],[3]])</f>
        <v/>
      </c>
      <c r="O306" s="208"/>
      <c r="P306" s="208"/>
      <c r="Q306">
        <v>-3.2749999999999999</v>
      </c>
      <c r="R306">
        <v>-11</v>
      </c>
      <c r="S306" s="208">
        <v>10</v>
      </c>
      <c r="T306" s="208">
        <v>-12.5</v>
      </c>
      <c r="U306" s="208">
        <f>ABS(Множество_202207112140401240[[#This Row],[10]]-Множество_202207112140401240[[#This Row],[12]])</f>
        <v>13.275</v>
      </c>
      <c r="V306" s="208">
        <f>ABS(Множество_202207112140401240[[#This Row],[11]]-Множество_202207112140401240[[#This Row],[13]])</f>
        <v>1.5</v>
      </c>
      <c r="W306" s="208">
        <f>Множество_202207112140401240[[#This Row],[15]]+Множество_202207112140401240[[#This Row],[14]]</f>
        <v>14.775</v>
      </c>
      <c r="X306" s="208">
        <f ca="1">IF(ROW()-ROW(Множество_202207112140401240[[#Headers],[17]])&gt;1,Множество_202207112140401240[[#This Row],[16]]-OFFSET(Множество_202207112140401240[[#This Row],[16]],-1,0),0)</f>
        <v>-8.3333333332991089E-3</v>
      </c>
      <c r="Y306" s="208">
        <v>-3.2749999999999999</v>
      </c>
      <c r="Z306" s="208">
        <v>-11</v>
      </c>
      <c r="AA306" s="208">
        <f>ABS(Множество_202207112140401240[[#This Row],[18]]-Множество_202207112140401240[[#This Row],[12]])</f>
        <v>13.275</v>
      </c>
      <c r="AB306" s="208">
        <f>ABS(Множество_202207112140401240[[#This Row],[19]]-Множество_202207112140401240[[#This Row],[13]])</f>
        <v>1.5</v>
      </c>
      <c r="AC306" s="208">
        <f>Множество_202207112140401240[[#This Row],[20]]+Множество_202207112140401240[[#This Row],[21]]</f>
        <v>14.775</v>
      </c>
    </row>
    <row r="307" spans="6:29" x14ac:dyDescent="0.25">
      <c r="F307" s="213"/>
      <c r="K307" s="208">
        <f>Множество_202207112140401240[[#This Row],[2]]-Множество_202207112140401240[[#This Row],[4]]</f>
        <v>0</v>
      </c>
      <c r="L307" s="208">
        <f>Множество_202207112140401240[[#This Row],[3]]-Множество_202207112140401240[[#This Row],[5]]</f>
        <v>0</v>
      </c>
      <c r="M307" s="208">
        <f>Множество_202207112140401240[[#This Row],[7]]+Множество_202207112140401240[[#This Row],[6]]</f>
        <v>0</v>
      </c>
      <c r="N307" s="208" t="str">
        <f>CONCATENATE(Множество_202207112140401240[[#This Row],[2]],Множество_202207112140401240[[#This Row],[3]])</f>
        <v/>
      </c>
      <c r="O307" s="208"/>
      <c r="P307" s="208"/>
      <c r="Q307">
        <v>-3.35</v>
      </c>
      <c r="R307">
        <v>-10.966666666666701</v>
      </c>
      <c r="S307" s="208">
        <v>10</v>
      </c>
      <c r="T307" s="208">
        <v>-12.5</v>
      </c>
      <c r="U307" s="208">
        <f>ABS(Множество_202207112140401240[[#This Row],[10]]-Множество_202207112140401240[[#This Row],[12]])</f>
        <v>13.35</v>
      </c>
      <c r="V307" s="208">
        <f>ABS(Множество_202207112140401240[[#This Row],[11]]-Множество_202207112140401240[[#This Row],[13]])</f>
        <v>1.5333333333332995</v>
      </c>
      <c r="W307" s="208">
        <f>Множество_202207112140401240[[#This Row],[15]]+Множество_202207112140401240[[#This Row],[14]]</f>
        <v>14.883333333333299</v>
      </c>
      <c r="X307" s="208">
        <f ca="1">IF(ROW()-ROW(Множество_202207112140401240[[#Headers],[17]])&gt;1,Множество_202207112140401240[[#This Row],[16]]-OFFSET(Множество_202207112140401240[[#This Row],[16]],-1,0),0)</f>
        <v>0.10833333333329875</v>
      </c>
      <c r="Y307" s="208">
        <v>-3.35</v>
      </c>
      <c r="Z307" s="208">
        <v>-10.966666666666701</v>
      </c>
      <c r="AA307" s="208">
        <f>ABS(Множество_202207112140401240[[#This Row],[18]]-Множество_202207112140401240[[#This Row],[12]])</f>
        <v>13.35</v>
      </c>
      <c r="AB307" s="208">
        <f>ABS(Множество_202207112140401240[[#This Row],[19]]-Множество_202207112140401240[[#This Row],[13]])</f>
        <v>1.5333333333332995</v>
      </c>
      <c r="AC307" s="208">
        <f>Множество_202207112140401240[[#This Row],[20]]+Множество_202207112140401240[[#This Row],[21]]</f>
        <v>14.883333333333299</v>
      </c>
    </row>
    <row r="308" spans="6:29" x14ac:dyDescent="0.25">
      <c r="F308" s="213"/>
      <c r="K308" s="208">
        <f>Множество_202207112140401240[[#This Row],[2]]-Множество_202207112140401240[[#This Row],[4]]</f>
        <v>0</v>
      </c>
      <c r="L308" s="208">
        <f>Множество_202207112140401240[[#This Row],[3]]-Множество_202207112140401240[[#This Row],[5]]</f>
        <v>0</v>
      </c>
      <c r="M308" s="208">
        <f>Множество_202207112140401240[[#This Row],[7]]+Множество_202207112140401240[[#This Row],[6]]</f>
        <v>0</v>
      </c>
      <c r="N308" s="208" t="str">
        <f>CONCATENATE(Множество_202207112140401240[[#This Row],[2]],Множество_202207112140401240[[#This Row],[3]])</f>
        <v/>
      </c>
      <c r="O308" s="208"/>
      <c r="P308" s="208"/>
      <c r="Q308">
        <v>-1.1000000000000001</v>
      </c>
      <c r="R308">
        <v>-16.350000000000001</v>
      </c>
      <c r="S308" s="208">
        <v>10</v>
      </c>
      <c r="T308" s="208">
        <v>-12.5</v>
      </c>
      <c r="U308" s="208">
        <f>ABS(Множество_202207112140401240[[#This Row],[10]]-Множество_202207112140401240[[#This Row],[12]])</f>
        <v>11.1</v>
      </c>
      <c r="V308" s="208">
        <f>ABS(Множество_202207112140401240[[#This Row],[11]]-Множество_202207112140401240[[#This Row],[13]])</f>
        <v>3.8500000000000014</v>
      </c>
      <c r="W308" s="208">
        <f>Множество_202207112140401240[[#This Row],[15]]+Множество_202207112140401240[[#This Row],[14]]</f>
        <v>14.950000000000001</v>
      </c>
      <c r="X308" s="208">
        <f ca="1">IF(ROW()-ROW(Множество_202207112140401240[[#Headers],[17]])&gt;1,Множество_202207112140401240[[#This Row],[16]]-OFFSET(Множество_202207112140401240[[#This Row],[16]],-1,0),0)</f>
        <v>6.6666666666701957E-2</v>
      </c>
      <c r="Y308" s="208">
        <v>-1.1000000000000001</v>
      </c>
      <c r="Z308" s="208">
        <v>-16.350000000000001</v>
      </c>
      <c r="AA308" s="208">
        <f>ABS(Множество_202207112140401240[[#This Row],[18]]-Множество_202207112140401240[[#This Row],[12]])</f>
        <v>11.1</v>
      </c>
      <c r="AB308" s="208">
        <f>ABS(Множество_202207112140401240[[#This Row],[19]]-Множество_202207112140401240[[#This Row],[13]])</f>
        <v>3.8500000000000014</v>
      </c>
      <c r="AC308" s="208">
        <f>Множество_202207112140401240[[#This Row],[20]]+Множество_202207112140401240[[#This Row],[21]]</f>
        <v>14.950000000000001</v>
      </c>
    </row>
    <row r="309" spans="6:29" x14ac:dyDescent="0.25">
      <c r="F309" s="213"/>
      <c r="K309" s="208">
        <f>Множество_202207112140401240[[#This Row],[2]]-Множество_202207112140401240[[#This Row],[4]]</f>
        <v>0</v>
      </c>
      <c r="L309" s="208">
        <f>Множество_202207112140401240[[#This Row],[3]]-Множество_202207112140401240[[#This Row],[5]]</f>
        <v>0</v>
      </c>
      <c r="M309" s="208">
        <f>Множество_202207112140401240[[#This Row],[7]]+Множество_202207112140401240[[#This Row],[6]]</f>
        <v>0</v>
      </c>
      <c r="N309" s="208" t="str">
        <f>CONCATENATE(Множество_202207112140401240[[#This Row],[2]],Множество_202207112140401240[[#This Row],[3]])</f>
        <v/>
      </c>
      <c r="O309" s="208"/>
      <c r="P309" s="208"/>
      <c r="Q309">
        <v>-3.4249999999999998</v>
      </c>
      <c r="R309">
        <v>-10.9166666666667</v>
      </c>
      <c r="S309" s="208">
        <v>10</v>
      </c>
      <c r="T309" s="208">
        <v>-12.5</v>
      </c>
      <c r="U309" s="208">
        <f>ABS(Множество_202207112140401240[[#This Row],[10]]-Множество_202207112140401240[[#This Row],[12]])</f>
        <v>13.425000000000001</v>
      </c>
      <c r="V309" s="208">
        <f>ABS(Множество_202207112140401240[[#This Row],[11]]-Множество_202207112140401240[[#This Row],[13]])</f>
        <v>1.5833333333333002</v>
      </c>
      <c r="W309" s="208">
        <f>Множество_202207112140401240[[#This Row],[15]]+Множество_202207112140401240[[#This Row],[14]]</f>
        <v>15.008333333333301</v>
      </c>
      <c r="X309" s="208">
        <f ca="1">IF(ROW()-ROW(Множество_202207112140401240[[#Headers],[17]])&gt;1,Множество_202207112140401240[[#This Row],[16]]-OFFSET(Множество_202207112140401240[[#This Row],[16]],-1,0),0)</f>
        <v>5.8333333333299819E-2</v>
      </c>
      <c r="Y309" s="208">
        <v>-3.4249999999999998</v>
      </c>
      <c r="Z309" s="208">
        <v>-10.9166666666667</v>
      </c>
      <c r="AA309" s="208">
        <f>ABS(Множество_202207112140401240[[#This Row],[18]]-Множество_202207112140401240[[#This Row],[12]])</f>
        <v>13.425000000000001</v>
      </c>
      <c r="AB309" s="208">
        <f>ABS(Множество_202207112140401240[[#This Row],[19]]-Множество_202207112140401240[[#This Row],[13]])</f>
        <v>1.5833333333333002</v>
      </c>
      <c r="AC309" s="208">
        <f>Множество_202207112140401240[[#This Row],[20]]+Множество_202207112140401240[[#This Row],[21]]</f>
        <v>15.008333333333301</v>
      </c>
    </row>
    <row r="310" spans="6:29" x14ac:dyDescent="0.25">
      <c r="F310" s="213"/>
      <c r="K310" s="208">
        <f>Множество_202207112140401240[[#This Row],[2]]-Множество_202207112140401240[[#This Row],[4]]</f>
        <v>0</v>
      </c>
      <c r="L310" s="208">
        <f>Множество_202207112140401240[[#This Row],[3]]-Множество_202207112140401240[[#This Row],[5]]</f>
        <v>0</v>
      </c>
      <c r="M310" s="208">
        <f>Множество_202207112140401240[[#This Row],[7]]+Множество_202207112140401240[[#This Row],[6]]</f>
        <v>0</v>
      </c>
      <c r="N310" s="208" t="str">
        <f>CONCATENATE(Множество_202207112140401240[[#This Row],[2]],Множество_202207112140401240[[#This Row],[3]])</f>
        <v/>
      </c>
      <c r="O310" s="208"/>
      <c r="P310" s="208"/>
      <c r="Q310">
        <v>-1.25</v>
      </c>
      <c r="R310">
        <v>-16.383333333333301</v>
      </c>
      <c r="S310" s="208">
        <v>10</v>
      </c>
      <c r="T310" s="208">
        <v>-12.5</v>
      </c>
      <c r="U310" s="208">
        <f>ABS(Множество_202207112140401240[[#This Row],[10]]-Множество_202207112140401240[[#This Row],[12]])</f>
        <v>11.25</v>
      </c>
      <c r="V310" s="208">
        <f>ABS(Множество_202207112140401240[[#This Row],[11]]-Множество_202207112140401240[[#This Row],[13]])</f>
        <v>3.8833333333333009</v>
      </c>
      <c r="W310" s="208">
        <f>Множество_202207112140401240[[#This Row],[15]]+Множество_202207112140401240[[#This Row],[14]]</f>
        <v>15.133333333333301</v>
      </c>
      <c r="X310" s="208">
        <f ca="1">IF(ROW()-ROW(Множество_202207112140401240[[#Headers],[17]])&gt;1,Множество_202207112140401240[[#This Row],[16]]-OFFSET(Множество_202207112140401240[[#This Row],[16]],-1,0),0)</f>
        <v>0.125</v>
      </c>
      <c r="Y310" s="208">
        <v>-1.25</v>
      </c>
      <c r="Z310" s="208">
        <v>-16.383333333333301</v>
      </c>
      <c r="AA310" s="208">
        <f>ABS(Множество_202207112140401240[[#This Row],[18]]-Множество_202207112140401240[[#This Row],[12]])</f>
        <v>11.25</v>
      </c>
      <c r="AB310" s="208">
        <f>ABS(Множество_202207112140401240[[#This Row],[19]]-Множество_202207112140401240[[#This Row],[13]])</f>
        <v>3.8833333333333009</v>
      </c>
      <c r="AC310" s="208">
        <f>Множество_202207112140401240[[#This Row],[20]]+Множество_202207112140401240[[#This Row],[21]]</f>
        <v>15.133333333333301</v>
      </c>
    </row>
    <row r="311" spans="6:29" x14ac:dyDescent="0.25">
      <c r="F311" s="213"/>
      <c r="K311" s="208">
        <f>Множество_202207112140401240[[#This Row],[2]]-Множество_202207112140401240[[#This Row],[4]]</f>
        <v>0</v>
      </c>
      <c r="L311" s="208">
        <f>Множество_202207112140401240[[#This Row],[3]]-Множество_202207112140401240[[#This Row],[5]]</f>
        <v>0</v>
      </c>
      <c r="M311" s="208">
        <f>Множество_202207112140401240[[#This Row],[7]]+Множество_202207112140401240[[#This Row],[6]]</f>
        <v>0</v>
      </c>
      <c r="N311" s="208" t="str">
        <f>CONCATENATE(Множество_202207112140401240[[#This Row],[2]],Множество_202207112140401240[[#This Row],[3]])</f>
        <v/>
      </c>
      <c r="O311" s="208"/>
      <c r="P311" s="208"/>
      <c r="Q311">
        <v>-1.175</v>
      </c>
      <c r="R311">
        <v>-16.366666666666699</v>
      </c>
      <c r="S311" s="208">
        <v>10</v>
      </c>
      <c r="T311" s="208">
        <v>-12.5</v>
      </c>
      <c r="U311" s="208">
        <f>ABS(Множество_202207112140401240[[#This Row],[10]]-Множество_202207112140401240[[#This Row],[12]])</f>
        <v>11.175000000000001</v>
      </c>
      <c r="V311" s="208">
        <f>ABS(Множество_202207112140401240[[#This Row],[11]]-Множество_202207112140401240[[#This Row],[13]])</f>
        <v>3.8666666666666991</v>
      </c>
      <c r="W311" s="208">
        <f>Множество_202207112140401240[[#This Row],[15]]+Множество_202207112140401240[[#This Row],[14]]</f>
        <v>15.0416666666667</v>
      </c>
      <c r="X311" s="208">
        <f ca="1">IF(ROW()-ROW(Множество_202207112140401240[[#Headers],[17]])&gt;1,Множество_202207112140401240[[#This Row],[16]]-OFFSET(Множество_202207112140401240[[#This Row],[16]],-1,0),0)</f>
        <v>-9.166666666660106E-2</v>
      </c>
      <c r="Y311" s="208">
        <v>-1.175</v>
      </c>
      <c r="Z311" s="208">
        <v>-16.366666666666699</v>
      </c>
      <c r="AA311" s="208">
        <f>ABS(Множество_202207112140401240[[#This Row],[18]]-Множество_202207112140401240[[#This Row],[12]])</f>
        <v>11.175000000000001</v>
      </c>
      <c r="AB311" s="208">
        <f>ABS(Множество_202207112140401240[[#This Row],[19]]-Множество_202207112140401240[[#This Row],[13]])</f>
        <v>3.8666666666666991</v>
      </c>
      <c r="AC311" s="208">
        <f>Множество_202207112140401240[[#This Row],[20]]+Множество_202207112140401240[[#This Row],[21]]</f>
        <v>15.0416666666667</v>
      </c>
    </row>
    <row r="312" spans="6:29" x14ac:dyDescent="0.25">
      <c r="F312" s="213"/>
      <c r="K312" s="208">
        <f>Множество_202207112140401240[[#This Row],[2]]-Множество_202207112140401240[[#This Row],[4]]</f>
        <v>0</v>
      </c>
      <c r="L312" s="208">
        <f>Множество_202207112140401240[[#This Row],[3]]-Множество_202207112140401240[[#This Row],[5]]</f>
        <v>0</v>
      </c>
      <c r="M312" s="208">
        <f>Множество_202207112140401240[[#This Row],[7]]+Множество_202207112140401240[[#This Row],[6]]</f>
        <v>0</v>
      </c>
      <c r="N312" s="208" t="str">
        <f>CONCATENATE(Множество_202207112140401240[[#This Row],[2]],Множество_202207112140401240[[#This Row],[3]])</f>
        <v/>
      </c>
      <c r="O312" s="208"/>
      <c r="P312" s="208"/>
      <c r="Q312">
        <v>-3.5</v>
      </c>
      <c r="R312">
        <v>-10.866666666666699</v>
      </c>
      <c r="S312" s="208">
        <v>10</v>
      </c>
      <c r="T312" s="208">
        <v>-12.5</v>
      </c>
      <c r="U312" s="208">
        <f>ABS(Множество_202207112140401240[[#This Row],[10]]-Множество_202207112140401240[[#This Row],[12]])</f>
        <v>13.5</v>
      </c>
      <c r="V312" s="208">
        <f>ABS(Множество_202207112140401240[[#This Row],[11]]-Множество_202207112140401240[[#This Row],[13]])</f>
        <v>1.6333333333333009</v>
      </c>
      <c r="W312" s="208">
        <f>Множество_202207112140401240[[#This Row],[15]]+Множество_202207112140401240[[#This Row],[14]]</f>
        <v>15.133333333333301</v>
      </c>
      <c r="X312" s="208">
        <f ca="1">IF(ROW()-ROW(Множество_202207112140401240[[#Headers],[17]])&gt;1,Множество_202207112140401240[[#This Row],[16]]-OFFSET(Множество_202207112140401240[[#This Row],[16]],-1,0),0)</f>
        <v>9.166666666660106E-2</v>
      </c>
      <c r="Y312" s="208">
        <v>-3.5</v>
      </c>
      <c r="Z312" s="208">
        <v>-10.866666666666699</v>
      </c>
      <c r="AA312" s="208">
        <f>ABS(Множество_202207112140401240[[#This Row],[18]]-Множество_202207112140401240[[#This Row],[12]])</f>
        <v>13.5</v>
      </c>
      <c r="AB312" s="208">
        <f>ABS(Множество_202207112140401240[[#This Row],[19]]-Множество_202207112140401240[[#This Row],[13]])</f>
        <v>1.6333333333333009</v>
      </c>
      <c r="AC312" s="208">
        <f>Множество_202207112140401240[[#This Row],[20]]+Множество_202207112140401240[[#This Row],[21]]</f>
        <v>15.133333333333301</v>
      </c>
    </row>
    <row r="313" spans="6:29" x14ac:dyDescent="0.25">
      <c r="F313" s="213"/>
      <c r="K313" s="208">
        <f>Множество_202207112140401240[[#This Row],[2]]-Множество_202207112140401240[[#This Row],[4]]</f>
        <v>0</v>
      </c>
      <c r="L313" s="208">
        <f>Множество_202207112140401240[[#This Row],[3]]-Множество_202207112140401240[[#This Row],[5]]</f>
        <v>0</v>
      </c>
      <c r="M313" s="208">
        <f>Множество_202207112140401240[[#This Row],[7]]+Множество_202207112140401240[[#This Row],[6]]</f>
        <v>0</v>
      </c>
      <c r="N313" s="208" t="str">
        <f>CONCATENATE(Множество_202207112140401240[[#This Row],[2]],Множество_202207112140401240[[#This Row],[3]])</f>
        <v/>
      </c>
      <c r="O313" s="208"/>
      <c r="P313" s="208"/>
      <c r="Q313">
        <v>-1.325</v>
      </c>
      <c r="R313">
        <v>-16.399999999999999</v>
      </c>
      <c r="S313" s="208">
        <v>10</v>
      </c>
      <c r="T313" s="208">
        <v>-12.5</v>
      </c>
      <c r="U313" s="208">
        <f>ABS(Множество_202207112140401240[[#This Row],[10]]-Множество_202207112140401240[[#This Row],[12]])</f>
        <v>11.324999999999999</v>
      </c>
      <c r="V313" s="208">
        <f>ABS(Множество_202207112140401240[[#This Row],[11]]-Множество_202207112140401240[[#This Row],[13]])</f>
        <v>3.8999999999999986</v>
      </c>
      <c r="W313" s="208">
        <f>Множество_202207112140401240[[#This Row],[15]]+Множество_202207112140401240[[#This Row],[14]]</f>
        <v>15.224999999999998</v>
      </c>
      <c r="X313" s="208">
        <f ca="1">IF(ROW()-ROW(Множество_202207112140401240[[#Headers],[17]])&gt;1,Множество_202207112140401240[[#This Row],[16]]-OFFSET(Множество_202207112140401240[[#This Row],[16]],-1,0),0)</f>
        <v>9.1666666666696983E-2</v>
      </c>
      <c r="Y313" s="208">
        <v>-1.325</v>
      </c>
      <c r="Z313" s="208">
        <v>-16.399999999999999</v>
      </c>
      <c r="AA313" s="208">
        <f>ABS(Множество_202207112140401240[[#This Row],[18]]-Множество_202207112140401240[[#This Row],[12]])</f>
        <v>11.324999999999999</v>
      </c>
      <c r="AB313" s="208">
        <f>ABS(Множество_202207112140401240[[#This Row],[19]]-Множество_202207112140401240[[#This Row],[13]])</f>
        <v>3.8999999999999986</v>
      </c>
      <c r="AC313" s="208">
        <f>Множество_202207112140401240[[#This Row],[20]]+Множество_202207112140401240[[#This Row],[21]]</f>
        <v>15.224999999999998</v>
      </c>
    </row>
    <row r="314" spans="6:29" x14ac:dyDescent="0.25">
      <c r="F314" s="213"/>
      <c r="K314" s="208">
        <f>Множество_202207112140401240[[#This Row],[2]]-Множество_202207112140401240[[#This Row],[4]]</f>
        <v>0</v>
      </c>
      <c r="L314" s="208">
        <f>Множество_202207112140401240[[#This Row],[3]]-Множество_202207112140401240[[#This Row],[5]]</f>
        <v>0</v>
      </c>
      <c r="M314" s="208">
        <f>Множество_202207112140401240[[#This Row],[7]]+Множество_202207112140401240[[#This Row],[6]]</f>
        <v>0</v>
      </c>
      <c r="N314" s="208" t="str">
        <f>CONCATENATE(Множество_202207112140401240[[#This Row],[2]],Множество_202207112140401240[[#This Row],[3]])</f>
        <v/>
      </c>
      <c r="O314" s="208"/>
      <c r="P314" s="208"/>
      <c r="Q314">
        <v>-1.4</v>
      </c>
      <c r="R314">
        <v>-16.399999999999999</v>
      </c>
      <c r="S314" s="208">
        <v>10</v>
      </c>
      <c r="T314" s="208">
        <v>-12.5</v>
      </c>
      <c r="U314" s="208">
        <f>ABS(Множество_202207112140401240[[#This Row],[10]]-Множество_202207112140401240[[#This Row],[12]])</f>
        <v>11.4</v>
      </c>
      <c r="V314" s="208">
        <f>ABS(Множество_202207112140401240[[#This Row],[11]]-Множество_202207112140401240[[#This Row],[13]])</f>
        <v>3.8999999999999986</v>
      </c>
      <c r="W314" s="208">
        <f>Множество_202207112140401240[[#This Row],[15]]+Множество_202207112140401240[[#This Row],[14]]</f>
        <v>15.299999999999999</v>
      </c>
      <c r="X314" s="208">
        <f ca="1">IF(ROW()-ROW(Множество_202207112140401240[[#Headers],[17]])&gt;1,Множество_202207112140401240[[#This Row],[16]]-OFFSET(Множество_202207112140401240[[#This Row],[16]],-1,0),0)</f>
        <v>7.5000000000001066E-2</v>
      </c>
      <c r="Y314" s="208">
        <v>-1.4</v>
      </c>
      <c r="Z314" s="208">
        <v>-16.399999999999999</v>
      </c>
      <c r="AA314" s="208">
        <f>ABS(Множество_202207112140401240[[#This Row],[18]]-Множество_202207112140401240[[#This Row],[12]])</f>
        <v>11.4</v>
      </c>
      <c r="AB314" s="208">
        <f>ABS(Множество_202207112140401240[[#This Row],[19]]-Множество_202207112140401240[[#This Row],[13]])</f>
        <v>3.8999999999999986</v>
      </c>
      <c r="AC314" s="208">
        <f>Множество_202207112140401240[[#This Row],[20]]+Множество_202207112140401240[[#This Row],[21]]</f>
        <v>15.299999999999999</v>
      </c>
    </row>
    <row r="315" spans="6:29" x14ac:dyDescent="0.25">
      <c r="F315" s="213"/>
      <c r="K315" s="208">
        <f>Множество_202207112140401240[[#This Row],[2]]-Множество_202207112140401240[[#This Row],[4]]</f>
        <v>0</v>
      </c>
      <c r="L315" s="208">
        <f>Множество_202207112140401240[[#This Row],[3]]-Множество_202207112140401240[[#This Row],[5]]</f>
        <v>0</v>
      </c>
      <c r="M315" s="208">
        <f>Множество_202207112140401240[[#This Row],[7]]+Множество_202207112140401240[[#This Row],[6]]</f>
        <v>0</v>
      </c>
      <c r="N315" s="208" t="str">
        <f>CONCATENATE(Множество_202207112140401240[[#This Row],[2]],Множество_202207112140401240[[#This Row],[3]])</f>
        <v/>
      </c>
      <c r="O315" s="208"/>
      <c r="P315" s="208"/>
      <c r="Q315">
        <v>-3.5750000000000002</v>
      </c>
      <c r="R315">
        <v>-10.8333333333333</v>
      </c>
      <c r="S315" s="208">
        <v>10</v>
      </c>
      <c r="T315" s="208">
        <v>-12.5</v>
      </c>
      <c r="U315" s="208">
        <f>ABS(Множество_202207112140401240[[#This Row],[10]]-Множество_202207112140401240[[#This Row],[12]])</f>
        <v>13.574999999999999</v>
      </c>
      <c r="V315" s="208">
        <f>ABS(Множество_202207112140401240[[#This Row],[11]]-Множество_202207112140401240[[#This Row],[13]])</f>
        <v>1.6666666666666998</v>
      </c>
      <c r="W315" s="208">
        <f>Множество_202207112140401240[[#This Row],[15]]+Множество_202207112140401240[[#This Row],[14]]</f>
        <v>15.241666666666699</v>
      </c>
      <c r="X315" s="208">
        <f ca="1">IF(ROW()-ROW(Множество_202207112140401240[[#Headers],[17]])&gt;1,Множество_202207112140401240[[#This Row],[16]]-OFFSET(Множество_202207112140401240[[#This Row],[16]],-1,0),0)</f>
        <v>-5.8333333333299819E-2</v>
      </c>
      <c r="Y315" s="208">
        <v>-3.5750000000000002</v>
      </c>
      <c r="Z315" s="208">
        <v>-10.8333333333333</v>
      </c>
      <c r="AA315" s="208">
        <f>ABS(Множество_202207112140401240[[#This Row],[18]]-Множество_202207112140401240[[#This Row],[12]])</f>
        <v>13.574999999999999</v>
      </c>
      <c r="AB315" s="208">
        <f>ABS(Множество_202207112140401240[[#This Row],[19]]-Множество_202207112140401240[[#This Row],[13]])</f>
        <v>1.6666666666666998</v>
      </c>
      <c r="AC315" s="208">
        <f>Множество_202207112140401240[[#This Row],[20]]+Множество_202207112140401240[[#This Row],[21]]</f>
        <v>15.241666666666699</v>
      </c>
    </row>
    <row r="316" spans="6:29" x14ac:dyDescent="0.25">
      <c r="F316" s="213"/>
      <c r="K316" s="208">
        <f>Множество_202207112140401240[[#This Row],[2]]-Множество_202207112140401240[[#This Row],[4]]</f>
        <v>0</v>
      </c>
      <c r="L316" s="208">
        <f>Множество_202207112140401240[[#This Row],[3]]-Множество_202207112140401240[[#This Row],[5]]</f>
        <v>0</v>
      </c>
      <c r="M316" s="208">
        <f>Множество_202207112140401240[[#This Row],[7]]+Множество_202207112140401240[[#This Row],[6]]</f>
        <v>0</v>
      </c>
      <c r="N316" s="208" t="str">
        <f>CONCATENATE(Множество_202207112140401240[[#This Row],[2]],Множество_202207112140401240[[#This Row],[3]])</f>
        <v/>
      </c>
      <c r="O316" s="208"/>
      <c r="P316" s="208"/>
      <c r="Q316">
        <v>-1.4750000000000001</v>
      </c>
      <c r="R316">
        <v>-16.4166666666667</v>
      </c>
      <c r="S316" s="208">
        <v>10</v>
      </c>
      <c r="T316" s="208">
        <v>-12.5</v>
      </c>
      <c r="U316" s="208">
        <f>ABS(Множество_202207112140401240[[#This Row],[10]]-Множество_202207112140401240[[#This Row],[12]])</f>
        <v>11.475</v>
      </c>
      <c r="V316" s="208">
        <f>ABS(Множество_202207112140401240[[#This Row],[11]]-Множество_202207112140401240[[#This Row],[13]])</f>
        <v>3.9166666666666998</v>
      </c>
      <c r="W316" s="208">
        <f>Множество_202207112140401240[[#This Row],[15]]+Множество_202207112140401240[[#This Row],[14]]</f>
        <v>15.391666666666699</v>
      </c>
      <c r="X316" s="208">
        <f ca="1">IF(ROW()-ROW(Множество_202207112140401240[[#Headers],[17]])&gt;1,Множество_202207112140401240[[#This Row],[16]]-OFFSET(Множество_202207112140401240[[#This Row],[16]],-1,0),0)</f>
        <v>0.15000000000000036</v>
      </c>
      <c r="Y316" s="208">
        <v>-1.4750000000000001</v>
      </c>
      <c r="Z316" s="208">
        <v>-16.4166666666667</v>
      </c>
      <c r="AA316" s="208">
        <f>ABS(Множество_202207112140401240[[#This Row],[18]]-Множество_202207112140401240[[#This Row],[12]])</f>
        <v>11.475</v>
      </c>
      <c r="AB316" s="208">
        <f>ABS(Множество_202207112140401240[[#This Row],[19]]-Множество_202207112140401240[[#This Row],[13]])</f>
        <v>3.9166666666666998</v>
      </c>
      <c r="AC316" s="208">
        <f>Множество_202207112140401240[[#This Row],[20]]+Множество_202207112140401240[[#This Row],[21]]</f>
        <v>15.391666666666699</v>
      </c>
    </row>
    <row r="317" spans="6:29" x14ac:dyDescent="0.25">
      <c r="F317" s="213"/>
      <c r="K317" s="208">
        <f>Множество_202207112140401240[[#This Row],[2]]-Множество_202207112140401240[[#This Row],[4]]</f>
        <v>0</v>
      </c>
      <c r="L317" s="208">
        <f>Множество_202207112140401240[[#This Row],[3]]-Множество_202207112140401240[[#This Row],[5]]</f>
        <v>0</v>
      </c>
      <c r="M317" s="208">
        <f>Множество_202207112140401240[[#This Row],[7]]+Множество_202207112140401240[[#This Row],[6]]</f>
        <v>0</v>
      </c>
      <c r="N317" s="208" t="str">
        <f>CONCATENATE(Множество_202207112140401240[[#This Row],[2]],Множество_202207112140401240[[#This Row],[3]])</f>
        <v/>
      </c>
      <c r="O317" s="208"/>
      <c r="P317" s="208"/>
      <c r="Q317">
        <v>-1.625</v>
      </c>
      <c r="R317">
        <v>-16.45</v>
      </c>
      <c r="S317" s="208">
        <v>10</v>
      </c>
      <c r="T317" s="208">
        <v>-12.5</v>
      </c>
      <c r="U317" s="208">
        <f>ABS(Множество_202207112140401240[[#This Row],[10]]-Множество_202207112140401240[[#This Row],[12]])</f>
        <v>11.625</v>
      </c>
      <c r="V317" s="208">
        <f>ABS(Множество_202207112140401240[[#This Row],[11]]-Множество_202207112140401240[[#This Row],[13]])</f>
        <v>3.9499999999999993</v>
      </c>
      <c r="W317" s="208">
        <f>Множество_202207112140401240[[#This Row],[15]]+Множество_202207112140401240[[#This Row],[14]]</f>
        <v>15.574999999999999</v>
      </c>
      <c r="X317" s="208">
        <f ca="1">IF(ROW()-ROW(Множество_202207112140401240[[#Headers],[17]])&gt;1,Множество_202207112140401240[[#This Row],[16]]-OFFSET(Множество_202207112140401240[[#This Row],[16]],-1,0),0)</f>
        <v>0.18333333333329982</v>
      </c>
      <c r="Y317" s="208">
        <v>-1.625</v>
      </c>
      <c r="Z317" s="208">
        <v>-16.45</v>
      </c>
      <c r="AA317" s="208">
        <f>ABS(Множество_202207112140401240[[#This Row],[18]]-Множество_202207112140401240[[#This Row],[12]])</f>
        <v>11.625</v>
      </c>
      <c r="AB317" s="208">
        <f>ABS(Множество_202207112140401240[[#This Row],[19]]-Множество_202207112140401240[[#This Row],[13]])</f>
        <v>3.9499999999999993</v>
      </c>
      <c r="AC317" s="208">
        <f>Множество_202207112140401240[[#This Row],[20]]+Множество_202207112140401240[[#This Row],[21]]</f>
        <v>15.574999999999999</v>
      </c>
    </row>
    <row r="318" spans="6:29" x14ac:dyDescent="0.25">
      <c r="F318" s="213"/>
      <c r="K318" s="208">
        <f>Множество_202207112140401240[[#This Row],[2]]-Множество_202207112140401240[[#This Row],[4]]</f>
        <v>0</v>
      </c>
      <c r="L318" s="208">
        <f>Множество_202207112140401240[[#This Row],[3]]-Множество_202207112140401240[[#This Row],[5]]</f>
        <v>0</v>
      </c>
      <c r="M318" s="208">
        <f>Множество_202207112140401240[[#This Row],[7]]+Множество_202207112140401240[[#This Row],[6]]</f>
        <v>0</v>
      </c>
      <c r="N318" s="208" t="str">
        <f>CONCATENATE(Множество_202207112140401240[[#This Row],[2]],Множество_202207112140401240[[#This Row],[3]])</f>
        <v/>
      </c>
      <c r="O318" s="208"/>
      <c r="P318" s="208"/>
      <c r="Q318">
        <v>-1.55</v>
      </c>
      <c r="R318">
        <v>-16.433333333333302</v>
      </c>
      <c r="S318" s="208">
        <v>10</v>
      </c>
      <c r="T318" s="208">
        <v>-12.5</v>
      </c>
      <c r="U318" s="208">
        <f>ABS(Множество_202207112140401240[[#This Row],[10]]-Множество_202207112140401240[[#This Row],[12]])</f>
        <v>11.55</v>
      </c>
      <c r="V318" s="208">
        <f>ABS(Множество_202207112140401240[[#This Row],[11]]-Множество_202207112140401240[[#This Row],[13]])</f>
        <v>3.9333333333333016</v>
      </c>
      <c r="W318" s="208">
        <f>Множество_202207112140401240[[#This Row],[15]]+Множество_202207112140401240[[#This Row],[14]]</f>
        <v>15.483333333333302</v>
      </c>
      <c r="X318" s="208">
        <f ca="1">IF(ROW()-ROW(Множество_202207112140401240[[#Headers],[17]])&gt;1,Множество_202207112140401240[[#This Row],[16]]-OFFSET(Множество_202207112140401240[[#This Row],[16]],-1,0),0)</f>
        <v>-9.1666666666696983E-2</v>
      </c>
      <c r="Y318" s="208">
        <v>-1.55</v>
      </c>
      <c r="Z318" s="208">
        <v>-16.433333333333302</v>
      </c>
      <c r="AA318" s="208">
        <f>ABS(Множество_202207112140401240[[#This Row],[18]]-Множество_202207112140401240[[#This Row],[12]])</f>
        <v>11.55</v>
      </c>
      <c r="AB318" s="208">
        <f>ABS(Множество_202207112140401240[[#This Row],[19]]-Множество_202207112140401240[[#This Row],[13]])</f>
        <v>3.9333333333333016</v>
      </c>
      <c r="AC318" s="208">
        <f>Множество_202207112140401240[[#This Row],[20]]+Множество_202207112140401240[[#This Row],[21]]</f>
        <v>15.483333333333302</v>
      </c>
    </row>
    <row r="319" spans="6:29" x14ac:dyDescent="0.25">
      <c r="F319" s="213"/>
      <c r="K319" s="208">
        <f>Множество_202207112140401240[[#This Row],[2]]-Множество_202207112140401240[[#This Row],[4]]</f>
        <v>0</v>
      </c>
      <c r="L319" s="208">
        <f>Множество_202207112140401240[[#This Row],[3]]-Множество_202207112140401240[[#This Row],[5]]</f>
        <v>0</v>
      </c>
      <c r="M319" s="208">
        <f>Множество_202207112140401240[[#This Row],[7]]+Множество_202207112140401240[[#This Row],[6]]</f>
        <v>0</v>
      </c>
      <c r="N319" s="208" t="str">
        <f>CONCATENATE(Множество_202207112140401240[[#This Row],[2]],Множество_202207112140401240[[#This Row],[3]])</f>
        <v/>
      </c>
      <c r="O319" s="208"/>
      <c r="P319" s="208"/>
      <c r="Q319">
        <v>-1.7749999999999999</v>
      </c>
      <c r="R319">
        <v>-16.466666666666701</v>
      </c>
      <c r="S319" s="208">
        <v>10</v>
      </c>
      <c r="T319" s="208">
        <v>-12.5</v>
      </c>
      <c r="U319" s="208">
        <f>ABS(Множество_202207112140401240[[#This Row],[10]]-Множество_202207112140401240[[#This Row],[12]])</f>
        <v>11.775</v>
      </c>
      <c r="V319" s="208">
        <f>ABS(Множество_202207112140401240[[#This Row],[11]]-Множество_202207112140401240[[#This Row],[13]])</f>
        <v>3.9666666666667005</v>
      </c>
      <c r="W319" s="208">
        <f>Множество_202207112140401240[[#This Row],[15]]+Множество_202207112140401240[[#This Row],[14]]</f>
        <v>15.741666666666701</v>
      </c>
      <c r="X319" s="208">
        <f ca="1">IF(ROW()-ROW(Множество_202207112140401240[[#Headers],[17]])&gt;1,Множество_202207112140401240[[#This Row],[16]]-OFFSET(Множество_202207112140401240[[#This Row],[16]],-1,0),0)</f>
        <v>0.25833333333339858</v>
      </c>
      <c r="Y319" s="208">
        <v>-1.7749999999999999</v>
      </c>
      <c r="Z319" s="208">
        <v>-16.466666666666701</v>
      </c>
      <c r="AA319" s="208">
        <f>ABS(Множество_202207112140401240[[#This Row],[18]]-Множество_202207112140401240[[#This Row],[12]])</f>
        <v>11.775</v>
      </c>
      <c r="AB319" s="208">
        <f>ABS(Множество_202207112140401240[[#This Row],[19]]-Множество_202207112140401240[[#This Row],[13]])</f>
        <v>3.9666666666667005</v>
      </c>
      <c r="AC319" s="208">
        <f>Множество_202207112140401240[[#This Row],[20]]+Множество_202207112140401240[[#This Row],[21]]</f>
        <v>15.741666666666701</v>
      </c>
    </row>
    <row r="320" spans="6:29" x14ac:dyDescent="0.25">
      <c r="F320" s="213"/>
      <c r="K320" s="208">
        <f>Множество_202207112140401240[[#This Row],[2]]-Множество_202207112140401240[[#This Row],[4]]</f>
        <v>0</v>
      </c>
      <c r="L320" s="208">
        <f>Множество_202207112140401240[[#This Row],[3]]-Множество_202207112140401240[[#This Row],[5]]</f>
        <v>0</v>
      </c>
      <c r="M320" s="208">
        <f>Множество_202207112140401240[[#This Row],[7]]+Множество_202207112140401240[[#This Row],[6]]</f>
        <v>0</v>
      </c>
      <c r="N320" s="208" t="str">
        <f>CONCATENATE(Множество_202207112140401240[[#This Row],[2]],Множество_202207112140401240[[#This Row],[3]])</f>
        <v/>
      </c>
      <c r="O320" s="208"/>
      <c r="P320" s="208"/>
      <c r="Q320">
        <v>-1.85</v>
      </c>
      <c r="R320">
        <v>-16.483333333333299</v>
      </c>
      <c r="S320" s="208">
        <v>10</v>
      </c>
      <c r="T320" s="208">
        <v>-12.5</v>
      </c>
      <c r="U320" s="208">
        <f>ABS(Множество_202207112140401240[[#This Row],[10]]-Множество_202207112140401240[[#This Row],[12]])</f>
        <v>11.85</v>
      </c>
      <c r="V320" s="208">
        <f>ABS(Множество_202207112140401240[[#This Row],[11]]-Множество_202207112140401240[[#This Row],[13]])</f>
        <v>3.9833333333332988</v>
      </c>
      <c r="W320" s="208">
        <f>Множество_202207112140401240[[#This Row],[15]]+Множество_202207112140401240[[#This Row],[14]]</f>
        <v>15.833333333333298</v>
      </c>
      <c r="X320" s="208">
        <f ca="1">IF(ROW()-ROW(Множество_202207112140401240[[#Headers],[17]])&gt;1,Множество_202207112140401240[[#This Row],[16]]-OFFSET(Множество_202207112140401240[[#This Row],[16]],-1,0),0)</f>
        <v>9.1666666666597507E-2</v>
      </c>
      <c r="Y320" s="208">
        <v>-1.85</v>
      </c>
      <c r="Z320" s="208">
        <v>-16.483333333333299</v>
      </c>
      <c r="AA320" s="208">
        <f>ABS(Множество_202207112140401240[[#This Row],[18]]-Множество_202207112140401240[[#This Row],[12]])</f>
        <v>11.85</v>
      </c>
      <c r="AB320" s="208">
        <f>ABS(Множество_202207112140401240[[#This Row],[19]]-Множество_202207112140401240[[#This Row],[13]])</f>
        <v>3.9833333333332988</v>
      </c>
      <c r="AC320" s="208">
        <f>Множество_202207112140401240[[#This Row],[20]]+Множество_202207112140401240[[#This Row],[21]]</f>
        <v>15.833333333333298</v>
      </c>
    </row>
    <row r="321" spans="6:29" x14ac:dyDescent="0.25">
      <c r="F321" s="213"/>
      <c r="K321" s="208">
        <f>Множество_202207112140401240[[#This Row],[2]]-Множество_202207112140401240[[#This Row],[4]]</f>
        <v>0</v>
      </c>
      <c r="L321" s="208">
        <f>Множество_202207112140401240[[#This Row],[3]]-Множество_202207112140401240[[#This Row],[5]]</f>
        <v>0</v>
      </c>
      <c r="M321" s="208">
        <f>Множество_202207112140401240[[#This Row],[7]]+Множество_202207112140401240[[#This Row],[6]]</f>
        <v>0</v>
      </c>
      <c r="N321" s="208" t="str">
        <f>CONCATENATE(Множество_202207112140401240[[#This Row],[2]],Множество_202207112140401240[[#This Row],[3]])</f>
        <v/>
      </c>
      <c r="O321" s="208"/>
      <c r="P321" s="208"/>
      <c r="Q321">
        <v>-1.925</v>
      </c>
      <c r="R321">
        <v>-16.5</v>
      </c>
      <c r="S321" s="208">
        <v>10</v>
      </c>
      <c r="T321" s="208">
        <v>-12.5</v>
      </c>
      <c r="U321" s="208">
        <f>ABS(Множество_202207112140401240[[#This Row],[10]]-Множество_202207112140401240[[#This Row],[12]])</f>
        <v>11.925000000000001</v>
      </c>
      <c r="V321" s="208">
        <f>ABS(Множество_202207112140401240[[#This Row],[11]]-Множество_202207112140401240[[#This Row],[13]])</f>
        <v>4</v>
      </c>
      <c r="W321" s="208">
        <f>Множество_202207112140401240[[#This Row],[15]]+Множество_202207112140401240[[#This Row],[14]]</f>
        <v>15.925000000000001</v>
      </c>
      <c r="X321" s="208">
        <f ca="1">IF(ROW()-ROW(Множество_202207112140401240[[#Headers],[17]])&gt;1,Множество_202207112140401240[[#This Row],[16]]-OFFSET(Множество_202207112140401240[[#This Row],[16]],-1,0),0)</f>
        <v>9.1666666666702312E-2</v>
      </c>
      <c r="Y321" s="208">
        <v>-1.925</v>
      </c>
      <c r="Z321" s="208">
        <v>-16.5</v>
      </c>
      <c r="AA321" s="208">
        <f>ABS(Множество_202207112140401240[[#This Row],[18]]-Множество_202207112140401240[[#This Row],[12]])</f>
        <v>11.925000000000001</v>
      </c>
      <c r="AB321" s="208">
        <f>ABS(Множество_202207112140401240[[#This Row],[19]]-Множество_202207112140401240[[#This Row],[13]])</f>
        <v>4</v>
      </c>
      <c r="AC321" s="208">
        <f>Множество_202207112140401240[[#This Row],[20]]+Множество_202207112140401240[[#This Row],[21]]</f>
        <v>15.925000000000001</v>
      </c>
    </row>
    <row r="322" spans="6:29" x14ac:dyDescent="0.25">
      <c r="F322" s="213"/>
      <c r="K322" s="208">
        <f>Множество_202207112140401240[[#This Row],[2]]-Множество_202207112140401240[[#This Row],[4]]</f>
        <v>0</v>
      </c>
      <c r="L322" s="208">
        <f>Множество_202207112140401240[[#This Row],[3]]-Множество_202207112140401240[[#This Row],[5]]</f>
        <v>0</v>
      </c>
      <c r="M322" s="208">
        <f>Множество_202207112140401240[[#This Row],[7]]+Множество_202207112140401240[[#This Row],[6]]</f>
        <v>0</v>
      </c>
      <c r="N322" s="208" t="str">
        <f>CONCATENATE(Множество_202207112140401240[[#This Row],[2]],Множество_202207112140401240[[#This Row],[3]])</f>
        <v/>
      </c>
      <c r="O322" s="208"/>
      <c r="P322" s="208"/>
      <c r="Q322">
        <v>-2</v>
      </c>
      <c r="R322">
        <v>-16.516666666666701</v>
      </c>
      <c r="S322" s="208">
        <v>10</v>
      </c>
      <c r="T322" s="208">
        <v>-12.5</v>
      </c>
      <c r="U322" s="208">
        <f>ABS(Множество_202207112140401240[[#This Row],[10]]-Множество_202207112140401240[[#This Row],[12]])</f>
        <v>12</v>
      </c>
      <c r="V322" s="208">
        <f>ABS(Множество_202207112140401240[[#This Row],[11]]-Множество_202207112140401240[[#This Row],[13]])</f>
        <v>4.0166666666667012</v>
      </c>
      <c r="W322" s="208">
        <f>Множество_202207112140401240[[#This Row],[15]]+Множество_202207112140401240[[#This Row],[14]]</f>
        <v>16.016666666666701</v>
      </c>
      <c r="X322" s="208">
        <f ca="1">IF(ROW()-ROW(Множество_202207112140401240[[#Headers],[17]])&gt;1,Множество_202207112140401240[[#This Row],[16]]-OFFSET(Множество_202207112140401240[[#This Row],[16]],-1,0),0)</f>
        <v>9.1666666666700536E-2</v>
      </c>
      <c r="Y322" s="208">
        <v>-2</v>
      </c>
      <c r="Z322" s="208">
        <v>-16.516666666666701</v>
      </c>
      <c r="AA322" s="208">
        <f>ABS(Множество_202207112140401240[[#This Row],[18]]-Множество_202207112140401240[[#This Row],[12]])</f>
        <v>12</v>
      </c>
      <c r="AB322" s="208">
        <f>ABS(Множество_202207112140401240[[#This Row],[19]]-Множество_202207112140401240[[#This Row],[13]])</f>
        <v>4.0166666666667012</v>
      </c>
      <c r="AC322" s="208">
        <f>Множество_202207112140401240[[#This Row],[20]]+Множество_202207112140401240[[#This Row],[21]]</f>
        <v>16.016666666666701</v>
      </c>
    </row>
    <row r="323" spans="6:29" x14ac:dyDescent="0.25">
      <c r="F323" s="213"/>
      <c r="K323" s="208">
        <f>Множество_202207112140401240[[#This Row],[2]]-Множество_202207112140401240[[#This Row],[4]]</f>
        <v>0</v>
      </c>
      <c r="L323" s="208">
        <f>Множество_202207112140401240[[#This Row],[3]]-Множество_202207112140401240[[#This Row],[5]]</f>
        <v>0</v>
      </c>
      <c r="M323" s="208">
        <f>Множество_202207112140401240[[#This Row],[7]]+Множество_202207112140401240[[#This Row],[6]]</f>
        <v>0</v>
      </c>
      <c r="N323" s="208" t="str">
        <f>CONCATENATE(Множество_202207112140401240[[#This Row],[2]],Множество_202207112140401240[[#This Row],[3]])</f>
        <v/>
      </c>
      <c r="O323" s="208"/>
      <c r="P323" s="208"/>
      <c r="Q323">
        <v>-2.0750000000000002</v>
      </c>
      <c r="R323">
        <v>-16.516666666666701</v>
      </c>
      <c r="S323" s="208">
        <v>10</v>
      </c>
      <c r="T323" s="208">
        <v>-12.5</v>
      </c>
      <c r="U323" s="208">
        <f>ABS(Множество_202207112140401240[[#This Row],[10]]-Множество_202207112140401240[[#This Row],[12]])</f>
        <v>12.074999999999999</v>
      </c>
      <c r="V323" s="208">
        <f>ABS(Множество_202207112140401240[[#This Row],[11]]-Множество_202207112140401240[[#This Row],[13]])</f>
        <v>4.0166666666667012</v>
      </c>
      <c r="W323" s="208">
        <f>Множество_202207112140401240[[#This Row],[15]]+Множество_202207112140401240[[#This Row],[14]]</f>
        <v>16.091666666666701</v>
      </c>
      <c r="X323" s="208">
        <f ca="1">IF(ROW()-ROW(Множество_202207112140401240[[#Headers],[17]])&gt;1,Множество_202207112140401240[[#This Row],[16]]-OFFSET(Множество_202207112140401240[[#This Row],[16]],-1,0),0)</f>
        <v>7.4999999999999289E-2</v>
      </c>
      <c r="Y323" s="208">
        <v>-2.0750000000000002</v>
      </c>
      <c r="Z323" s="208">
        <v>-16.516666666666701</v>
      </c>
      <c r="AA323" s="208">
        <f>ABS(Множество_202207112140401240[[#This Row],[18]]-Множество_202207112140401240[[#This Row],[12]])</f>
        <v>12.074999999999999</v>
      </c>
      <c r="AB323" s="208">
        <f>ABS(Множество_202207112140401240[[#This Row],[19]]-Множество_202207112140401240[[#This Row],[13]])</f>
        <v>4.0166666666667012</v>
      </c>
      <c r="AC323" s="208">
        <f>Множество_202207112140401240[[#This Row],[20]]+Множество_202207112140401240[[#This Row],[21]]</f>
        <v>16.091666666666701</v>
      </c>
    </row>
    <row r="324" spans="6:29" x14ac:dyDescent="0.25">
      <c r="F324" s="213"/>
      <c r="K324" s="208">
        <f>Множество_202207112140401240[[#This Row],[2]]-Множество_202207112140401240[[#This Row],[4]]</f>
        <v>0</v>
      </c>
      <c r="L324" s="208">
        <f>Множество_202207112140401240[[#This Row],[3]]-Множество_202207112140401240[[#This Row],[5]]</f>
        <v>0</v>
      </c>
      <c r="M324" s="208">
        <f>Множество_202207112140401240[[#This Row],[7]]+Множество_202207112140401240[[#This Row],[6]]</f>
        <v>0</v>
      </c>
      <c r="N324" s="208" t="str">
        <f>CONCATENATE(Множество_202207112140401240[[#This Row],[2]],Множество_202207112140401240[[#This Row],[3]])</f>
        <v/>
      </c>
      <c r="O324" s="208"/>
      <c r="P324" s="208"/>
      <c r="Q324">
        <v>-2.15</v>
      </c>
      <c r="R324">
        <v>-16.533333333333299</v>
      </c>
      <c r="S324" s="208">
        <v>10</v>
      </c>
      <c r="T324" s="208">
        <v>-12.5</v>
      </c>
      <c r="U324" s="208">
        <f>ABS(Множество_202207112140401240[[#This Row],[10]]-Множество_202207112140401240[[#This Row],[12]])</f>
        <v>12.15</v>
      </c>
      <c r="V324" s="208">
        <f>ABS(Множество_202207112140401240[[#This Row],[11]]-Множество_202207112140401240[[#This Row],[13]])</f>
        <v>4.0333333333332995</v>
      </c>
      <c r="W324" s="208">
        <f>Множество_202207112140401240[[#This Row],[15]]+Множество_202207112140401240[[#This Row],[14]]</f>
        <v>16.183333333333302</v>
      </c>
      <c r="X324" s="208">
        <f ca="1">IF(ROW()-ROW(Множество_202207112140401240[[#Headers],[17]])&gt;1,Множество_202207112140401240[[#This Row],[16]]-OFFSET(Множество_202207112140401240[[#This Row],[16]],-1,0),0)</f>
        <v>9.166666666660106E-2</v>
      </c>
      <c r="Y324" s="208">
        <v>-2.15</v>
      </c>
      <c r="Z324" s="208">
        <v>-16.533333333333299</v>
      </c>
      <c r="AA324" s="208">
        <f>ABS(Множество_202207112140401240[[#This Row],[18]]-Множество_202207112140401240[[#This Row],[12]])</f>
        <v>12.15</v>
      </c>
      <c r="AB324" s="208">
        <f>ABS(Множество_202207112140401240[[#This Row],[19]]-Множество_202207112140401240[[#This Row],[13]])</f>
        <v>4.0333333333332995</v>
      </c>
      <c r="AC324" s="208">
        <f>Множество_202207112140401240[[#This Row],[20]]+Множество_202207112140401240[[#This Row],[21]]</f>
        <v>16.183333333333302</v>
      </c>
    </row>
    <row r="325" spans="6:29" x14ac:dyDescent="0.25">
      <c r="F325" s="213"/>
      <c r="K325" s="208">
        <f>Множество_202207112140401240[[#This Row],[2]]-Множество_202207112140401240[[#This Row],[4]]</f>
        <v>0</v>
      </c>
      <c r="L325" s="208">
        <f>Множество_202207112140401240[[#This Row],[3]]-Множество_202207112140401240[[#This Row],[5]]</f>
        <v>0</v>
      </c>
      <c r="M325" s="208">
        <f>Множество_202207112140401240[[#This Row],[7]]+Множество_202207112140401240[[#This Row],[6]]</f>
        <v>0</v>
      </c>
      <c r="N325" s="208" t="str">
        <f>CONCATENATE(Множество_202207112140401240[[#This Row],[2]],Множество_202207112140401240[[#This Row],[3]])</f>
        <v/>
      </c>
      <c r="O325" s="208"/>
      <c r="P325" s="208"/>
      <c r="Q325">
        <v>-2.2999999999999998</v>
      </c>
      <c r="R325">
        <v>-16.566666666666698</v>
      </c>
      <c r="S325" s="208">
        <v>10</v>
      </c>
      <c r="T325" s="208">
        <v>-12.5</v>
      </c>
      <c r="U325" s="208">
        <f>ABS(Множество_202207112140401240[[#This Row],[10]]-Множество_202207112140401240[[#This Row],[12]])</f>
        <v>12.3</v>
      </c>
      <c r="V325" s="208">
        <f>ABS(Множество_202207112140401240[[#This Row],[11]]-Множество_202207112140401240[[#This Row],[13]])</f>
        <v>4.0666666666666984</v>
      </c>
      <c r="W325" s="208">
        <f>Множество_202207112140401240[[#This Row],[15]]+Множество_202207112140401240[[#This Row],[14]]</f>
        <v>16.366666666666699</v>
      </c>
      <c r="X325" s="208">
        <f ca="1">IF(ROW()-ROW(Множество_202207112140401240[[#Headers],[17]])&gt;1,Множество_202207112140401240[[#This Row],[16]]-OFFSET(Множество_202207112140401240[[#This Row],[16]],-1,0),0)</f>
        <v>0.18333333333339752</v>
      </c>
      <c r="Y325" s="208">
        <v>-2.2999999999999998</v>
      </c>
      <c r="Z325" s="208">
        <v>-16.566666666666698</v>
      </c>
      <c r="AA325" s="208">
        <f>ABS(Множество_202207112140401240[[#This Row],[18]]-Множество_202207112140401240[[#This Row],[12]])</f>
        <v>12.3</v>
      </c>
      <c r="AB325" s="208">
        <f>ABS(Множество_202207112140401240[[#This Row],[19]]-Множество_202207112140401240[[#This Row],[13]])</f>
        <v>4.0666666666666984</v>
      </c>
      <c r="AC325" s="208">
        <f>Множество_202207112140401240[[#This Row],[20]]+Множество_202207112140401240[[#This Row],[21]]</f>
        <v>16.366666666666699</v>
      </c>
    </row>
    <row r="326" spans="6:29" x14ac:dyDescent="0.25">
      <c r="F326" s="213"/>
      <c r="K326" s="208">
        <f>Множество_202207112140401240[[#This Row],[2]]-Множество_202207112140401240[[#This Row],[4]]</f>
        <v>0</v>
      </c>
      <c r="L326" s="208">
        <f>Множество_202207112140401240[[#This Row],[3]]-Множество_202207112140401240[[#This Row],[5]]</f>
        <v>0</v>
      </c>
      <c r="M326" s="208">
        <f>Множество_202207112140401240[[#This Row],[7]]+Множество_202207112140401240[[#This Row],[6]]</f>
        <v>0</v>
      </c>
      <c r="N326" s="208" t="str">
        <f>CONCATENATE(Множество_202207112140401240[[#This Row],[2]],Множество_202207112140401240[[#This Row],[3]])</f>
        <v/>
      </c>
      <c r="O326" s="208"/>
      <c r="P326" s="208"/>
      <c r="Q326">
        <v>-2.2250000000000001</v>
      </c>
      <c r="R326">
        <v>-16.55</v>
      </c>
      <c r="S326" s="208">
        <v>10</v>
      </c>
      <c r="T326" s="208">
        <v>-12.5</v>
      </c>
      <c r="U326" s="208">
        <f>ABS(Множество_202207112140401240[[#This Row],[10]]-Множество_202207112140401240[[#This Row],[12]])</f>
        <v>12.225</v>
      </c>
      <c r="V326" s="208">
        <f>ABS(Множество_202207112140401240[[#This Row],[11]]-Множество_202207112140401240[[#This Row],[13]])</f>
        <v>4.0500000000000007</v>
      </c>
      <c r="W326" s="208">
        <f>Множество_202207112140401240[[#This Row],[15]]+Множество_202207112140401240[[#This Row],[14]]</f>
        <v>16.274999999999999</v>
      </c>
      <c r="X326" s="208">
        <f ca="1">IF(ROW()-ROW(Множество_202207112140401240[[#Headers],[17]])&gt;1,Множество_202207112140401240[[#This Row],[16]]-OFFSET(Множество_202207112140401240[[#This Row],[16]],-1,0),0)</f>
        <v>-9.1666666666700536E-2</v>
      </c>
      <c r="Y326" s="208">
        <v>-2.2250000000000001</v>
      </c>
      <c r="Z326" s="208">
        <v>-16.55</v>
      </c>
      <c r="AA326" s="208">
        <f>ABS(Множество_202207112140401240[[#This Row],[18]]-Множество_202207112140401240[[#This Row],[12]])</f>
        <v>12.225</v>
      </c>
      <c r="AB326" s="208">
        <f>ABS(Множество_202207112140401240[[#This Row],[19]]-Множество_202207112140401240[[#This Row],[13]])</f>
        <v>4.0500000000000007</v>
      </c>
      <c r="AC326" s="208">
        <f>Множество_202207112140401240[[#This Row],[20]]+Множество_202207112140401240[[#This Row],[21]]</f>
        <v>16.274999999999999</v>
      </c>
    </row>
    <row r="327" spans="6:29" x14ac:dyDescent="0.25">
      <c r="F327" s="213"/>
      <c r="K327" s="208">
        <f>Множество_202207112140401240[[#This Row],[2]]-Множество_202207112140401240[[#This Row],[4]]</f>
        <v>0</v>
      </c>
      <c r="L327" s="208">
        <f>Множество_202207112140401240[[#This Row],[3]]-Множество_202207112140401240[[#This Row],[5]]</f>
        <v>0</v>
      </c>
      <c r="M327" s="208">
        <f>Множество_202207112140401240[[#This Row],[7]]+Множество_202207112140401240[[#This Row],[6]]</f>
        <v>0</v>
      </c>
      <c r="N327" s="208" t="str">
        <f>CONCATENATE(Множество_202207112140401240[[#This Row],[2]],Множество_202207112140401240[[#This Row],[3]])</f>
        <v/>
      </c>
      <c r="O327" s="208"/>
      <c r="P327" s="208"/>
      <c r="Q327">
        <v>-2.4500000000000002</v>
      </c>
      <c r="R327">
        <v>-16.5833333333333</v>
      </c>
      <c r="S327" s="208">
        <v>10</v>
      </c>
      <c r="T327" s="208">
        <v>-12.5</v>
      </c>
      <c r="U327" s="208">
        <f>ABS(Множество_202207112140401240[[#This Row],[10]]-Множество_202207112140401240[[#This Row],[12]])</f>
        <v>12.45</v>
      </c>
      <c r="V327" s="208">
        <f>ABS(Множество_202207112140401240[[#This Row],[11]]-Множество_202207112140401240[[#This Row],[13]])</f>
        <v>4.0833333333333002</v>
      </c>
      <c r="W327" s="208">
        <f>Множество_202207112140401240[[#This Row],[15]]+Множество_202207112140401240[[#This Row],[14]]</f>
        <v>16.533333333333299</v>
      </c>
      <c r="X327" s="208">
        <f ca="1">IF(ROW()-ROW(Множество_202207112140401240[[#Headers],[17]])&gt;1,Множество_202207112140401240[[#This Row],[16]]-OFFSET(Множество_202207112140401240[[#This Row],[16]],-1,0),0)</f>
        <v>0.25833333333330089</v>
      </c>
      <c r="Y327" s="208">
        <v>-2.4500000000000002</v>
      </c>
      <c r="Z327" s="208">
        <v>-16.5833333333333</v>
      </c>
      <c r="AA327" s="208">
        <f>ABS(Множество_202207112140401240[[#This Row],[18]]-Множество_202207112140401240[[#This Row],[12]])</f>
        <v>12.45</v>
      </c>
      <c r="AB327" s="208">
        <f>ABS(Множество_202207112140401240[[#This Row],[19]]-Множество_202207112140401240[[#This Row],[13]])</f>
        <v>4.0833333333333002</v>
      </c>
      <c r="AC327" s="208">
        <f>Множество_202207112140401240[[#This Row],[20]]+Множество_202207112140401240[[#This Row],[21]]</f>
        <v>16.533333333333299</v>
      </c>
    </row>
    <row r="328" spans="6:29" x14ac:dyDescent="0.25">
      <c r="F328" s="213"/>
      <c r="K328" s="208">
        <f>Множество_202207112140401240[[#This Row],[2]]-Множество_202207112140401240[[#This Row],[4]]</f>
        <v>0</v>
      </c>
      <c r="L328" s="208">
        <f>Множество_202207112140401240[[#This Row],[3]]-Множество_202207112140401240[[#This Row],[5]]</f>
        <v>0</v>
      </c>
      <c r="M328" s="208">
        <f>Множество_202207112140401240[[#This Row],[7]]+Множество_202207112140401240[[#This Row],[6]]</f>
        <v>0</v>
      </c>
      <c r="N328" s="208" t="str">
        <f>CONCATENATE(Множество_202207112140401240[[#This Row],[2]],Множество_202207112140401240[[#This Row],[3]])</f>
        <v/>
      </c>
      <c r="O328" s="208"/>
      <c r="P328" s="208"/>
      <c r="Q328">
        <v>-2.5249999999999999</v>
      </c>
      <c r="R328">
        <v>-16.600000000000001</v>
      </c>
      <c r="S328" s="208">
        <v>10</v>
      </c>
      <c r="T328" s="208">
        <v>-12.5</v>
      </c>
      <c r="U328" s="208">
        <f>ABS(Множество_202207112140401240[[#This Row],[10]]-Множество_202207112140401240[[#This Row],[12]])</f>
        <v>12.525</v>
      </c>
      <c r="V328" s="208">
        <f>ABS(Множество_202207112140401240[[#This Row],[11]]-Множество_202207112140401240[[#This Row],[13]])</f>
        <v>4.1000000000000014</v>
      </c>
      <c r="W328" s="208">
        <f>Множество_202207112140401240[[#This Row],[15]]+Множество_202207112140401240[[#This Row],[14]]</f>
        <v>16.625</v>
      </c>
      <c r="X328" s="208">
        <f ca="1">IF(ROW()-ROW(Множество_202207112140401240[[#Headers],[17]])&gt;1,Множество_202207112140401240[[#This Row],[16]]-OFFSET(Множество_202207112140401240[[#This Row],[16]],-1,0),0)</f>
        <v>9.1666666666700536E-2</v>
      </c>
      <c r="Y328" s="208">
        <v>-2.5249999999999999</v>
      </c>
      <c r="Z328" s="208">
        <v>-16.600000000000001</v>
      </c>
      <c r="AA328" s="208">
        <f>ABS(Множество_202207112140401240[[#This Row],[18]]-Множество_202207112140401240[[#This Row],[12]])</f>
        <v>12.525</v>
      </c>
      <c r="AB328" s="208">
        <f>ABS(Множество_202207112140401240[[#This Row],[19]]-Множество_202207112140401240[[#This Row],[13]])</f>
        <v>4.1000000000000014</v>
      </c>
      <c r="AC328" s="208">
        <f>Множество_202207112140401240[[#This Row],[20]]+Множество_202207112140401240[[#This Row],[21]]</f>
        <v>16.625</v>
      </c>
    </row>
    <row r="329" spans="6:29" x14ac:dyDescent="0.25">
      <c r="F329" s="213"/>
      <c r="K329" s="208">
        <f>Множество_202207112140401240[[#This Row],[2]]-Множество_202207112140401240[[#This Row],[4]]</f>
        <v>0</v>
      </c>
      <c r="L329" s="208">
        <f>Множество_202207112140401240[[#This Row],[3]]-Множество_202207112140401240[[#This Row],[5]]</f>
        <v>0</v>
      </c>
      <c r="M329" s="208">
        <f>Множество_202207112140401240[[#This Row],[7]]+Множество_202207112140401240[[#This Row],[6]]</f>
        <v>0</v>
      </c>
      <c r="N329" s="208" t="str">
        <f>CONCATENATE(Множество_202207112140401240[[#This Row],[2]],Множество_202207112140401240[[#This Row],[3]])</f>
        <v/>
      </c>
      <c r="O329" s="208"/>
      <c r="P329" s="208"/>
      <c r="Q329">
        <v>-2.6749999999999998</v>
      </c>
      <c r="R329">
        <v>-16.633333333333301</v>
      </c>
      <c r="S329" s="208">
        <v>10</v>
      </c>
      <c r="T329" s="208">
        <v>-12.5</v>
      </c>
      <c r="U329" s="208">
        <f>ABS(Множество_202207112140401240[[#This Row],[10]]-Множество_202207112140401240[[#This Row],[12]])</f>
        <v>12.675000000000001</v>
      </c>
      <c r="V329" s="208">
        <f>ABS(Множество_202207112140401240[[#This Row],[11]]-Множество_202207112140401240[[#This Row],[13]])</f>
        <v>4.1333333333333009</v>
      </c>
      <c r="W329" s="208">
        <f>Множество_202207112140401240[[#This Row],[15]]+Множество_202207112140401240[[#This Row],[14]]</f>
        <v>16.808333333333302</v>
      </c>
      <c r="X329" s="208">
        <f ca="1">IF(ROW()-ROW(Множество_202207112140401240[[#Headers],[17]])&gt;1,Множество_202207112140401240[[#This Row],[16]]-OFFSET(Множество_202207112140401240[[#This Row],[16]],-1,0),0)</f>
        <v>0.1833333333333016</v>
      </c>
      <c r="Y329" s="208">
        <v>-2.6749999999999998</v>
      </c>
      <c r="Z329" s="208">
        <v>-16.633333333333301</v>
      </c>
      <c r="AA329" s="208">
        <f>ABS(Множество_202207112140401240[[#This Row],[18]]-Множество_202207112140401240[[#This Row],[12]])</f>
        <v>12.675000000000001</v>
      </c>
      <c r="AB329" s="208">
        <f>ABS(Множество_202207112140401240[[#This Row],[19]]-Множество_202207112140401240[[#This Row],[13]])</f>
        <v>4.1333333333333009</v>
      </c>
      <c r="AC329" s="208">
        <f>Множество_202207112140401240[[#This Row],[20]]+Множество_202207112140401240[[#This Row],[21]]</f>
        <v>16.808333333333302</v>
      </c>
    </row>
    <row r="330" spans="6:29" x14ac:dyDescent="0.25">
      <c r="F330" s="213"/>
      <c r="K330" s="208">
        <f>Множество_202207112140401240[[#This Row],[2]]-Множество_202207112140401240[[#This Row],[4]]</f>
        <v>0</v>
      </c>
      <c r="L330" s="208">
        <f>Множество_202207112140401240[[#This Row],[3]]-Множество_202207112140401240[[#This Row],[5]]</f>
        <v>0</v>
      </c>
      <c r="M330" s="208">
        <f>Множество_202207112140401240[[#This Row],[7]]+Множество_202207112140401240[[#This Row],[6]]</f>
        <v>0</v>
      </c>
      <c r="N330" s="208" t="str">
        <f>CONCATENATE(Множество_202207112140401240[[#This Row],[2]],Множество_202207112140401240[[#This Row],[3]])</f>
        <v/>
      </c>
      <c r="O330" s="208"/>
      <c r="P330" s="208"/>
      <c r="Q330">
        <v>-2.6</v>
      </c>
      <c r="R330">
        <v>-16.616666666666699</v>
      </c>
      <c r="S330" s="208">
        <v>10</v>
      </c>
      <c r="T330" s="208">
        <v>-12.5</v>
      </c>
      <c r="U330" s="208">
        <f>ABS(Множество_202207112140401240[[#This Row],[10]]-Множество_202207112140401240[[#This Row],[12]])</f>
        <v>12.6</v>
      </c>
      <c r="V330" s="208">
        <f>ABS(Множество_202207112140401240[[#This Row],[11]]-Множество_202207112140401240[[#This Row],[13]])</f>
        <v>4.1166666666666991</v>
      </c>
      <c r="W330" s="208">
        <f>Множество_202207112140401240[[#This Row],[15]]+Множество_202207112140401240[[#This Row],[14]]</f>
        <v>16.716666666666697</v>
      </c>
      <c r="X330" s="208">
        <f ca="1">IF(ROW()-ROW(Множество_202207112140401240[[#Headers],[17]])&gt;1,Множество_202207112140401240[[#This Row],[16]]-OFFSET(Множество_202207112140401240[[#This Row],[16]],-1,0),0)</f>
        <v>-9.1666666666604613E-2</v>
      </c>
      <c r="Y330" s="208">
        <v>-2.6</v>
      </c>
      <c r="Z330" s="208">
        <v>-16.616666666666699</v>
      </c>
      <c r="AA330" s="208">
        <f>ABS(Множество_202207112140401240[[#This Row],[18]]-Множество_202207112140401240[[#This Row],[12]])</f>
        <v>12.6</v>
      </c>
      <c r="AB330" s="208">
        <f>ABS(Множество_202207112140401240[[#This Row],[19]]-Множество_202207112140401240[[#This Row],[13]])</f>
        <v>4.1166666666666991</v>
      </c>
      <c r="AC330" s="208">
        <f>Множество_202207112140401240[[#This Row],[20]]+Множество_202207112140401240[[#This Row],[21]]</f>
        <v>16.716666666666697</v>
      </c>
    </row>
    <row r="331" spans="6:29" x14ac:dyDescent="0.25">
      <c r="F331" s="213"/>
      <c r="K331" s="208">
        <f>Множество_202207112140401240[[#This Row],[2]]-Множество_202207112140401240[[#This Row],[4]]</f>
        <v>0</v>
      </c>
      <c r="L331" s="208">
        <f>Множество_202207112140401240[[#This Row],[3]]-Множество_202207112140401240[[#This Row],[5]]</f>
        <v>0</v>
      </c>
      <c r="M331" s="208">
        <f>Множество_202207112140401240[[#This Row],[7]]+Множество_202207112140401240[[#This Row],[6]]</f>
        <v>0</v>
      </c>
      <c r="N331" s="208" t="str">
        <f>CONCATENATE(Множество_202207112140401240[[#This Row],[2]],Множество_202207112140401240[[#This Row],[3]])</f>
        <v/>
      </c>
      <c r="O331" s="208"/>
      <c r="P331" s="208"/>
      <c r="Q331">
        <v>-2.8250000000000002</v>
      </c>
      <c r="R331">
        <v>-16.649999999999999</v>
      </c>
      <c r="S331" s="208">
        <v>10</v>
      </c>
      <c r="T331" s="208">
        <v>-12.5</v>
      </c>
      <c r="U331" s="208">
        <f>ABS(Множество_202207112140401240[[#This Row],[10]]-Множество_202207112140401240[[#This Row],[12]])</f>
        <v>12.824999999999999</v>
      </c>
      <c r="V331" s="208">
        <f>ABS(Множество_202207112140401240[[#This Row],[11]]-Множество_202207112140401240[[#This Row],[13]])</f>
        <v>4.1499999999999986</v>
      </c>
      <c r="W331" s="208">
        <f>Множество_202207112140401240[[#This Row],[15]]+Множество_202207112140401240[[#This Row],[14]]</f>
        <v>16.974999999999998</v>
      </c>
      <c r="X331" s="208">
        <f ca="1">IF(ROW()-ROW(Множество_202207112140401240[[#Headers],[17]])&gt;1,Множество_202207112140401240[[#This Row],[16]]-OFFSET(Множество_202207112140401240[[#This Row],[16]],-1,0),0)</f>
        <v>0.25833333333330089</v>
      </c>
      <c r="Y331" s="208">
        <v>-2.8250000000000002</v>
      </c>
      <c r="Z331" s="208">
        <v>-16.649999999999999</v>
      </c>
      <c r="AA331" s="208">
        <f>ABS(Множество_202207112140401240[[#This Row],[18]]-Множество_202207112140401240[[#This Row],[12]])</f>
        <v>12.824999999999999</v>
      </c>
      <c r="AB331" s="208">
        <f>ABS(Множество_202207112140401240[[#This Row],[19]]-Множество_202207112140401240[[#This Row],[13]])</f>
        <v>4.1499999999999986</v>
      </c>
      <c r="AC331" s="208">
        <f>Множество_202207112140401240[[#This Row],[20]]+Множество_202207112140401240[[#This Row],[21]]</f>
        <v>16.974999999999998</v>
      </c>
    </row>
    <row r="332" spans="6:29" x14ac:dyDescent="0.25">
      <c r="F332" s="213"/>
      <c r="K332" s="208">
        <f>Множество_202207112140401240[[#This Row],[2]]-Множество_202207112140401240[[#This Row],[4]]</f>
        <v>0</v>
      </c>
      <c r="L332" s="208">
        <f>Множество_202207112140401240[[#This Row],[3]]-Множество_202207112140401240[[#This Row],[5]]</f>
        <v>0</v>
      </c>
      <c r="M332" s="208">
        <f>Множество_202207112140401240[[#This Row],[7]]+Множество_202207112140401240[[#This Row],[6]]</f>
        <v>0</v>
      </c>
      <c r="N332" s="208" t="str">
        <f>CONCATENATE(Множество_202207112140401240[[#This Row],[2]],Множество_202207112140401240[[#This Row],[3]])</f>
        <v/>
      </c>
      <c r="O332" s="208"/>
      <c r="P332" s="208"/>
      <c r="Q332">
        <v>-2.9</v>
      </c>
      <c r="R332">
        <v>-16.6666666666667</v>
      </c>
      <c r="S332" s="208">
        <v>10</v>
      </c>
      <c r="T332" s="208">
        <v>-12.5</v>
      </c>
      <c r="U332" s="208">
        <f>ABS(Множество_202207112140401240[[#This Row],[10]]-Множество_202207112140401240[[#This Row],[12]])</f>
        <v>12.9</v>
      </c>
      <c r="V332" s="208">
        <f>ABS(Множество_202207112140401240[[#This Row],[11]]-Множество_202207112140401240[[#This Row],[13]])</f>
        <v>4.1666666666666998</v>
      </c>
      <c r="W332" s="208">
        <f>Множество_202207112140401240[[#This Row],[15]]+Множество_202207112140401240[[#This Row],[14]]</f>
        <v>17.066666666666698</v>
      </c>
      <c r="X332" s="208">
        <f ca="1">IF(ROW()-ROW(Множество_202207112140401240[[#Headers],[17]])&gt;1,Множество_202207112140401240[[#This Row],[16]]-OFFSET(Множество_202207112140401240[[#This Row],[16]],-1,0),0)</f>
        <v>9.1666666666700536E-2</v>
      </c>
      <c r="Y332" s="208">
        <v>-2.9</v>
      </c>
      <c r="Z332" s="208">
        <v>-16.6666666666667</v>
      </c>
      <c r="AA332" s="208">
        <f>ABS(Множество_202207112140401240[[#This Row],[18]]-Множество_202207112140401240[[#This Row],[12]])</f>
        <v>12.9</v>
      </c>
      <c r="AB332" s="208">
        <f>ABS(Множество_202207112140401240[[#This Row],[19]]-Множество_202207112140401240[[#This Row],[13]])</f>
        <v>4.1666666666666998</v>
      </c>
      <c r="AC332" s="208">
        <f>Множество_202207112140401240[[#This Row],[20]]+Множество_202207112140401240[[#This Row],[21]]</f>
        <v>17.066666666666698</v>
      </c>
    </row>
    <row r="333" spans="6:29" x14ac:dyDescent="0.25">
      <c r="F333" s="213"/>
      <c r="K333" s="208">
        <f>Множество_202207112140401240[[#This Row],[2]]-Множество_202207112140401240[[#This Row],[4]]</f>
        <v>0</v>
      </c>
      <c r="L333" s="208">
        <f>Множество_202207112140401240[[#This Row],[3]]-Множество_202207112140401240[[#This Row],[5]]</f>
        <v>0</v>
      </c>
      <c r="M333" s="208">
        <f>Множество_202207112140401240[[#This Row],[7]]+Множество_202207112140401240[[#This Row],[6]]</f>
        <v>0</v>
      </c>
      <c r="N333" s="208" t="str">
        <f>CONCATENATE(Множество_202207112140401240[[#This Row],[2]],Множество_202207112140401240[[#This Row],[3]])</f>
        <v/>
      </c>
      <c r="O333" s="208"/>
      <c r="P333" s="208"/>
      <c r="Q333">
        <v>-2.9750000000000001</v>
      </c>
      <c r="R333">
        <v>-17.149999999999999</v>
      </c>
      <c r="S333" s="208">
        <v>10</v>
      </c>
      <c r="T333" s="208">
        <v>-12.5</v>
      </c>
      <c r="U333" s="208">
        <f>ABS(Множество_202207112140401240[[#This Row],[10]]-Множество_202207112140401240[[#This Row],[12]])</f>
        <v>12.975</v>
      </c>
      <c r="V333" s="208">
        <f>ABS(Множество_202207112140401240[[#This Row],[11]]-Множество_202207112140401240[[#This Row],[13]])</f>
        <v>4.6499999999999986</v>
      </c>
      <c r="W333" s="208">
        <f>Множество_202207112140401240[[#This Row],[15]]+Множество_202207112140401240[[#This Row],[14]]</f>
        <v>17.625</v>
      </c>
      <c r="X333" s="208">
        <f ca="1">IF(ROW()-ROW(Множество_202207112140401240[[#Headers],[17]])&gt;1,Множество_202207112140401240[[#This Row],[16]]-OFFSET(Множество_202207112140401240[[#This Row],[16]],-1,0),0)</f>
        <v>0.5583333333333016</v>
      </c>
      <c r="Y333" s="208">
        <v>-2.9750000000000001</v>
      </c>
      <c r="Z333" s="208">
        <v>-17.149999999999999</v>
      </c>
      <c r="AA333" s="208">
        <f>ABS(Множество_202207112140401240[[#This Row],[18]]-Множество_202207112140401240[[#This Row],[12]])</f>
        <v>12.975</v>
      </c>
      <c r="AB333" s="208">
        <f>ABS(Множество_202207112140401240[[#This Row],[19]]-Множество_202207112140401240[[#This Row],[13]])</f>
        <v>4.6499999999999986</v>
      </c>
      <c r="AC333" s="208">
        <f>Множество_202207112140401240[[#This Row],[20]]+Множество_202207112140401240[[#This Row],[21]]</f>
        <v>17.625</v>
      </c>
    </row>
    <row r="334" spans="6:29" x14ac:dyDescent="0.25">
      <c r="F334" s="213"/>
      <c r="K334" s="208">
        <f>Множество_202207112140401240[[#This Row],[2]]-Множество_202207112140401240[[#This Row],[4]]</f>
        <v>0</v>
      </c>
      <c r="L334" s="208">
        <f>Множество_202207112140401240[[#This Row],[3]]-Множество_202207112140401240[[#This Row],[5]]</f>
        <v>0</v>
      </c>
      <c r="M334" s="208">
        <f>Множество_202207112140401240[[#This Row],[7]]+Множество_202207112140401240[[#This Row],[6]]</f>
        <v>0</v>
      </c>
      <c r="N334" s="208" t="str">
        <f>CONCATENATE(Множество_202207112140401240[[#This Row],[2]],Множество_202207112140401240[[#This Row],[3]])</f>
        <v/>
      </c>
      <c r="O334" s="208"/>
      <c r="P334" s="208"/>
      <c r="Q334">
        <v>-3.05</v>
      </c>
      <c r="R334">
        <v>-17.2</v>
      </c>
      <c r="S334" s="208">
        <v>10</v>
      </c>
      <c r="T334" s="208">
        <v>-12.5</v>
      </c>
      <c r="U334" s="208">
        <f>ABS(Множество_202207112140401240[[#This Row],[10]]-Множество_202207112140401240[[#This Row],[12]])</f>
        <v>13.05</v>
      </c>
      <c r="V334" s="208">
        <f>ABS(Множество_202207112140401240[[#This Row],[11]]-Множество_202207112140401240[[#This Row],[13]])</f>
        <v>4.6999999999999993</v>
      </c>
      <c r="W334" s="208">
        <f>Множество_202207112140401240[[#This Row],[15]]+Множество_202207112140401240[[#This Row],[14]]</f>
        <v>17.75</v>
      </c>
      <c r="X334" s="208">
        <f ca="1">IF(ROW()-ROW(Множество_202207112140401240[[#Headers],[17]])&gt;1,Множество_202207112140401240[[#This Row],[16]]-OFFSET(Множество_202207112140401240[[#This Row],[16]],-1,0),0)</f>
        <v>0.125</v>
      </c>
      <c r="Y334" s="208">
        <v>-3.05</v>
      </c>
      <c r="Z334" s="208">
        <v>-17.2</v>
      </c>
      <c r="AA334" s="208">
        <f>ABS(Множество_202207112140401240[[#This Row],[18]]-Множество_202207112140401240[[#This Row],[12]])</f>
        <v>13.05</v>
      </c>
      <c r="AB334" s="208">
        <f>ABS(Множество_202207112140401240[[#This Row],[19]]-Множество_202207112140401240[[#This Row],[13]])</f>
        <v>4.6999999999999993</v>
      </c>
      <c r="AC334" s="208">
        <f>Множество_202207112140401240[[#This Row],[20]]+Множество_202207112140401240[[#This Row],[21]]</f>
        <v>17.75</v>
      </c>
    </row>
    <row r="335" spans="6:29" x14ac:dyDescent="0.25">
      <c r="F335" s="213"/>
      <c r="K335" s="208">
        <f>Множество_202207112140401240[[#This Row],[2]]-Множество_202207112140401240[[#This Row],[4]]</f>
        <v>0</v>
      </c>
      <c r="L335" s="208">
        <f>Множество_202207112140401240[[#This Row],[3]]-Множество_202207112140401240[[#This Row],[5]]</f>
        <v>0</v>
      </c>
      <c r="M335" s="208">
        <f>Множество_202207112140401240[[#This Row],[7]]+Множество_202207112140401240[[#This Row],[6]]</f>
        <v>0</v>
      </c>
      <c r="N335" s="208" t="str">
        <f>CONCATENATE(Множество_202207112140401240[[#This Row],[2]],Множество_202207112140401240[[#This Row],[3]])</f>
        <v/>
      </c>
      <c r="O335" s="208"/>
      <c r="P335" s="208"/>
      <c r="Q335">
        <v>-3.125</v>
      </c>
      <c r="R335">
        <v>-17.25</v>
      </c>
      <c r="S335" s="208">
        <v>10</v>
      </c>
      <c r="T335" s="208">
        <v>-12.5</v>
      </c>
      <c r="U335" s="208">
        <f>ABS(Множество_202207112140401240[[#This Row],[10]]-Множество_202207112140401240[[#This Row],[12]])</f>
        <v>13.125</v>
      </c>
      <c r="V335" s="208">
        <f>ABS(Множество_202207112140401240[[#This Row],[11]]-Множество_202207112140401240[[#This Row],[13]])</f>
        <v>4.75</v>
      </c>
      <c r="W335" s="208">
        <f>Множество_202207112140401240[[#This Row],[15]]+Множество_202207112140401240[[#This Row],[14]]</f>
        <v>17.875</v>
      </c>
      <c r="X335" s="208">
        <f ca="1">IF(ROW()-ROW(Множество_202207112140401240[[#Headers],[17]])&gt;1,Множество_202207112140401240[[#This Row],[16]]-OFFSET(Множество_202207112140401240[[#This Row],[16]],-1,0),0)</f>
        <v>0.125</v>
      </c>
      <c r="Y335" s="208">
        <v>-3.125</v>
      </c>
      <c r="Z335" s="208">
        <v>-17.25</v>
      </c>
      <c r="AA335" s="208">
        <f>ABS(Множество_202207112140401240[[#This Row],[18]]-Множество_202207112140401240[[#This Row],[12]])</f>
        <v>13.125</v>
      </c>
      <c r="AB335" s="208">
        <f>ABS(Множество_202207112140401240[[#This Row],[19]]-Множество_202207112140401240[[#This Row],[13]])</f>
        <v>4.75</v>
      </c>
      <c r="AC335" s="208">
        <f>Множество_202207112140401240[[#This Row],[20]]+Множество_202207112140401240[[#This Row],[21]]</f>
        <v>17.875</v>
      </c>
    </row>
    <row r="336" spans="6:29" x14ac:dyDescent="0.25">
      <c r="F336" s="213"/>
      <c r="K336" s="208">
        <f>Множество_202207112140401240[[#This Row],[2]]-Множество_202207112140401240[[#This Row],[4]]</f>
        <v>0</v>
      </c>
      <c r="L336" s="208">
        <f>Множество_202207112140401240[[#This Row],[3]]-Множество_202207112140401240[[#This Row],[5]]</f>
        <v>0</v>
      </c>
      <c r="M336" s="208">
        <f>Множество_202207112140401240[[#This Row],[7]]+Множество_202207112140401240[[#This Row],[6]]</f>
        <v>0</v>
      </c>
      <c r="N336" s="208" t="str">
        <f>CONCATENATE(Множество_202207112140401240[[#This Row],[2]],Множество_202207112140401240[[#This Row],[3]])</f>
        <v/>
      </c>
      <c r="O336" s="208"/>
      <c r="P336" s="208"/>
      <c r="Q336">
        <v>-3.2</v>
      </c>
      <c r="R336">
        <v>-17.283333333333299</v>
      </c>
      <c r="S336" s="208">
        <v>10</v>
      </c>
      <c r="T336" s="208">
        <v>-12.5</v>
      </c>
      <c r="U336" s="208">
        <f>ABS(Множество_202207112140401240[[#This Row],[10]]-Множество_202207112140401240[[#This Row],[12]])</f>
        <v>13.2</v>
      </c>
      <c r="V336" s="208">
        <f>ABS(Множество_202207112140401240[[#This Row],[11]]-Множество_202207112140401240[[#This Row],[13]])</f>
        <v>4.7833333333332995</v>
      </c>
      <c r="W336" s="208">
        <f>Множество_202207112140401240[[#This Row],[15]]+Множество_202207112140401240[[#This Row],[14]]</f>
        <v>17.983333333333299</v>
      </c>
      <c r="X336" s="208">
        <f ca="1">IF(ROW()-ROW(Множество_202207112140401240[[#Headers],[17]])&gt;1,Множество_202207112140401240[[#This Row],[16]]-OFFSET(Множество_202207112140401240[[#This Row],[16]],-1,0),0)</f>
        <v>0.10833333333329875</v>
      </c>
      <c r="Y336" s="208">
        <v>-3.2</v>
      </c>
      <c r="Z336" s="208">
        <v>-17.283333333333299</v>
      </c>
      <c r="AA336" s="208">
        <f>ABS(Множество_202207112140401240[[#This Row],[18]]-Множество_202207112140401240[[#This Row],[12]])</f>
        <v>13.2</v>
      </c>
      <c r="AB336" s="208">
        <f>ABS(Множество_202207112140401240[[#This Row],[19]]-Множество_202207112140401240[[#This Row],[13]])</f>
        <v>4.7833333333332995</v>
      </c>
      <c r="AC336" s="208">
        <f>Множество_202207112140401240[[#This Row],[20]]+Множество_202207112140401240[[#This Row],[21]]</f>
        <v>17.983333333333299</v>
      </c>
    </row>
    <row r="337" spans="6:29" x14ac:dyDescent="0.25">
      <c r="F337" s="213"/>
      <c r="K337" s="208">
        <f>Множество_202207112140401240[[#This Row],[2]]-Множество_202207112140401240[[#This Row],[4]]</f>
        <v>0</v>
      </c>
      <c r="L337" s="208">
        <f>Множество_202207112140401240[[#This Row],[3]]-Множество_202207112140401240[[#This Row],[5]]</f>
        <v>0</v>
      </c>
      <c r="M337" s="208">
        <f>Множество_202207112140401240[[#This Row],[7]]+Множество_202207112140401240[[#This Row],[6]]</f>
        <v>0</v>
      </c>
      <c r="N337" s="208" t="str">
        <f>CONCATENATE(Множество_202207112140401240[[#This Row],[2]],Множество_202207112140401240[[#This Row],[3]])</f>
        <v/>
      </c>
      <c r="O337" s="208"/>
      <c r="P337" s="208"/>
      <c r="Q337">
        <v>-3.2749999999999999</v>
      </c>
      <c r="R337">
        <v>-17.3333333333333</v>
      </c>
      <c r="S337" s="208">
        <v>10</v>
      </c>
      <c r="T337" s="208">
        <v>-12.5</v>
      </c>
      <c r="U337" s="208">
        <f>ABS(Множество_202207112140401240[[#This Row],[10]]-Множество_202207112140401240[[#This Row],[12]])</f>
        <v>13.275</v>
      </c>
      <c r="V337" s="208">
        <f>ABS(Множество_202207112140401240[[#This Row],[11]]-Множество_202207112140401240[[#This Row],[13]])</f>
        <v>4.8333333333333002</v>
      </c>
      <c r="W337" s="208">
        <f>Множество_202207112140401240[[#This Row],[15]]+Множество_202207112140401240[[#This Row],[14]]</f>
        <v>18.108333333333299</v>
      </c>
      <c r="X337" s="208">
        <f ca="1">IF(ROW()-ROW(Множество_202207112140401240[[#Headers],[17]])&gt;1,Множество_202207112140401240[[#This Row],[16]]-OFFSET(Множество_202207112140401240[[#This Row],[16]],-1,0),0)</f>
        <v>0.125</v>
      </c>
      <c r="Y337" s="208">
        <v>-3.2749999999999999</v>
      </c>
      <c r="Z337" s="208">
        <v>-17.3333333333333</v>
      </c>
      <c r="AA337" s="208">
        <f>ABS(Множество_202207112140401240[[#This Row],[18]]-Множество_202207112140401240[[#This Row],[12]])</f>
        <v>13.275</v>
      </c>
      <c r="AB337" s="208">
        <f>ABS(Множество_202207112140401240[[#This Row],[19]]-Множество_202207112140401240[[#This Row],[13]])</f>
        <v>4.8333333333333002</v>
      </c>
      <c r="AC337" s="208">
        <f>Множество_202207112140401240[[#This Row],[20]]+Множество_202207112140401240[[#This Row],[21]]</f>
        <v>18.108333333333299</v>
      </c>
    </row>
    <row r="338" spans="6:29" x14ac:dyDescent="0.25">
      <c r="F338" s="213"/>
      <c r="K338" s="208">
        <f>Множество_202207112140401240[[#This Row],[2]]-Множество_202207112140401240[[#This Row],[4]]</f>
        <v>0</v>
      </c>
      <c r="L338" s="208">
        <f>Множество_202207112140401240[[#This Row],[3]]-Множество_202207112140401240[[#This Row],[5]]</f>
        <v>0</v>
      </c>
      <c r="M338" s="208">
        <f>Множество_202207112140401240[[#This Row],[7]]+Множество_202207112140401240[[#This Row],[6]]</f>
        <v>0</v>
      </c>
      <c r="N338" s="208" t="str">
        <f>CONCATENATE(Множество_202207112140401240[[#This Row],[2]],Множество_202207112140401240[[#This Row],[3]])</f>
        <v/>
      </c>
      <c r="O338" s="208"/>
      <c r="P338" s="208"/>
      <c r="Q338">
        <v>-3.35</v>
      </c>
      <c r="R338">
        <v>-17.366666666666699</v>
      </c>
      <c r="S338" s="208">
        <v>10</v>
      </c>
      <c r="T338" s="208">
        <v>-12.5</v>
      </c>
      <c r="U338" s="208">
        <f>ABS(Множество_202207112140401240[[#This Row],[10]]-Множество_202207112140401240[[#This Row],[12]])</f>
        <v>13.35</v>
      </c>
      <c r="V338" s="208">
        <f>ABS(Множество_202207112140401240[[#This Row],[11]]-Множество_202207112140401240[[#This Row],[13]])</f>
        <v>4.8666666666666991</v>
      </c>
      <c r="W338" s="208">
        <f>Множество_202207112140401240[[#This Row],[15]]+Множество_202207112140401240[[#This Row],[14]]</f>
        <v>18.216666666666697</v>
      </c>
      <c r="X338" s="208">
        <f ca="1">IF(ROW()-ROW(Множество_202207112140401240[[#Headers],[17]])&gt;1,Множество_202207112140401240[[#This Row],[16]]-OFFSET(Множество_202207112140401240[[#This Row],[16]],-1,0),0)</f>
        <v>0.10833333333339823</v>
      </c>
      <c r="Y338" s="208">
        <v>-3.35</v>
      </c>
      <c r="Z338" s="208">
        <v>-17.366666666666699</v>
      </c>
      <c r="AA338" s="208">
        <f>ABS(Множество_202207112140401240[[#This Row],[18]]-Множество_202207112140401240[[#This Row],[12]])</f>
        <v>13.35</v>
      </c>
      <c r="AB338" s="208">
        <f>ABS(Множество_202207112140401240[[#This Row],[19]]-Множество_202207112140401240[[#This Row],[13]])</f>
        <v>4.8666666666666991</v>
      </c>
      <c r="AC338" s="208">
        <f>Множество_202207112140401240[[#This Row],[20]]+Множество_202207112140401240[[#This Row],[21]]</f>
        <v>18.216666666666697</v>
      </c>
    </row>
    <row r="339" spans="6:29" x14ac:dyDescent="0.25">
      <c r="F339" s="213"/>
      <c r="K339" s="208">
        <f>Множество_202207112140401240[[#This Row],[2]]-Множество_202207112140401240[[#This Row],[4]]</f>
        <v>0</v>
      </c>
      <c r="L339" s="208">
        <f>Множество_202207112140401240[[#This Row],[3]]-Множество_202207112140401240[[#This Row],[5]]</f>
        <v>0</v>
      </c>
      <c r="M339" s="208">
        <f>Множество_202207112140401240[[#This Row],[7]]+Множество_202207112140401240[[#This Row],[6]]</f>
        <v>0</v>
      </c>
      <c r="N339" s="208" t="str">
        <f>CONCATENATE(Множество_202207112140401240[[#This Row],[2]],Множество_202207112140401240[[#This Row],[3]])</f>
        <v/>
      </c>
      <c r="O339" s="208"/>
      <c r="P339" s="208"/>
      <c r="Q339">
        <v>-3.4249999999999998</v>
      </c>
      <c r="R339">
        <v>-17.4166666666667</v>
      </c>
      <c r="S339" s="208">
        <v>10</v>
      </c>
      <c r="T339" s="208">
        <v>-12.5</v>
      </c>
      <c r="U339" s="208">
        <f>ABS(Множество_202207112140401240[[#This Row],[10]]-Множество_202207112140401240[[#This Row],[12]])</f>
        <v>13.425000000000001</v>
      </c>
      <c r="V339" s="208">
        <f>ABS(Множество_202207112140401240[[#This Row],[11]]-Множество_202207112140401240[[#This Row],[13]])</f>
        <v>4.9166666666666998</v>
      </c>
      <c r="W339" s="208">
        <f>Множество_202207112140401240[[#This Row],[15]]+Множество_202207112140401240[[#This Row],[14]]</f>
        <v>18.341666666666701</v>
      </c>
      <c r="X339" s="208">
        <f ca="1">IF(ROW()-ROW(Множество_202207112140401240[[#Headers],[17]])&gt;1,Множество_202207112140401240[[#This Row],[16]]-OFFSET(Множество_202207112140401240[[#This Row],[16]],-1,0),0)</f>
        <v>0.12500000000000355</v>
      </c>
      <c r="Y339" s="208">
        <v>-3.4249999999999998</v>
      </c>
      <c r="Z339" s="208">
        <v>-17.4166666666667</v>
      </c>
      <c r="AA339" s="208">
        <f>ABS(Множество_202207112140401240[[#This Row],[18]]-Множество_202207112140401240[[#This Row],[12]])</f>
        <v>13.425000000000001</v>
      </c>
      <c r="AB339" s="208">
        <f>ABS(Множество_202207112140401240[[#This Row],[19]]-Множество_202207112140401240[[#This Row],[13]])</f>
        <v>4.9166666666666998</v>
      </c>
      <c r="AC339" s="208">
        <f>Множество_202207112140401240[[#This Row],[20]]+Множество_202207112140401240[[#This Row],[21]]</f>
        <v>18.341666666666701</v>
      </c>
    </row>
    <row r="340" spans="6:29" x14ac:dyDescent="0.25">
      <c r="F340" s="213"/>
      <c r="K340" s="208">
        <f>Множество_202207112140401240[[#This Row],[2]]-Множество_202207112140401240[[#This Row],[4]]</f>
        <v>0</v>
      </c>
      <c r="L340" s="208">
        <f>Множество_202207112140401240[[#This Row],[3]]-Множество_202207112140401240[[#This Row],[5]]</f>
        <v>0</v>
      </c>
      <c r="M340" s="208">
        <f>Множество_202207112140401240[[#This Row],[7]]+Множество_202207112140401240[[#This Row],[6]]</f>
        <v>0</v>
      </c>
      <c r="N340" s="208" t="str">
        <f>CONCATENATE(Множество_202207112140401240[[#This Row],[2]],Множество_202207112140401240[[#This Row],[3]])</f>
        <v/>
      </c>
      <c r="O340" s="208"/>
      <c r="P340" s="208"/>
      <c r="Q340">
        <v>-3.5</v>
      </c>
      <c r="R340">
        <v>-17.466666666666701</v>
      </c>
      <c r="S340" s="208">
        <v>10</v>
      </c>
      <c r="T340" s="208">
        <v>-12.5</v>
      </c>
      <c r="U340" s="208">
        <f>ABS(Множество_202207112140401240[[#This Row],[10]]-Множество_202207112140401240[[#This Row],[12]])</f>
        <v>13.5</v>
      </c>
      <c r="V340" s="208">
        <f>ABS(Множество_202207112140401240[[#This Row],[11]]-Множество_202207112140401240[[#This Row],[13]])</f>
        <v>4.9666666666667005</v>
      </c>
      <c r="W340" s="208">
        <f>Множество_202207112140401240[[#This Row],[15]]+Множество_202207112140401240[[#This Row],[14]]</f>
        <v>18.466666666666701</v>
      </c>
      <c r="X340" s="208">
        <f ca="1">IF(ROW()-ROW(Множество_202207112140401240[[#Headers],[17]])&gt;1,Множество_202207112140401240[[#This Row],[16]]-OFFSET(Множество_202207112140401240[[#This Row],[16]],-1,0),0)</f>
        <v>0.125</v>
      </c>
      <c r="Y340" s="208">
        <v>-3.5</v>
      </c>
      <c r="Z340" s="208">
        <v>-17.466666666666701</v>
      </c>
      <c r="AA340" s="208">
        <f>ABS(Множество_202207112140401240[[#This Row],[18]]-Множество_202207112140401240[[#This Row],[12]])</f>
        <v>13.5</v>
      </c>
      <c r="AB340" s="208">
        <f>ABS(Множество_202207112140401240[[#This Row],[19]]-Множество_202207112140401240[[#This Row],[13]])</f>
        <v>4.9666666666667005</v>
      </c>
      <c r="AC340" s="208">
        <f>Множество_202207112140401240[[#This Row],[20]]+Множество_202207112140401240[[#This Row],[21]]</f>
        <v>18.466666666666701</v>
      </c>
    </row>
    <row r="341" spans="6:29" x14ac:dyDescent="0.25">
      <c r="F341" s="213"/>
      <c r="K341" s="208">
        <f>Множество_202207112140401240[[#This Row],[2]]-Множество_202207112140401240[[#This Row],[4]]</f>
        <v>0</v>
      </c>
      <c r="L341" s="208">
        <f>Множество_202207112140401240[[#This Row],[3]]-Множество_202207112140401240[[#This Row],[5]]</f>
        <v>0</v>
      </c>
      <c r="M341" s="208">
        <f>Множество_202207112140401240[[#This Row],[7]]+Множество_202207112140401240[[#This Row],[6]]</f>
        <v>0</v>
      </c>
      <c r="N341" s="208" t="str">
        <f>CONCATENATE(Множество_202207112140401240[[#This Row],[2]],Множество_202207112140401240[[#This Row],[3]])</f>
        <v/>
      </c>
      <c r="O341" s="208"/>
      <c r="P341" s="208"/>
      <c r="Q341">
        <v>-3.5750000000000002</v>
      </c>
      <c r="R341">
        <v>-17.5</v>
      </c>
      <c r="S341" s="208">
        <v>10</v>
      </c>
      <c r="T341" s="208">
        <v>-12.5</v>
      </c>
      <c r="U341" s="208">
        <f>ABS(Множество_202207112140401240[[#This Row],[10]]-Множество_202207112140401240[[#This Row],[12]])</f>
        <v>13.574999999999999</v>
      </c>
      <c r="V341" s="208">
        <f>ABS(Множество_202207112140401240[[#This Row],[11]]-Множество_202207112140401240[[#This Row],[13]])</f>
        <v>5</v>
      </c>
      <c r="W341" s="208">
        <f>Множество_202207112140401240[[#This Row],[15]]+Множество_202207112140401240[[#This Row],[14]]</f>
        <v>18.574999999999999</v>
      </c>
      <c r="X341" s="208">
        <f ca="1">IF(ROW()-ROW(Множество_202207112140401240[[#Headers],[17]])&gt;1,Множество_202207112140401240[[#This Row],[16]]-OFFSET(Множество_202207112140401240[[#This Row],[16]],-1,0),0)</f>
        <v>0.10833333333329875</v>
      </c>
      <c r="Y341" s="208">
        <v>-3.5750000000000002</v>
      </c>
      <c r="Z341" s="208">
        <v>-17.5</v>
      </c>
      <c r="AA341" s="208">
        <f>ABS(Множество_202207112140401240[[#This Row],[18]]-Множество_202207112140401240[[#This Row],[12]])</f>
        <v>13.574999999999999</v>
      </c>
      <c r="AB341" s="208">
        <f>ABS(Множество_202207112140401240[[#This Row],[19]]-Множество_202207112140401240[[#This Row],[13]])</f>
        <v>5</v>
      </c>
      <c r="AC341" s="208">
        <f>Множество_202207112140401240[[#This Row],[20]]+Множество_202207112140401240[[#This Row],[21]]</f>
        <v>18.574999999999999</v>
      </c>
    </row>
    <row r="342" spans="6:29" x14ac:dyDescent="0.25">
      <c r="F342" s="213"/>
      <c r="K342" s="208">
        <f>Множество_202207112140401240[[#This Row],[2]]-Множество_202207112140401240[[#This Row],[4]]</f>
        <v>0</v>
      </c>
      <c r="L342" s="208">
        <f>Множество_202207112140401240[[#This Row],[3]]-Множество_202207112140401240[[#This Row],[5]]</f>
        <v>0</v>
      </c>
      <c r="M342" s="208">
        <f>Множество_202207112140401240[[#This Row],[7]]+Множество_202207112140401240[[#This Row],[6]]</f>
        <v>0</v>
      </c>
      <c r="N342" s="208" t="str">
        <f>CONCATENATE(Множество_202207112140401240[[#This Row],[2]],Множество_202207112140401240[[#This Row],[3]])</f>
        <v/>
      </c>
      <c r="O342" s="208"/>
      <c r="P342" s="208"/>
      <c r="Q342">
        <v>-2.9</v>
      </c>
      <c r="R342">
        <v>-18.3333333333333</v>
      </c>
      <c r="S342" s="208">
        <v>10</v>
      </c>
      <c r="T342" s="208">
        <v>-12.5</v>
      </c>
      <c r="U342" s="208">
        <f>ABS(Множество_202207112140401240[[#This Row],[10]]-Множество_202207112140401240[[#This Row],[12]])</f>
        <v>12.9</v>
      </c>
      <c r="V342" s="208">
        <f>ABS(Множество_202207112140401240[[#This Row],[11]]-Множество_202207112140401240[[#This Row],[13]])</f>
        <v>5.8333333333333002</v>
      </c>
      <c r="W342" s="208">
        <f>Множество_202207112140401240[[#This Row],[15]]+Множество_202207112140401240[[#This Row],[14]]</f>
        <v>18.733333333333299</v>
      </c>
      <c r="X342" s="208">
        <f ca="1">IF(ROW()-ROW(Множество_202207112140401240[[#Headers],[17]])&gt;1,Множество_202207112140401240[[#This Row],[16]]-OFFSET(Множество_202207112140401240[[#This Row],[16]],-1,0),0)</f>
        <v>0.15833333333329946</v>
      </c>
      <c r="Y342" s="208">
        <v>-2.9</v>
      </c>
      <c r="Z342" s="208">
        <v>-18.3333333333333</v>
      </c>
      <c r="AA342" s="208">
        <f>ABS(Множество_202207112140401240[[#This Row],[18]]-Множество_202207112140401240[[#This Row],[12]])</f>
        <v>12.9</v>
      </c>
      <c r="AB342" s="208">
        <f>ABS(Множество_202207112140401240[[#This Row],[19]]-Множество_202207112140401240[[#This Row],[13]])</f>
        <v>5.8333333333333002</v>
      </c>
      <c r="AC342" s="208">
        <f>Множество_202207112140401240[[#This Row],[20]]+Множество_202207112140401240[[#This Row],[21]]</f>
        <v>18.733333333333299</v>
      </c>
    </row>
    <row r="343" spans="6:29" x14ac:dyDescent="0.25">
      <c r="F343" s="213"/>
      <c r="K343" s="208">
        <f>Множество_202207112140401240[[#This Row],[2]]-Множество_202207112140401240[[#This Row],[4]]</f>
        <v>0</v>
      </c>
      <c r="L343" s="208">
        <f>Множество_202207112140401240[[#This Row],[3]]-Множество_202207112140401240[[#This Row],[5]]</f>
        <v>0</v>
      </c>
      <c r="M343" s="208">
        <f>Множество_202207112140401240[[#This Row],[7]]+Множество_202207112140401240[[#This Row],[6]]</f>
        <v>0</v>
      </c>
      <c r="N343" s="208" t="str">
        <f>CONCATENATE(Множество_202207112140401240[[#This Row],[2]],Множество_202207112140401240[[#This Row],[3]])</f>
        <v/>
      </c>
      <c r="O343" s="208"/>
      <c r="P343" s="208"/>
      <c r="Q343">
        <v>-2.9750000000000001</v>
      </c>
      <c r="R343">
        <v>-18.816666666666698</v>
      </c>
      <c r="S343" s="208">
        <v>10</v>
      </c>
      <c r="T343" s="208">
        <v>-12.5</v>
      </c>
      <c r="U343" s="208">
        <f>ABS(Множество_202207112140401240[[#This Row],[10]]-Множество_202207112140401240[[#This Row],[12]])</f>
        <v>12.975</v>
      </c>
      <c r="V343" s="208">
        <f>ABS(Множество_202207112140401240[[#This Row],[11]]-Множество_202207112140401240[[#This Row],[13]])</f>
        <v>6.3166666666666984</v>
      </c>
      <c r="W343" s="208">
        <f>Множество_202207112140401240[[#This Row],[15]]+Множество_202207112140401240[[#This Row],[14]]</f>
        <v>19.2916666666667</v>
      </c>
      <c r="X343" s="208">
        <f ca="1">IF(ROW()-ROW(Множество_202207112140401240[[#Headers],[17]])&gt;1,Множество_202207112140401240[[#This Row],[16]]-OFFSET(Множество_202207112140401240[[#This Row],[16]],-1,0),0)</f>
        <v>0.55833333333340107</v>
      </c>
      <c r="Y343" s="208">
        <v>-2.9750000000000001</v>
      </c>
      <c r="Z343" s="208">
        <v>-18.816666666666698</v>
      </c>
      <c r="AA343" s="208">
        <f>ABS(Множество_202207112140401240[[#This Row],[18]]-Множество_202207112140401240[[#This Row],[12]])</f>
        <v>12.975</v>
      </c>
      <c r="AB343" s="208">
        <f>ABS(Множество_202207112140401240[[#This Row],[19]]-Множество_202207112140401240[[#This Row],[13]])</f>
        <v>6.3166666666666984</v>
      </c>
      <c r="AC343" s="208">
        <f>Множество_202207112140401240[[#This Row],[20]]+Множество_202207112140401240[[#This Row],[21]]</f>
        <v>19.2916666666667</v>
      </c>
    </row>
    <row r="344" spans="6:29" x14ac:dyDescent="0.25">
      <c r="F344" s="213"/>
      <c r="K344" s="208">
        <f>Множество_202207112140401240[[#This Row],[2]]-Множество_202207112140401240[[#This Row],[4]]</f>
        <v>0</v>
      </c>
      <c r="L344" s="208">
        <f>Множество_202207112140401240[[#This Row],[3]]-Множество_202207112140401240[[#This Row],[5]]</f>
        <v>0</v>
      </c>
      <c r="M344" s="208">
        <f>Множество_202207112140401240[[#This Row],[7]]+Множество_202207112140401240[[#This Row],[6]]</f>
        <v>0</v>
      </c>
      <c r="N344" s="208" t="str">
        <f>CONCATENATE(Множество_202207112140401240[[#This Row],[2]],Множество_202207112140401240[[#This Row],[3]])</f>
        <v/>
      </c>
      <c r="O344" s="208"/>
      <c r="P344" s="208"/>
      <c r="Q344">
        <v>-3.05</v>
      </c>
      <c r="R344">
        <v>-18.866666666666699</v>
      </c>
      <c r="S344" s="208">
        <v>10</v>
      </c>
      <c r="T344" s="208">
        <v>-12.5</v>
      </c>
      <c r="U344" s="208">
        <f>ABS(Множество_202207112140401240[[#This Row],[10]]-Множество_202207112140401240[[#This Row],[12]])</f>
        <v>13.05</v>
      </c>
      <c r="V344" s="208">
        <f>ABS(Множество_202207112140401240[[#This Row],[11]]-Множество_202207112140401240[[#This Row],[13]])</f>
        <v>6.3666666666666991</v>
      </c>
      <c r="W344" s="208">
        <f>Множество_202207112140401240[[#This Row],[15]]+Множество_202207112140401240[[#This Row],[14]]</f>
        <v>19.4166666666667</v>
      </c>
      <c r="X344" s="208">
        <f ca="1">IF(ROW()-ROW(Множество_202207112140401240[[#Headers],[17]])&gt;1,Множество_202207112140401240[[#This Row],[16]]-OFFSET(Множество_202207112140401240[[#This Row],[16]],-1,0),0)</f>
        <v>0.125</v>
      </c>
      <c r="Y344" s="208">
        <v>-3.05</v>
      </c>
      <c r="Z344" s="208">
        <v>-18.866666666666699</v>
      </c>
      <c r="AA344" s="208">
        <f>ABS(Множество_202207112140401240[[#This Row],[18]]-Множество_202207112140401240[[#This Row],[12]])</f>
        <v>13.05</v>
      </c>
      <c r="AB344" s="208">
        <f>ABS(Множество_202207112140401240[[#This Row],[19]]-Множество_202207112140401240[[#This Row],[13]])</f>
        <v>6.3666666666666991</v>
      </c>
      <c r="AC344" s="208">
        <f>Множество_202207112140401240[[#This Row],[20]]+Множество_202207112140401240[[#This Row],[21]]</f>
        <v>19.4166666666667</v>
      </c>
    </row>
    <row r="345" spans="6:29" x14ac:dyDescent="0.25">
      <c r="F345" s="213"/>
      <c r="K345" s="208">
        <f>Множество_202207112140401240[[#This Row],[2]]-Множество_202207112140401240[[#This Row],[4]]</f>
        <v>0</v>
      </c>
      <c r="L345" s="208">
        <f>Множество_202207112140401240[[#This Row],[3]]-Множество_202207112140401240[[#This Row],[5]]</f>
        <v>0</v>
      </c>
      <c r="M345" s="208">
        <f>Множество_202207112140401240[[#This Row],[7]]+Множество_202207112140401240[[#This Row],[6]]</f>
        <v>0</v>
      </c>
      <c r="N345" s="208" t="str">
        <f>CONCATENATE(Множество_202207112140401240[[#This Row],[2]],Множество_202207112140401240[[#This Row],[3]])</f>
        <v/>
      </c>
      <c r="O345" s="208"/>
      <c r="P345" s="208"/>
      <c r="Q345">
        <v>-3.125</v>
      </c>
      <c r="R345">
        <v>-18.9166666666667</v>
      </c>
      <c r="S345" s="208">
        <v>10</v>
      </c>
      <c r="T345" s="208">
        <v>-12.5</v>
      </c>
      <c r="U345" s="208">
        <f>ABS(Множество_202207112140401240[[#This Row],[10]]-Множество_202207112140401240[[#This Row],[12]])</f>
        <v>13.125</v>
      </c>
      <c r="V345" s="208">
        <f>ABS(Множество_202207112140401240[[#This Row],[11]]-Множество_202207112140401240[[#This Row],[13]])</f>
        <v>6.4166666666666998</v>
      </c>
      <c r="W345" s="208">
        <f>Множество_202207112140401240[[#This Row],[15]]+Множество_202207112140401240[[#This Row],[14]]</f>
        <v>19.5416666666667</v>
      </c>
      <c r="X345" s="208">
        <f ca="1">IF(ROW()-ROW(Множество_202207112140401240[[#Headers],[17]])&gt;1,Множество_202207112140401240[[#This Row],[16]]-OFFSET(Множество_202207112140401240[[#This Row],[16]],-1,0),0)</f>
        <v>0.125</v>
      </c>
      <c r="Y345" s="208">
        <v>-3.125</v>
      </c>
      <c r="Z345" s="208">
        <v>-18.9166666666667</v>
      </c>
      <c r="AA345" s="208">
        <f>ABS(Множество_202207112140401240[[#This Row],[18]]-Множество_202207112140401240[[#This Row],[12]])</f>
        <v>13.125</v>
      </c>
      <c r="AB345" s="208">
        <f>ABS(Множество_202207112140401240[[#This Row],[19]]-Множество_202207112140401240[[#This Row],[13]])</f>
        <v>6.4166666666666998</v>
      </c>
      <c r="AC345" s="208">
        <f>Множество_202207112140401240[[#This Row],[20]]+Множество_202207112140401240[[#This Row],[21]]</f>
        <v>19.5416666666667</v>
      </c>
    </row>
    <row r="346" spans="6:29" x14ac:dyDescent="0.25">
      <c r="F346" s="213"/>
      <c r="K346" s="208">
        <f>Множество_202207112140401240[[#This Row],[2]]-Множество_202207112140401240[[#This Row],[4]]</f>
        <v>0</v>
      </c>
      <c r="L346" s="208">
        <f>Множество_202207112140401240[[#This Row],[3]]-Множество_202207112140401240[[#This Row],[5]]</f>
        <v>0</v>
      </c>
      <c r="M346" s="208">
        <f>Множество_202207112140401240[[#This Row],[7]]+Множество_202207112140401240[[#This Row],[6]]</f>
        <v>0</v>
      </c>
      <c r="N346" s="208" t="str">
        <f>CONCATENATE(Множество_202207112140401240[[#This Row],[2]],Множество_202207112140401240[[#This Row],[3]])</f>
        <v/>
      </c>
      <c r="O346" s="208"/>
      <c r="P346" s="208"/>
      <c r="Q346">
        <v>-3.2</v>
      </c>
      <c r="R346">
        <v>-18.95</v>
      </c>
      <c r="S346" s="208">
        <v>10</v>
      </c>
      <c r="T346" s="208">
        <v>-12.5</v>
      </c>
      <c r="U346" s="208">
        <f>ABS(Множество_202207112140401240[[#This Row],[10]]-Множество_202207112140401240[[#This Row],[12]])</f>
        <v>13.2</v>
      </c>
      <c r="V346" s="208">
        <f>ABS(Множество_202207112140401240[[#This Row],[11]]-Множество_202207112140401240[[#This Row],[13]])</f>
        <v>6.4499999999999993</v>
      </c>
      <c r="W346" s="208">
        <f>Множество_202207112140401240[[#This Row],[15]]+Множество_202207112140401240[[#This Row],[14]]</f>
        <v>19.649999999999999</v>
      </c>
      <c r="X346" s="208">
        <f ca="1">IF(ROW()-ROW(Множество_202207112140401240[[#Headers],[17]])&gt;1,Множество_202207112140401240[[#This Row],[16]]-OFFSET(Множество_202207112140401240[[#This Row],[16]],-1,0),0)</f>
        <v>0.10833333333329875</v>
      </c>
      <c r="Y346" s="208">
        <v>-3.2</v>
      </c>
      <c r="Z346" s="208">
        <v>-18.95</v>
      </c>
      <c r="AA346" s="208">
        <f>ABS(Множество_202207112140401240[[#This Row],[18]]-Множество_202207112140401240[[#This Row],[12]])</f>
        <v>13.2</v>
      </c>
      <c r="AB346" s="208">
        <f>ABS(Множество_202207112140401240[[#This Row],[19]]-Множество_202207112140401240[[#This Row],[13]])</f>
        <v>6.4499999999999993</v>
      </c>
      <c r="AC346" s="208">
        <f>Множество_202207112140401240[[#This Row],[20]]+Множество_202207112140401240[[#This Row],[21]]</f>
        <v>19.649999999999999</v>
      </c>
    </row>
    <row r="347" spans="6:29" x14ac:dyDescent="0.25">
      <c r="F347" s="213"/>
      <c r="K347" s="208">
        <f>Множество_202207112140401240[[#This Row],[2]]-Множество_202207112140401240[[#This Row],[4]]</f>
        <v>0</v>
      </c>
      <c r="L347" s="208">
        <f>Множество_202207112140401240[[#This Row],[3]]-Множество_202207112140401240[[#This Row],[5]]</f>
        <v>0</v>
      </c>
      <c r="M347" s="208">
        <f>Множество_202207112140401240[[#This Row],[7]]+Множество_202207112140401240[[#This Row],[6]]</f>
        <v>0</v>
      </c>
      <c r="N347" s="208" t="str">
        <f>CONCATENATE(Множество_202207112140401240[[#This Row],[2]],Множество_202207112140401240[[#This Row],[3]])</f>
        <v/>
      </c>
      <c r="O347" s="208"/>
      <c r="P347" s="208"/>
      <c r="Q347">
        <v>-3.2749999999999999</v>
      </c>
      <c r="R347">
        <v>-19</v>
      </c>
      <c r="S347" s="208">
        <v>10</v>
      </c>
      <c r="T347" s="208">
        <v>-12.5</v>
      </c>
      <c r="U347" s="208">
        <f>ABS(Множество_202207112140401240[[#This Row],[10]]-Множество_202207112140401240[[#This Row],[12]])</f>
        <v>13.275</v>
      </c>
      <c r="V347" s="208">
        <f>ABS(Множество_202207112140401240[[#This Row],[11]]-Множество_202207112140401240[[#This Row],[13]])</f>
        <v>6.5</v>
      </c>
      <c r="W347" s="208">
        <f>Множество_202207112140401240[[#This Row],[15]]+Множество_202207112140401240[[#This Row],[14]]</f>
        <v>19.774999999999999</v>
      </c>
      <c r="X347" s="208">
        <f ca="1">IF(ROW()-ROW(Множество_202207112140401240[[#Headers],[17]])&gt;1,Множество_202207112140401240[[#This Row],[16]]-OFFSET(Множество_202207112140401240[[#This Row],[16]],-1,0),0)</f>
        <v>0.125</v>
      </c>
      <c r="Y347" s="208">
        <v>-3.2749999999999999</v>
      </c>
      <c r="Z347" s="208">
        <v>-19</v>
      </c>
      <c r="AA347" s="208">
        <f>ABS(Множество_202207112140401240[[#This Row],[18]]-Множество_202207112140401240[[#This Row],[12]])</f>
        <v>13.275</v>
      </c>
      <c r="AB347" s="208">
        <f>ABS(Множество_202207112140401240[[#This Row],[19]]-Множество_202207112140401240[[#This Row],[13]])</f>
        <v>6.5</v>
      </c>
      <c r="AC347" s="208">
        <f>Множество_202207112140401240[[#This Row],[20]]+Множество_202207112140401240[[#This Row],[21]]</f>
        <v>19.774999999999999</v>
      </c>
    </row>
    <row r="348" spans="6:29" x14ac:dyDescent="0.25">
      <c r="F348" s="213"/>
      <c r="K348" s="208">
        <f>Множество_202207112140401240[[#This Row],[2]]-Множество_202207112140401240[[#This Row],[4]]</f>
        <v>0</v>
      </c>
      <c r="L348" s="208">
        <f>Множество_202207112140401240[[#This Row],[3]]-Множество_202207112140401240[[#This Row],[5]]</f>
        <v>0</v>
      </c>
      <c r="M348" s="208">
        <f>Множество_202207112140401240[[#This Row],[7]]+Множество_202207112140401240[[#This Row],[6]]</f>
        <v>0</v>
      </c>
      <c r="N348" s="208" t="str">
        <f>CONCATENATE(Множество_202207112140401240[[#This Row],[2]],Множество_202207112140401240[[#This Row],[3]])</f>
        <v/>
      </c>
      <c r="O348" s="208"/>
      <c r="P348" s="208"/>
      <c r="Q348">
        <v>-3.35</v>
      </c>
      <c r="R348">
        <v>-19.033333333333299</v>
      </c>
      <c r="S348" s="208">
        <v>10</v>
      </c>
      <c r="T348" s="208">
        <v>-12.5</v>
      </c>
      <c r="U348" s="208">
        <f>ABS(Множество_202207112140401240[[#This Row],[10]]-Множество_202207112140401240[[#This Row],[12]])</f>
        <v>13.35</v>
      </c>
      <c r="V348" s="208">
        <f>ABS(Множество_202207112140401240[[#This Row],[11]]-Множество_202207112140401240[[#This Row],[13]])</f>
        <v>6.5333333333332995</v>
      </c>
      <c r="W348" s="208">
        <f>Множество_202207112140401240[[#This Row],[15]]+Множество_202207112140401240[[#This Row],[14]]</f>
        <v>19.883333333333297</v>
      </c>
      <c r="X348" s="208">
        <f ca="1">IF(ROW()-ROW(Множество_202207112140401240[[#Headers],[17]])&gt;1,Множество_202207112140401240[[#This Row],[16]]-OFFSET(Множество_202207112140401240[[#This Row],[16]],-1,0),0)</f>
        <v>0.10833333333329875</v>
      </c>
      <c r="Y348" s="208">
        <v>-3.35</v>
      </c>
      <c r="Z348" s="208">
        <v>-19.033333333333299</v>
      </c>
      <c r="AA348" s="208">
        <f>ABS(Множество_202207112140401240[[#This Row],[18]]-Множество_202207112140401240[[#This Row],[12]])</f>
        <v>13.35</v>
      </c>
      <c r="AB348" s="208">
        <f>ABS(Множество_202207112140401240[[#This Row],[19]]-Множество_202207112140401240[[#This Row],[13]])</f>
        <v>6.5333333333332995</v>
      </c>
      <c r="AC348" s="208">
        <f>Множество_202207112140401240[[#This Row],[20]]+Множество_202207112140401240[[#This Row],[21]]</f>
        <v>19.883333333333297</v>
      </c>
    </row>
    <row r="349" spans="6:29" x14ac:dyDescent="0.25">
      <c r="F349" s="213"/>
      <c r="K349" s="208">
        <f>Множество_202207112140401240[[#This Row],[2]]-Множество_202207112140401240[[#This Row],[4]]</f>
        <v>0</v>
      </c>
      <c r="L349" s="208">
        <f>Множество_202207112140401240[[#This Row],[3]]-Множество_202207112140401240[[#This Row],[5]]</f>
        <v>0</v>
      </c>
      <c r="M349" s="208">
        <f>Множество_202207112140401240[[#This Row],[7]]+Множество_202207112140401240[[#This Row],[6]]</f>
        <v>0</v>
      </c>
      <c r="N349" s="208" t="str">
        <f>CONCATENATE(Множество_202207112140401240[[#This Row],[2]],Множество_202207112140401240[[#This Row],[3]])</f>
        <v/>
      </c>
      <c r="O349" s="208"/>
      <c r="P349" s="208"/>
      <c r="Q349">
        <v>-3.4249999999999998</v>
      </c>
      <c r="R349">
        <v>-19.0833333333333</v>
      </c>
      <c r="S349" s="208">
        <v>10</v>
      </c>
      <c r="T349" s="208">
        <v>-12.5</v>
      </c>
      <c r="U349" s="208">
        <f>ABS(Множество_202207112140401240[[#This Row],[10]]-Множество_202207112140401240[[#This Row],[12]])</f>
        <v>13.425000000000001</v>
      </c>
      <c r="V349" s="208">
        <f>ABS(Множество_202207112140401240[[#This Row],[11]]-Множество_202207112140401240[[#This Row],[13]])</f>
        <v>6.5833333333333002</v>
      </c>
      <c r="W349" s="208">
        <f>Множество_202207112140401240[[#This Row],[15]]+Множество_202207112140401240[[#This Row],[14]]</f>
        <v>20.008333333333301</v>
      </c>
      <c r="X349" s="208">
        <f ca="1">IF(ROW()-ROW(Множество_202207112140401240[[#Headers],[17]])&gt;1,Множество_202207112140401240[[#This Row],[16]]-OFFSET(Множество_202207112140401240[[#This Row],[16]],-1,0),0)</f>
        <v>0.12500000000000355</v>
      </c>
      <c r="Y349" s="208">
        <v>-3.4249999999999998</v>
      </c>
      <c r="Z349" s="208">
        <v>-19.0833333333333</v>
      </c>
      <c r="AA349" s="208">
        <f>ABS(Множество_202207112140401240[[#This Row],[18]]-Множество_202207112140401240[[#This Row],[12]])</f>
        <v>13.425000000000001</v>
      </c>
      <c r="AB349" s="208">
        <f>ABS(Множество_202207112140401240[[#This Row],[19]]-Множество_202207112140401240[[#This Row],[13]])</f>
        <v>6.5833333333333002</v>
      </c>
      <c r="AC349" s="208">
        <f>Множество_202207112140401240[[#This Row],[20]]+Множество_202207112140401240[[#This Row],[21]]</f>
        <v>20.008333333333301</v>
      </c>
    </row>
    <row r="350" spans="6:29" x14ac:dyDescent="0.25">
      <c r="F350" s="213"/>
      <c r="K350" s="208">
        <f>Множество_202207112140401240[[#This Row],[2]]-Множество_202207112140401240[[#This Row],[4]]</f>
        <v>0</v>
      </c>
      <c r="L350" s="208">
        <f>Множество_202207112140401240[[#This Row],[3]]-Множество_202207112140401240[[#This Row],[5]]</f>
        <v>0</v>
      </c>
      <c r="M350" s="208">
        <f>Множество_202207112140401240[[#This Row],[7]]+Множество_202207112140401240[[#This Row],[6]]</f>
        <v>0</v>
      </c>
      <c r="N350" s="208" t="str">
        <f>CONCATENATE(Множество_202207112140401240[[#This Row],[2]],Множество_202207112140401240[[#This Row],[3]])</f>
        <v/>
      </c>
      <c r="O350" s="208"/>
      <c r="P350" s="208"/>
      <c r="Q350">
        <v>-3.5</v>
      </c>
      <c r="R350">
        <v>-19.133333333333301</v>
      </c>
      <c r="S350" s="208">
        <v>10</v>
      </c>
      <c r="T350" s="208">
        <v>-12.5</v>
      </c>
      <c r="U350" s="208">
        <f>ABS(Множество_202207112140401240[[#This Row],[10]]-Множество_202207112140401240[[#This Row],[12]])</f>
        <v>13.5</v>
      </c>
      <c r="V350" s="208">
        <f>ABS(Множество_202207112140401240[[#This Row],[11]]-Множество_202207112140401240[[#This Row],[13]])</f>
        <v>6.6333333333333009</v>
      </c>
      <c r="W350" s="208">
        <f>Множество_202207112140401240[[#This Row],[15]]+Множество_202207112140401240[[#This Row],[14]]</f>
        <v>20.133333333333301</v>
      </c>
      <c r="X350" s="208">
        <f ca="1">IF(ROW()-ROW(Множество_202207112140401240[[#Headers],[17]])&gt;1,Множество_202207112140401240[[#This Row],[16]]-OFFSET(Множество_202207112140401240[[#This Row],[16]],-1,0),0)</f>
        <v>0.125</v>
      </c>
      <c r="Y350" s="208">
        <v>-3.5</v>
      </c>
      <c r="Z350" s="208">
        <v>-19.133333333333301</v>
      </c>
      <c r="AA350" s="208">
        <f>ABS(Множество_202207112140401240[[#This Row],[18]]-Множество_202207112140401240[[#This Row],[12]])</f>
        <v>13.5</v>
      </c>
      <c r="AB350" s="208">
        <f>ABS(Множество_202207112140401240[[#This Row],[19]]-Множество_202207112140401240[[#This Row],[13]])</f>
        <v>6.6333333333333009</v>
      </c>
      <c r="AC350" s="208">
        <f>Множество_202207112140401240[[#This Row],[20]]+Множество_202207112140401240[[#This Row],[21]]</f>
        <v>20.133333333333301</v>
      </c>
    </row>
  </sheetData>
  <phoneticPr fontId="31" type="noConversion"/>
  <conditionalFormatting sqref="N2:P350">
    <cfRule type="duplicateValues" dxfId="1" priority="1148"/>
  </conditionalFormatting>
  <conditionalFormatting sqref="W2:W350">
    <cfRule type="dataBar" priority="1149">
      <dataBar>
        <cfvo type="min"/>
        <cfvo type="max"/>
        <color rgb="FF638EC6"/>
      </dataBar>
      <extLst>
        <ext xmlns:x14="http://schemas.microsoft.com/office/spreadsheetml/2009/9/main" uri="{B025F937-C7B1-47D3-B67F-A62EFF666E3E}">
          <x14:id>{B40A518D-ED64-4575-AFFD-0649EF3F154F}</x14:id>
        </ext>
      </extLst>
    </cfRule>
  </conditionalFormatting>
  <conditionalFormatting sqref="AC2:AC350">
    <cfRule type="dataBar" priority="2">
      <dataBar>
        <cfvo type="min"/>
        <cfvo type="max"/>
        <color rgb="FF638EC6"/>
      </dataBar>
      <extLst>
        <ext xmlns:x14="http://schemas.microsoft.com/office/spreadsheetml/2009/9/main" uri="{B025F937-C7B1-47D3-B67F-A62EFF666E3E}">
          <x14:id>{63251B80-16CD-499F-B29F-0E51CA0303CD}</x14:id>
        </ext>
      </extLst>
    </cfRule>
  </conditionalFormatting>
  <conditionalFormatting sqref="X2:X350">
    <cfRule type="iconSet" priority="1">
      <iconSet>
        <cfvo type="percent" val="0"/>
        <cfvo type="num" val="0"/>
        <cfvo type="num" val="0" gte="0"/>
      </iconSet>
    </cfRule>
  </conditionalFormatting>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40A518D-ED64-4575-AFFD-0649EF3F154F}">
            <x14:dataBar minLength="0" maxLength="100" border="1" negativeBarBorderColorSameAsPositive="0">
              <x14:cfvo type="autoMin"/>
              <x14:cfvo type="autoMax"/>
              <x14:borderColor rgb="FF638EC6"/>
              <x14:negativeFillColor rgb="FFFF0000"/>
              <x14:negativeBorderColor rgb="FFFF0000"/>
              <x14:axisColor rgb="FF000000"/>
            </x14:dataBar>
          </x14:cfRule>
          <xm:sqref>W2:W350</xm:sqref>
        </x14:conditionalFormatting>
        <x14:conditionalFormatting xmlns:xm="http://schemas.microsoft.com/office/excel/2006/main">
          <x14:cfRule type="dataBar" id="{63251B80-16CD-499F-B29F-0E51CA0303CD}">
            <x14:dataBar minLength="0" maxLength="100" gradient="0">
              <x14:cfvo type="autoMin"/>
              <x14:cfvo type="autoMax"/>
              <x14:negativeFillColor rgb="FFFF0000"/>
              <x14:axisColor rgb="FF000000"/>
            </x14:dataBar>
          </x14:cfRule>
          <xm:sqref>AC2:AC350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69EB6-310A-4810-93C9-F605E2014F66}">
  <sheetPr codeName="Лист22"/>
  <dimension ref="A1:O1001"/>
  <sheetViews>
    <sheetView workbookViewId="0">
      <selection activeCell="E21" sqref="E21"/>
    </sheetView>
  </sheetViews>
  <sheetFormatPr defaultRowHeight="15" x14ac:dyDescent="0.25"/>
  <cols>
    <col min="1" max="1" width="11.85546875" customWidth="1"/>
  </cols>
  <sheetData>
    <row r="1" spans="1:15" x14ac:dyDescent="0.25">
      <c r="A1" t="s">
        <v>395</v>
      </c>
      <c r="B1" t="s">
        <v>411</v>
      </c>
      <c r="C1" t="s">
        <v>619</v>
      </c>
      <c r="D1" t="s">
        <v>417</v>
      </c>
      <c r="E1" t="s">
        <v>620</v>
      </c>
      <c r="F1" s="213" t="s">
        <v>100</v>
      </c>
      <c r="G1" t="s">
        <v>101</v>
      </c>
      <c r="H1" t="s">
        <v>418</v>
      </c>
      <c r="I1" t="s">
        <v>419</v>
      </c>
      <c r="J1" t="s">
        <v>420</v>
      </c>
      <c r="K1" t="s">
        <v>421</v>
      </c>
      <c r="L1" t="s">
        <v>422</v>
      </c>
      <c r="M1" t="s">
        <v>423</v>
      </c>
      <c r="N1" t="s">
        <v>424</v>
      </c>
      <c r="O1" t="s">
        <v>425</v>
      </c>
    </row>
    <row r="2" spans="1:15" x14ac:dyDescent="0.25">
      <c r="A2" t="s">
        <v>100</v>
      </c>
      <c r="B2" t="s">
        <v>100</v>
      </c>
      <c r="C2" t="s">
        <v>621</v>
      </c>
      <c r="D2" t="s">
        <v>618</v>
      </c>
      <c r="E2" t="s">
        <v>622</v>
      </c>
      <c r="F2" s="213" t="s">
        <v>56</v>
      </c>
      <c r="G2" t="s">
        <v>66</v>
      </c>
      <c r="H2" t="s">
        <v>84</v>
      </c>
      <c r="I2" t="s">
        <v>623</v>
      </c>
      <c r="J2" t="s">
        <v>56</v>
      </c>
      <c r="K2" t="s">
        <v>29</v>
      </c>
      <c r="L2" t="s">
        <v>624</v>
      </c>
      <c r="M2" t="s">
        <v>100</v>
      </c>
      <c r="N2" t="s">
        <v>55</v>
      </c>
      <c r="O2" t="s">
        <v>625</v>
      </c>
    </row>
    <row r="3" spans="1:15" x14ac:dyDescent="0.25">
      <c r="A3" t="s">
        <v>101</v>
      </c>
      <c r="B3" t="s">
        <v>100</v>
      </c>
      <c r="C3" t="s">
        <v>621</v>
      </c>
      <c r="D3" t="s">
        <v>618</v>
      </c>
      <c r="E3" t="s">
        <v>622</v>
      </c>
      <c r="F3" s="213" t="s">
        <v>56</v>
      </c>
      <c r="G3" t="s">
        <v>66</v>
      </c>
      <c r="H3" t="s">
        <v>84</v>
      </c>
      <c r="I3" t="s">
        <v>623</v>
      </c>
      <c r="J3" t="s">
        <v>56</v>
      </c>
      <c r="K3" t="s">
        <v>27</v>
      </c>
      <c r="L3" t="s">
        <v>626</v>
      </c>
      <c r="M3" t="s">
        <v>100</v>
      </c>
      <c r="N3" t="s">
        <v>27</v>
      </c>
      <c r="O3" t="s">
        <v>627</v>
      </c>
    </row>
    <row r="4" spans="1:15" x14ac:dyDescent="0.25">
      <c r="A4" t="s">
        <v>418</v>
      </c>
      <c r="B4" t="s">
        <v>100</v>
      </c>
      <c r="C4" t="s">
        <v>621</v>
      </c>
      <c r="D4" t="s">
        <v>618</v>
      </c>
      <c r="E4" t="s">
        <v>622</v>
      </c>
      <c r="F4" s="213" t="s">
        <v>56</v>
      </c>
      <c r="G4" t="s">
        <v>66</v>
      </c>
      <c r="H4" t="s">
        <v>84</v>
      </c>
      <c r="I4" t="s">
        <v>623</v>
      </c>
      <c r="J4" t="s">
        <v>56</v>
      </c>
      <c r="K4" t="s">
        <v>25</v>
      </c>
      <c r="L4" t="s">
        <v>628</v>
      </c>
      <c r="M4" t="s">
        <v>100</v>
      </c>
      <c r="N4" t="s">
        <v>50</v>
      </c>
      <c r="O4" t="s">
        <v>629</v>
      </c>
    </row>
    <row r="5" spans="1:15" x14ac:dyDescent="0.25">
      <c r="A5" t="s">
        <v>419</v>
      </c>
      <c r="B5" t="s">
        <v>100</v>
      </c>
      <c r="C5" t="s">
        <v>621</v>
      </c>
      <c r="D5" t="s">
        <v>618</v>
      </c>
      <c r="E5" t="s">
        <v>622</v>
      </c>
      <c r="F5" s="213" t="s">
        <v>56</v>
      </c>
      <c r="G5" t="s">
        <v>66</v>
      </c>
      <c r="H5" t="s">
        <v>84</v>
      </c>
      <c r="I5" t="s">
        <v>623</v>
      </c>
      <c r="J5" t="s">
        <v>56</v>
      </c>
      <c r="K5" t="s">
        <v>22</v>
      </c>
      <c r="L5" t="s">
        <v>630</v>
      </c>
      <c r="M5" t="s">
        <v>100</v>
      </c>
      <c r="N5" t="s">
        <v>73</v>
      </c>
      <c r="O5" t="s">
        <v>46</v>
      </c>
    </row>
    <row r="6" spans="1:15" x14ac:dyDescent="0.25">
      <c r="A6" t="s">
        <v>420</v>
      </c>
      <c r="B6" t="s">
        <v>100</v>
      </c>
      <c r="C6" t="s">
        <v>621</v>
      </c>
      <c r="D6" t="s">
        <v>618</v>
      </c>
      <c r="E6" t="s">
        <v>622</v>
      </c>
      <c r="F6" s="213" t="s">
        <v>56</v>
      </c>
      <c r="G6" t="s">
        <v>66</v>
      </c>
      <c r="H6" t="s">
        <v>84</v>
      </c>
      <c r="I6" t="s">
        <v>623</v>
      </c>
      <c r="J6" t="s">
        <v>56</v>
      </c>
      <c r="K6" t="s">
        <v>19</v>
      </c>
      <c r="L6" t="s">
        <v>625</v>
      </c>
      <c r="M6" t="s">
        <v>100</v>
      </c>
      <c r="N6" t="s">
        <v>68</v>
      </c>
      <c r="O6" t="s">
        <v>631</v>
      </c>
    </row>
    <row r="7" spans="1:15" x14ac:dyDescent="0.25">
      <c r="A7" t="s">
        <v>421</v>
      </c>
      <c r="B7" t="s">
        <v>100</v>
      </c>
      <c r="C7" t="s">
        <v>621</v>
      </c>
      <c r="D7" t="s">
        <v>618</v>
      </c>
      <c r="E7" t="s">
        <v>622</v>
      </c>
      <c r="F7" s="213" t="s">
        <v>56</v>
      </c>
      <c r="G7" t="s">
        <v>66</v>
      </c>
      <c r="H7" t="s">
        <v>84</v>
      </c>
      <c r="I7" t="s">
        <v>623</v>
      </c>
      <c r="J7" t="s">
        <v>56</v>
      </c>
      <c r="K7" t="s">
        <v>15</v>
      </c>
      <c r="L7" t="s">
        <v>632</v>
      </c>
      <c r="M7" t="s">
        <v>100</v>
      </c>
      <c r="N7" t="s">
        <v>5</v>
      </c>
      <c r="O7" t="s">
        <v>633</v>
      </c>
    </row>
    <row r="8" spans="1:15" x14ac:dyDescent="0.25">
      <c r="A8" t="s">
        <v>422</v>
      </c>
      <c r="B8" t="s">
        <v>100</v>
      </c>
      <c r="C8" t="s">
        <v>621</v>
      </c>
      <c r="D8" t="s">
        <v>618</v>
      </c>
      <c r="E8" t="s">
        <v>622</v>
      </c>
      <c r="F8" s="213" t="s">
        <v>56</v>
      </c>
      <c r="G8" t="s">
        <v>66</v>
      </c>
      <c r="H8" t="s">
        <v>84</v>
      </c>
      <c r="I8" t="s">
        <v>623</v>
      </c>
      <c r="J8" t="s">
        <v>56</v>
      </c>
      <c r="K8" t="s">
        <v>12</v>
      </c>
      <c r="L8" t="s">
        <v>629</v>
      </c>
      <c r="M8" t="s">
        <v>100</v>
      </c>
      <c r="N8" t="s">
        <v>3</v>
      </c>
      <c r="O8" t="s">
        <v>634</v>
      </c>
    </row>
    <row r="9" spans="1:15" x14ac:dyDescent="0.25">
      <c r="A9" t="s">
        <v>423</v>
      </c>
      <c r="B9" t="s">
        <v>100</v>
      </c>
      <c r="C9" t="s">
        <v>621</v>
      </c>
      <c r="D9" t="s">
        <v>618</v>
      </c>
      <c r="E9" t="s">
        <v>622</v>
      </c>
      <c r="F9" s="213" t="s">
        <v>56</v>
      </c>
      <c r="G9" t="s">
        <v>66</v>
      </c>
      <c r="H9" t="s">
        <v>84</v>
      </c>
      <c r="I9" t="s">
        <v>623</v>
      </c>
      <c r="J9" t="s">
        <v>56</v>
      </c>
      <c r="K9" t="s">
        <v>10</v>
      </c>
      <c r="L9" t="s">
        <v>635</v>
      </c>
      <c r="M9" t="s">
        <v>100</v>
      </c>
      <c r="N9" t="s">
        <v>1</v>
      </c>
      <c r="O9" t="s">
        <v>636</v>
      </c>
    </row>
    <row r="10" spans="1:15" x14ac:dyDescent="0.25">
      <c r="A10" t="s">
        <v>424</v>
      </c>
      <c r="B10" t="s">
        <v>100</v>
      </c>
      <c r="C10" t="s">
        <v>621</v>
      </c>
      <c r="D10" t="s">
        <v>618</v>
      </c>
      <c r="E10" t="s">
        <v>622</v>
      </c>
      <c r="F10" s="213" t="s">
        <v>56</v>
      </c>
      <c r="G10" t="s">
        <v>66</v>
      </c>
      <c r="H10" t="s">
        <v>84</v>
      </c>
      <c r="I10" t="s">
        <v>623</v>
      </c>
      <c r="J10" t="s">
        <v>56</v>
      </c>
      <c r="K10" t="s">
        <v>8</v>
      </c>
      <c r="L10" t="s">
        <v>637</v>
      </c>
      <c r="M10" t="s">
        <v>100</v>
      </c>
      <c r="N10" t="s">
        <v>17</v>
      </c>
      <c r="O10" t="s">
        <v>638</v>
      </c>
    </row>
    <row r="11" spans="1:15" x14ac:dyDescent="0.25">
      <c r="A11" t="s">
        <v>425</v>
      </c>
      <c r="B11" t="s">
        <v>100</v>
      </c>
      <c r="C11" t="s">
        <v>621</v>
      </c>
      <c r="D11" t="s">
        <v>618</v>
      </c>
      <c r="E11" t="s">
        <v>622</v>
      </c>
      <c r="F11" s="213" t="s">
        <v>56</v>
      </c>
      <c r="G11" t="s">
        <v>66</v>
      </c>
      <c r="H11" t="s">
        <v>84</v>
      </c>
      <c r="I11" t="s">
        <v>623</v>
      </c>
      <c r="J11" t="s">
        <v>56</v>
      </c>
      <c r="K11" t="s">
        <v>6</v>
      </c>
      <c r="L11" t="s">
        <v>639</v>
      </c>
      <c r="M11" t="s">
        <v>100</v>
      </c>
      <c r="N11" t="s">
        <v>9</v>
      </c>
      <c r="O11" t="s">
        <v>640</v>
      </c>
    </row>
    <row r="12" spans="1:15" x14ac:dyDescent="0.25">
      <c r="A12" t="s">
        <v>426</v>
      </c>
      <c r="B12" t="s">
        <v>100</v>
      </c>
      <c r="C12" t="s">
        <v>621</v>
      </c>
      <c r="D12" t="s">
        <v>618</v>
      </c>
      <c r="E12" t="s">
        <v>622</v>
      </c>
      <c r="F12" s="213" t="s">
        <v>56</v>
      </c>
      <c r="G12" t="s">
        <v>66</v>
      </c>
      <c r="H12" t="s">
        <v>84</v>
      </c>
      <c r="I12" t="s">
        <v>623</v>
      </c>
      <c r="J12" t="s">
        <v>56</v>
      </c>
      <c r="K12" t="s">
        <v>27</v>
      </c>
      <c r="L12" t="s">
        <v>626</v>
      </c>
      <c r="M12" t="s">
        <v>27</v>
      </c>
      <c r="N12" t="s">
        <v>29</v>
      </c>
      <c r="O12" t="s">
        <v>418</v>
      </c>
    </row>
    <row r="13" spans="1:15" x14ac:dyDescent="0.25">
      <c r="A13" t="s">
        <v>427</v>
      </c>
      <c r="B13" t="s">
        <v>100</v>
      </c>
      <c r="C13" t="s">
        <v>621</v>
      </c>
      <c r="D13" t="s">
        <v>618</v>
      </c>
      <c r="E13" t="s">
        <v>622</v>
      </c>
      <c r="F13" s="213" t="s">
        <v>56</v>
      </c>
      <c r="G13" t="s">
        <v>66</v>
      </c>
      <c r="H13" t="s">
        <v>84</v>
      </c>
      <c r="I13" t="s">
        <v>623</v>
      </c>
      <c r="J13" t="s">
        <v>56</v>
      </c>
      <c r="K13" t="s">
        <v>25</v>
      </c>
      <c r="L13" t="s">
        <v>628</v>
      </c>
      <c r="M13" t="s">
        <v>27</v>
      </c>
      <c r="N13" t="s">
        <v>24</v>
      </c>
      <c r="O13" t="s">
        <v>626</v>
      </c>
    </row>
    <row r="14" spans="1:15" x14ac:dyDescent="0.25">
      <c r="A14" t="s">
        <v>428</v>
      </c>
      <c r="B14" t="s">
        <v>100</v>
      </c>
      <c r="C14" t="s">
        <v>621</v>
      </c>
      <c r="D14" t="s">
        <v>618</v>
      </c>
      <c r="E14" t="s">
        <v>622</v>
      </c>
      <c r="F14" s="213" t="s">
        <v>56</v>
      </c>
      <c r="G14" t="s">
        <v>66</v>
      </c>
      <c r="H14" t="s">
        <v>84</v>
      </c>
      <c r="I14" t="s">
        <v>623</v>
      </c>
      <c r="J14" t="s">
        <v>56</v>
      </c>
      <c r="K14" t="s">
        <v>22</v>
      </c>
      <c r="L14" t="s">
        <v>630</v>
      </c>
      <c r="M14" t="s">
        <v>27</v>
      </c>
      <c r="N14" t="s">
        <v>21</v>
      </c>
      <c r="O14" t="s">
        <v>641</v>
      </c>
    </row>
    <row r="15" spans="1:15" x14ac:dyDescent="0.25">
      <c r="A15" t="s">
        <v>429</v>
      </c>
      <c r="B15" t="s">
        <v>100</v>
      </c>
      <c r="C15" t="s">
        <v>621</v>
      </c>
      <c r="D15" t="s">
        <v>618</v>
      </c>
      <c r="E15" t="s">
        <v>622</v>
      </c>
      <c r="F15" s="213" t="s">
        <v>56</v>
      </c>
      <c r="G15" t="s">
        <v>66</v>
      </c>
      <c r="H15" t="s">
        <v>84</v>
      </c>
      <c r="I15" t="s">
        <v>623</v>
      </c>
      <c r="J15" t="s">
        <v>56</v>
      </c>
      <c r="K15" t="s">
        <v>19</v>
      </c>
      <c r="L15" t="s">
        <v>625</v>
      </c>
      <c r="M15" t="s">
        <v>27</v>
      </c>
      <c r="N15" t="s">
        <v>100</v>
      </c>
      <c r="O15" t="s">
        <v>627</v>
      </c>
    </row>
    <row r="16" spans="1:15" x14ac:dyDescent="0.25">
      <c r="A16" t="s">
        <v>430</v>
      </c>
      <c r="B16" t="s">
        <v>100</v>
      </c>
      <c r="C16" t="s">
        <v>621</v>
      </c>
      <c r="D16" t="s">
        <v>618</v>
      </c>
      <c r="E16" t="s">
        <v>622</v>
      </c>
      <c r="F16" s="213" t="s">
        <v>56</v>
      </c>
      <c r="G16" t="s">
        <v>66</v>
      </c>
      <c r="H16" t="s">
        <v>84</v>
      </c>
      <c r="I16" t="s">
        <v>623</v>
      </c>
      <c r="J16" t="s">
        <v>56</v>
      </c>
      <c r="K16" t="s">
        <v>15</v>
      </c>
      <c r="L16" t="s">
        <v>632</v>
      </c>
      <c r="M16" t="s">
        <v>27</v>
      </c>
      <c r="N16" t="s">
        <v>8</v>
      </c>
      <c r="O16" t="s">
        <v>635</v>
      </c>
    </row>
    <row r="17" spans="1:15" x14ac:dyDescent="0.25">
      <c r="A17" t="s">
        <v>431</v>
      </c>
      <c r="B17" t="s">
        <v>100</v>
      </c>
      <c r="C17" t="s">
        <v>621</v>
      </c>
      <c r="D17" t="s">
        <v>618</v>
      </c>
      <c r="E17" t="s">
        <v>622</v>
      </c>
      <c r="F17" s="213" t="s">
        <v>56</v>
      </c>
      <c r="G17" t="s">
        <v>66</v>
      </c>
      <c r="H17" t="s">
        <v>84</v>
      </c>
      <c r="I17" t="s">
        <v>623</v>
      </c>
      <c r="J17" t="s">
        <v>56</v>
      </c>
      <c r="K17" t="s">
        <v>27</v>
      </c>
      <c r="L17" t="s">
        <v>626</v>
      </c>
      <c r="M17" t="s">
        <v>25</v>
      </c>
      <c r="N17" t="s">
        <v>14</v>
      </c>
      <c r="O17" t="s">
        <v>642</v>
      </c>
    </row>
    <row r="18" spans="1:15" x14ac:dyDescent="0.25">
      <c r="A18" t="s">
        <v>432</v>
      </c>
      <c r="B18" t="s">
        <v>100</v>
      </c>
      <c r="C18" t="s">
        <v>621</v>
      </c>
      <c r="D18" t="s">
        <v>618</v>
      </c>
      <c r="E18" t="s">
        <v>622</v>
      </c>
      <c r="F18" s="213" t="s">
        <v>56</v>
      </c>
      <c r="G18" t="s">
        <v>66</v>
      </c>
      <c r="H18" t="s">
        <v>84</v>
      </c>
      <c r="I18" t="s">
        <v>623</v>
      </c>
      <c r="J18" t="s">
        <v>56</v>
      </c>
      <c r="K18" t="s">
        <v>25</v>
      </c>
      <c r="L18" t="s">
        <v>628</v>
      </c>
      <c r="M18" t="s">
        <v>25</v>
      </c>
      <c r="N18" t="s">
        <v>11</v>
      </c>
      <c r="O18" t="s">
        <v>643</v>
      </c>
    </row>
    <row r="19" spans="1:15" x14ac:dyDescent="0.25">
      <c r="A19" t="s">
        <v>433</v>
      </c>
      <c r="B19" t="s">
        <v>100</v>
      </c>
      <c r="C19" t="s">
        <v>621</v>
      </c>
      <c r="D19" t="s">
        <v>618</v>
      </c>
      <c r="E19" t="s">
        <v>622</v>
      </c>
      <c r="F19" s="213" t="s">
        <v>56</v>
      </c>
      <c r="G19" t="s">
        <v>66</v>
      </c>
      <c r="H19" t="s">
        <v>84</v>
      </c>
      <c r="I19" t="s">
        <v>623</v>
      </c>
      <c r="J19" t="s">
        <v>56</v>
      </c>
      <c r="K19" t="s">
        <v>22</v>
      </c>
      <c r="L19" t="s">
        <v>630</v>
      </c>
      <c r="M19" t="s">
        <v>25</v>
      </c>
      <c r="N19" t="s">
        <v>29</v>
      </c>
      <c r="O19" t="s">
        <v>624</v>
      </c>
    </row>
    <row r="20" spans="1:15" x14ac:dyDescent="0.25">
      <c r="A20" t="s">
        <v>434</v>
      </c>
      <c r="B20" t="s">
        <v>100</v>
      </c>
      <c r="C20" t="s">
        <v>621</v>
      </c>
      <c r="D20" t="s">
        <v>618</v>
      </c>
      <c r="E20" t="s">
        <v>622</v>
      </c>
      <c r="F20" s="213" t="s">
        <v>56</v>
      </c>
      <c r="G20" t="s">
        <v>66</v>
      </c>
      <c r="H20" t="s">
        <v>84</v>
      </c>
      <c r="I20" t="s">
        <v>623</v>
      </c>
      <c r="J20" t="s">
        <v>56</v>
      </c>
      <c r="K20" t="s">
        <v>19</v>
      </c>
      <c r="L20" t="s">
        <v>625</v>
      </c>
      <c r="M20" t="s">
        <v>25</v>
      </c>
      <c r="N20" t="s">
        <v>3</v>
      </c>
      <c r="O20" t="s">
        <v>644</v>
      </c>
    </row>
    <row r="21" spans="1:15" x14ac:dyDescent="0.25">
      <c r="A21" t="s">
        <v>435</v>
      </c>
      <c r="B21" t="s">
        <v>100</v>
      </c>
      <c r="C21" t="s">
        <v>621</v>
      </c>
      <c r="D21" t="s">
        <v>618</v>
      </c>
      <c r="E21" t="s">
        <v>622</v>
      </c>
      <c r="F21" s="213" t="s">
        <v>56</v>
      </c>
      <c r="G21" t="s">
        <v>66</v>
      </c>
      <c r="H21" t="s">
        <v>84</v>
      </c>
      <c r="I21" t="s">
        <v>623</v>
      </c>
      <c r="J21" t="s">
        <v>56</v>
      </c>
      <c r="K21" t="s">
        <v>15</v>
      </c>
      <c r="L21" t="s">
        <v>632</v>
      </c>
      <c r="M21" t="s">
        <v>25</v>
      </c>
      <c r="N21" t="s">
        <v>7</v>
      </c>
      <c r="O21" t="s">
        <v>645</v>
      </c>
    </row>
    <row r="22" spans="1:15" x14ac:dyDescent="0.25">
      <c r="A22" t="s">
        <v>436</v>
      </c>
      <c r="B22" t="s">
        <v>100</v>
      </c>
      <c r="C22" t="s">
        <v>621</v>
      </c>
      <c r="D22" t="s">
        <v>618</v>
      </c>
      <c r="E22" t="s">
        <v>622</v>
      </c>
      <c r="F22" s="213" t="s">
        <v>56</v>
      </c>
      <c r="G22" t="s">
        <v>66</v>
      </c>
      <c r="H22" t="s">
        <v>84</v>
      </c>
      <c r="I22" t="s">
        <v>623</v>
      </c>
      <c r="J22" t="s">
        <v>56</v>
      </c>
      <c r="K22" t="s">
        <v>12</v>
      </c>
      <c r="L22" t="s">
        <v>629</v>
      </c>
      <c r="M22" t="s">
        <v>25</v>
      </c>
      <c r="N22" t="s">
        <v>17</v>
      </c>
      <c r="O22" t="s">
        <v>623</v>
      </c>
    </row>
    <row r="23" spans="1:15" x14ac:dyDescent="0.25">
      <c r="A23" t="s">
        <v>437</v>
      </c>
      <c r="B23" t="s">
        <v>100</v>
      </c>
      <c r="C23" t="s">
        <v>621</v>
      </c>
      <c r="D23" t="s">
        <v>618</v>
      </c>
      <c r="E23" t="s">
        <v>622</v>
      </c>
      <c r="F23" s="213" t="s">
        <v>56</v>
      </c>
      <c r="G23" t="s">
        <v>66</v>
      </c>
      <c r="H23" t="s">
        <v>84</v>
      </c>
      <c r="I23" t="s">
        <v>623</v>
      </c>
      <c r="J23" t="s">
        <v>56</v>
      </c>
      <c r="K23" t="s">
        <v>27</v>
      </c>
      <c r="L23" t="s">
        <v>626</v>
      </c>
      <c r="M23" t="s">
        <v>21</v>
      </c>
      <c r="N23" t="s">
        <v>29</v>
      </c>
      <c r="O23" t="s">
        <v>641</v>
      </c>
    </row>
    <row r="24" spans="1:15" x14ac:dyDescent="0.25">
      <c r="A24" t="s">
        <v>438</v>
      </c>
      <c r="B24" t="s">
        <v>100</v>
      </c>
      <c r="C24" t="s">
        <v>621</v>
      </c>
      <c r="D24" t="s">
        <v>618</v>
      </c>
      <c r="E24" t="s">
        <v>622</v>
      </c>
      <c r="F24" s="213" t="s">
        <v>56</v>
      </c>
      <c r="G24" t="s">
        <v>66</v>
      </c>
      <c r="H24" t="s">
        <v>84</v>
      </c>
      <c r="I24" t="s">
        <v>623</v>
      </c>
      <c r="J24" t="s">
        <v>56</v>
      </c>
      <c r="K24" t="s">
        <v>25</v>
      </c>
      <c r="L24" t="s">
        <v>628</v>
      </c>
      <c r="M24" t="s">
        <v>21</v>
      </c>
      <c r="N24" t="s">
        <v>28</v>
      </c>
      <c r="O24" t="s">
        <v>646</v>
      </c>
    </row>
    <row r="25" spans="1:15" x14ac:dyDescent="0.25">
      <c r="A25" t="s">
        <v>439</v>
      </c>
      <c r="B25" t="s">
        <v>100</v>
      </c>
      <c r="C25" t="s">
        <v>621</v>
      </c>
      <c r="D25" t="s">
        <v>618</v>
      </c>
      <c r="E25" t="s">
        <v>622</v>
      </c>
      <c r="F25" s="213" t="s">
        <v>56</v>
      </c>
      <c r="G25" t="s">
        <v>66</v>
      </c>
      <c r="H25" t="s">
        <v>84</v>
      </c>
      <c r="I25" t="s">
        <v>623</v>
      </c>
      <c r="J25" t="s">
        <v>56</v>
      </c>
      <c r="K25" t="s">
        <v>22</v>
      </c>
      <c r="L25" t="s">
        <v>630</v>
      </c>
      <c r="M25" t="s">
        <v>21</v>
      </c>
      <c r="N25" t="s">
        <v>33</v>
      </c>
      <c r="O25" t="s">
        <v>40</v>
      </c>
    </row>
    <row r="26" spans="1:15" x14ac:dyDescent="0.25">
      <c r="A26" t="s">
        <v>440</v>
      </c>
      <c r="B26" t="s">
        <v>100</v>
      </c>
      <c r="C26" t="s">
        <v>621</v>
      </c>
      <c r="D26" t="s">
        <v>618</v>
      </c>
      <c r="E26" t="s">
        <v>622</v>
      </c>
      <c r="F26" s="213" t="s">
        <v>56</v>
      </c>
      <c r="G26" t="s">
        <v>66</v>
      </c>
      <c r="H26" t="s">
        <v>84</v>
      </c>
      <c r="I26" t="s">
        <v>623</v>
      </c>
      <c r="J26" t="s">
        <v>56</v>
      </c>
      <c r="K26" t="s">
        <v>19</v>
      </c>
      <c r="L26" t="s">
        <v>625</v>
      </c>
      <c r="M26" t="s">
        <v>21</v>
      </c>
      <c r="N26" t="s">
        <v>0</v>
      </c>
      <c r="O26" t="s">
        <v>647</v>
      </c>
    </row>
    <row r="27" spans="1:15" x14ac:dyDescent="0.25">
      <c r="A27" t="s">
        <v>648</v>
      </c>
      <c r="B27" t="s">
        <v>100</v>
      </c>
      <c r="C27" t="s">
        <v>621</v>
      </c>
      <c r="D27" t="s">
        <v>618</v>
      </c>
      <c r="E27" t="s">
        <v>622</v>
      </c>
      <c r="F27" s="213" t="s">
        <v>56</v>
      </c>
      <c r="G27" t="s">
        <v>66</v>
      </c>
      <c r="H27" t="s">
        <v>84</v>
      </c>
      <c r="I27" t="s">
        <v>623</v>
      </c>
      <c r="J27" t="s">
        <v>56</v>
      </c>
      <c r="K27" t="s">
        <v>15</v>
      </c>
      <c r="L27" t="s">
        <v>632</v>
      </c>
      <c r="M27" t="s">
        <v>21</v>
      </c>
      <c r="N27" t="s">
        <v>9</v>
      </c>
      <c r="O27" t="s">
        <v>639</v>
      </c>
    </row>
    <row r="28" spans="1:15" x14ac:dyDescent="0.25">
      <c r="A28" t="s">
        <v>649</v>
      </c>
      <c r="B28" t="s">
        <v>100</v>
      </c>
      <c r="C28" t="s">
        <v>621</v>
      </c>
      <c r="D28" t="s">
        <v>618</v>
      </c>
      <c r="E28" t="s">
        <v>622</v>
      </c>
      <c r="F28" s="213" t="s">
        <v>56</v>
      </c>
      <c r="G28" t="s">
        <v>66</v>
      </c>
      <c r="H28" t="s">
        <v>84</v>
      </c>
      <c r="I28" t="s">
        <v>623</v>
      </c>
      <c r="J28" t="s">
        <v>56</v>
      </c>
      <c r="K28" t="s">
        <v>27</v>
      </c>
      <c r="L28" t="s">
        <v>626</v>
      </c>
      <c r="M28" t="s">
        <v>24</v>
      </c>
      <c r="N28" t="s">
        <v>30</v>
      </c>
      <c r="O28" t="s">
        <v>650</v>
      </c>
    </row>
    <row r="29" spans="1:15" x14ac:dyDescent="0.25">
      <c r="A29" t="s">
        <v>651</v>
      </c>
      <c r="B29" t="s">
        <v>100</v>
      </c>
      <c r="C29" t="s">
        <v>621</v>
      </c>
      <c r="D29" t="s">
        <v>618</v>
      </c>
      <c r="E29" t="s">
        <v>622</v>
      </c>
      <c r="F29" s="213" t="s">
        <v>56</v>
      </c>
      <c r="G29" t="s">
        <v>66</v>
      </c>
      <c r="H29" t="s">
        <v>84</v>
      </c>
      <c r="I29" t="s">
        <v>623</v>
      </c>
      <c r="J29" t="s">
        <v>56</v>
      </c>
      <c r="K29" t="s">
        <v>25</v>
      </c>
      <c r="L29" t="s">
        <v>628</v>
      </c>
      <c r="M29" t="s">
        <v>24</v>
      </c>
      <c r="N29" t="s">
        <v>29</v>
      </c>
      <c r="O29" t="s">
        <v>652</v>
      </c>
    </row>
    <row r="30" spans="1:15" x14ac:dyDescent="0.25">
      <c r="A30" t="s">
        <v>653</v>
      </c>
      <c r="B30" t="s">
        <v>100</v>
      </c>
      <c r="C30" t="s">
        <v>621</v>
      </c>
      <c r="D30" t="s">
        <v>618</v>
      </c>
      <c r="E30" t="s">
        <v>622</v>
      </c>
      <c r="F30" s="213" t="s">
        <v>56</v>
      </c>
      <c r="G30" t="s">
        <v>66</v>
      </c>
      <c r="H30" t="s">
        <v>84</v>
      </c>
      <c r="I30" t="s">
        <v>623</v>
      </c>
      <c r="J30" t="s">
        <v>56</v>
      </c>
      <c r="K30" t="s">
        <v>22</v>
      </c>
      <c r="L30" t="s">
        <v>630</v>
      </c>
      <c r="M30" t="s">
        <v>24</v>
      </c>
      <c r="N30" t="s">
        <v>31</v>
      </c>
      <c r="O30" t="s">
        <v>654</v>
      </c>
    </row>
    <row r="31" spans="1:15" x14ac:dyDescent="0.25">
      <c r="A31" t="s">
        <v>655</v>
      </c>
      <c r="B31" t="s">
        <v>100</v>
      </c>
      <c r="C31" t="s">
        <v>621</v>
      </c>
      <c r="D31" t="s">
        <v>618</v>
      </c>
      <c r="E31" t="s">
        <v>622</v>
      </c>
      <c r="F31" s="213" t="s">
        <v>56</v>
      </c>
      <c r="G31" t="s">
        <v>66</v>
      </c>
      <c r="H31" t="s">
        <v>84</v>
      </c>
      <c r="I31" t="s">
        <v>623</v>
      </c>
      <c r="J31" t="s">
        <v>56</v>
      </c>
      <c r="K31" t="s">
        <v>19</v>
      </c>
      <c r="L31" t="s">
        <v>625</v>
      </c>
      <c r="M31" t="s">
        <v>24</v>
      </c>
      <c r="N31" t="s">
        <v>8</v>
      </c>
      <c r="O31" t="s">
        <v>656</v>
      </c>
    </row>
    <row r="32" spans="1:15" x14ac:dyDescent="0.25">
      <c r="A32" t="s">
        <v>657</v>
      </c>
      <c r="B32" t="s">
        <v>100</v>
      </c>
      <c r="C32" t="s">
        <v>621</v>
      </c>
      <c r="D32" t="s">
        <v>618</v>
      </c>
      <c r="E32" t="s">
        <v>622</v>
      </c>
      <c r="F32" s="213" t="s">
        <v>56</v>
      </c>
      <c r="G32" t="s">
        <v>66</v>
      </c>
      <c r="H32" t="s">
        <v>84</v>
      </c>
      <c r="I32" t="s">
        <v>623</v>
      </c>
      <c r="J32" t="s">
        <v>56</v>
      </c>
      <c r="K32" t="s">
        <v>15</v>
      </c>
      <c r="L32" t="s">
        <v>632</v>
      </c>
      <c r="M32" t="s">
        <v>24</v>
      </c>
      <c r="N32" t="s">
        <v>20</v>
      </c>
      <c r="O32" t="s">
        <v>625</v>
      </c>
    </row>
    <row r="33" spans="1:15" x14ac:dyDescent="0.25">
      <c r="A33" t="s">
        <v>658</v>
      </c>
      <c r="B33" t="s">
        <v>100</v>
      </c>
      <c r="C33" t="s">
        <v>621</v>
      </c>
      <c r="D33" t="s">
        <v>618</v>
      </c>
      <c r="E33" t="s">
        <v>622</v>
      </c>
      <c r="F33" s="213" t="s">
        <v>56</v>
      </c>
      <c r="G33" t="s">
        <v>66</v>
      </c>
      <c r="H33" t="s">
        <v>84</v>
      </c>
      <c r="I33" t="s">
        <v>623</v>
      </c>
      <c r="J33" t="s">
        <v>56</v>
      </c>
      <c r="K33" t="s">
        <v>27</v>
      </c>
      <c r="L33" t="s">
        <v>626</v>
      </c>
      <c r="M33" t="s">
        <v>33</v>
      </c>
      <c r="N33" t="s">
        <v>14</v>
      </c>
      <c r="O33" t="s">
        <v>630</v>
      </c>
    </row>
    <row r="34" spans="1:15" x14ac:dyDescent="0.25">
      <c r="A34" t="s">
        <v>659</v>
      </c>
      <c r="B34" t="s">
        <v>100</v>
      </c>
      <c r="C34" t="s">
        <v>621</v>
      </c>
      <c r="D34" t="s">
        <v>618</v>
      </c>
      <c r="E34" t="s">
        <v>622</v>
      </c>
      <c r="F34" s="213" t="s">
        <v>56</v>
      </c>
      <c r="G34" t="s">
        <v>66</v>
      </c>
      <c r="H34" t="s">
        <v>84</v>
      </c>
      <c r="I34" t="s">
        <v>623</v>
      </c>
      <c r="J34" t="s">
        <v>56</v>
      </c>
      <c r="K34" t="s">
        <v>25</v>
      </c>
      <c r="L34" t="s">
        <v>628</v>
      </c>
      <c r="M34" t="s">
        <v>33</v>
      </c>
      <c r="N34" t="s">
        <v>10</v>
      </c>
      <c r="O34" t="s">
        <v>625</v>
      </c>
    </row>
    <row r="35" spans="1:15" x14ac:dyDescent="0.25">
      <c r="A35" t="s">
        <v>660</v>
      </c>
      <c r="B35" t="s">
        <v>100</v>
      </c>
      <c r="C35" t="s">
        <v>621</v>
      </c>
      <c r="D35" t="s">
        <v>618</v>
      </c>
      <c r="E35" t="s">
        <v>622</v>
      </c>
      <c r="F35" s="213" t="s">
        <v>56</v>
      </c>
      <c r="G35" t="s">
        <v>66</v>
      </c>
      <c r="H35" t="s">
        <v>84</v>
      </c>
      <c r="I35" t="s">
        <v>623</v>
      </c>
      <c r="J35" t="s">
        <v>56</v>
      </c>
      <c r="K35" t="s">
        <v>22</v>
      </c>
      <c r="L35" t="s">
        <v>630</v>
      </c>
      <c r="M35" t="s">
        <v>33</v>
      </c>
      <c r="N35" t="s">
        <v>20</v>
      </c>
      <c r="O35" t="s">
        <v>631</v>
      </c>
    </row>
    <row r="36" spans="1:15" x14ac:dyDescent="0.25">
      <c r="A36" t="s">
        <v>661</v>
      </c>
      <c r="B36" t="s">
        <v>100</v>
      </c>
      <c r="C36" t="s">
        <v>621</v>
      </c>
      <c r="D36" t="s">
        <v>618</v>
      </c>
      <c r="E36" t="s">
        <v>622</v>
      </c>
      <c r="F36" s="213" t="s">
        <v>56</v>
      </c>
      <c r="G36" t="s">
        <v>66</v>
      </c>
      <c r="H36" t="s">
        <v>84</v>
      </c>
      <c r="I36" t="s">
        <v>623</v>
      </c>
      <c r="J36" t="s">
        <v>56</v>
      </c>
      <c r="K36" t="s">
        <v>19</v>
      </c>
      <c r="L36" t="s">
        <v>625</v>
      </c>
      <c r="M36" t="s">
        <v>33</v>
      </c>
      <c r="N36" t="s">
        <v>100</v>
      </c>
      <c r="O36" t="s">
        <v>662</v>
      </c>
    </row>
    <row r="37" spans="1:15" x14ac:dyDescent="0.25">
      <c r="A37" t="s">
        <v>663</v>
      </c>
      <c r="B37" t="s">
        <v>100</v>
      </c>
      <c r="C37" t="s">
        <v>621</v>
      </c>
      <c r="D37" t="s">
        <v>618</v>
      </c>
      <c r="E37" t="s">
        <v>622</v>
      </c>
      <c r="F37" s="213" t="s">
        <v>56</v>
      </c>
      <c r="G37" t="s">
        <v>66</v>
      </c>
      <c r="H37" t="s">
        <v>84</v>
      </c>
      <c r="I37" t="s">
        <v>623</v>
      </c>
      <c r="J37" t="s">
        <v>56</v>
      </c>
      <c r="K37" t="s">
        <v>15</v>
      </c>
      <c r="L37" t="s">
        <v>632</v>
      </c>
      <c r="M37" t="s">
        <v>33</v>
      </c>
      <c r="N37" t="s">
        <v>7</v>
      </c>
      <c r="O37" t="s">
        <v>642</v>
      </c>
    </row>
    <row r="38" spans="1:15" x14ac:dyDescent="0.25">
      <c r="A38" t="s">
        <v>664</v>
      </c>
      <c r="B38" t="s">
        <v>100</v>
      </c>
      <c r="C38" t="s">
        <v>621</v>
      </c>
      <c r="D38" t="s">
        <v>618</v>
      </c>
      <c r="E38" t="s">
        <v>622</v>
      </c>
      <c r="F38" s="213" t="s">
        <v>56</v>
      </c>
      <c r="G38" t="s">
        <v>66</v>
      </c>
      <c r="H38" t="s">
        <v>84</v>
      </c>
      <c r="I38" t="s">
        <v>623</v>
      </c>
      <c r="J38" t="s">
        <v>56</v>
      </c>
      <c r="K38" t="s">
        <v>27</v>
      </c>
      <c r="L38" t="s">
        <v>626</v>
      </c>
      <c r="M38" t="s">
        <v>1</v>
      </c>
      <c r="N38" t="s">
        <v>54</v>
      </c>
      <c r="O38" t="s">
        <v>665</v>
      </c>
    </row>
    <row r="39" spans="1:15" x14ac:dyDescent="0.25">
      <c r="A39" t="s">
        <v>666</v>
      </c>
      <c r="B39" t="s">
        <v>100</v>
      </c>
      <c r="C39" t="s">
        <v>621</v>
      </c>
      <c r="D39" t="s">
        <v>618</v>
      </c>
      <c r="E39" t="s">
        <v>622</v>
      </c>
      <c r="F39" s="213" t="s">
        <v>56</v>
      </c>
      <c r="G39" t="s">
        <v>66</v>
      </c>
      <c r="H39" t="s">
        <v>84</v>
      </c>
      <c r="I39" t="s">
        <v>623</v>
      </c>
      <c r="J39" t="s">
        <v>56</v>
      </c>
      <c r="K39" t="s">
        <v>25</v>
      </c>
      <c r="L39" t="s">
        <v>628</v>
      </c>
      <c r="M39" t="s">
        <v>1</v>
      </c>
      <c r="N39" t="s">
        <v>18</v>
      </c>
      <c r="O39" t="s">
        <v>667</v>
      </c>
    </row>
    <row r="40" spans="1:15" x14ac:dyDescent="0.25">
      <c r="A40" t="s">
        <v>668</v>
      </c>
      <c r="B40" t="s">
        <v>100</v>
      </c>
      <c r="C40" t="s">
        <v>621</v>
      </c>
      <c r="D40" t="s">
        <v>618</v>
      </c>
      <c r="E40" t="s">
        <v>622</v>
      </c>
      <c r="F40" s="213" t="s">
        <v>56</v>
      </c>
      <c r="G40" t="s">
        <v>66</v>
      </c>
      <c r="H40" t="s">
        <v>84</v>
      </c>
      <c r="I40" t="s">
        <v>623</v>
      </c>
      <c r="J40" t="s">
        <v>56</v>
      </c>
      <c r="K40" t="s">
        <v>22</v>
      </c>
      <c r="L40" t="s">
        <v>630</v>
      </c>
      <c r="M40" t="s">
        <v>1</v>
      </c>
      <c r="N40" t="s">
        <v>69</v>
      </c>
      <c r="O40" t="s">
        <v>45</v>
      </c>
    </row>
    <row r="41" spans="1:15" x14ac:dyDescent="0.25">
      <c r="A41" t="s">
        <v>669</v>
      </c>
      <c r="B41" t="s">
        <v>100</v>
      </c>
      <c r="C41" t="s">
        <v>621</v>
      </c>
      <c r="D41" t="s">
        <v>618</v>
      </c>
      <c r="E41" t="s">
        <v>622</v>
      </c>
      <c r="F41" s="213" t="s">
        <v>56</v>
      </c>
      <c r="G41" t="s">
        <v>66</v>
      </c>
      <c r="H41" t="s">
        <v>84</v>
      </c>
      <c r="I41" t="s">
        <v>623</v>
      </c>
      <c r="J41" t="s">
        <v>56</v>
      </c>
      <c r="K41" t="s">
        <v>19</v>
      </c>
      <c r="L41" t="s">
        <v>625</v>
      </c>
      <c r="M41" t="s">
        <v>1</v>
      </c>
      <c r="N41" t="s">
        <v>71</v>
      </c>
      <c r="O41" t="s">
        <v>49</v>
      </c>
    </row>
    <row r="42" spans="1:15" x14ac:dyDescent="0.25">
      <c r="A42" t="s">
        <v>670</v>
      </c>
      <c r="B42" t="s">
        <v>100</v>
      </c>
      <c r="C42" t="s">
        <v>621</v>
      </c>
      <c r="D42" t="s">
        <v>618</v>
      </c>
      <c r="E42" t="s">
        <v>622</v>
      </c>
      <c r="F42" s="213" t="s">
        <v>56</v>
      </c>
      <c r="G42" t="s">
        <v>66</v>
      </c>
      <c r="H42" t="s">
        <v>84</v>
      </c>
      <c r="I42" t="s">
        <v>623</v>
      </c>
      <c r="J42" t="s">
        <v>56</v>
      </c>
      <c r="K42" t="s">
        <v>15</v>
      </c>
      <c r="L42" t="s">
        <v>632</v>
      </c>
      <c r="M42" t="s">
        <v>1</v>
      </c>
      <c r="N42" t="s">
        <v>67</v>
      </c>
      <c r="O42" t="s">
        <v>41</v>
      </c>
    </row>
    <row r="43" spans="1:15" x14ac:dyDescent="0.25">
      <c r="A43" t="s">
        <v>671</v>
      </c>
      <c r="B43" t="s">
        <v>100</v>
      </c>
      <c r="C43" t="s">
        <v>621</v>
      </c>
      <c r="D43" t="s">
        <v>618</v>
      </c>
      <c r="E43" t="s">
        <v>622</v>
      </c>
      <c r="F43" s="213" t="s">
        <v>56</v>
      </c>
      <c r="G43" t="s">
        <v>66</v>
      </c>
      <c r="H43" t="s">
        <v>84</v>
      </c>
      <c r="I43" t="s">
        <v>623</v>
      </c>
      <c r="J43" t="s">
        <v>56</v>
      </c>
      <c r="K43" t="s">
        <v>12</v>
      </c>
      <c r="L43" t="s">
        <v>629</v>
      </c>
      <c r="M43" t="s">
        <v>1</v>
      </c>
      <c r="N43" t="s">
        <v>16</v>
      </c>
      <c r="O43" t="s">
        <v>672</v>
      </c>
    </row>
    <row r="44" spans="1:15" x14ac:dyDescent="0.25">
      <c r="A44" t="s">
        <v>673</v>
      </c>
      <c r="B44" t="s">
        <v>100</v>
      </c>
      <c r="C44" t="s">
        <v>621</v>
      </c>
      <c r="D44" t="s">
        <v>618</v>
      </c>
      <c r="E44" t="s">
        <v>622</v>
      </c>
      <c r="F44" s="213" t="s">
        <v>56</v>
      </c>
      <c r="G44" t="s">
        <v>66</v>
      </c>
      <c r="H44" t="s">
        <v>84</v>
      </c>
      <c r="I44" t="s">
        <v>623</v>
      </c>
      <c r="J44" t="s">
        <v>56</v>
      </c>
      <c r="K44" t="s">
        <v>10</v>
      </c>
      <c r="L44" t="s">
        <v>635</v>
      </c>
      <c r="M44" t="s">
        <v>1</v>
      </c>
      <c r="N44" t="s">
        <v>30</v>
      </c>
      <c r="O44" t="s">
        <v>674</v>
      </c>
    </row>
    <row r="45" spans="1:15" x14ac:dyDescent="0.25">
      <c r="A45" t="s">
        <v>675</v>
      </c>
      <c r="B45" t="s">
        <v>100</v>
      </c>
      <c r="C45" t="s">
        <v>621</v>
      </c>
      <c r="D45" t="s">
        <v>618</v>
      </c>
      <c r="E45" t="s">
        <v>622</v>
      </c>
      <c r="F45" s="213" t="s">
        <v>56</v>
      </c>
      <c r="G45" t="s">
        <v>66</v>
      </c>
      <c r="H45" t="s">
        <v>84</v>
      </c>
      <c r="I45" t="s">
        <v>623</v>
      </c>
      <c r="J45" t="s">
        <v>56</v>
      </c>
      <c r="K45" t="s">
        <v>8</v>
      </c>
      <c r="L45" t="s">
        <v>637</v>
      </c>
      <c r="M45" t="s">
        <v>1</v>
      </c>
      <c r="N45" t="s">
        <v>29</v>
      </c>
      <c r="O45" t="s">
        <v>662</v>
      </c>
    </row>
    <row r="46" spans="1:15" x14ac:dyDescent="0.25">
      <c r="A46" t="s">
        <v>676</v>
      </c>
      <c r="B46" t="s">
        <v>100</v>
      </c>
      <c r="C46" t="s">
        <v>621</v>
      </c>
      <c r="D46" t="s">
        <v>618</v>
      </c>
      <c r="E46" t="s">
        <v>622</v>
      </c>
      <c r="F46" s="213" t="s">
        <v>56</v>
      </c>
      <c r="G46" t="s">
        <v>66</v>
      </c>
      <c r="H46" t="s">
        <v>84</v>
      </c>
      <c r="I46" t="s">
        <v>623</v>
      </c>
      <c r="J46" t="s">
        <v>56</v>
      </c>
      <c r="K46" t="s">
        <v>6</v>
      </c>
      <c r="L46" t="s">
        <v>639</v>
      </c>
      <c r="M46" t="s">
        <v>1</v>
      </c>
      <c r="N46" t="s">
        <v>10</v>
      </c>
      <c r="O46" t="s">
        <v>677</v>
      </c>
    </row>
    <row r="47" spans="1:15" x14ac:dyDescent="0.25">
      <c r="A47" t="s">
        <v>678</v>
      </c>
      <c r="B47" t="s">
        <v>100</v>
      </c>
      <c r="C47" t="s">
        <v>621</v>
      </c>
      <c r="D47" t="s">
        <v>618</v>
      </c>
      <c r="E47" t="s">
        <v>622</v>
      </c>
      <c r="F47" s="213" t="s">
        <v>56</v>
      </c>
      <c r="G47" t="s">
        <v>66</v>
      </c>
      <c r="H47" t="s">
        <v>84</v>
      </c>
      <c r="I47" t="s">
        <v>623</v>
      </c>
      <c r="J47" t="s">
        <v>56</v>
      </c>
      <c r="K47" t="s">
        <v>27</v>
      </c>
      <c r="L47" t="s">
        <v>626</v>
      </c>
      <c r="M47" t="s">
        <v>32</v>
      </c>
      <c r="N47" t="s">
        <v>13</v>
      </c>
      <c r="O47" t="s">
        <v>665</v>
      </c>
    </row>
    <row r="48" spans="1:15" x14ac:dyDescent="0.25">
      <c r="A48" t="s">
        <v>679</v>
      </c>
      <c r="B48" t="s">
        <v>100</v>
      </c>
      <c r="C48" t="s">
        <v>621</v>
      </c>
      <c r="D48" t="s">
        <v>618</v>
      </c>
      <c r="E48" t="s">
        <v>622</v>
      </c>
      <c r="F48" s="213" t="s">
        <v>56</v>
      </c>
      <c r="G48" t="s">
        <v>66</v>
      </c>
      <c r="H48" t="s">
        <v>84</v>
      </c>
      <c r="I48" t="s">
        <v>623</v>
      </c>
      <c r="J48" t="s">
        <v>56</v>
      </c>
      <c r="K48" t="s">
        <v>25</v>
      </c>
      <c r="L48" t="s">
        <v>628</v>
      </c>
      <c r="M48" t="s">
        <v>32</v>
      </c>
      <c r="N48" t="s">
        <v>22</v>
      </c>
      <c r="O48" t="s">
        <v>680</v>
      </c>
    </row>
    <row r="49" spans="1:15" x14ac:dyDescent="0.25">
      <c r="A49" t="s">
        <v>681</v>
      </c>
      <c r="B49" t="s">
        <v>100</v>
      </c>
      <c r="C49" t="s">
        <v>621</v>
      </c>
      <c r="D49" t="s">
        <v>618</v>
      </c>
      <c r="E49" t="s">
        <v>622</v>
      </c>
      <c r="F49" s="213" t="s">
        <v>56</v>
      </c>
      <c r="G49" t="s">
        <v>66</v>
      </c>
      <c r="H49" t="s">
        <v>84</v>
      </c>
      <c r="I49" t="s">
        <v>623</v>
      </c>
      <c r="J49" t="s">
        <v>56</v>
      </c>
      <c r="K49" t="s">
        <v>22</v>
      </c>
      <c r="L49" t="s">
        <v>630</v>
      </c>
      <c r="M49" t="s">
        <v>32</v>
      </c>
      <c r="N49" t="s">
        <v>18</v>
      </c>
      <c r="O49" t="s">
        <v>682</v>
      </c>
    </row>
    <row r="50" spans="1:15" x14ac:dyDescent="0.25">
      <c r="A50" t="s">
        <v>683</v>
      </c>
      <c r="B50" t="s">
        <v>100</v>
      </c>
      <c r="C50" t="s">
        <v>621</v>
      </c>
      <c r="D50" t="s">
        <v>618</v>
      </c>
      <c r="E50" t="s">
        <v>622</v>
      </c>
      <c r="F50" s="213" t="s">
        <v>56</v>
      </c>
      <c r="G50" t="s">
        <v>66</v>
      </c>
      <c r="H50" t="s">
        <v>84</v>
      </c>
      <c r="I50" t="s">
        <v>623</v>
      </c>
      <c r="J50" t="s">
        <v>56</v>
      </c>
      <c r="K50" t="s">
        <v>19</v>
      </c>
      <c r="L50" t="s">
        <v>625</v>
      </c>
      <c r="M50" t="s">
        <v>32</v>
      </c>
      <c r="N50" t="s">
        <v>11</v>
      </c>
      <c r="O50" t="s">
        <v>625</v>
      </c>
    </row>
    <row r="51" spans="1:15" x14ac:dyDescent="0.25">
      <c r="A51" t="s">
        <v>684</v>
      </c>
      <c r="B51" t="s">
        <v>100</v>
      </c>
      <c r="C51" t="s">
        <v>621</v>
      </c>
      <c r="D51" t="s">
        <v>618</v>
      </c>
      <c r="E51" t="s">
        <v>622</v>
      </c>
      <c r="F51" s="213" t="s">
        <v>56</v>
      </c>
      <c r="G51" t="s">
        <v>66</v>
      </c>
      <c r="H51" t="s">
        <v>84</v>
      </c>
      <c r="I51" t="s">
        <v>623</v>
      </c>
      <c r="J51" t="s">
        <v>56</v>
      </c>
      <c r="K51" t="s">
        <v>15</v>
      </c>
      <c r="L51" t="s">
        <v>632</v>
      </c>
      <c r="M51" t="s">
        <v>32</v>
      </c>
      <c r="N51" t="s">
        <v>4</v>
      </c>
      <c r="O51" t="s">
        <v>685</v>
      </c>
    </row>
    <row r="52" spans="1:15" x14ac:dyDescent="0.25">
      <c r="A52" t="s">
        <v>686</v>
      </c>
      <c r="B52" t="s">
        <v>100</v>
      </c>
      <c r="C52" t="s">
        <v>621</v>
      </c>
      <c r="D52" t="s">
        <v>618</v>
      </c>
      <c r="E52" t="s">
        <v>622</v>
      </c>
      <c r="F52" s="213" t="s">
        <v>56</v>
      </c>
      <c r="G52" t="s">
        <v>66</v>
      </c>
      <c r="H52" t="s">
        <v>84</v>
      </c>
      <c r="I52" t="s">
        <v>623</v>
      </c>
      <c r="J52" t="s">
        <v>56</v>
      </c>
      <c r="K52" t="s">
        <v>27</v>
      </c>
      <c r="L52" t="s">
        <v>626</v>
      </c>
      <c r="M52" t="s">
        <v>28</v>
      </c>
      <c r="N52" t="s">
        <v>24</v>
      </c>
      <c r="O52" t="s">
        <v>687</v>
      </c>
    </row>
    <row r="53" spans="1:15" x14ac:dyDescent="0.25">
      <c r="A53" t="s">
        <v>688</v>
      </c>
      <c r="B53" t="s">
        <v>100</v>
      </c>
      <c r="C53" t="s">
        <v>621</v>
      </c>
      <c r="D53" t="s">
        <v>618</v>
      </c>
      <c r="E53" t="s">
        <v>622</v>
      </c>
      <c r="F53" s="213" t="s">
        <v>56</v>
      </c>
      <c r="G53" t="s">
        <v>66</v>
      </c>
      <c r="H53" t="s">
        <v>84</v>
      </c>
      <c r="I53" t="s">
        <v>623</v>
      </c>
      <c r="J53" t="s">
        <v>56</v>
      </c>
      <c r="K53" t="s">
        <v>25</v>
      </c>
      <c r="L53" t="s">
        <v>628</v>
      </c>
      <c r="M53" t="s">
        <v>28</v>
      </c>
      <c r="N53" t="s">
        <v>26</v>
      </c>
      <c r="O53" t="s">
        <v>654</v>
      </c>
    </row>
    <row r="54" spans="1:15" x14ac:dyDescent="0.25">
      <c r="A54" t="s">
        <v>689</v>
      </c>
      <c r="B54" t="s">
        <v>100</v>
      </c>
      <c r="C54" t="s">
        <v>621</v>
      </c>
      <c r="D54" t="s">
        <v>618</v>
      </c>
      <c r="E54" t="s">
        <v>622</v>
      </c>
      <c r="F54" s="213" t="s">
        <v>56</v>
      </c>
      <c r="G54" t="s">
        <v>66</v>
      </c>
      <c r="H54" t="s">
        <v>84</v>
      </c>
      <c r="I54" t="s">
        <v>623</v>
      </c>
      <c r="J54" t="s">
        <v>56</v>
      </c>
      <c r="K54" t="s">
        <v>22</v>
      </c>
      <c r="L54" t="s">
        <v>630</v>
      </c>
      <c r="M54" t="s">
        <v>28</v>
      </c>
      <c r="N54" t="s">
        <v>2</v>
      </c>
      <c r="O54" t="s">
        <v>674</v>
      </c>
    </row>
    <row r="55" spans="1:15" x14ac:dyDescent="0.25">
      <c r="A55" t="s">
        <v>690</v>
      </c>
      <c r="B55" t="s">
        <v>100</v>
      </c>
      <c r="C55" t="s">
        <v>621</v>
      </c>
      <c r="D55" t="s">
        <v>618</v>
      </c>
      <c r="E55" t="s">
        <v>622</v>
      </c>
      <c r="F55" s="213" t="s">
        <v>56</v>
      </c>
      <c r="G55" t="s">
        <v>66</v>
      </c>
      <c r="H55" t="s">
        <v>84</v>
      </c>
      <c r="I55" t="s">
        <v>623</v>
      </c>
      <c r="J55" t="s">
        <v>56</v>
      </c>
      <c r="K55" t="s">
        <v>19</v>
      </c>
      <c r="L55" t="s">
        <v>625</v>
      </c>
      <c r="M55" t="s">
        <v>28</v>
      </c>
      <c r="N55" t="s">
        <v>25</v>
      </c>
      <c r="O55" t="s">
        <v>34</v>
      </c>
    </row>
    <row r="56" spans="1:15" x14ac:dyDescent="0.25">
      <c r="A56" t="s">
        <v>691</v>
      </c>
      <c r="B56" t="s">
        <v>100</v>
      </c>
      <c r="C56" t="s">
        <v>621</v>
      </c>
      <c r="D56" t="s">
        <v>618</v>
      </c>
      <c r="E56" t="s">
        <v>622</v>
      </c>
      <c r="F56" s="213" t="s">
        <v>56</v>
      </c>
      <c r="G56" t="s">
        <v>66</v>
      </c>
      <c r="H56" t="s">
        <v>84</v>
      </c>
      <c r="I56" t="s">
        <v>623</v>
      </c>
      <c r="J56" t="s">
        <v>56</v>
      </c>
      <c r="K56" t="s">
        <v>15</v>
      </c>
      <c r="L56" t="s">
        <v>632</v>
      </c>
      <c r="M56" t="s">
        <v>28</v>
      </c>
      <c r="N56" t="s">
        <v>4</v>
      </c>
      <c r="O56" t="s">
        <v>645</v>
      </c>
    </row>
    <row r="57" spans="1:15" x14ac:dyDescent="0.25">
      <c r="A57" t="s">
        <v>692</v>
      </c>
      <c r="B57" t="s">
        <v>100</v>
      </c>
      <c r="C57" t="s">
        <v>621</v>
      </c>
      <c r="D57" t="s">
        <v>618</v>
      </c>
      <c r="E57" t="s">
        <v>622</v>
      </c>
      <c r="F57" s="213" t="s">
        <v>56</v>
      </c>
      <c r="G57" t="s">
        <v>66</v>
      </c>
      <c r="H57" t="s">
        <v>84</v>
      </c>
      <c r="I57" t="s">
        <v>623</v>
      </c>
      <c r="J57" t="s">
        <v>56</v>
      </c>
      <c r="K57" t="s">
        <v>27</v>
      </c>
      <c r="L57" t="s">
        <v>626</v>
      </c>
      <c r="M57" t="s">
        <v>0</v>
      </c>
      <c r="N57" t="s">
        <v>28</v>
      </c>
      <c r="O57" t="s">
        <v>693</v>
      </c>
    </row>
    <row r="58" spans="1:15" x14ac:dyDescent="0.25">
      <c r="A58" t="s">
        <v>694</v>
      </c>
      <c r="B58" t="s">
        <v>100</v>
      </c>
      <c r="C58" t="s">
        <v>621</v>
      </c>
      <c r="D58" t="s">
        <v>618</v>
      </c>
      <c r="E58" t="s">
        <v>622</v>
      </c>
      <c r="F58" s="213" t="s">
        <v>56</v>
      </c>
      <c r="G58" t="s">
        <v>66</v>
      </c>
      <c r="H58" t="s">
        <v>84</v>
      </c>
      <c r="I58" t="s">
        <v>623</v>
      </c>
      <c r="J58" t="s">
        <v>56</v>
      </c>
      <c r="K58" t="s">
        <v>25</v>
      </c>
      <c r="L58" t="s">
        <v>628</v>
      </c>
      <c r="M58" t="s">
        <v>0</v>
      </c>
      <c r="N58" t="s">
        <v>42</v>
      </c>
      <c r="O58" t="s">
        <v>695</v>
      </c>
    </row>
    <row r="59" spans="1:15" x14ac:dyDescent="0.25">
      <c r="A59" t="s">
        <v>696</v>
      </c>
      <c r="B59" t="s">
        <v>100</v>
      </c>
      <c r="C59" t="s">
        <v>621</v>
      </c>
      <c r="D59" t="s">
        <v>618</v>
      </c>
      <c r="E59" t="s">
        <v>622</v>
      </c>
      <c r="F59" s="213" t="s">
        <v>56</v>
      </c>
      <c r="G59" t="s">
        <v>66</v>
      </c>
      <c r="H59" t="s">
        <v>84</v>
      </c>
      <c r="I59" t="s">
        <v>623</v>
      </c>
      <c r="J59" t="s">
        <v>56</v>
      </c>
      <c r="K59" t="s">
        <v>22</v>
      </c>
      <c r="L59" t="s">
        <v>630</v>
      </c>
      <c r="M59" t="s">
        <v>0</v>
      </c>
      <c r="N59" t="s">
        <v>69</v>
      </c>
      <c r="O59" t="s">
        <v>43</v>
      </c>
    </row>
    <row r="60" spans="1:15" x14ac:dyDescent="0.25">
      <c r="A60" t="s">
        <v>697</v>
      </c>
      <c r="B60" t="s">
        <v>100</v>
      </c>
      <c r="C60" t="s">
        <v>621</v>
      </c>
      <c r="D60" t="s">
        <v>618</v>
      </c>
      <c r="E60" t="s">
        <v>622</v>
      </c>
      <c r="F60" s="213" t="s">
        <v>56</v>
      </c>
      <c r="G60" t="s">
        <v>66</v>
      </c>
      <c r="H60" t="s">
        <v>84</v>
      </c>
      <c r="I60" t="s">
        <v>623</v>
      </c>
      <c r="J60" t="s">
        <v>56</v>
      </c>
      <c r="K60" t="s">
        <v>19</v>
      </c>
      <c r="L60" t="s">
        <v>625</v>
      </c>
      <c r="M60" t="s">
        <v>0</v>
      </c>
      <c r="N60" t="s">
        <v>67</v>
      </c>
      <c r="O60" t="s">
        <v>698</v>
      </c>
    </row>
    <row r="61" spans="1:15" x14ac:dyDescent="0.25">
      <c r="A61" t="s">
        <v>699</v>
      </c>
      <c r="B61" t="s">
        <v>100</v>
      </c>
      <c r="C61" t="s">
        <v>621</v>
      </c>
      <c r="D61" t="s">
        <v>618</v>
      </c>
      <c r="E61" t="s">
        <v>622</v>
      </c>
      <c r="F61" s="213" t="s">
        <v>56</v>
      </c>
      <c r="G61" t="s">
        <v>66</v>
      </c>
      <c r="H61" t="s">
        <v>84</v>
      </c>
      <c r="I61" t="s">
        <v>623</v>
      </c>
      <c r="J61" t="s">
        <v>56</v>
      </c>
      <c r="K61" t="s">
        <v>15</v>
      </c>
      <c r="L61" t="s">
        <v>632</v>
      </c>
      <c r="M61" t="s">
        <v>0</v>
      </c>
      <c r="N61" t="s">
        <v>32</v>
      </c>
      <c r="O61" t="s">
        <v>674</v>
      </c>
    </row>
    <row r="62" spans="1:15" x14ac:dyDescent="0.25">
      <c r="A62" t="s">
        <v>700</v>
      </c>
      <c r="B62" t="s">
        <v>100</v>
      </c>
      <c r="C62" t="s">
        <v>621</v>
      </c>
      <c r="D62" t="s">
        <v>618</v>
      </c>
      <c r="E62" t="s">
        <v>622</v>
      </c>
      <c r="F62" s="213" t="s">
        <v>56</v>
      </c>
      <c r="G62" t="s">
        <v>66</v>
      </c>
      <c r="H62" t="s">
        <v>84</v>
      </c>
      <c r="I62" t="s">
        <v>623</v>
      </c>
      <c r="J62" t="s">
        <v>56</v>
      </c>
      <c r="K62" t="s">
        <v>12</v>
      </c>
      <c r="L62" t="s">
        <v>629</v>
      </c>
      <c r="M62" t="s">
        <v>0</v>
      </c>
      <c r="N62" t="s">
        <v>8</v>
      </c>
      <c r="O62" t="s">
        <v>701</v>
      </c>
    </row>
    <row r="63" spans="1:15" x14ac:dyDescent="0.25">
      <c r="A63" t="s">
        <v>702</v>
      </c>
      <c r="B63" t="s">
        <v>100</v>
      </c>
      <c r="C63" t="s">
        <v>621</v>
      </c>
      <c r="D63" t="s">
        <v>618</v>
      </c>
      <c r="E63" t="s">
        <v>622</v>
      </c>
      <c r="F63" s="213" t="s">
        <v>56</v>
      </c>
      <c r="G63" t="s">
        <v>66</v>
      </c>
      <c r="H63" t="s">
        <v>84</v>
      </c>
      <c r="I63" t="s">
        <v>623</v>
      </c>
      <c r="J63" t="s">
        <v>56</v>
      </c>
      <c r="K63" t="s">
        <v>10</v>
      </c>
      <c r="L63" t="s">
        <v>635</v>
      </c>
      <c r="M63" t="s">
        <v>0</v>
      </c>
      <c r="N63" t="s">
        <v>61</v>
      </c>
      <c r="O63" t="s">
        <v>624</v>
      </c>
    </row>
    <row r="64" spans="1:15" x14ac:dyDescent="0.25">
      <c r="A64" t="s">
        <v>703</v>
      </c>
      <c r="B64" t="s">
        <v>100</v>
      </c>
      <c r="C64" t="s">
        <v>621</v>
      </c>
      <c r="D64" t="s">
        <v>618</v>
      </c>
      <c r="E64" t="s">
        <v>622</v>
      </c>
      <c r="F64" s="213" t="s">
        <v>56</v>
      </c>
      <c r="G64" t="s">
        <v>66</v>
      </c>
      <c r="H64" t="s">
        <v>84</v>
      </c>
      <c r="I64" t="s">
        <v>623</v>
      </c>
      <c r="J64" t="s">
        <v>56</v>
      </c>
      <c r="K64" t="s">
        <v>8</v>
      </c>
      <c r="L64" t="s">
        <v>637</v>
      </c>
      <c r="M64" t="s">
        <v>0</v>
      </c>
      <c r="N64" t="s">
        <v>64</v>
      </c>
      <c r="O64" t="s">
        <v>101</v>
      </c>
    </row>
    <row r="65" spans="1:15" x14ac:dyDescent="0.25">
      <c r="A65" t="s">
        <v>704</v>
      </c>
      <c r="B65" t="s">
        <v>100</v>
      </c>
      <c r="C65" t="s">
        <v>621</v>
      </c>
      <c r="D65" t="s">
        <v>618</v>
      </c>
      <c r="E65" t="s">
        <v>622</v>
      </c>
      <c r="F65" s="213" t="s">
        <v>56</v>
      </c>
      <c r="G65" t="s">
        <v>66</v>
      </c>
      <c r="H65" t="s">
        <v>84</v>
      </c>
      <c r="I65" t="s">
        <v>623</v>
      </c>
      <c r="J65" t="s">
        <v>56</v>
      </c>
      <c r="K65" t="s">
        <v>6</v>
      </c>
      <c r="L65" t="s">
        <v>639</v>
      </c>
      <c r="M65" t="s">
        <v>0</v>
      </c>
      <c r="N65" t="s">
        <v>10</v>
      </c>
      <c r="O65" t="s">
        <v>705</v>
      </c>
    </row>
    <row r="66" spans="1:15" x14ac:dyDescent="0.25">
      <c r="A66" t="s">
        <v>706</v>
      </c>
      <c r="B66" t="s">
        <v>100</v>
      </c>
      <c r="C66" t="s">
        <v>621</v>
      </c>
      <c r="D66" t="s">
        <v>618</v>
      </c>
      <c r="E66" t="s">
        <v>622</v>
      </c>
      <c r="F66" s="213" t="s">
        <v>56</v>
      </c>
      <c r="G66" t="s">
        <v>66</v>
      </c>
      <c r="H66" t="s">
        <v>84</v>
      </c>
      <c r="I66" t="s">
        <v>623</v>
      </c>
      <c r="J66" t="s">
        <v>56</v>
      </c>
      <c r="K66" t="s">
        <v>27</v>
      </c>
      <c r="L66" t="s">
        <v>626</v>
      </c>
      <c r="M66" t="s">
        <v>61</v>
      </c>
      <c r="N66" t="s">
        <v>2</v>
      </c>
      <c r="O66" t="s">
        <v>17</v>
      </c>
    </row>
    <row r="67" spans="1:15" x14ac:dyDescent="0.25">
      <c r="A67" t="s">
        <v>707</v>
      </c>
      <c r="B67" t="s">
        <v>100</v>
      </c>
      <c r="C67" t="s">
        <v>621</v>
      </c>
      <c r="D67" t="s">
        <v>618</v>
      </c>
      <c r="E67" t="s">
        <v>622</v>
      </c>
      <c r="F67" s="213" t="s">
        <v>56</v>
      </c>
      <c r="G67" t="s">
        <v>66</v>
      </c>
      <c r="H67" t="s">
        <v>84</v>
      </c>
      <c r="I67" t="s">
        <v>623</v>
      </c>
      <c r="J67" t="s">
        <v>56</v>
      </c>
      <c r="K67" t="s">
        <v>27</v>
      </c>
      <c r="L67" t="s">
        <v>626</v>
      </c>
      <c r="M67" t="s">
        <v>10</v>
      </c>
      <c r="N67" t="s">
        <v>16</v>
      </c>
      <c r="O67" t="s">
        <v>674</v>
      </c>
    </row>
    <row r="68" spans="1:15" x14ac:dyDescent="0.25">
      <c r="A68" t="s">
        <v>708</v>
      </c>
      <c r="B68" t="s">
        <v>100</v>
      </c>
      <c r="C68" t="s">
        <v>621</v>
      </c>
      <c r="D68" t="s">
        <v>618</v>
      </c>
      <c r="E68" t="s">
        <v>622</v>
      </c>
      <c r="F68" s="213" t="s">
        <v>56</v>
      </c>
      <c r="G68" t="s">
        <v>66</v>
      </c>
      <c r="H68" t="s">
        <v>84</v>
      </c>
      <c r="I68" t="s">
        <v>623</v>
      </c>
      <c r="J68" t="s">
        <v>56</v>
      </c>
      <c r="K68" t="s">
        <v>25</v>
      </c>
      <c r="L68" t="s">
        <v>628</v>
      </c>
      <c r="M68" t="s">
        <v>10</v>
      </c>
      <c r="N68" t="s">
        <v>12</v>
      </c>
      <c r="O68" t="s">
        <v>627</v>
      </c>
    </row>
    <row r="69" spans="1:15" x14ac:dyDescent="0.25">
      <c r="A69" t="s">
        <v>709</v>
      </c>
      <c r="B69" t="s">
        <v>100</v>
      </c>
      <c r="C69" t="s">
        <v>621</v>
      </c>
      <c r="D69" t="s">
        <v>618</v>
      </c>
      <c r="E69" t="s">
        <v>622</v>
      </c>
      <c r="F69" s="213" t="s">
        <v>56</v>
      </c>
      <c r="G69" t="s">
        <v>66</v>
      </c>
      <c r="H69" t="s">
        <v>84</v>
      </c>
      <c r="I69" t="s">
        <v>623</v>
      </c>
      <c r="J69" t="s">
        <v>56</v>
      </c>
      <c r="K69" t="s">
        <v>22</v>
      </c>
      <c r="L69" t="s">
        <v>630</v>
      </c>
      <c r="M69" t="s">
        <v>10</v>
      </c>
      <c r="N69" t="s">
        <v>49</v>
      </c>
      <c r="O69" t="s">
        <v>418</v>
      </c>
    </row>
    <row r="70" spans="1:15" x14ac:dyDescent="0.25">
      <c r="A70" t="s">
        <v>710</v>
      </c>
      <c r="B70" t="s">
        <v>100</v>
      </c>
      <c r="C70" t="s">
        <v>621</v>
      </c>
      <c r="D70" t="s">
        <v>618</v>
      </c>
      <c r="E70" t="s">
        <v>622</v>
      </c>
      <c r="F70" s="213" t="s">
        <v>56</v>
      </c>
      <c r="G70" t="s">
        <v>66</v>
      </c>
      <c r="H70" t="s">
        <v>84</v>
      </c>
      <c r="I70" t="s">
        <v>623</v>
      </c>
      <c r="J70" t="s">
        <v>56</v>
      </c>
      <c r="K70" t="s">
        <v>19</v>
      </c>
      <c r="L70" t="s">
        <v>625</v>
      </c>
      <c r="M70" t="s">
        <v>10</v>
      </c>
      <c r="N70" t="s">
        <v>20</v>
      </c>
      <c r="O70" t="s">
        <v>656</v>
      </c>
    </row>
    <row r="71" spans="1:15" x14ac:dyDescent="0.25">
      <c r="A71" t="s">
        <v>711</v>
      </c>
      <c r="B71" t="s">
        <v>100</v>
      </c>
      <c r="C71" t="s">
        <v>621</v>
      </c>
      <c r="D71" t="s">
        <v>618</v>
      </c>
      <c r="E71" t="s">
        <v>622</v>
      </c>
      <c r="F71" s="213" t="s">
        <v>56</v>
      </c>
      <c r="G71" t="s">
        <v>66</v>
      </c>
      <c r="H71" t="s">
        <v>84</v>
      </c>
      <c r="I71" t="s">
        <v>623</v>
      </c>
      <c r="J71" t="s">
        <v>56</v>
      </c>
      <c r="K71" t="s">
        <v>15</v>
      </c>
      <c r="L71" t="s">
        <v>632</v>
      </c>
      <c r="M71" t="s">
        <v>10</v>
      </c>
      <c r="N71" t="s">
        <v>0</v>
      </c>
      <c r="O71" t="s">
        <v>712</v>
      </c>
    </row>
    <row r="72" spans="1:15" x14ac:dyDescent="0.25">
      <c r="A72" t="s">
        <v>713</v>
      </c>
      <c r="B72" t="s">
        <v>100</v>
      </c>
      <c r="C72" t="s">
        <v>621</v>
      </c>
      <c r="D72" t="s">
        <v>618</v>
      </c>
      <c r="E72" t="s">
        <v>622</v>
      </c>
      <c r="F72" s="213" t="s">
        <v>56</v>
      </c>
      <c r="G72" t="s">
        <v>66</v>
      </c>
      <c r="H72" t="s">
        <v>84</v>
      </c>
      <c r="I72" t="s">
        <v>623</v>
      </c>
      <c r="J72" t="s">
        <v>56</v>
      </c>
      <c r="K72" t="s">
        <v>12</v>
      </c>
      <c r="L72" t="s">
        <v>629</v>
      </c>
      <c r="M72" t="s">
        <v>10</v>
      </c>
      <c r="N72" t="s">
        <v>42</v>
      </c>
      <c r="O72" t="s">
        <v>714</v>
      </c>
    </row>
    <row r="73" spans="1:15" x14ac:dyDescent="0.25">
      <c r="A73" t="s">
        <v>715</v>
      </c>
      <c r="B73" t="s">
        <v>100</v>
      </c>
      <c r="C73" t="s">
        <v>621</v>
      </c>
      <c r="D73" t="s">
        <v>618</v>
      </c>
      <c r="E73" t="s">
        <v>622</v>
      </c>
      <c r="F73" s="213" t="s">
        <v>56</v>
      </c>
      <c r="G73" t="s">
        <v>66</v>
      </c>
      <c r="H73" t="s">
        <v>84</v>
      </c>
      <c r="I73" t="s">
        <v>623</v>
      </c>
      <c r="J73" t="s">
        <v>56</v>
      </c>
      <c r="K73" t="s">
        <v>10</v>
      </c>
      <c r="L73" t="s">
        <v>635</v>
      </c>
      <c r="M73" t="s">
        <v>10</v>
      </c>
      <c r="N73" t="s">
        <v>8</v>
      </c>
      <c r="O73" t="s">
        <v>716</v>
      </c>
    </row>
    <row r="74" spans="1:15" x14ac:dyDescent="0.25">
      <c r="A74" t="s">
        <v>717</v>
      </c>
      <c r="B74" t="s">
        <v>100</v>
      </c>
      <c r="C74" t="s">
        <v>621</v>
      </c>
      <c r="D74" t="s">
        <v>618</v>
      </c>
      <c r="E74" t="s">
        <v>622</v>
      </c>
      <c r="F74" s="213" t="s">
        <v>56</v>
      </c>
      <c r="G74" t="s">
        <v>66</v>
      </c>
      <c r="H74" t="s">
        <v>84</v>
      </c>
      <c r="I74" t="s">
        <v>623</v>
      </c>
      <c r="J74" t="s">
        <v>56</v>
      </c>
      <c r="K74" t="s">
        <v>27</v>
      </c>
      <c r="L74" t="s">
        <v>626</v>
      </c>
      <c r="M74" t="s">
        <v>57</v>
      </c>
      <c r="N74" t="s">
        <v>5</v>
      </c>
      <c r="O74" t="s">
        <v>718</v>
      </c>
    </row>
    <row r="75" spans="1:15" x14ac:dyDescent="0.25">
      <c r="A75" t="s">
        <v>719</v>
      </c>
      <c r="B75" t="s">
        <v>100</v>
      </c>
      <c r="C75" t="s">
        <v>621</v>
      </c>
      <c r="D75" t="s">
        <v>618</v>
      </c>
      <c r="E75" t="s">
        <v>622</v>
      </c>
      <c r="F75" s="213" t="s">
        <v>56</v>
      </c>
      <c r="G75" t="s">
        <v>66</v>
      </c>
      <c r="H75" t="s">
        <v>84</v>
      </c>
      <c r="I75" t="s">
        <v>623</v>
      </c>
      <c r="J75" t="s">
        <v>56</v>
      </c>
      <c r="K75" t="s">
        <v>27</v>
      </c>
      <c r="L75" t="s">
        <v>626</v>
      </c>
      <c r="M75" t="s">
        <v>46</v>
      </c>
      <c r="N75" t="s">
        <v>13</v>
      </c>
      <c r="O75" t="s">
        <v>720</v>
      </c>
    </row>
    <row r="76" spans="1:15" x14ac:dyDescent="0.25">
      <c r="A76" t="s">
        <v>721</v>
      </c>
      <c r="B76" t="s">
        <v>100</v>
      </c>
      <c r="C76" t="s">
        <v>621</v>
      </c>
      <c r="D76" t="s">
        <v>618</v>
      </c>
      <c r="E76" t="s">
        <v>622</v>
      </c>
      <c r="F76" s="213" t="s">
        <v>56</v>
      </c>
      <c r="G76" t="s">
        <v>66</v>
      </c>
      <c r="H76" t="s">
        <v>84</v>
      </c>
      <c r="I76" t="s">
        <v>623</v>
      </c>
      <c r="J76" t="s">
        <v>56</v>
      </c>
      <c r="K76" t="s">
        <v>25</v>
      </c>
      <c r="L76" t="s">
        <v>628</v>
      </c>
      <c r="M76" t="s">
        <v>46</v>
      </c>
      <c r="N76" t="s">
        <v>12</v>
      </c>
      <c r="O76" t="s">
        <v>654</v>
      </c>
    </row>
    <row r="77" spans="1:15" x14ac:dyDescent="0.25">
      <c r="A77" t="s">
        <v>722</v>
      </c>
      <c r="B77" t="s">
        <v>100</v>
      </c>
      <c r="C77" t="s">
        <v>621</v>
      </c>
      <c r="D77" t="s">
        <v>618</v>
      </c>
      <c r="E77" t="s">
        <v>622</v>
      </c>
      <c r="F77" s="213" t="s">
        <v>56</v>
      </c>
      <c r="G77" t="s">
        <v>66</v>
      </c>
      <c r="H77" t="s">
        <v>84</v>
      </c>
      <c r="I77" t="s">
        <v>623</v>
      </c>
      <c r="J77" t="s">
        <v>56</v>
      </c>
      <c r="K77" t="s">
        <v>22</v>
      </c>
      <c r="L77" t="s">
        <v>630</v>
      </c>
      <c r="M77" t="s">
        <v>46</v>
      </c>
      <c r="N77" t="s">
        <v>0</v>
      </c>
      <c r="O77" t="s">
        <v>643</v>
      </c>
    </row>
    <row r="78" spans="1:15" x14ac:dyDescent="0.25">
      <c r="A78" t="s">
        <v>723</v>
      </c>
      <c r="B78" t="s">
        <v>100</v>
      </c>
      <c r="C78" t="s">
        <v>621</v>
      </c>
      <c r="D78" t="s">
        <v>618</v>
      </c>
      <c r="E78" t="s">
        <v>622</v>
      </c>
      <c r="F78" s="213" t="s">
        <v>56</v>
      </c>
      <c r="G78" t="s">
        <v>66</v>
      </c>
      <c r="H78" t="s">
        <v>84</v>
      </c>
      <c r="I78" t="s">
        <v>623</v>
      </c>
      <c r="J78" t="s">
        <v>56</v>
      </c>
      <c r="K78" t="s">
        <v>27</v>
      </c>
      <c r="L78" t="s">
        <v>626</v>
      </c>
      <c r="M78" t="s">
        <v>50</v>
      </c>
      <c r="N78" t="s">
        <v>5</v>
      </c>
      <c r="O78" t="s">
        <v>626</v>
      </c>
    </row>
    <row r="79" spans="1:15" x14ac:dyDescent="0.25">
      <c r="A79" t="s">
        <v>724</v>
      </c>
      <c r="B79" t="s">
        <v>100</v>
      </c>
      <c r="C79" t="s">
        <v>621</v>
      </c>
      <c r="D79" t="s">
        <v>618</v>
      </c>
      <c r="E79" t="s">
        <v>622</v>
      </c>
      <c r="F79" s="213" t="s">
        <v>56</v>
      </c>
      <c r="G79" t="s">
        <v>66</v>
      </c>
      <c r="H79" t="s">
        <v>84</v>
      </c>
      <c r="I79" t="s">
        <v>623</v>
      </c>
      <c r="J79" t="s">
        <v>56</v>
      </c>
      <c r="K79" t="s">
        <v>25</v>
      </c>
      <c r="L79" t="s">
        <v>628</v>
      </c>
      <c r="M79" t="s">
        <v>50</v>
      </c>
      <c r="N79" t="s">
        <v>4</v>
      </c>
      <c r="O79" t="s">
        <v>628</v>
      </c>
    </row>
    <row r="80" spans="1:15" x14ac:dyDescent="0.25">
      <c r="A80" t="s">
        <v>725</v>
      </c>
      <c r="B80" t="s">
        <v>100</v>
      </c>
      <c r="C80" t="s">
        <v>621</v>
      </c>
      <c r="D80" t="s">
        <v>618</v>
      </c>
      <c r="E80" t="s">
        <v>622</v>
      </c>
      <c r="F80" s="213" t="s">
        <v>56</v>
      </c>
      <c r="G80" t="s">
        <v>66</v>
      </c>
      <c r="H80" t="s">
        <v>84</v>
      </c>
      <c r="I80" t="s">
        <v>623</v>
      </c>
      <c r="J80" t="s">
        <v>56</v>
      </c>
      <c r="K80" t="s">
        <v>22</v>
      </c>
      <c r="L80" t="s">
        <v>630</v>
      </c>
      <c r="M80" t="s">
        <v>50</v>
      </c>
      <c r="N80" t="s">
        <v>8</v>
      </c>
      <c r="O80" t="s">
        <v>726</v>
      </c>
    </row>
    <row r="81" spans="1:15" x14ac:dyDescent="0.25">
      <c r="A81" t="s">
        <v>727</v>
      </c>
      <c r="B81" t="s">
        <v>100</v>
      </c>
      <c r="C81" t="s">
        <v>621</v>
      </c>
      <c r="D81" t="s">
        <v>618</v>
      </c>
      <c r="E81" t="s">
        <v>622</v>
      </c>
      <c r="F81" s="213" t="s">
        <v>56</v>
      </c>
      <c r="G81" t="s">
        <v>66</v>
      </c>
      <c r="H81" t="s">
        <v>84</v>
      </c>
      <c r="I81" t="s">
        <v>623</v>
      </c>
      <c r="J81" t="s">
        <v>56</v>
      </c>
      <c r="K81" t="s">
        <v>27</v>
      </c>
      <c r="L81" t="s">
        <v>626</v>
      </c>
      <c r="M81" t="s">
        <v>17</v>
      </c>
      <c r="N81" t="s">
        <v>31</v>
      </c>
      <c r="O81" t="s">
        <v>630</v>
      </c>
    </row>
    <row r="82" spans="1:15" x14ac:dyDescent="0.25">
      <c r="A82" t="s">
        <v>728</v>
      </c>
      <c r="B82" t="s">
        <v>100</v>
      </c>
      <c r="C82" t="s">
        <v>621</v>
      </c>
      <c r="D82" t="s">
        <v>618</v>
      </c>
      <c r="E82" t="s">
        <v>622</v>
      </c>
      <c r="F82" s="213" t="s">
        <v>56</v>
      </c>
      <c r="G82" t="s">
        <v>66</v>
      </c>
      <c r="H82" t="s">
        <v>84</v>
      </c>
      <c r="I82" t="s">
        <v>623</v>
      </c>
      <c r="J82" t="s">
        <v>56</v>
      </c>
      <c r="K82" t="s">
        <v>25</v>
      </c>
      <c r="L82" t="s">
        <v>628</v>
      </c>
      <c r="M82" t="s">
        <v>17</v>
      </c>
      <c r="N82" t="s">
        <v>39</v>
      </c>
      <c r="O82" t="s">
        <v>729</v>
      </c>
    </row>
    <row r="83" spans="1:15" x14ac:dyDescent="0.25">
      <c r="A83" t="s">
        <v>730</v>
      </c>
      <c r="B83" t="s">
        <v>100</v>
      </c>
      <c r="C83" t="s">
        <v>621</v>
      </c>
      <c r="D83" t="s">
        <v>618</v>
      </c>
      <c r="E83" t="s">
        <v>622</v>
      </c>
      <c r="F83" s="213" t="s">
        <v>56</v>
      </c>
      <c r="G83" t="s">
        <v>66</v>
      </c>
      <c r="H83" t="s">
        <v>84</v>
      </c>
      <c r="I83" t="s">
        <v>623</v>
      </c>
      <c r="J83" t="s">
        <v>56</v>
      </c>
      <c r="K83" t="s">
        <v>22</v>
      </c>
      <c r="L83" t="s">
        <v>630</v>
      </c>
      <c r="M83" t="s">
        <v>17</v>
      </c>
      <c r="N83" t="s">
        <v>38</v>
      </c>
      <c r="O83" t="s">
        <v>731</v>
      </c>
    </row>
    <row r="84" spans="1:15" x14ac:dyDescent="0.25">
      <c r="A84" t="s">
        <v>732</v>
      </c>
      <c r="B84" t="s">
        <v>100</v>
      </c>
      <c r="C84" t="s">
        <v>621</v>
      </c>
      <c r="D84" t="s">
        <v>618</v>
      </c>
      <c r="E84" t="s">
        <v>622</v>
      </c>
      <c r="F84" s="213" t="s">
        <v>56</v>
      </c>
      <c r="G84" t="s">
        <v>66</v>
      </c>
      <c r="H84" t="s">
        <v>84</v>
      </c>
      <c r="I84" t="s">
        <v>623</v>
      </c>
      <c r="J84" t="s">
        <v>56</v>
      </c>
      <c r="K84" t="s">
        <v>19</v>
      </c>
      <c r="L84" t="s">
        <v>625</v>
      </c>
      <c r="M84" t="s">
        <v>17</v>
      </c>
      <c r="N84" t="s">
        <v>3</v>
      </c>
      <c r="O84" t="s">
        <v>716</v>
      </c>
    </row>
    <row r="85" spans="1:15" x14ac:dyDescent="0.25">
      <c r="A85" t="s">
        <v>733</v>
      </c>
      <c r="B85" t="s">
        <v>100</v>
      </c>
      <c r="C85" t="s">
        <v>621</v>
      </c>
      <c r="D85" t="s">
        <v>618</v>
      </c>
      <c r="E85" t="s">
        <v>622</v>
      </c>
      <c r="F85" s="213" t="s">
        <v>56</v>
      </c>
      <c r="G85" t="s">
        <v>66</v>
      </c>
      <c r="H85" t="s">
        <v>84</v>
      </c>
      <c r="I85" t="s">
        <v>623</v>
      </c>
      <c r="J85" t="s">
        <v>56</v>
      </c>
      <c r="K85" t="s">
        <v>15</v>
      </c>
      <c r="L85" t="s">
        <v>632</v>
      </c>
      <c r="M85" t="s">
        <v>17</v>
      </c>
      <c r="N85" t="s">
        <v>20</v>
      </c>
      <c r="O85" t="s">
        <v>643</v>
      </c>
    </row>
    <row r="86" spans="1:15" x14ac:dyDescent="0.25">
      <c r="A86" t="s">
        <v>734</v>
      </c>
      <c r="B86" t="s">
        <v>100</v>
      </c>
      <c r="C86" t="s">
        <v>621</v>
      </c>
      <c r="D86" t="s">
        <v>618</v>
      </c>
      <c r="E86" t="s">
        <v>622</v>
      </c>
      <c r="F86" s="213" t="s">
        <v>56</v>
      </c>
      <c r="G86" t="s">
        <v>66</v>
      </c>
      <c r="H86" t="s">
        <v>84</v>
      </c>
      <c r="I86" t="s">
        <v>623</v>
      </c>
      <c r="J86" t="s">
        <v>56</v>
      </c>
      <c r="K86" t="s">
        <v>12</v>
      </c>
      <c r="L86" t="s">
        <v>629</v>
      </c>
      <c r="M86" t="s">
        <v>17</v>
      </c>
      <c r="N86" t="s">
        <v>7</v>
      </c>
      <c r="O86" t="s">
        <v>735</v>
      </c>
    </row>
    <row r="87" spans="1:15" x14ac:dyDescent="0.25">
      <c r="A87" t="s">
        <v>736</v>
      </c>
      <c r="B87" t="s">
        <v>100</v>
      </c>
      <c r="C87" t="s">
        <v>621</v>
      </c>
      <c r="D87" t="s">
        <v>618</v>
      </c>
      <c r="E87" t="s">
        <v>622</v>
      </c>
      <c r="F87" s="213" t="s">
        <v>56</v>
      </c>
      <c r="G87" t="s">
        <v>66</v>
      </c>
      <c r="H87" t="s">
        <v>84</v>
      </c>
      <c r="I87" t="s">
        <v>623</v>
      </c>
      <c r="J87" t="s">
        <v>56</v>
      </c>
      <c r="K87" t="s">
        <v>27</v>
      </c>
      <c r="L87" t="s">
        <v>626</v>
      </c>
      <c r="M87" t="s">
        <v>20</v>
      </c>
      <c r="N87" t="s">
        <v>13</v>
      </c>
      <c r="O87" t="s">
        <v>635</v>
      </c>
    </row>
    <row r="88" spans="1:15" x14ac:dyDescent="0.25">
      <c r="A88" t="s">
        <v>737</v>
      </c>
      <c r="B88" t="s">
        <v>100</v>
      </c>
      <c r="C88" t="s">
        <v>621</v>
      </c>
      <c r="D88" t="s">
        <v>618</v>
      </c>
      <c r="E88" t="s">
        <v>622</v>
      </c>
      <c r="F88" s="213" t="s">
        <v>56</v>
      </c>
      <c r="G88" t="s">
        <v>66</v>
      </c>
      <c r="H88" t="s">
        <v>84</v>
      </c>
      <c r="I88" t="s">
        <v>623</v>
      </c>
      <c r="J88" t="s">
        <v>56</v>
      </c>
      <c r="K88" t="s">
        <v>25</v>
      </c>
      <c r="L88" t="s">
        <v>628</v>
      </c>
      <c r="M88" t="s">
        <v>20</v>
      </c>
      <c r="N88" t="s">
        <v>35</v>
      </c>
      <c r="O88" t="s">
        <v>654</v>
      </c>
    </row>
    <row r="89" spans="1:15" x14ac:dyDescent="0.25">
      <c r="A89" t="s">
        <v>738</v>
      </c>
      <c r="B89" t="s">
        <v>100</v>
      </c>
      <c r="C89" t="s">
        <v>621</v>
      </c>
      <c r="D89" t="s">
        <v>618</v>
      </c>
      <c r="E89" t="s">
        <v>622</v>
      </c>
      <c r="F89" s="213" t="s">
        <v>56</v>
      </c>
      <c r="G89" t="s">
        <v>66</v>
      </c>
      <c r="H89" t="s">
        <v>84</v>
      </c>
      <c r="I89" t="s">
        <v>623</v>
      </c>
      <c r="J89" t="s">
        <v>56</v>
      </c>
      <c r="K89" t="s">
        <v>22</v>
      </c>
      <c r="L89" t="s">
        <v>630</v>
      </c>
      <c r="M89" t="s">
        <v>20</v>
      </c>
      <c r="N89" t="s">
        <v>34</v>
      </c>
      <c r="O89" t="s">
        <v>739</v>
      </c>
    </row>
    <row r="90" spans="1:15" x14ac:dyDescent="0.25">
      <c r="A90" t="s">
        <v>740</v>
      </c>
      <c r="B90" t="s">
        <v>100</v>
      </c>
      <c r="C90" t="s">
        <v>621</v>
      </c>
      <c r="D90" t="s">
        <v>618</v>
      </c>
      <c r="E90" t="s">
        <v>622</v>
      </c>
      <c r="F90" s="213" t="s">
        <v>56</v>
      </c>
      <c r="G90" t="s">
        <v>66</v>
      </c>
      <c r="H90" t="s">
        <v>84</v>
      </c>
      <c r="I90" t="s">
        <v>623</v>
      </c>
      <c r="J90" t="s">
        <v>56</v>
      </c>
      <c r="K90" t="s">
        <v>19</v>
      </c>
      <c r="L90" t="s">
        <v>625</v>
      </c>
      <c r="M90" t="s">
        <v>20</v>
      </c>
      <c r="N90" t="s">
        <v>3</v>
      </c>
      <c r="O90" t="s">
        <v>741</v>
      </c>
    </row>
    <row r="91" spans="1:15" x14ac:dyDescent="0.25">
      <c r="A91" t="s">
        <v>742</v>
      </c>
      <c r="B91" t="s">
        <v>100</v>
      </c>
      <c r="C91" t="s">
        <v>621</v>
      </c>
      <c r="D91" t="s">
        <v>618</v>
      </c>
      <c r="E91" t="s">
        <v>622</v>
      </c>
      <c r="F91" s="213" t="s">
        <v>56</v>
      </c>
      <c r="G91" t="s">
        <v>66</v>
      </c>
      <c r="H91" t="s">
        <v>84</v>
      </c>
      <c r="I91" t="s">
        <v>623</v>
      </c>
      <c r="J91" t="s">
        <v>56</v>
      </c>
      <c r="K91" t="s">
        <v>15</v>
      </c>
      <c r="L91" t="s">
        <v>632</v>
      </c>
      <c r="M91" t="s">
        <v>20</v>
      </c>
      <c r="N91" t="s">
        <v>21</v>
      </c>
      <c r="O91" t="s">
        <v>632</v>
      </c>
    </row>
    <row r="92" spans="1:15" x14ac:dyDescent="0.25">
      <c r="A92" t="s">
        <v>743</v>
      </c>
      <c r="B92" t="s">
        <v>100</v>
      </c>
      <c r="C92" t="s">
        <v>621</v>
      </c>
      <c r="D92" t="s">
        <v>618</v>
      </c>
      <c r="E92" t="s">
        <v>622</v>
      </c>
      <c r="F92" s="213" t="s">
        <v>56</v>
      </c>
      <c r="G92" t="s">
        <v>66</v>
      </c>
      <c r="H92" t="s">
        <v>84</v>
      </c>
      <c r="I92" t="s">
        <v>623</v>
      </c>
      <c r="J92" t="s">
        <v>56</v>
      </c>
      <c r="K92" t="s">
        <v>12</v>
      </c>
      <c r="L92" t="s">
        <v>629</v>
      </c>
      <c r="M92" t="s">
        <v>20</v>
      </c>
      <c r="N92" t="s">
        <v>7</v>
      </c>
      <c r="O92" t="s">
        <v>662</v>
      </c>
    </row>
    <row r="93" spans="1:15" x14ac:dyDescent="0.25">
      <c r="A93" t="s">
        <v>744</v>
      </c>
      <c r="B93" t="s">
        <v>100</v>
      </c>
      <c r="C93" t="s">
        <v>621</v>
      </c>
      <c r="D93" t="s">
        <v>618</v>
      </c>
      <c r="E93" t="s">
        <v>622</v>
      </c>
      <c r="F93" s="213" t="s">
        <v>56</v>
      </c>
      <c r="G93" t="s">
        <v>66</v>
      </c>
      <c r="H93" t="s">
        <v>84</v>
      </c>
      <c r="I93" t="s">
        <v>623</v>
      </c>
      <c r="J93" t="s">
        <v>56</v>
      </c>
      <c r="K93" t="s">
        <v>27</v>
      </c>
      <c r="L93" t="s">
        <v>626</v>
      </c>
      <c r="M93" t="s">
        <v>14</v>
      </c>
      <c r="N93" t="s">
        <v>29</v>
      </c>
      <c r="O93" t="s">
        <v>632</v>
      </c>
    </row>
    <row r="94" spans="1:15" x14ac:dyDescent="0.25">
      <c r="A94" t="s">
        <v>745</v>
      </c>
      <c r="B94" t="s">
        <v>100</v>
      </c>
      <c r="C94" t="s">
        <v>621</v>
      </c>
      <c r="D94" t="s">
        <v>618</v>
      </c>
      <c r="E94" t="s">
        <v>622</v>
      </c>
      <c r="F94" s="213" t="s">
        <v>56</v>
      </c>
      <c r="G94" t="s">
        <v>66</v>
      </c>
      <c r="H94" t="s">
        <v>84</v>
      </c>
      <c r="I94" t="s">
        <v>623</v>
      </c>
      <c r="J94" t="s">
        <v>56</v>
      </c>
      <c r="K94" t="s">
        <v>25</v>
      </c>
      <c r="L94" t="s">
        <v>628</v>
      </c>
      <c r="M94" t="s">
        <v>14</v>
      </c>
      <c r="N94" t="s">
        <v>43</v>
      </c>
      <c r="O94" t="s">
        <v>731</v>
      </c>
    </row>
    <row r="95" spans="1:15" x14ac:dyDescent="0.25">
      <c r="A95" t="s">
        <v>746</v>
      </c>
      <c r="B95" t="s">
        <v>100</v>
      </c>
      <c r="C95" t="s">
        <v>621</v>
      </c>
      <c r="D95" t="s">
        <v>618</v>
      </c>
      <c r="E95" t="s">
        <v>622</v>
      </c>
      <c r="F95" s="213" t="s">
        <v>56</v>
      </c>
      <c r="G95" t="s">
        <v>66</v>
      </c>
      <c r="H95" t="s">
        <v>84</v>
      </c>
      <c r="I95" t="s">
        <v>623</v>
      </c>
      <c r="J95" t="s">
        <v>56</v>
      </c>
      <c r="K95" t="s">
        <v>22</v>
      </c>
      <c r="L95" t="s">
        <v>630</v>
      </c>
      <c r="M95" t="s">
        <v>14</v>
      </c>
      <c r="N95" t="s">
        <v>41</v>
      </c>
      <c r="O95" t="s">
        <v>624</v>
      </c>
    </row>
    <row r="96" spans="1:15" x14ac:dyDescent="0.25">
      <c r="A96" t="s">
        <v>747</v>
      </c>
      <c r="B96" t="s">
        <v>100</v>
      </c>
      <c r="C96" t="s">
        <v>621</v>
      </c>
      <c r="D96" t="s">
        <v>618</v>
      </c>
      <c r="E96" t="s">
        <v>622</v>
      </c>
      <c r="F96" s="213" t="s">
        <v>56</v>
      </c>
      <c r="G96" t="s">
        <v>66</v>
      </c>
      <c r="H96" t="s">
        <v>84</v>
      </c>
      <c r="I96" t="s">
        <v>623</v>
      </c>
      <c r="J96" t="s">
        <v>56</v>
      </c>
      <c r="K96" t="s">
        <v>19</v>
      </c>
      <c r="L96" t="s">
        <v>625</v>
      </c>
      <c r="M96" t="s">
        <v>14</v>
      </c>
      <c r="N96" t="s">
        <v>42</v>
      </c>
      <c r="O96" t="s">
        <v>46</v>
      </c>
    </row>
    <row r="97" spans="1:15" x14ac:dyDescent="0.25">
      <c r="A97" t="s">
        <v>748</v>
      </c>
      <c r="B97" t="s">
        <v>100</v>
      </c>
      <c r="C97" t="s">
        <v>621</v>
      </c>
      <c r="D97" t="s">
        <v>618</v>
      </c>
      <c r="E97" t="s">
        <v>622</v>
      </c>
      <c r="F97" s="213" t="s">
        <v>56</v>
      </c>
      <c r="G97" t="s">
        <v>66</v>
      </c>
      <c r="H97" t="s">
        <v>84</v>
      </c>
      <c r="I97" t="s">
        <v>623</v>
      </c>
      <c r="J97" t="s">
        <v>56</v>
      </c>
      <c r="K97" t="s">
        <v>15</v>
      </c>
      <c r="L97" t="s">
        <v>632</v>
      </c>
      <c r="M97" t="s">
        <v>14</v>
      </c>
      <c r="N97" t="s">
        <v>10</v>
      </c>
      <c r="O97" t="s">
        <v>749</v>
      </c>
    </row>
    <row r="98" spans="1:15" x14ac:dyDescent="0.25">
      <c r="A98" t="s">
        <v>750</v>
      </c>
      <c r="B98" t="s">
        <v>100</v>
      </c>
      <c r="C98" t="s">
        <v>621</v>
      </c>
      <c r="D98" t="s">
        <v>618</v>
      </c>
      <c r="E98" t="s">
        <v>622</v>
      </c>
      <c r="F98" s="213" t="s">
        <v>56</v>
      </c>
      <c r="G98" t="s">
        <v>66</v>
      </c>
      <c r="H98" t="s">
        <v>84</v>
      </c>
      <c r="I98" t="s">
        <v>623</v>
      </c>
      <c r="J98" t="s">
        <v>56</v>
      </c>
      <c r="K98" t="s">
        <v>27</v>
      </c>
      <c r="L98" t="s">
        <v>626</v>
      </c>
      <c r="M98" t="s">
        <v>11</v>
      </c>
      <c r="N98" t="s">
        <v>31</v>
      </c>
      <c r="O98" t="s">
        <v>642</v>
      </c>
    </row>
    <row r="99" spans="1:15" x14ac:dyDescent="0.25">
      <c r="A99" t="s">
        <v>751</v>
      </c>
      <c r="B99" t="s">
        <v>100</v>
      </c>
      <c r="C99" t="s">
        <v>621</v>
      </c>
      <c r="D99" t="s">
        <v>618</v>
      </c>
      <c r="E99" t="s">
        <v>622</v>
      </c>
      <c r="F99" s="213" t="s">
        <v>56</v>
      </c>
      <c r="G99" t="s">
        <v>66</v>
      </c>
      <c r="H99" t="s">
        <v>84</v>
      </c>
      <c r="I99" t="s">
        <v>623</v>
      </c>
      <c r="J99" t="s">
        <v>56</v>
      </c>
      <c r="K99" t="s">
        <v>25</v>
      </c>
      <c r="L99" t="s">
        <v>628</v>
      </c>
      <c r="M99" t="s">
        <v>11</v>
      </c>
      <c r="N99" t="s">
        <v>11</v>
      </c>
      <c r="O99" t="s">
        <v>741</v>
      </c>
    </row>
    <row r="100" spans="1:15" x14ac:dyDescent="0.25">
      <c r="A100" t="s">
        <v>752</v>
      </c>
      <c r="B100" t="s">
        <v>100</v>
      </c>
      <c r="C100" t="s">
        <v>621</v>
      </c>
      <c r="D100" t="s">
        <v>618</v>
      </c>
      <c r="E100" t="s">
        <v>622</v>
      </c>
      <c r="F100" s="213" t="s">
        <v>56</v>
      </c>
      <c r="G100" t="s">
        <v>66</v>
      </c>
      <c r="H100" t="s">
        <v>84</v>
      </c>
      <c r="I100" t="s">
        <v>623</v>
      </c>
      <c r="J100" t="s">
        <v>56</v>
      </c>
      <c r="K100" t="s">
        <v>22</v>
      </c>
      <c r="L100" t="s">
        <v>630</v>
      </c>
      <c r="M100" t="s">
        <v>11</v>
      </c>
      <c r="N100" t="s">
        <v>15</v>
      </c>
      <c r="O100" t="s">
        <v>662</v>
      </c>
    </row>
    <row r="101" spans="1:15" x14ac:dyDescent="0.25">
      <c r="A101" t="s">
        <v>753</v>
      </c>
      <c r="B101" t="s">
        <v>100</v>
      </c>
      <c r="C101" t="s">
        <v>621</v>
      </c>
      <c r="D101" t="s">
        <v>618</v>
      </c>
      <c r="E101" t="s">
        <v>622</v>
      </c>
      <c r="F101" s="213" t="s">
        <v>56</v>
      </c>
      <c r="G101" t="s">
        <v>66</v>
      </c>
      <c r="H101" t="s">
        <v>84</v>
      </c>
      <c r="I101" t="s">
        <v>623</v>
      </c>
      <c r="J101" t="s">
        <v>56</v>
      </c>
      <c r="K101" t="s">
        <v>19</v>
      </c>
      <c r="L101" t="s">
        <v>625</v>
      </c>
      <c r="M101" t="s">
        <v>11</v>
      </c>
      <c r="N101" t="s">
        <v>3</v>
      </c>
      <c r="O101" t="s">
        <v>638</v>
      </c>
    </row>
    <row r="102" spans="1:15" x14ac:dyDescent="0.25">
      <c r="A102" t="s">
        <v>754</v>
      </c>
      <c r="B102" t="s">
        <v>100</v>
      </c>
      <c r="C102" t="s">
        <v>621</v>
      </c>
      <c r="D102" t="s">
        <v>618</v>
      </c>
      <c r="E102" t="s">
        <v>622</v>
      </c>
      <c r="F102" s="213" t="s">
        <v>56</v>
      </c>
      <c r="G102" t="s">
        <v>66</v>
      </c>
      <c r="H102" t="s">
        <v>84</v>
      </c>
      <c r="I102" t="s">
        <v>623</v>
      </c>
      <c r="J102" t="s">
        <v>56</v>
      </c>
      <c r="K102" t="s">
        <v>15</v>
      </c>
      <c r="L102" t="s">
        <v>632</v>
      </c>
      <c r="M102" t="s">
        <v>11</v>
      </c>
      <c r="N102" t="s">
        <v>7</v>
      </c>
      <c r="O102" t="s">
        <v>755</v>
      </c>
    </row>
    <row r="103" spans="1:15" x14ac:dyDescent="0.25">
      <c r="A103" t="s">
        <v>756</v>
      </c>
      <c r="B103" t="s">
        <v>100</v>
      </c>
      <c r="C103" t="s">
        <v>621</v>
      </c>
      <c r="D103" t="s">
        <v>618</v>
      </c>
      <c r="E103" t="s">
        <v>622</v>
      </c>
      <c r="F103" s="213" t="s">
        <v>56</v>
      </c>
      <c r="G103" t="s">
        <v>66</v>
      </c>
      <c r="H103" t="s">
        <v>84</v>
      </c>
      <c r="I103" t="s">
        <v>623</v>
      </c>
      <c r="J103" t="s">
        <v>56</v>
      </c>
      <c r="K103" t="s">
        <v>12</v>
      </c>
      <c r="L103" t="s">
        <v>629</v>
      </c>
      <c r="M103" t="s">
        <v>11</v>
      </c>
      <c r="N103" t="s">
        <v>36</v>
      </c>
      <c r="O103" t="s">
        <v>625</v>
      </c>
    </row>
    <row r="104" spans="1:15" x14ac:dyDescent="0.25">
      <c r="A104" t="s">
        <v>757</v>
      </c>
      <c r="B104" t="s">
        <v>100</v>
      </c>
      <c r="C104" t="s">
        <v>621</v>
      </c>
      <c r="D104" t="s">
        <v>618</v>
      </c>
      <c r="E104" t="s">
        <v>622</v>
      </c>
      <c r="F104" s="213" t="s">
        <v>56</v>
      </c>
      <c r="G104" t="s">
        <v>66</v>
      </c>
      <c r="H104" t="s">
        <v>84</v>
      </c>
      <c r="I104" t="s">
        <v>623</v>
      </c>
      <c r="J104" t="s">
        <v>56</v>
      </c>
      <c r="K104" t="s">
        <v>27</v>
      </c>
      <c r="L104" t="s">
        <v>626</v>
      </c>
      <c r="M104" t="s">
        <v>13</v>
      </c>
      <c r="N104" t="s">
        <v>11</v>
      </c>
      <c r="O104" t="s">
        <v>693</v>
      </c>
    </row>
    <row r="105" spans="1:15" x14ac:dyDescent="0.25">
      <c r="A105" t="s">
        <v>758</v>
      </c>
      <c r="B105" t="s">
        <v>100</v>
      </c>
      <c r="C105" t="s">
        <v>621</v>
      </c>
      <c r="D105" t="s">
        <v>618</v>
      </c>
      <c r="E105" t="s">
        <v>622</v>
      </c>
      <c r="F105" s="213" t="s">
        <v>56</v>
      </c>
      <c r="G105" t="s">
        <v>66</v>
      </c>
      <c r="H105" t="s">
        <v>84</v>
      </c>
      <c r="I105" t="s">
        <v>623</v>
      </c>
      <c r="J105" t="s">
        <v>56</v>
      </c>
      <c r="K105" t="s">
        <v>25</v>
      </c>
      <c r="L105" t="s">
        <v>628</v>
      </c>
      <c r="M105" t="s">
        <v>13</v>
      </c>
      <c r="N105" t="s">
        <v>45</v>
      </c>
      <c r="O105" t="s">
        <v>101</v>
      </c>
    </row>
    <row r="106" spans="1:15" x14ac:dyDescent="0.25">
      <c r="A106" t="s">
        <v>759</v>
      </c>
      <c r="B106" t="s">
        <v>100</v>
      </c>
      <c r="C106" t="s">
        <v>621</v>
      </c>
      <c r="D106" t="s">
        <v>618</v>
      </c>
      <c r="E106" t="s">
        <v>622</v>
      </c>
      <c r="F106" s="213" t="s">
        <v>56</v>
      </c>
      <c r="G106" t="s">
        <v>66</v>
      </c>
      <c r="H106" t="s">
        <v>84</v>
      </c>
      <c r="I106" t="s">
        <v>623</v>
      </c>
      <c r="J106" t="s">
        <v>56</v>
      </c>
      <c r="K106" t="s">
        <v>22</v>
      </c>
      <c r="L106" t="s">
        <v>630</v>
      </c>
      <c r="M106" t="s">
        <v>13</v>
      </c>
      <c r="N106" t="s">
        <v>43</v>
      </c>
      <c r="O106" t="s">
        <v>641</v>
      </c>
    </row>
    <row r="107" spans="1:15" x14ac:dyDescent="0.25">
      <c r="A107" t="s">
        <v>760</v>
      </c>
      <c r="B107" t="s">
        <v>100</v>
      </c>
      <c r="C107" t="s">
        <v>621</v>
      </c>
      <c r="D107" t="s">
        <v>618</v>
      </c>
      <c r="E107" t="s">
        <v>622</v>
      </c>
      <c r="F107" s="213" t="s">
        <v>56</v>
      </c>
      <c r="G107" t="s">
        <v>66</v>
      </c>
      <c r="H107" t="s">
        <v>84</v>
      </c>
      <c r="I107" t="s">
        <v>623</v>
      </c>
      <c r="J107" t="s">
        <v>56</v>
      </c>
      <c r="K107" t="s">
        <v>19</v>
      </c>
      <c r="L107" t="s">
        <v>625</v>
      </c>
      <c r="M107" t="s">
        <v>13</v>
      </c>
      <c r="N107" t="s">
        <v>100</v>
      </c>
      <c r="O107" t="s">
        <v>761</v>
      </c>
    </row>
    <row r="108" spans="1:15" x14ac:dyDescent="0.25">
      <c r="A108" t="s">
        <v>762</v>
      </c>
      <c r="B108" t="s">
        <v>100</v>
      </c>
      <c r="C108" t="s">
        <v>621</v>
      </c>
      <c r="D108" t="s">
        <v>618</v>
      </c>
      <c r="E108" t="s">
        <v>622</v>
      </c>
      <c r="F108" s="213" t="s">
        <v>56</v>
      </c>
      <c r="G108" t="s">
        <v>66</v>
      </c>
      <c r="H108" t="s">
        <v>84</v>
      </c>
      <c r="I108" t="s">
        <v>623</v>
      </c>
      <c r="J108" t="s">
        <v>56</v>
      </c>
      <c r="K108" t="s">
        <v>15</v>
      </c>
      <c r="L108" t="s">
        <v>632</v>
      </c>
      <c r="M108" t="s">
        <v>13</v>
      </c>
      <c r="N108" t="s">
        <v>26</v>
      </c>
      <c r="O108" t="s">
        <v>629</v>
      </c>
    </row>
    <row r="109" spans="1:15" x14ac:dyDescent="0.25">
      <c r="A109" t="s">
        <v>763</v>
      </c>
      <c r="B109" t="s">
        <v>100</v>
      </c>
      <c r="C109" t="s">
        <v>621</v>
      </c>
      <c r="D109" t="s">
        <v>618</v>
      </c>
      <c r="E109" t="s">
        <v>622</v>
      </c>
      <c r="F109" s="213" t="s">
        <v>56</v>
      </c>
      <c r="G109" t="s">
        <v>66</v>
      </c>
      <c r="H109" t="s">
        <v>84</v>
      </c>
      <c r="I109" t="s">
        <v>623</v>
      </c>
      <c r="J109" t="s">
        <v>56</v>
      </c>
      <c r="K109" t="s">
        <v>27</v>
      </c>
      <c r="L109" t="s">
        <v>626</v>
      </c>
      <c r="M109" t="s">
        <v>7</v>
      </c>
      <c r="N109" t="s">
        <v>18</v>
      </c>
      <c r="O109" t="s">
        <v>693</v>
      </c>
    </row>
    <row r="110" spans="1:15" x14ac:dyDescent="0.25">
      <c r="A110" t="s">
        <v>764</v>
      </c>
      <c r="B110" t="s">
        <v>100</v>
      </c>
      <c r="C110" t="s">
        <v>621</v>
      </c>
      <c r="D110" t="s">
        <v>618</v>
      </c>
      <c r="E110" t="s">
        <v>622</v>
      </c>
      <c r="F110" s="213" t="s">
        <v>56</v>
      </c>
      <c r="G110" t="s">
        <v>66</v>
      </c>
      <c r="H110" t="s">
        <v>84</v>
      </c>
      <c r="I110" t="s">
        <v>623</v>
      </c>
      <c r="J110" t="s">
        <v>56</v>
      </c>
      <c r="K110" t="s">
        <v>25</v>
      </c>
      <c r="L110" t="s">
        <v>628</v>
      </c>
      <c r="M110" t="s">
        <v>7</v>
      </c>
      <c r="N110" t="s">
        <v>14</v>
      </c>
      <c r="O110" t="s">
        <v>765</v>
      </c>
    </row>
    <row r="111" spans="1:15" x14ac:dyDescent="0.25">
      <c r="A111" t="s">
        <v>766</v>
      </c>
      <c r="B111" t="s">
        <v>100</v>
      </c>
      <c r="C111" t="s">
        <v>621</v>
      </c>
      <c r="D111" t="s">
        <v>618</v>
      </c>
      <c r="E111" t="s">
        <v>622</v>
      </c>
      <c r="F111" s="213" t="s">
        <v>56</v>
      </c>
      <c r="G111" t="s">
        <v>66</v>
      </c>
      <c r="H111" t="s">
        <v>84</v>
      </c>
      <c r="I111" t="s">
        <v>623</v>
      </c>
      <c r="J111" t="s">
        <v>56</v>
      </c>
      <c r="K111" t="s">
        <v>22</v>
      </c>
      <c r="L111" t="s">
        <v>630</v>
      </c>
      <c r="M111" t="s">
        <v>7</v>
      </c>
      <c r="N111" t="s">
        <v>25</v>
      </c>
      <c r="O111" t="s">
        <v>645</v>
      </c>
    </row>
    <row r="112" spans="1:15" x14ac:dyDescent="0.25">
      <c r="A112" t="s">
        <v>767</v>
      </c>
      <c r="B112" t="s">
        <v>100</v>
      </c>
      <c r="C112" t="s">
        <v>621</v>
      </c>
      <c r="D112" t="s">
        <v>618</v>
      </c>
      <c r="E112" t="s">
        <v>622</v>
      </c>
      <c r="F112" s="213" t="s">
        <v>56</v>
      </c>
      <c r="G112" t="s">
        <v>66</v>
      </c>
      <c r="H112" t="s">
        <v>84</v>
      </c>
      <c r="I112" t="s">
        <v>623</v>
      </c>
      <c r="J112" t="s">
        <v>56</v>
      </c>
      <c r="K112" t="s">
        <v>19</v>
      </c>
      <c r="L112" t="s">
        <v>625</v>
      </c>
      <c r="M112" t="s">
        <v>7</v>
      </c>
      <c r="N112" t="s">
        <v>50</v>
      </c>
      <c r="O112" t="s">
        <v>626</v>
      </c>
    </row>
    <row r="113" spans="1:15" x14ac:dyDescent="0.25">
      <c r="A113" t="s">
        <v>768</v>
      </c>
      <c r="B113" t="s">
        <v>100</v>
      </c>
      <c r="C113" t="s">
        <v>621</v>
      </c>
      <c r="D113" t="s">
        <v>618</v>
      </c>
      <c r="E113" t="s">
        <v>622</v>
      </c>
      <c r="F113" s="213" t="s">
        <v>56</v>
      </c>
      <c r="G113" t="s">
        <v>66</v>
      </c>
      <c r="H113" t="s">
        <v>84</v>
      </c>
      <c r="I113" t="s">
        <v>623</v>
      </c>
      <c r="J113" t="s">
        <v>56</v>
      </c>
      <c r="K113" t="s">
        <v>15</v>
      </c>
      <c r="L113" t="s">
        <v>632</v>
      </c>
      <c r="M113" t="s">
        <v>7</v>
      </c>
      <c r="N113" t="s">
        <v>4</v>
      </c>
      <c r="O113" t="s">
        <v>712</v>
      </c>
    </row>
    <row r="114" spans="1:15" x14ac:dyDescent="0.25">
      <c r="A114" t="s">
        <v>769</v>
      </c>
      <c r="B114" t="s">
        <v>100</v>
      </c>
      <c r="C114" t="s">
        <v>621</v>
      </c>
      <c r="D114" t="s">
        <v>618</v>
      </c>
      <c r="E114" t="s">
        <v>622</v>
      </c>
      <c r="F114" s="213" t="s">
        <v>56</v>
      </c>
      <c r="G114" t="s">
        <v>66</v>
      </c>
      <c r="H114" t="s">
        <v>84</v>
      </c>
      <c r="I114" t="s">
        <v>623</v>
      </c>
      <c r="J114" t="s">
        <v>56</v>
      </c>
      <c r="K114" t="s">
        <v>12</v>
      </c>
      <c r="L114" t="s">
        <v>629</v>
      </c>
      <c r="M114" t="s">
        <v>7</v>
      </c>
      <c r="N114" t="s">
        <v>2</v>
      </c>
      <c r="O114" t="s">
        <v>770</v>
      </c>
    </row>
    <row r="115" spans="1:15" x14ac:dyDescent="0.25">
      <c r="A115" t="s">
        <v>771</v>
      </c>
      <c r="B115" t="s">
        <v>100</v>
      </c>
      <c r="C115" t="s">
        <v>621</v>
      </c>
      <c r="D115" t="s">
        <v>618</v>
      </c>
      <c r="E115" t="s">
        <v>622</v>
      </c>
      <c r="F115" s="213" t="s">
        <v>56</v>
      </c>
      <c r="G115" t="s">
        <v>66</v>
      </c>
      <c r="H115" t="s">
        <v>84</v>
      </c>
      <c r="I115" t="s">
        <v>623</v>
      </c>
      <c r="J115" t="s">
        <v>56</v>
      </c>
      <c r="K115" t="s">
        <v>10</v>
      </c>
      <c r="L115" t="s">
        <v>635</v>
      </c>
      <c r="M115" t="s">
        <v>7</v>
      </c>
      <c r="N115" t="s">
        <v>53</v>
      </c>
      <c r="O115" t="s">
        <v>654</v>
      </c>
    </row>
    <row r="116" spans="1:15" x14ac:dyDescent="0.25">
      <c r="A116" t="s">
        <v>772</v>
      </c>
      <c r="B116" t="s">
        <v>100</v>
      </c>
      <c r="C116" t="s">
        <v>621</v>
      </c>
      <c r="D116" t="s">
        <v>618</v>
      </c>
      <c r="E116" t="s">
        <v>622</v>
      </c>
      <c r="F116" s="213" t="s">
        <v>56</v>
      </c>
      <c r="G116" t="s">
        <v>66</v>
      </c>
      <c r="H116" t="s">
        <v>84</v>
      </c>
      <c r="I116" t="s">
        <v>623</v>
      </c>
      <c r="J116" t="s">
        <v>56</v>
      </c>
      <c r="K116" t="s">
        <v>8</v>
      </c>
      <c r="L116" t="s">
        <v>637</v>
      </c>
      <c r="M116" t="s">
        <v>7</v>
      </c>
      <c r="N116" t="s">
        <v>45</v>
      </c>
      <c r="O116" t="s">
        <v>630</v>
      </c>
    </row>
    <row r="117" spans="1:15" x14ac:dyDescent="0.25">
      <c r="A117" t="s">
        <v>773</v>
      </c>
      <c r="B117" t="s">
        <v>100</v>
      </c>
      <c r="C117" t="s">
        <v>621</v>
      </c>
      <c r="D117" t="s">
        <v>618</v>
      </c>
      <c r="E117" t="s">
        <v>622</v>
      </c>
      <c r="F117" s="213" t="s">
        <v>56</v>
      </c>
      <c r="G117" t="s">
        <v>66</v>
      </c>
      <c r="H117" t="s">
        <v>84</v>
      </c>
      <c r="I117" t="s">
        <v>623</v>
      </c>
      <c r="J117" t="s">
        <v>56</v>
      </c>
      <c r="K117" t="s">
        <v>27</v>
      </c>
      <c r="L117" t="s">
        <v>626</v>
      </c>
      <c r="M117" t="s">
        <v>58</v>
      </c>
      <c r="N117" t="s">
        <v>100</v>
      </c>
      <c r="O117" t="s">
        <v>630</v>
      </c>
    </row>
    <row r="118" spans="1:15" x14ac:dyDescent="0.25">
      <c r="A118" t="s">
        <v>774</v>
      </c>
      <c r="B118" t="s">
        <v>100</v>
      </c>
      <c r="C118" t="s">
        <v>621</v>
      </c>
      <c r="D118" t="s">
        <v>618</v>
      </c>
      <c r="E118" t="s">
        <v>622</v>
      </c>
      <c r="F118" s="213" t="s">
        <v>56</v>
      </c>
      <c r="G118" t="s">
        <v>66</v>
      </c>
      <c r="H118" t="s">
        <v>84</v>
      </c>
      <c r="I118" t="s">
        <v>623</v>
      </c>
      <c r="J118" t="s">
        <v>56</v>
      </c>
      <c r="K118" t="s">
        <v>27</v>
      </c>
      <c r="L118" t="s">
        <v>626</v>
      </c>
      <c r="M118" t="s">
        <v>6</v>
      </c>
      <c r="N118" t="s">
        <v>51</v>
      </c>
      <c r="O118" t="s">
        <v>626</v>
      </c>
    </row>
    <row r="119" spans="1:15" x14ac:dyDescent="0.25">
      <c r="A119" t="s">
        <v>775</v>
      </c>
      <c r="B119" t="s">
        <v>100</v>
      </c>
      <c r="C119" t="s">
        <v>621</v>
      </c>
      <c r="D119" t="s">
        <v>618</v>
      </c>
      <c r="E119" t="s">
        <v>622</v>
      </c>
      <c r="F119" s="213" t="s">
        <v>56</v>
      </c>
      <c r="G119" t="s">
        <v>66</v>
      </c>
      <c r="H119" t="s">
        <v>84</v>
      </c>
      <c r="I119" t="s">
        <v>623</v>
      </c>
      <c r="J119" t="s">
        <v>56</v>
      </c>
      <c r="K119" t="s">
        <v>25</v>
      </c>
      <c r="L119" t="s">
        <v>628</v>
      </c>
      <c r="M119" t="s">
        <v>6</v>
      </c>
      <c r="N119" t="s">
        <v>41</v>
      </c>
      <c r="O119" t="s">
        <v>632</v>
      </c>
    </row>
    <row r="120" spans="1:15" x14ac:dyDescent="0.25">
      <c r="A120" t="s">
        <v>776</v>
      </c>
      <c r="B120" t="s">
        <v>100</v>
      </c>
      <c r="C120" t="s">
        <v>621</v>
      </c>
      <c r="D120" t="s">
        <v>618</v>
      </c>
      <c r="E120" t="s">
        <v>622</v>
      </c>
      <c r="F120" s="213" t="s">
        <v>56</v>
      </c>
      <c r="G120" t="s">
        <v>66</v>
      </c>
      <c r="H120" t="s">
        <v>84</v>
      </c>
      <c r="I120" t="s">
        <v>623</v>
      </c>
      <c r="J120" t="s">
        <v>56</v>
      </c>
      <c r="K120" t="s">
        <v>22</v>
      </c>
      <c r="L120" t="s">
        <v>630</v>
      </c>
      <c r="M120" t="s">
        <v>6</v>
      </c>
      <c r="N120" t="s">
        <v>60</v>
      </c>
      <c r="O120" t="s">
        <v>49</v>
      </c>
    </row>
    <row r="121" spans="1:15" x14ac:dyDescent="0.25">
      <c r="A121" t="s">
        <v>777</v>
      </c>
      <c r="B121" t="s">
        <v>100</v>
      </c>
      <c r="C121" t="s">
        <v>621</v>
      </c>
      <c r="D121" t="s">
        <v>618</v>
      </c>
      <c r="E121" t="s">
        <v>622</v>
      </c>
      <c r="F121" s="213" t="s">
        <v>56</v>
      </c>
      <c r="G121" t="s">
        <v>66</v>
      </c>
      <c r="H121" t="s">
        <v>84</v>
      </c>
      <c r="I121" t="s">
        <v>623</v>
      </c>
      <c r="J121" t="s">
        <v>56</v>
      </c>
      <c r="K121" t="s">
        <v>19</v>
      </c>
      <c r="L121" t="s">
        <v>625</v>
      </c>
      <c r="M121" t="s">
        <v>6</v>
      </c>
      <c r="N121" t="s">
        <v>25</v>
      </c>
      <c r="O121" t="s">
        <v>639</v>
      </c>
    </row>
    <row r="122" spans="1:15" x14ac:dyDescent="0.25">
      <c r="A122" t="s">
        <v>778</v>
      </c>
      <c r="B122" t="s">
        <v>100</v>
      </c>
      <c r="C122" t="s">
        <v>621</v>
      </c>
      <c r="D122" t="s">
        <v>618</v>
      </c>
      <c r="E122" t="s">
        <v>622</v>
      </c>
      <c r="F122" s="213" t="s">
        <v>56</v>
      </c>
      <c r="G122" t="s">
        <v>66</v>
      </c>
      <c r="H122" t="s">
        <v>84</v>
      </c>
      <c r="I122" t="s">
        <v>623</v>
      </c>
      <c r="J122" t="s">
        <v>56</v>
      </c>
      <c r="K122" t="s">
        <v>15</v>
      </c>
      <c r="L122" t="s">
        <v>632</v>
      </c>
      <c r="M122" t="s">
        <v>6</v>
      </c>
      <c r="N122" t="s">
        <v>26</v>
      </c>
      <c r="O122" t="s">
        <v>645</v>
      </c>
    </row>
    <row r="123" spans="1:15" x14ac:dyDescent="0.25">
      <c r="A123" t="s">
        <v>779</v>
      </c>
      <c r="B123" t="s">
        <v>100</v>
      </c>
      <c r="C123" t="s">
        <v>621</v>
      </c>
      <c r="D123" t="s">
        <v>618</v>
      </c>
      <c r="E123" t="s">
        <v>622</v>
      </c>
      <c r="F123" s="213" t="s">
        <v>56</v>
      </c>
      <c r="G123" t="s">
        <v>66</v>
      </c>
      <c r="H123" t="s">
        <v>84</v>
      </c>
      <c r="I123" t="s">
        <v>623</v>
      </c>
      <c r="J123" t="s">
        <v>56</v>
      </c>
      <c r="K123" t="s">
        <v>12</v>
      </c>
      <c r="L123" t="s">
        <v>629</v>
      </c>
      <c r="M123" t="s">
        <v>6</v>
      </c>
      <c r="N123" t="s">
        <v>42</v>
      </c>
      <c r="O123" t="s">
        <v>623</v>
      </c>
    </row>
    <row r="124" spans="1:15" x14ac:dyDescent="0.25">
      <c r="A124" t="s">
        <v>780</v>
      </c>
      <c r="B124" t="s">
        <v>100</v>
      </c>
      <c r="C124" t="s">
        <v>621</v>
      </c>
      <c r="D124" t="s">
        <v>618</v>
      </c>
      <c r="E124" t="s">
        <v>622</v>
      </c>
      <c r="F124" s="213" t="s">
        <v>56</v>
      </c>
      <c r="G124" t="s">
        <v>66</v>
      </c>
      <c r="H124" t="s">
        <v>84</v>
      </c>
      <c r="I124" t="s">
        <v>623</v>
      </c>
      <c r="J124" t="s">
        <v>56</v>
      </c>
      <c r="K124" t="s">
        <v>10</v>
      </c>
      <c r="L124" t="s">
        <v>635</v>
      </c>
      <c r="M124" t="s">
        <v>6</v>
      </c>
      <c r="N124" t="s">
        <v>10</v>
      </c>
      <c r="O124" t="s">
        <v>781</v>
      </c>
    </row>
    <row r="125" spans="1:15" x14ac:dyDescent="0.25">
      <c r="A125" t="s">
        <v>782</v>
      </c>
      <c r="B125" t="s">
        <v>100</v>
      </c>
      <c r="C125" t="s">
        <v>621</v>
      </c>
      <c r="D125" t="s">
        <v>618</v>
      </c>
      <c r="E125" t="s">
        <v>622</v>
      </c>
      <c r="F125" s="213" t="s">
        <v>56</v>
      </c>
      <c r="G125" t="s">
        <v>66</v>
      </c>
      <c r="H125" t="s">
        <v>84</v>
      </c>
      <c r="I125" t="s">
        <v>623</v>
      </c>
      <c r="J125" t="s">
        <v>56</v>
      </c>
      <c r="K125" t="s">
        <v>27</v>
      </c>
      <c r="L125" t="s">
        <v>626</v>
      </c>
      <c r="M125" t="s">
        <v>53</v>
      </c>
      <c r="N125" t="s">
        <v>9</v>
      </c>
      <c r="O125" t="s">
        <v>101</v>
      </c>
    </row>
    <row r="126" spans="1:15" x14ac:dyDescent="0.25">
      <c r="A126" t="s">
        <v>783</v>
      </c>
      <c r="B126" t="s">
        <v>100</v>
      </c>
      <c r="C126" t="s">
        <v>621</v>
      </c>
      <c r="D126" t="s">
        <v>618</v>
      </c>
      <c r="E126" t="s">
        <v>622</v>
      </c>
      <c r="F126" s="213" t="s">
        <v>56</v>
      </c>
      <c r="G126" t="s">
        <v>66</v>
      </c>
      <c r="H126" t="s">
        <v>84</v>
      </c>
      <c r="I126" t="s">
        <v>623</v>
      </c>
      <c r="J126" t="s">
        <v>56</v>
      </c>
      <c r="K126" t="s">
        <v>25</v>
      </c>
      <c r="L126" t="s">
        <v>628</v>
      </c>
      <c r="M126" t="s">
        <v>53</v>
      </c>
      <c r="N126" t="s">
        <v>0</v>
      </c>
      <c r="O126" t="s">
        <v>625</v>
      </c>
    </row>
    <row r="127" spans="1:15" x14ac:dyDescent="0.25">
      <c r="A127" t="s">
        <v>784</v>
      </c>
      <c r="B127" t="s">
        <v>100</v>
      </c>
      <c r="C127" t="s">
        <v>621</v>
      </c>
      <c r="D127" t="s">
        <v>618</v>
      </c>
      <c r="E127" t="s">
        <v>622</v>
      </c>
      <c r="F127" s="213" t="s">
        <v>56</v>
      </c>
      <c r="G127" t="s">
        <v>66</v>
      </c>
      <c r="H127" t="s">
        <v>84</v>
      </c>
      <c r="I127" t="s">
        <v>623</v>
      </c>
      <c r="J127" t="s">
        <v>56</v>
      </c>
      <c r="K127" t="s">
        <v>27</v>
      </c>
      <c r="L127" t="s">
        <v>626</v>
      </c>
      <c r="M127" t="s">
        <v>54</v>
      </c>
      <c r="N127" t="s">
        <v>7</v>
      </c>
      <c r="O127" t="s">
        <v>13</v>
      </c>
    </row>
    <row r="128" spans="1:15" x14ac:dyDescent="0.25">
      <c r="A128" t="s">
        <v>785</v>
      </c>
      <c r="B128" t="s">
        <v>100</v>
      </c>
      <c r="C128" t="s">
        <v>621</v>
      </c>
      <c r="D128" t="s">
        <v>618</v>
      </c>
      <c r="E128" t="s">
        <v>622</v>
      </c>
      <c r="F128" s="213" t="s">
        <v>56</v>
      </c>
      <c r="G128" t="s">
        <v>66</v>
      </c>
      <c r="H128" t="s">
        <v>84</v>
      </c>
      <c r="I128" t="s">
        <v>623</v>
      </c>
      <c r="J128" t="s">
        <v>56</v>
      </c>
      <c r="K128" t="s">
        <v>25</v>
      </c>
      <c r="L128" t="s">
        <v>628</v>
      </c>
      <c r="M128" t="s">
        <v>54</v>
      </c>
      <c r="N128" t="s">
        <v>6</v>
      </c>
      <c r="O128" t="s">
        <v>786</v>
      </c>
    </row>
    <row r="129" spans="1:15" x14ac:dyDescent="0.25">
      <c r="A129" t="s">
        <v>787</v>
      </c>
      <c r="B129" t="s">
        <v>100</v>
      </c>
      <c r="C129" t="s">
        <v>621</v>
      </c>
      <c r="D129" t="s">
        <v>618</v>
      </c>
      <c r="E129" t="s">
        <v>622</v>
      </c>
      <c r="F129" s="213" t="s">
        <v>56</v>
      </c>
      <c r="G129" t="s">
        <v>66</v>
      </c>
      <c r="H129" t="s">
        <v>84</v>
      </c>
      <c r="I129" t="s">
        <v>623</v>
      </c>
      <c r="J129" t="s">
        <v>56</v>
      </c>
      <c r="K129" t="s">
        <v>27</v>
      </c>
      <c r="L129" t="s">
        <v>626</v>
      </c>
      <c r="M129" t="s">
        <v>9</v>
      </c>
      <c r="N129" t="s">
        <v>15</v>
      </c>
      <c r="O129" t="s">
        <v>749</v>
      </c>
    </row>
    <row r="130" spans="1:15" x14ac:dyDescent="0.25">
      <c r="A130" t="s">
        <v>788</v>
      </c>
      <c r="B130" t="s">
        <v>100</v>
      </c>
      <c r="C130" t="s">
        <v>621</v>
      </c>
      <c r="D130" t="s">
        <v>618</v>
      </c>
      <c r="E130" t="s">
        <v>622</v>
      </c>
      <c r="F130" s="213" t="s">
        <v>56</v>
      </c>
      <c r="G130" t="s">
        <v>66</v>
      </c>
      <c r="H130" t="s">
        <v>84</v>
      </c>
      <c r="I130" t="s">
        <v>623</v>
      </c>
      <c r="J130" t="s">
        <v>56</v>
      </c>
      <c r="K130" t="s">
        <v>25</v>
      </c>
      <c r="L130" t="s">
        <v>628</v>
      </c>
      <c r="M130" t="s">
        <v>9</v>
      </c>
      <c r="N130" t="s">
        <v>11</v>
      </c>
      <c r="O130" t="s">
        <v>789</v>
      </c>
    </row>
    <row r="131" spans="1:15" x14ac:dyDescent="0.25">
      <c r="A131" t="s">
        <v>790</v>
      </c>
      <c r="B131" t="s">
        <v>100</v>
      </c>
      <c r="C131" t="s">
        <v>621</v>
      </c>
      <c r="D131" t="s">
        <v>618</v>
      </c>
      <c r="E131" t="s">
        <v>622</v>
      </c>
      <c r="F131" s="213" t="s">
        <v>56</v>
      </c>
      <c r="G131" t="s">
        <v>66</v>
      </c>
      <c r="H131" t="s">
        <v>84</v>
      </c>
      <c r="I131" t="s">
        <v>623</v>
      </c>
      <c r="J131" t="s">
        <v>56</v>
      </c>
      <c r="K131" t="s">
        <v>22</v>
      </c>
      <c r="L131" t="s">
        <v>630</v>
      </c>
      <c r="M131" t="s">
        <v>9</v>
      </c>
      <c r="N131" t="s">
        <v>53</v>
      </c>
      <c r="O131" t="s">
        <v>49</v>
      </c>
    </row>
    <row r="132" spans="1:15" x14ac:dyDescent="0.25">
      <c r="A132" t="s">
        <v>791</v>
      </c>
      <c r="B132" t="s">
        <v>100</v>
      </c>
      <c r="C132" t="s">
        <v>621</v>
      </c>
      <c r="D132" t="s">
        <v>618</v>
      </c>
      <c r="E132" t="s">
        <v>622</v>
      </c>
      <c r="F132" s="213" t="s">
        <v>56</v>
      </c>
      <c r="G132" t="s">
        <v>66</v>
      </c>
      <c r="H132" t="s">
        <v>84</v>
      </c>
      <c r="I132" t="s">
        <v>623</v>
      </c>
      <c r="J132" t="s">
        <v>56</v>
      </c>
      <c r="K132" t="s">
        <v>19</v>
      </c>
      <c r="L132" t="s">
        <v>625</v>
      </c>
      <c r="M132" t="s">
        <v>9</v>
      </c>
      <c r="N132" t="s">
        <v>24</v>
      </c>
      <c r="O132" t="s">
        <v>637</v>
      </c>
    </row>
    <row r="133" spans="1:15" x14ac:dyDescent="0.25">
      <c r="A133" t="s">
        <v>792</v>
      </c>
      <c r="B133" t="s">
        <v>100</v>
      </c>
      <c r="C133" t="s">
        <v>621</v>
      </c>
      <c r="D133" t="s">
        <v>618</v>
      </c>
      <c r="E133" t="s">
        <v>622</v>
      </c>
      <c r="F133" s="213" t="s">
        <v>56</v>
      </c>
      <c r="G133" t="s">
        <v>66</v>
      </c>
      <c r="H133" t="s">
        <v>84</v>
      </c>
      <c r="I133" t="s">
        <v>623</v>
      </c>
      <c r="J133" t="s">
        <v>56</v>
      </c>
      <c r="K133" t="s">
        <v>15</v>
      </c>
      <c r="L133" t="s">
        <v>632</v>
      </c>
      <c r="M133" t="s">
        <v>9</v>
      </c>
      <c r="N133" t="s">
        <v>100</v>
      </c>
      <c r="O133" t="s">
        <v>793</v>
      </c>
    </row>
    <row r="134" spans="1:15" x14ac:dyDescent="0.25">
      <c r="A134" t="s">
        <v>794</v>
      </c>
      <c r="B134" t="s">
        <v>100</v>
      </c>
      <c r="C134" t="s">
        <v>621</v>
      </c>
      <c r="D134" t="s">
        <v>618</v>
      </c>
      <c r="E134" t="s">
        <v>622</v>
      </c>
      <c r="F134" s="213" t="s">
        <v>56</v>
      </c>
      <c r="G134" t="s">
        <v>66</v>
      </c>
      <c r="H134" t="s">
        <v>84</v>
      </c>
      <c r="I134" t="s">
        <v>623</v>
      </c>
      <c r="J134" t="s">
        <v>56</v>
      </c>
      <c r="K134" t="s">
        <v>12</v>
      </c>
      <c r="L134" t="s">
        <v>629</v>
      </c>
      <c r="M134" t="s">
        <v>9</v>
      </c>
      <c r="N134" t="s">
        <v>51</v>
      </c>
      <c r="O134" t="s">
        <v>418</v>
      </c>
    </row>
    <row r="135" spans="1:15" x14ac:dyDescent="0.25">
      <c r="A135" t="s">
        <v>795</v>
      </c>
      <c r="B135" t="s">
        <v>100</v>
      </c>
      <c r="C135" t="s">
        <v>621</v>
      </c>
      <c r="D135" t="s">
        <v>618</v>
      </c>
      <c r="E135" t="s">
        <v>622</v>
      </c>
      <c r="F135" s="213" t="s">
        <v>56</v>
      </c>
      <c r="G135" t="s">
        <v>66</v>
      </c>
      <c r="H135" t="s">
        <v>84</v>
      </c>
      <c r="I135" t="s">
        <v>623</v>
      </c>
      <c r="J135" t="s">
        <v>56</v>
      </c>
      <c r="K135" t="s">
        <v>27</v>
      </c>
      <c r="L135" t="s">
        <v>626</v>
      </c>
      <c r="M135" t="s">
        <v>63</v>
      </c>
      <c r="N135" t="s">
        <v>1</v>
      </c>
      <c r="O135" t="s">
        <v>101</v>
      </c>
    </row>
    <row r="136" spans="1:15" x14ac:dyDescent="0.25">
      <c r="A136" t="s">
        <v>796</v>
      </c>
      <c r="B136" t="s">
        <v>100</v>
      </c>
      <c r="C136" t="s">
        <v>621</v>
      </c>
      <c r="D136" t="s">
        <v>618</v>
      </c>
      <c r="E136" t="s">
        <v>622</v>
      </c>
      <c r="F136" s="213" t="s">
        <v>56</v>
      </c>
      <c r="G136" t="s">
        <v>66</v>
      </c>
      <c r="H136" t="s">
        <v>84</v>
      </c>
      <c r="I136" t="s">
        <v>623</v>
      </c>
      <c r="J136" t="s">
        <v>56</v>
      </c>
      <c r="K136" t="s">
        <v>27</v>
      </c>
      <c r="L136" t="s">
        <v>626</v>
      </c>
      <c r="M136" t="s">
        <v>59</v>
      </c>
      <c r="N136" t="s">
        <v>4</v>
      </c>
      <c r="O136" t="s">
        <v>100</v>
      </c>
    </row>
    <row r="137" spans="1:15" x14ac:dyDescent="0.25">
      <c r="A137" t="s">
        <v>797</v>
      </c>
      <c r="B137" t="s">
        <v>100</v>
      </c>
      <c r="C137" t="s">
        <v>621</v>
      </c>
      <c r="D137" t="s">
        <v>618</v>
      </c>
      <c r="E137" t="s">
        <v>622</v>
      </c>
      <c r="F137" s="213" t="s">
        <v>56</v>
      </c>
      <c r="G137" t="s">
        <v>66</v>
      </c>
      <c r="H137" t="s">
        <v>84</v>
      </c>
      <c r="I137" t="s">
        <v>623</v>
      </c>
      <c r="J137" t="s">
        <v>56</v>
      </c>
      <c r="K137" t="s">
        <v>27</v>
      </c>
      <c r="L137" t="s">
        <v>626</v>
      </c>
      <c r="M137" t="s">
        <v>8</v>
      </c>
      <c r="N137" t="s">
        <v>18</v>
      </c>
      <c r="O137" t="s">
        <v>662</v>
      </c>
    </row>
    <row r="138" spans="1:15" x14ac:dyDescent="0.25">
      <c r="A138" t="s">
        <v>798</v>
      </c>
      <c r="B138" t="s">
        <v>100</v>
      </c>
      <c r="C138" t="s">
        <v>621</v>
      </c>
      <c r="D138" t="s">
        <v>618</v>
      </c>
      <c r="E138" t="s">
        <v>622</v>
      </c>
      <c r="F138" s="213" t="s">
        <v>56</v>
      </c>
      <c r="G138" t="s">
        <v>66</v>
      </c>
      <c r="H138" t="s">
        <v>84</v>
      </c>
      <c r="I138" t="s">
        <v>623</v>
      </c>
      <c r="J138" t="s">
        <v>56</v>
      </c>
      <c r="K138" t="s">
        <v>25</v>
      </c>
      <c r="L138" t="s">
        <v>628</v>
      </c>
      <c r="M138" t="s">
        <v>8</v>
      </c>
      <c r="N138" t="s">
        <v>14</v>
      </c>
      <c r="O138" t="s">
        <v>741</v>
      </c>
    </row>
    <row r="139" spans="1:15" x14ac:dyDescent="0.25">
      <c r="A139" t="s">
        <v>799</v>
      </c>
      <c r="B139" t="s">
        <v>100</v>
      </c>
      <c r="C139" t="s">
        <v>621</v>
      </c>
      <c r="D139" t="s">
        <v>618</v>
      </c>
      <c r="E139" t="s">
        <v>622</v>
      </c>
      <c r="F139" s="213" t="s">
        <v>56</v>
      </c>
      <c r="G139" t="s">
        <v>66</v>
      </c>
      <c r="H139" t="s">
        <v>84</v>
      </c>
      <c r="I139" t="s">
        <v>623</v>
      </c>
      <c r="J139" t="s">
        <v>56</v>
      </c>
      <c r="K139" t="s">
        <v>22</v>
      </c>
      <c r="L139" t="s">
        <v>630</v>
      </c>
      <c r="M139" t="s">
        <v>8</v>
      </c>
      <c r="N139" t="s">
        <v>52</v>
      </c>
      <c r="O139" t="s">
        <v>418</v>
      </c>
    </row>
    <row r="140" spans="1:15" x14ac:dyDescent="0.25">
      <c r="A140" t="s">
        <v>800</v>
      </c>
      <c r="B140" t="s">
        <v>100</v>
      </c>
      <c r="C140" t="s">
        <v>621</v>
      </c>
      <c r="D140" t="s">
        <v>618</v>
      </c>
      <c r="E140" t="s">
        <v>622</v>
      </c>
      <c r="F140" s="213" t="s">
        <v>56</v>
      </c>
      <c r="G140" t="s">
        <v>66</v>
      </c>
      <c r="H140" t="s">
        <v>84</v>
      </c>
      <c r="I140" t="s">
        <v>623</v>
      </c>
      <c r="J140" t="s">
        <v>56</v>
      </c>
      <c r="K140" t="s">
        <v>19</v>
      </c>
      <c r="L140" t="s">
        <v>625</v>
      </c>
      <c r="M140" t="s">
        <v>8</v>
      </c>
      <c r="N140" t="s">
        <v>37</v>
      </c>
      <c r="O140" t="s">
        <v>632</v>
      </c>
    </row>
    <row r="141" spans="1:15" x14ac:dyDescent="0.25">
      <c r="A141" t="s">
        <v>801</v>
      </c>
      <c r="B141" t="s">
        <v>100</v>
      </c>
      <c r="C141" t="s">
        <v>621</v>
      </c>
      <c r="D141" t="s">
        <v>618</v>
      </c>
      <c r="E141" t="s">
        <v>622</v>
      </c>
      <c r="F141" s="213" t="s">
        <v>56</v>
      </c>
      <c r="G141" t="s">
        <v>66</v>
      </c>
      <c r="H141" t="s">
        <v>84</v>
      </c>
      <c r="I141" t="s">
        <v>623</v>
      </c>
      <c r="J141" t="s">
        <v>56</v>
      </c>
      <c r="K141" t="s">
        <v>15</v>
      </c>
      <c r="L141" t="s">
        <v>632</v>
      </c>
      <c r="M141" t="s">
        <v>8</v>
      </c>
      <c r="N141" t="s">
        <v>51</v>
      </c>
      <c r="O141" t="s">
        <v>654</v>
      </c>
    </row>
    <row r="142" spans="1:15" x14ac:dyDescent="0.25">
      <c r="A142" t="s">
        <v>802</v>
      </c>
      <c r="B142" t="s">
        <v>100</v>
      </c>
      <c r="C142" t="s">
        <v>621</v>
      </c>
      <c r="D142" t="s">
        <v>618</v>
      </c>
      <c r="E142" t="s">
        <v>622</v>
      </c>
      <c r="F142" s="213" t="s">
        <v>56</v>
      </c>
      <c r="G142" t="s">
        <v>66</v>
      </c>
      <c r="H142" t="s">
        <v>84</v>
      </c>
      <c r="I142" t="s">
        <v>623</v>
      </c>
      <c r="J142" t="s">
        <v>56</v>
      </c>
      <c r="K142" t="s">
        <v>12</v>
      </c>
      <c r="L142" t="s">
        <v>629</v>
      </c>
      <c r="M142" t="s">
        <v>8</v>
      </c>
      <c r="N142" t="s">
        <v>49</v>
      </c>
      <c r="O142" t="s">
        <v>624</v>
      </c>
    </row>
    <row r="143" spans="1:15" x14ac:dyDescent="0.25">
      <c r="A143" t="s">
        <v>803</v>
      </c>
      <c r="B143" t="s">
        <v>100</v>
      </c>
      <c r="C143" t="s">
        <v>621</v>
      </c>
      <c r="D143" t="s">
        <v>618</v>
      </c>
      <c r="E143" t="s">
        <v>622</v>
      </c>
      <c r="F143" s="213" t="s">
        <v>56</v>
      </c>
      <c r="G143" t="s">
        <v>66</v>
      </c>
      <c r="H143" t="s">
        <v>84</v>
      </c>
      <c r="I143" t="s">
        <v>623</v>
      </c>
      <c r="J143" t="s">
        <v>56</v>
      </c>
      <c r="K143" t="s">
        <v>27</v>
      </c>
      <c r="L143" t="s">
        <v>626</v>
      </c>
      <c r="M143" t="s">
        <v>3</v>
      </c>
      <c r="N143" t="s">
        <v>50</v>
      </c>
      <c r="O143" t="s">
        <v>665</v>
      </c>
    </row>
    <row r="144" spans="1:15" x14ac:dyDescent="0.25">
      <c r="A144" t="s">
        <v>804</v>
      </c>
      <c r="B144" t="s">
        <v>100</v>
      </c>
      <c r="C144" t="s">
        <v>621</v>
      </c>
      <c r="D144" t="s">
        <v>618</v>
      </c>
      <c r="E144" t="s">
        <v>622</v>
      </c>
      <c r="F144" s="213" t="s">
        <v>56</v>
      </c>
      <c r="G144" t="s">
        <v>66</v>
      </c>
      <c r="H144" t="s">
        <v>84</v>
      </c>
      <c r="I144" t="s">
        <v>623</v>
      </c>
      <c r="J144" t="s">
        <v>56</v>
      </c>
      <c r="K144" t="s">
        <v>25</v>
      </c>
      <c r="L144" t="s">
        <v>628</v>
      </c>
      <c r="M144" t="s">
        <v>3</v>
      </c>
      <c r="N144" t="s">
        <v>48</v>
      </c>
      <c r="O144" t="s">
        <v>623</v>
      </c>
    </row>
    <row r="145" spans="1:15" x14ac:dyDescent="0.25">
      <c r="A145" t="s">
        <v>805</v>
      </c>
      <c r="B145" t="s">
        <v>100</v>
      </c>
      <c r="C145" t="s">
        <v>621</v>
      </c>
      <c r="D145" t="s">
        <v>618</v>
      </c>
      <c r="E145" t="s">
        <v>622</v>
      </c>
      <c r="F145" s="213" t="s">
        <v>56</v>
      </c>
      <c r="G145" t="s">
        <v>66</v>
      </c>
      <c r="H145" t="s">
        <v>84</v>
      </c>
      <c r="I145" t="s">
        <v>623</v>
      </c>
      <c r="J145" t="s">
        <v>56</v>
      </c>
      <c r="K145" t="s">
        <v>22</v>
      </c>
      <c r="L145" t="s">
        <v>630</v>
      </c>
      <c r="M145" t="s">
        <v>3</v>
      </c>
      <c r="N145" t="s">
        <v>19</v>
      </c>
      <c r="O145" t="s">
        <v>765</v>
      </c>
    </row>
    <row r="146" spans="1:15" x14ac:dyDescent="0.25">
      <c r="A146" t="s">
        <v>806</v>
      </c>
      <c r="B146" t="s">
        <v>100</v>
      </c>
      <c r="C146" t="s">
        <v>621</v>
      </c>
      <c r="D146" t="s">
        <v>618</v>
      </c>
      <c r="E146" t="s">
        <v>622</v>
      </c>
      <c r="F146" s="213" t="s">
        <v>56</v>
      </c>
      <c r="G146" t="s">
        <v>66</v>
      </c>
      <c r="H146" t="s">
        <v>84</v>
      </c>
      <c r="I146" t="s">
        <v>623</v>
      </c>
      <c r="J146" t="s">
        <v>56</v>
      </c>
      <c r="K146" t="s">
        <v>19</v>
      </c>
      <c r="L146" t="s">
        <v>625</v>
      </c>
      <c r="M146" t="s">
        <v>3</v>
      </c>
      <c r="N146" t="s">
        <v>67</v>
      </c>
      <c r="O146" t="s">
        <v>807</v>
      </c>
    </row>
    <row r="147" spans="1:15" x14ac:dyDescent="0.25">
      <c r="A147" t="s">
        <v>808</v>
      </c>
      <c r="B147" t="s">
        <v>100</v>
      </c>
      <c r="C147" t="s">
        <v>621</v>
      </c>
      <c r="D147" t="s">
        <v>618</v>
      </c>
      <c r="E147" t="s">
        <v>622</v>
      </c>
      <c r="F147" s="213" t="s">
        <v>56</v>
      </c>
      <c r="G147" t="s">
        <v>66</v>
      </c>
      <c r="H147" t="s">
        <v>84</v>
      </c>
      <c r="I147" t="s">
        <v>623</v>
      </c>
      <c r="J147" t="s">
        <v>56</v>
      </c>
      <c r="K147" t="s">
        <v>15</v>
      </c>
      <c r="L147" t="s">
        <v>632</v>
      </c>
      <c r="M147" t="s">
        <v>3</v>
      </c>
      <c r="N147" t="s">
        <v>30</v>
      </c>
      <c r="O147" t="s">
        <v>809</v>
      </c>
    </row>
    <row r="148" spans="1:15" x14ac:dyDescent="0.25">
      <c r="A148" t="s">
        <v>810</v>
      </c>
      <c r="B148" t="s">
        <v>100</v>
      </c>
      <c r="C148" t="s">
        <v>621</v>
      </c>
      <c r="D148" t="s">
        <v>618</v>
      </c>
      <c r="E148" t="s">
        <v>622</v>
      </c>
      <c r="F148" s="213" t="s">
        <v>56</v>
      </c>
      <c r="G148" t="s">
        <v>66</v>
      </c>
      <c r="H148" t="s">
        <v>84</v>
      </c>
      <c r="I148" t="s">
        <v>623</v>
      </c>
      <c r="J148" t="s">
        <v>56</v>
      </c>
      <c r="K148" t="s">
        <v>12</v>
      </c>
      <c r="L148" t="s">
        <v>629</v>
      </c>
      <c r="M148" t="s">
        <v>3</v>
      </c>
      <c r="N148" t="s">
        <v>60</v>
      </c>
      <c r="O148" t="s">
        <v>418</v>
      </c>
    </row>
    <row r="149" spans="1:15" x14ac:dyDescent="0.25">
      <c r="A149" t="s">
        <v>811</v>
      </c>
      <c r="B149" t="s">
        <v>100</v>
      </c>
      <c r="C149" t="s">
        <v>621</v>
      </c>
      <c r="D149" t="s">
        <v>618</v>
      </c>
      <c r="E149" t="s">
        <v>622</v>
      </c>
      <c r="F149" s="213" t="s">
        <v>56</v>
      </c>
      <c r="G149" t="s">
        <v>66</v>
      </c>
      <c r="H149" t="s">
        <v>84</v>
      </c>
      <c r="I149" t="s">
        <v>623</v>
      </c>
      <c r="J149" t="s">
        <v>56</v>
      </c>
      <c r="K149" t="s">
        <v>10</v>
      </c>
      <c r="L149" t="s">
        <v>635</v>
      </c>
      <c r="M149" t="s">
        <v>3</v>
      </c>
      <c r="N149" t="s">
        <v>100</v>
      </c>
      <c r="O149" t="s">
        <v>812</v>
      </c>
    </row>
    <row r="150" spans="1:15" x14ac:dyDescent="0.25">
      <c r="A150" t="s">
        <v>813</v>
      </c>
      <c r="B150" t="s">
        <v>100</v>
      </c>
      <c r="C150" t="s">
        <v>621</v>
      </c>
      <c r="D150" t="s">
        <v>618</v>
      </c>
      <c r="E150" t="s">
        <v>622</v>
      </c>
      <c r="F150" s="213" t="s">
        <v>56</v>
      </c>
      <c r="G150" t="s">
        <v>66</v>
      </c>
      <c r="H150" t="s">
        <v>84</v>
      </c>
      <c r="I150" t="s">
        <v>623</v>
      </c>
      <c r="J150" t="s">
        <v>56</v>
      </c>
      <c r="K150" t="s">
        <v>8</v>
      </c>
      <c r="L150" t="s">
        <v>637</v>
      </c>
      <c r="M150" t="s">
        <v>3</v>
      </c>
      <c r="N150" t="s">
        <v>28</v>
      </c>
      <c r="O150" t="s">
        <v>814</v>
      </c>
    </row>
    <row r="151" spans="1:15" x14ac:dyDescent="0.25">
      <c r="A151" t="s">
        <v>815</v>
      </c>
      <c r="B151" t="s">
        <v>100</v>
      </c>
      <c r="C151" t="s">
        <v>621</v>
      </c>
      <c r="D151" t="s">
        <v>618</v>
      </c>
      <c r="E151" t="s">
        <v>622</v>
      </c>
      <c r="F151" s="213" t="s">
        <v>56</v>
      </c>
      <c r="G151" t="s">
        <v>66</v>
      </c>
      <c r="H151" t="s">
        <v>84</v>
      </c>
      <c r="I151" t="s">
        <v>623</v>
      </c>
      <c r="J151" t="s">
        <v>56</v>
      </c>
      <c r="K151" t="s">
        <v>6</v>
      </c>
      <c r="L151" t="s">
        <v>639</v>
      </c>
      <c r="M151" t="s">
        <v>3</v>
      </c>
      <c r="N151" t="s">
        <v>9</v>
      </c>
      <c r="O151" t="s">
        <v>816</v>
      </c>
    </row>
    <row r="152" spans="1:15" x14ac:dyDescent="0.25">
      <c r="A152" t="s">
        <v>817</v>
      </c>
      <c r="B152" t="s">
        <v>100</v>
      </c>
      <c r="C152" t="s">
        <v>621</v>
      </c>
      <c r="D152" t="s">
        <v>618</v>
      </c>
      <c r="E152" t="s">
        <v>622</v>
      </c>
      <c r="F152" s="213" t="s">
        <v>56</v>
      </c>
      <c r="G152" t="s">
        <v>66</v>
      </c>
      <c r="H152" t="s">
        <v>84</v>
      </c>
      <c r="I152" t="s">
        <v>623</v>
      </c>
      <c r="J152" t="s">
        <v>56</v>
      </c>
      <c r="K152" t="s">
        <v>27</v>
      </c>
      <c r="L152" t="s">
        <v>626</v>
      </c>
      <c r="M152" t="s">
        <v>42</v>
      </c>
      <c r="N152" t="s">
        <v>16</v>
      </c>
      <c r="O152" t="s">
        <v>818</v>
      </c>
    </row>
    <row r="153" spans="1:15" x14ac:dyDescent="0.25">
      <c r="A153" t="s">
        <v>819</v>
      </c>
      <c r="B153" t="s">
        <v>100</v>
      </c>
      <c r="C153" t="s">
        <v>621</v>
      </c>
      <c r="D153" t="s">
        <v>618</v>
      </c>
      <c r="E153" t="s">
        <v>622</v>
      </c>
      <c r="F153" s="213" t="s">
        <v>56</v>
      </c>
      <c r="G153" t="s">
        <v>66</v>
      </c>
      <c r="H153" t="s">
        <v>84</v>
      </c>
      <c r="I153" t="s">
        <v>623</v>
      </c>
      <c r="J153" t="s">
        <v>56</v>
      </c>
      <c r="K153" t="s">
        <v>25</v>
      </c>
      <c r="L153" t="s">
        <v>628</v>
      </c>
      <c r="M153" t="s">
        <v>42</v>
      </c>
      <c r="N153" t="s">
        <v>13</v>
      </c>
      <c r="O153" t="s">
        <v>624</v>
      </c>
    </row>
    <row r="154" spans="1:15" x14ac:dyDescent="0.25">
      <c r="A154" t="s">
        <v>820</v>
      </c>
      <c r="B154" t="s">
        <v>100</v>
      </c>
      <c r="C154" t="s">
        <v>621</v>
      </c>
      <c r="D154" t="s">
        <v>618</v>
      </c>
      <c r="E154" t="s">
        <v>622</v>
      </c>
      <c r="F154" s="213" t="s">
        <v>56</v>
      </c>
      <c r="G154" t="s">
        <v>66</v>
      </c>
      <c r="H154" t="s">
        <v>84</v>
      </c>
      <c r="I154" t="s">
        <v>623</v>
      </c>
      <c r="J154" t="s">
        <v>56</v>
      </c>
      <c r="K154" t="s">
        <v>22</v>
      </c>
      <c r="L154" t="s">
        <v>630</v>
      </c>
      <c r="M154" t="s">
        <v>42</v>
      </c>
      <c r="N154" t="s">
        <v>12</v>
      </c>
      <c r="O154" t="s">
        <v>650</v>
      </c>
    </row>
    <row r="155" spans="1:15" x14ac:dyDescent="0.25">
      <c r="A155" t="s">
        <v>821</v>
      </c>
      <c r="B155" t="s">
        <v>100</v>
      </c>
      <c r="C155" t="s">
        <v>621</v>
      </c>
      <c r="D155" t="s">
        <v>618</v>
      </c>
      <c r="E155" t="s">
        <v>622</v>
      </c>
      <c r="F155" s="213" t="s">
        <v>56</v>
      </c>
      <c r="G155" t="s">
        <v>66</v>
      </c>
      <c r="H155" t="s">
        <v>84</v>
      </c>
      <c r="I155" t="s">
        <v>623</v>
      </c>
      <c r="J155" t="s">
        <v>56</v>
      </c>
      <c r="K155" t="s">
        <v>19</v>
      </c>
      <c r="L155" t="s">
        <v>625</v>
      </c>
      <c r="M155" t="s">
        <v>42</v>
      </c>
      <c r="N155" t="s">
        <v>14</v>
      </c>
      <c r="O155" t="s">
        <v>822</v>
      </c>
    </row>
    <row r="156" spans="1:15" x14ac:dyDescent="0.25">
      <c r="A156" t="s">
        <v>823</v>
      </c>
      <c r="B156" t="s">
        <v>100</v>
      </c>
      <c r="C156" t="s">
        <v>621</v>
      </c>
      <c r="D156" t="s">
        <v>618</v>
      </c>
      <c r="E156" t="s">
        <v>622</v>
      </c>
      <c r="F156" s="213" t="s">
        <v>56</v>
      </c>
      <c r="G156" t="s">
        <v>66</v>
      </c>
      <c r="H156" t="s">
        <v>84</v>
      </c>
      <c r="I156" t="s">
        <v>623</v>
      </c>
      <c r="J156" t="s">
        <v>56</v>
      </c>
      <c r="K156" t="s">
        <v>27</v>
      </c>
      <c r="L156" t="s">
        <v>626</v>
      </c>
      <c r="M156" t="s">
        <v>2</v>
      </c>
      <c r="N156" t="s">
        <v>60</v>
      </c>
      <c r="O156" t="s">
        <v>654</v>
      </c>
    </row>
    <row r="157" spans="1:15" x14ac:dyDescent="0.25">
      <c r="A157" t="s">
        <v>824</v>
      </c>
      <c r="B157" t="s">
        <v>100</v>
      </c>
      <c r="C157" t="s">
        <v>621</v>
      </c>
      <c r="D157" t="s">
        <v>618</v>
      </c>
      <c r="E157" t="s">
        <v>622</v>
      </c>
      <c r="F157" s="213" t="s">
        <v>56</v>
      </c>
      <c r="G157" t="s">
        <v>66</v>
      </c>
      <c r="H157" t="s">
        <v>84</v>
      </c>
      <c r="I157" t="s">
        <v>623</v>
      </c>
      <c r="J157" t="s">
        <v>56</v>
      </c>
      <c r="K157" t="s">
        <v>25</v>
      </c>
      <c r="L157" t="s">
        <v>628</v>
      </c>
      <c r="M157" t="s">
        <v>2</v>
      </c>
      <c r="N157" t="s">
        <v>21</v>
      </c>
      <c r="O157" t="s">
        <v>825</v>
      </c>
    </row>
    <row r="158" spans="1:15" x14ac:dyDescent="0.25">
      <c r="A158" t="s">
        <v>826</v>
      </c>
      <c r="B158" t="s">
        <v>100</v>
      </c>
      <c r="C158" t="s">
        <v>621</v>
      </c>
      <c r="D158" t="s">
        <v>618</v>
      </c>
      <c r="E158" t="s">
        <v>622</v>
      </c>
      <c r="F158" s="213" t="s">
        <v>56</v>
      </c>
      <c r="G158" t="s">
        <v>66</v>
      </c>
      <c r="H158" t="s">
        <v>84</v>
      </c>
      <c r="I158" t="s">
        <v>623</v>
      </c>
      <c r="J158" t="s">
        <v>56</v>
      </c>
      <c r="K158" t="s">
        <v>22</v>
      </c>
      <c r="L158" t="s">
        <v>630</v>
      </c>
      <c r="M158" t="s">
        <v>2</v>
      </c>
      <c r="N158" t="s">
        <v>67</v>
      </c>
      <c r="O158" t="s">
        <v>827</v>
      </c>
    </row>
    <row r="159" spans="1:15" x14ac:dyDescent="0.25">
      <c r="A159" t="s">
        <v>828</v>
      </c>
      <c r="B159" t="s">
        <v>100</v>
      </c>
      <c r="C159" t="s">
        <v>621</v>
      </c>
      <c r="D159" t="s">
        <v>618</v>
      </c>
      <c r="E159" t="s">
        <v>622</v>
      </c>
      <c r="F159" s="213" t="s">
        <v>56</v>
      </c>
      <c r="G159" t="s">
        <v>66</v>
      </c>
      <c r="H159" t="s">
        <v>84</v>
      </c>
      <c r="I159" t="s">
        <v>623</v>
      </c>
      <c r="J159" t="s">
        <v>56</v>
      </c>
      <c r="K159" t="s">
        <v>19</v>
      </c>
      <c r="L159" t="s">
        <v>625</v>
      </c>
      <c r="M159" t="s">
        <v>2</v>
      </c>
      <c r="N159" t="s">
        <v>63</v>
      </c>
      <c r="O159" t="s">
        <v>39</v>
      </c>
    </row>
    <row r="160" spans="1:15" x14ac:dyDescent="0.25">
      <c r="A160" t="s">
        <v>829</v>
      </c>
      <c r="B160" t="s">
        <v>100</v>
      </c>
      <c r="C160" t="s">
        <v>621</v>
      </c>
      <c r="D160" t="s">
        <v>618</v>
      </c>
      <c r="E160" t="s">
        <v>622</v>
      </c>
      <c r="F160" s="213" t="s">
        <v>56</v>
      </c>
      <c r="G160" t="s">
        <v>66</v>
      </c>
      <c r="H160" t="s">
        <v>84</v>
      </c>
      <c r="I160" t="s">
        <v>623</v>
      </c>
      <c r="J160" t="s">
        <v>56</v>
      </c>
      <c r="K160" t="s">
        <v>15</v>
      </c>
      <c r="L160" t="s">
        <v>632</v>
      </c>
      <c r="M160" t="s">
        <v>2</v>
      </c>
      <c r="N160" t="s">
        <v>47</v>
      </c>
      <c r="O160" t="s">
        <v>632</v>
      </c>
    </row>
    <row r="161" spans="1:15" x14ac:dyDescent="0.25">
      <c r="A161" t="s">
        <v>830</v>
      </c>
      <c r="B161" t="s">
        <v>100</v>
      </c>
      <c r="C161" t="s">
        <v>621</v>
      </c>
      <c r="D161" t="s">
        <v>618</v>
      </c>
      <c r="E161" t="s">
        <v>622</v>
      </c>
      <c r="F161" s="213" t="s">
        <v>56</v>
      </c>
      <c r="G161" t="s">
        <v>66</v>
      </c>
      <c r="H161" t="s">
        <v>84</v>
      </c>
      <c r="I161" t="s">
        <v>623</v>
      </c>
      <c r="J161" t="s">
        <v>56</v>
      </c>
      <c r="K161" t="s">
        <v>12</v>
      </c>
      <c r="L161" t="s">
        <v>629</v>
      </c>
      <c r="M161" t="s">
        <v>2</v>
      </c>
      <c r="N161" t="s">
        <v>31</v>
      </c>
      <c r="O161" t="s">
        <v>809</v>
      </c>
    </row>
    <row r="162" spans="1:15" x14ac:dyDescent="0.25">
      <c r="A162" t="s">
        <v>831</v>
      </c>
      <c r="B162" t="s">
        <v>100</v>
      </c>
      <c r="C162" t="s">
        <v>621</v>
      </c>
      <c r="D162" t="s">
        <v>618</v>
      </c>
      <c r="E162" t="s">
        <v>622</v>
      </c>
      <c r="F162" s="213" t="s">
        <v>56</v>
      </c>
      <c r="G162" t="s">
        <v>66</v>
      </c>
      <c r="H162" t="s">
        <v>84</v>
      </c>
      <c r="I162" t="s">
        <v>623</v>
      </c>
      <c r="J162" t="s">
        <v>56</v>
      </c>
      <c r="K162" t="s">
        <v>10</v>
      </c>
      <c r="L162" t="s">
        <v>635</v>
      </c>
      <c r="M162" t="s">
        <v>2</v>
      </c>
      <c r="N162" t="s">
        <v>1</v>
      </c>
      <c r="O162" t="s">
        <v>633</v>
      </c>
    </row>
    <row r="163" spans="1:15" x14ac:dyDescent="0.25">
      <c r="A163" t="s">
        <v>832</v>
      </c>
      <c r="B163" t="s">
        <v>100</v>
      </c>
      <c r="C163" t="s">
        <v>621</v>
      </c>
      <c r="D163" t="s">
        <v>618</v>
      </c>
      <c r="E163" t="s">
        <v>622</v>
      </c>
      <c r="F163" s="213" t="s">
        <v>56</v>
      </c>
      <c r="G163" t="s">
        <v>66</v>
      </c>
      <c r="H163" t="s">
        <v>84</v>
      </c>
      <c r="I163" t="s">
        <v>623</v>
      </c>
      <c r="J163" t="s">
        <v>56</v>
      </c>
      <c r="K163" t="s">
        <v>8</v>
      </c>
      <c r="L163" t="s">
        <v>637</v>
      </c>
      <c r="M163" t="s">
        <v>2</v>
      </c>
      <c r="N163" t="s">
        <v>61</v>
      </c>
      <c r="O163" t="s">
        <v>101</v>
      </c>
    </row>
    <row r="164" spans="1:15" x14ac:dyDescent="0.25">
      <c r="A164" t="s">
        <v>833</v>
      </c>
      <c r="B164" t="s">
        <v>100</v>
      </c>
      <c r="C164" t="s">
        <v>621</v>
      </c>
      <c r="D164" t="s">
        <v>618</v>
      </c>
      <c r="E164" t="s">
        <v>622</v>
      </c>
      <c r="F164" s="213" t="s">
        <v>56</v>
      </c>
      <c r="G164" t="s">
        <v>66</v>
      </c>
      <c r="H164" t="s">
        <v>84</v>
      </c>
      <c r="I164" t="s">
        <v>623</v>
      </c>
      <c r="J164" t="s">
        <v>56</v>
      </c>
      <c r="K164" t="s">
        <v>6</v>
      </c>
      <c r="L164" t="s">
        <v>639</v>
      </c>
      <c r="M164" t="s">
        <v>2</v>
      </c>
      <c r="N164" t="s">
        <v>49</v>
      </c>
      <c r="O164" t="s">
        <v>623</v>
      </c>
    </row>
    <row r="165" spans="1:15" x14ac:dyDescent="0.25">
      <c r="A165" t="s">
        <v>834</v>
      </c>
      <c r="B165" t="s">
        <v>100</v>
      </c>
      <c r="C165" t="s">
        <v>621</v>
      </c>
      <c r="D165" t="s">
        <v>618</v>
      </c>
      <c r="E165" t="s">
        <v>622</v>
      </c>
      <c r="F165" s="213" t="s">
        <v>56</v>
      </c>
      <c r="G165" t="s">
        <v>66</v>
      </c>
      <c r="H165" t="s">
        <v>84</v>
      </c>
      <c r="I165" t="s">
        <v>623</v>
      </c>
      <c r="J165" t="s">
        <v>56</v>
      </c>
      <c r="K165" t="s">
        <v>27</v>
      </c>
      <c r="L165" t="s">
        <v>626</v>
      </c>
      <c r="M165" t="s">
        <v>37</v>
      </c>
      <c r="N165" t="s">
        <v>9</v>
      </c>
      <c r="O165" t="s">
        <v>665</v>
      </c>
    </row>
    <row r="166" spans="1:15" x14ac:dyDescent="0.25">
      <c r="A166" t="s">
        <v>835</v>
      </c>
      <c r="B166" t="s">
        <v>100</v>
      </c>
      <c r="C166" t="s">
        <v>621</v>
      </c>
      <c r="D166" t="s">
        <v>618</v>
      </c>
      <c r="E166" t="s">
        <v>622</v>
      </c>
      <c r="F166" s="213" t="s">
        <v>56</v>
      </c>
      <c r="G166" t="s">
        <v>66</v>
      </c>
      <c r="H166" t="s">
        <v>84</v>
      </c>
      <c r="I166" t="s">
        <v>623</v>
      </c>
      <c r="J166" t="s">
        <v>56</v>
      </c>
      <c r="K166" t="s">
        <v>25</v>
      </c>
      <c r="L166" t="s">
        <v>628</v>
      </c>
      <c r="M166" t="s">
        <v>37</v>
      </c>
      <c r="N166" t="s">
        <v>16</v>
      </c>
      <c r="O166" t="s">
        <v>626</v>
      </c>
    </row>
    <row r="167" spans="1:15" x14ac:dyDescent="0.25">
      <c r="A167" t="s">
        <v>836</v>
      </c>
      <c r="B167" t="s">
        <v>100</v>
      </c>
      <c r="C167" t="s">
        <v>621</v>
      </c>
      <c r="D167" t="s">
        <v>618</v>
      </c>
      <c r="E167" t="s">
        <v>622</v>
      </c>
      <c r="F167" s="213" t="s">
        <v>56</v>
      </c>
      <c r="G167" t="s">
        <v>66</v>
      </c>
      <c r="H167" t="s">
        <v>84</v>
      </c>
      <c r="I167" t="s">
        <v>623</v>
      </c>
      <c r="J167" t="s">
        <v>56</v>
      </c>
      <c r="K167" t="s">
        <v>22</v>
      </c>
      <c r="L167" t="s">
        <v>630</v>
      </c>
      <c r="M167" t="s">
        <v>37</v>
      </c>
      <c r="N167" t="s">
        <v>2</v>
      </c>
      <c r="O167" t="s">
        <v>685</v>
      </c>
    </row>
    <row r="168" spans="1:15" x14ac:dyDescent="0.25">
      <c r="A168" t="s">
        <v>837</v>
      </c>
      <c r="B168" t="s">
        <v>100</v>
      </c>
      <c r="C168" t="s">
        <v>621</v>
      </c>
      <c r="D168" t="s">
        <v>618</v>
      </c>
      <c r="E168" t="s">
        <v>622</v>
      </c>
      <c r="F168" s="213" t="s">
        <v>56</v>
      </c>
      <c r="G168" t="s">
        <v>66</v>
      </c>
      <c r="H168" t="s">
        <v>84</v>
      </c>
      <c r="I168" t="s">
        <v>623</v>
      </c>
      <c r="J168" t="s">
        <v>56</v>
      </c>
      <c r="K168" t="s">
        <v>19</v>
      </c>
      <c r="L168" t="s">
        <v>625</v>
      </c>
      <c r="M168" t="s">
        <v>37</v>
      </c>
      <c r="N168" t="s">
        <v>16</v>
      </c>
      <c r="O168" t="s">
        <v>687</v>
      </c>
    </row>
    <row r="169" spans="1:15" x14ac:dyDescent="0.25">
      <c r="A169" t="s">
        <v>838</v>
      </c>
      <c r="B169" t="s">
        <v>100</v>
      </c>
      <c r="C169" t="s">
        <v>621</v>
      </c>
      <c r="D169" t="s">
        <v>618</v>
      </c>
      <c r="E169" t="s">
        <v>622</v>
      </c>
      <c r="F169" s="213" t="s">
        <v>56</v>
      </c>
      <c r="G169" t="s">
        <v>66</v>
      </c>
      <c r="H169" t="s">
        <v>84</v>
      </c>
      <c r="I169" t="s">
        <v>623</v>
      </c>
      <c r="J169" t="s">
        <v>56</v>
      </c>
      <c r="K169" t="s">
        <v>27</v>
      </c>
      <c r="L169" t="s">
        <v>626</v>
      </c>
      <c r="M169" t="s">
        <v>38</v>
      </c>
      <c r="N169" t="s">
        <v>20</v>
      </c>
      <c r="O169" t="s">
        <v>100</v>
      </c>
    </row>
    <row r="170" spans="1:15" x14ac:dyDescent="0.25">
      <c r="A170" t="s">
        <v>839</v>
      </c>
      <c r="B170" t="s">
        <v>100</v>
      </c>
      <c r="C170" t="s">
        <v>621</v>
      </c>
      <c r="D170" t="s">
        <v>618</v>
      </c>
      <c r="E170" t="s">
        <v>622</v>
      </c>
      <c r="F170" s="213" t="s">
        <v>56</v>
      </c>
      <c r="G170" t="s">
        <v>66</v>
      </c>
      <c r="H170" t="s">
        <v>84</v>
      </c>
      <c r="I170" t="s">
        <v>623</v>
      </c>
      <c r="J170" t="s">
        <v>56</v>
      </c>
      <c r="K170" t="s">
        <v>25</v>
      </c>
      <c r="L170" t="s">
        <v>628</v>
      </c>
      <c r="M170" t="s">
        <v>38</v>
      </c>
      <c r="N170" t="s">
        <v>20</v>
      </c>
      <c r="O170" t="s">
        <v>418</v>
      </c>
    </row>
    <row r="171" spans="1:15" x14ac:dyDescent="0.25">
      <c r="A171" t="s">
        <v>840</v>
      </c>
      <c r="B171" t="s">
        <v>100</v>
      </c>
      <c r="C171" t="s">
        <v>621</v>
      </c>
      <c r="D171" t="s">
        <v>618</v>
      </c>
      <c r="E171" t="s">
        <v>622</v>
      </c>
      <c r="F171" s="213" t="s">
        <v>56</v>
      </c>
      <c r="G171" t="s">
        <v>66</v>
      </c>
      <c r="H171" t="s">
        <v>84</v>
      </c>
      <c r="I171" t="s">
        <v>623</v>
      </c>
      <c r="J171" t="s">
        <v>56</v>
      </c>
      <c r="K171" t="s">
        <v>22</v>
      </c>
      <c r="L171" t="s">
        <v>630</v>
      </c>
      <c r="M171" t="s">
        <v>38</v>
      </c>
      <c r="N171" t="s">
        <v>13</v>
      </c>
      <c r="O171" t="s">
        <v>731</v>
      </c>
    </row>
    <row r="172" spans="1:15" x14ac:dyDescent="0.25">
      <c r="A172" t="s">
        <v>841</v>
      </c>
      <c r="B172" t="s">
        <v>100</v>
      </c>
      <c r="C172" t="s">
        <v>621</v>
      </c>
      <c r="D172" t="s">
        <v>618</v>
      </c>
      <c r="E172" t="s">
        <v>622</v>
      </c>
      <c r="F172" s="213" t="s">
        <v>56</v>
      </c>
      <c r="G172" t="s">
        <v>66</v>
      </c>
      <c r="H172" t="s">
        <v>84</v>
      </c>
      <c r="I172" t="s">
        <v>623</v>
      </c>
      <c r="J172" t="s">
        <v>56</v>
      </c>
      <c r="K172" t="s">
        <v>19</v>
      </c>
      <c r="L172" t="s">
        <v>625</v>
      </c>
      <c r="M172" t="s">
        <v>38</v>
      </c>
      <c r="N172" t="s">
        <v>5</v>
      </c>
      <c r="O172" t="s">
        <v>632</v>
      </c>
    </row>
    <row r="173" spans="1:15" x14ac:dyDescent="0.25">
      <c r="A173" t="s">
        <v>842</v>
      </c>
      <c r="B173" t="s">
        <v>100</v>
      </c>
      <c r="C173" t="s">
        <v>621</v>
      </c>
      <c r="D173" t="s">
        <v>618</v>
      </c>
      <c r="E173" t="s">
        <v>622</v>
      </c>
      <c r="F173" s="213" t="s">
        <v>56</v>
      </c>
      <c r="G173" t="s">
        <v>66</v>
      </c>
      <c r="H173" t="s">
        <v>84</v>
      </c>
      <c r="I173" t="s">
        <v>623</v>
      </c>
      <c r="J173" t="s">
        <v>56</v>
      </c>
      <c r="K173" t="s">
        <v>27</v>
      </c>
      <c r="L173" t="s">
        <v>626</v>
      </c>
      <c r="M173" t="s">
        <v>49</v>
      </c>
      <c r="N173" t="s">
        <v>6</v>
      </c>
      <c r="O173" t="s">
        <v>626</v>
      </c>
    </row>
    <row r="174" spans="1:15" x14ac:dyDescent="0.25">
      <c r="A174" t="s">
        <v>843</v>
      </c>
      <c r="B174" t="s">
        <v>100</v>
      </c>
      <c r="C174" t="s">
        <v>621</v>
      </c>
      <c r="D174" t="s">
        <v>618</v>
      </c>
      <c r="E174" t="s">
        <v>622</v>
      </c>
      <c r="F174" s="213" t="s">
        <v>56</v>
      </c>
      <c r="G174" t="s">
        <v>66</v>
      </c>
      <c r="H174" t="s">
        <v>84</v>
      </c>
      <c r="I174" t="s">
        <v>623</v>
      </c>
      <c r="J174" t="s">
        <v>56</v>
      </c>
      <c r="K174" t="s">
        <v>25</v>
      </c>
      <c r="L174" t="s">
        <v>628</v>
      </c>
      <c r="M174" t="s">
        <v>49</v>
      </c>
      <c r="N174" t="s">
        <v>5</v>
      </c>
      <c r="O174" t="s">
        <v>628</v>
      </c>
    </row>
    <row r="175" spans="1:15" x14ac:dyDescent="0.25">
      <c r="A175" t="s">
        <v>844</v>
      </c>
      <c r="B175" t="s">
        <v>100</v>
      </c>
      <c r="C175" t="s">
        <v>621</v>
      </c>
      <c r="D175" t="s">
        <v>618</v>
      </c>
      <c r="E175" t="s">
        <v>622</v>
      </c>
      <c r="F175" s="213" t="s">
        <v>56</v>
      </c>
      <c r="G175" t="s">
        <v>66</v>
      </c>
      <c r="H175" t="s">
        <v>84</v>
      </c>
      <c r="I175" t="s">
        <v>623</v>
      </c>
      <c r="J175" t="s">
        <v>56</v>
      </c>
      <c r="K175" t="s">
        <v>22</v>
      </c>
      <c r="L175" t="s">
        <v>630</v>
      </c>
      <c r="M175" t="s">
        <v>49</v>
      </c>
      <c r="N175" t="s">
        <v>9</v>
      </c>
      <c r="O175" t="s">
        <v>726</v>
      </c>
    </row>
    <row r="176" spans="1:15" x14ac:dyDescent="0.25">
      <c r="A176" t="s">
        <v>845</v>
      </c>
      <c r="B176" t="s">
        <v>100</v>
      </c>
      <c r="C176" t="s">
        <v>621</v>
      </c>
      <c r="D176" t="s">
        <v>618</v>
      </c>
      <c r="E176" t="s">
        <v>622</v>
      </c>
      <c r="F176" s="213" t="s">
        <v>56</v>
      </c>
      <c r="G176" t="s">
        <v>66</v>
      </c>
      <c r="H176" t="s">
        <v>84</v>
      </c>
      <c r="I176" t="s">
        <v>623</v>
      </c>
      <c r="J176" t="s">
        <v>56</v>
      </c>
      <c r="K176" t="s">
        <v>27</v>
      </c>
      <c r="L176" t="s">
        <v>626</v>
      </c>
      <c r="M176" t="s">
        <v>5</v>
      </c>
      <c r="N176" t="s">
        <v>21</v>
      </c>
      <c r="O176" t="s">
        <v>693</v>
      </c>
    </row>
    <row r="177" spans="1:15" x14ac:dyDescent="0.25">
      <c r="A177" t="s">
        <v>846</v>
      </c>
      <c r="B177" t="s">
        <v>100</v>
      </c>
      <c r="C177" t="s">
        <v>621</v>
      </c>
      <c r="D177" t="s">
        <v>618</v>
      </c>
      <c r="E177" t="s">
        <v>622</v>
      </c>
      <c r="F177" s="213" t="s">
        <v>56</v>
      </c>
      <c r="G177" t="s">
        <v>66</v>
      </c>
      <c r="H177" t="s">
        <v>84</v>
      </c>
      <c r="I177" t="s">
        <v>623</v>
      </c>
      <c r="J177" t="s">
        <v>56</v>
      </c>
      <c r="K177" t="s">
        <v>25</v>
      </c>
      <c r="L177" t="s">
        <v>628</v>
      </c>
      <c r="M177" t="s">
        <v>5</v>
      </c>
      <c r="N177" t="s">
        <v>17</v>
      </c>
      <c r="O177" t="s">
        <v>825</v>
      </c>
    </row>
    <row r="178" spans="1:15" x14ac:dyDescent="0.25">
      <c r="A178" t="s">
        <v>847</v>
      </c>
      <c r="B178" t="s">
        <v>100</v>
      </c>
      <c r="C178" t="s">
        <v>621</v>
      </c>
      <c r="D178" t="s">
        <v>618</v>
      </c>
      <c r="E178" t="s">
        <v>622</v>
      </c>
      <c r="F178" s="213" t="s">
        <v>56</v>
      </c>
      <c r="G178" t="s">
        <v>66</v>
      </c>
      <c r="H178" t="s">
        <v>84</v>
      </c>
      <c r="I178" t="s">
        <v>623</v>
      </c>
      <c r="J178" t="s">
        <v>56</v>
      </c>
      <c r="K178" t="s">
        <v>22</v>
      </c>
      <c r="L178" t="s">
        <v>630</v>
      </c>
      <c r="M178" t="s">
        <v>5</v>
      </c>
      <c r="N178" t="s">
        <v>32</v>
      </c>
      <c r="O178" t="s">
        <v>637</v>
      </c>
    </row>
    <row r="179" spans="1:15" x14ac:dyDescent="0.25">
      <c r="A179" t="s">
        <v>848</v>
      </c>
      <c r="B179" t="s">
        <v>100</v>
      </c>
      <c r="C179" t="s">
        <v>621</v>
      </c>
      <c r="D179" t="s">
        <v>618</v>
      </c>
      <c r="E179" t="s">
        <v>622</v>
      </c>
      <c r="F179" s="213" t="s">
        <v>56</v>
      </c>
      <c r="G179" t="s">
        <v>66</v>
      </c>
      <c r="H179" t="s">
        <v>84</v>
      </c>
      <c r="I179" t="s">
        <v>623</v>
      </c>
      <c r="J179" t="s">
        <v>56</v>
      </c>
      <c r="K179" t="s">
        <v>19</v>
      </c>
      <c r="L179" t="s">
        <v>625</v>
      </c>
      <c r="M179" t="s">
        <v>5</v>
      </c>
      <c r="N179" t="s">
        <v>59</v>
      </c>
      <c r="O179" t="s">
        <v>729</v>
      </c>
    </row>
    <row r="180" spans="1:15" x14ac:dyDescent="0.25">
      <c r="A180" t="s">
        <v>849</v>
      </c>
      <c r="B180" t="s">
        <v>100</v>
      </c>
      <c r="C180" t="s">
        <v>621</v>
      </c>
      <c r="D180" t="s">
        <v>618</v>
      </c>
      <c r="E180" t="s">
        <v>622</v>
      </c>
      <c r="F180" s="213" t="s">
        <v>56</v>
      </c>
      <c r="G180" t="s">
        <v>66</v>
      </c>
      <c r="H180" t="s">
        <v>84</v>
      </c>
      <c r="I180" t="s">
        <v>623</v>
      </c>
      <c r="J180" t="s">
        <v>56</v>
      </c>
      <c r="K180" t="s">
        <v>15</v>
      </c>
      <c r="L180" t="s">
        <v>632</v>
      </c>
      <c r="M180" t="s">
        <v>5</v>
      </c>
      <c r="N180" t="s">
        <v>31</v>
      </c>
      <c r="O180" t="s">
        <v>637</v>
      </c>
    </row>
    <row r="181" spans="1:15" x14ac:dyDescent="0.25">
      <c r="A181" t="s">
        <v>850</v>
      </c>
      <c r="B181" t="s">
        <v>100</v>
      </c>
      <c r="C181" t="s">
        <v>621</v>
      </c>
      <c r="D181" t="s">
        <v>618</v>
      </c>
      <c r="E181" t="s">
        <v>622</v>
      </c>
      <c r="F181" s="213" t="s">
        <v>56</v>
      </c>
      <c r="G181" t="s">
        <v>66</v>
      </c>
      <c r="H181" t="s">
        <v>84</v>
      </c>
      <c r="I181" t="s">
        <v>623</v>
      </c>
      <c r="J181" t="s">
        <v>56</v>
      </c>
      <c r="K181" t="s">
        <v>12</v>
      </c>
      <c r="L181" t="s">
        <v>629</v>
      </c>
      <c r="M181" t="s">
        <v>5</v>
      </c>
      <c r="N181" t="s">
        <v>14</v>
      </c>
      <c r="O181" t="s">
        <v>755</v>
      </c>
    </row>
    <row r="182" spans="1:15" x14ac:dyDescent="0.25">
      <c r="A182" t="s">
        <v>851</v>
      </c>
      <c r="B182" t="s">
        <v>100</v>
      </c>
      <c r="C182" t="s">
        <v>621</v>
      </c>
      <c r="D182" t="s">
        <v>618</v>
      </c>
      <c r="E182" t="s">
        <v>622</v>
      </c>
      <c r="F182" s="213" t="s">
        <v>56</v>
      </c>
      <c r="G182" t="s">
        <v>66</v>
      </c>
      <c r="H182" t="s">
        <v>84</v>
      </c>
      <c r="I182" t="s">
        <v>623</v>
      </c>
      <c r="J182" t="s">
        <v>56</v>
      </c>
      <c r="K182" t="s">
        <v>10</v>
      </c>
      <c r="L182" t="s">
        <v>635</v>
      </c>
      <c r="M182" t="s">
        <v>5</v>
      </c>
      <c r="N182" t="s">
        <v>57</v>
      </c>
      <c r="O182" t="s">
        <v>418</v>
      </c>
    </row>
    <row r="183" spans="1:15" x14ac:dyDescent="0.25">
      <c r="A183" t="s">
        <v>852</v>
      </c>
      <c r="B183" t="s">
        <v>100</v>
      </c>
      <c r="C183" t="s">
        <v>621</v>
      </c>
      <c r="D183" t="s">
        <v>618</v>
      </c>
      <c r="E183" t="s">
        <v>622</v>
      </c>
      <c r="F183" s="213" t="s">
        <v>56</v>
      </c>
      <c r="G183" t="s">
        <v>66</v>
      </c>
      <c r="H183" t="s">
        <v>84</v>
      </c>
      <c r="I183" t="s">
        <v>623</v>
      </c>
      <c r="J183" t="s">
        <v>56</v>
      </c>
      <c r="K183" t="s">
        <v>8</v>
      </c>
      <c r="L183" t="s">
        <v>637</v>
      </c>
      <c r="M183" t="s">
        <v>5</v>
      </c>
      <c r="N183" t="s">
        <v>50</v>
      </c>
      <c r="O183" t="s">
        <v>714</v>
      </c>
    </row>
    <row r="184" spans="1:15" x14ac:dyDescent="0.25">
      <c r="A184" t="s">
        <v>853</v>
      </c>
      <c r="B184" t="s">
        <v>100</v>
      </c>
      <c r="C184" t="s">
        <v>621</v>
      </c>
      <c r="D184" t="s">
        <v>618</v>
      </c>
      <c r="E184" t="s">
        <v>622</v>
      </c>
      <c r="F184" s="213" t="s">
        <v>56</v>
      </c>
      <c r="G184" t="s">
        <v>66</v>
      </c>
      <c r="H184" t="s">
        <v>84</v>
      </c>
      <c r="I184" t="s">
        <v>623</v>
      </c>
      <c r="J184" t="s">
        <v>56</v>
      </c>
      <c r="K184" t="s">
        <v>27</v>
      </c>
      <c r="L184" t="s">
        <v>626</v>
      </c>
      <c r="M184" t="s">
        <v>47</v>
      </c>
      <c r="N184" t="s">
        <v>7</v>
      </c>
      <c r="O184" t="s">
        <v>807</v>
      </c>
    </row>
    <row r="185" spans="1:15" x14ac:dyDescent="0.25">
      <c r="A185" t="s">
        <v>854</v>
      </c>
      <c r="B185" t="s">
        <v>100</v>
      </c>
      <c r="C185" t="s">
        <v>621</v>
      </c>
      <c r="D185" t="s">
        <v>618</v>
      </c>
      <c r="E185" t="s">
        <v>622</v>
      </c>
      <c r="F185" s="213" t="s">
        <v>56</v>
      </c>
      <c r="G185" t="s">
        <v>66</v>
      </c>
      <c r="H185" t="s">
        <v>84</v>
      </c>
      <c r="I185" t="s">
        <v>623</v>
      </c>
      <c r="J185" t="s">
        <v>56</v>
      </c>
      <c r="K185" t="s">
        <v>25</v>
      </c>
      <c r="L185" t="s">
        <v>628</v>
      </c>
      <c r="M185" t="s">
        <v>47</v>
      </c>
      <c r="N185" t="s">
        <v>10</v>
      </c>
      <c r="O185" t="s">
        <v>29</v>
      </c>
    </row>
    <row r="186" spans="1:15" x14ac:dyDescent="0.25">
      <c r="A186" t="s">
        <v>855</v>
      </c>
      <c r="B186" t="s">
        <v>100</v>
      </c>
      <c r="C186" t="s">
        <v>621</v>
      </c>
      <c r="D186" t="s">
        <v>618</v>
      </c>
      <c r="E186" t="s">
        <v>622</v>
      </c>
      <c r="F186" s="213" t="s">
        <v>56</v>
      </c>
      <c r="G186" t="s">
        <v>66</v>
      </c>
      <c r="H186" t="s">
        <v>84</v>
      </c>
      <c r="I186" t="s">
        <v>623</v>
      </c>
      <c r="J186" t="s">
        <v>56</v>
      </c>
      <c r="K186" t="s">
        <v>22</v>
      </c>
      <c r="L186" t="s">
        <v>630</v>
      </c>
      <c r="M186" t="s">
        <v>47</v>
      </c>
      <c r="N186" t="s">
        <v>9</v>
      </c>
      <c r="O186" t="s">
        <v>631</v>
      </c>
    </row>
    <row r="187" spans="1:15" x14ac:dyDescent="0.25">
      <c r="A187" t="s">
        <v>856</v>
      </c>
      <c r="B187" t="s">
        <v>100</v>
      </c>
      <c r="C187" t="s">
        <v>621</v>
      </c>
      <c r="D187" t="s">
        <v>618</v>
      </c>
      <c r="E187" t="s">
        <v>622</v>
      </c>
      <c r="F187" s="213" t="s">
        <v>56</v>
      </c>
      <c r="G187" t="s">
        <v>66</v>
      </c>
      <c r="H187" t="s">
        <v>84</v>
      </c>
      <c r="I187" t="s">
        <v>623</v>
      </c>
      <c r="J187" t="s">
        <v>56</v>
      </c>
      <c r="K187" t="s">
        <v>27</v>
      </c>
      <c r="L187" t="s">
        <v>626</v>
      </c>
      <c r="M187" t="s">
        <v>43</v>
      </c>
      <c r="N187" t="s">
        <v>16</v>
      </c>
      <c r="O187" t="s">
        <v>100</v>
      </c>
    </row>
    <row r="188" spans="1:15" x14ac:dyDescent="0.25">
      <c r="A188" t="s">
        <v>857</v>
      </c>
      <c r="B188" t="s">
        <v>100</v>
      </c>
      <c r="C188" t="s">
        <v>621</v>
      </c>
      <c r="D188" t="s">
        <v>618</v>
      </c>
      <c r="E188" t="s">
        <v>622</v>
      </c>
      <c r="F188" s="213" t="s">
        <v>56</v>
      </c>
      <c r="G188" t="s">
        <v>66</v>
      </c>
      <c r="H188" t="s">
        <v>84</v>
      </c>
      <c r="I188" t="s">
        <v>623</v>
      </c>
      <c r="J188" t="s">
        <v>56</v>
      </c>
      <c r="K188" t="s">
        <v>25</v>
      </c>
      <c r="L188" t="s">
        <v>628</v>
      </c>
      <c r="M188" t="s">
        <v>43</v>
      </c>
      <c r="N188" t="s">
        <v>7</v>
      </c>
      <c r="O188" t="s">
        <v>714</v>
      </c>
    </row>
    <row r="189" spans="1:15" x14ac:dyDescent="0.25">
      <c r="A189" t="s">
        <v>858</v>
      </c>
      <c r="B189" t="s">
        <v>100</v>
      </c>
      <c r="C189" t="s">
        <v>621</v>
      </c>
      <c r="D189" t="s">
        <v>618</v>
      </c>
      <c r="E189" t="s">
        <v>622</v>
      </c>
      <c r="F189" s="213" t="s">
        <v>56</v>
      </c>
      <c r="G189" t="s">
        <v>66</v>
      </c>
      <c r="H189" t="s">
        <v>84</v>
      </c>
      <c r="I189" t="s">
        <v>623</v>
      </c>
      <c r="J189" t="s">
        <v>56</v>
      </c>
      <c r="K189" t="s">
        <v>22</v>
      </c>
      <c r="L189" t="s">
        <v>630</v>
      </c>
      <c r="M189" t="s">
        <v>43</v>
      </c>
      <c r="N189" t="s">
        <v>13</v>
      </c>
      <c r="O189" t="s">
        <v>822</v>
      </c>
    </row>
    <row r="190" spans="1:15" x14ac:dyDescent="0.25">
      <c r="A190" t="s">
        <v>859</v>
      </c>
      <c r="B190" t="s">
        <v>100</v>
      </c>
      <c r="C190" t="s">
        <v>621</v>
      </c>
      <c r="D190" t="s">
        <v>618</v>
      </c>
      <c r="E190" t="s">
        <v>622</v>
      </c>
      <c r="F190" s="213" t="s">
        <v>56</v>
      </c>
      <c r="G190" t="s">
        <v>66</v>
      </c>
      <c r="H190" t="s">
        <v>84</v>
      </c>
      <c r="I190" t="s">
        <v>623</v>
      </c>
      <c r="J190" t="s">
        <v>56</v>
      </c>
      <c r="K190" t="s">
        <v>27</v>
      </c>
      <c r="L190" t="s">
        <v>626</v>
      </c>
      <c r="M190" t="s">
        <v>4</v>
      </c>
      <c r="N190" t="s">
        <v>19</v>
      </c>
      <c r="O190" t="s">
        <v>741</v>
      </c>
    </row>
    <row r="191" spans="1:15" x14ac:dyDescent="0.25">
      <c r="A191" t="s">
        <v>860</v>
      </c>
      <c r="B191" t="s">
        <v>100</v>
      </c>
      <c r="C191" t="s">
        <v>621</v>
      </c>
      <c r="D191" t="s">
        <v>618</v>
      </c>
      <c r="E191" t="s">
        <v>622</v>
      </c>
      <c r="F191" s="213" t="s">
        <v>56</v>
      </c>
      <c r="G191" t="s">
        <v>66</v>
      </c>
      <c r="H191" t="s">
        <v>84</v>
      </c>
      <c r="I191" t="s">
        <v>623</v>
      </c>
      <c r="J191" t="s">
        <v>56</v>
      </c>
      <c r="K191" t="s">
        <v>25</v>
      </c>
      <c r="L191" t="s">
        <v>628</v>
      </c>
      <c r="M191" t="s">
        <v>4</v>
      </c>
      <c r="N191" t="s">
        <v>15</v>
      </c>
      <c r="O191" t="s">
        <v>716</v>
      </c>
    </row>
    <row r="192" spans="1:15" x14ac:dyDescent="0.25">
      <c r="A192" t="s">
        <v>861</v>
      </c>
      <c r="B192" t="s">
        <v>100</v>
      </c>
      <c r="C192" t="s">
        <v>621</v>
      </c>
      <c r="D192" t="s">
        <v>618</v>
      </c>
      <c r="E192" t="s">
        <v>622</v>
      </c>
      <c r="F192" s="213" t="s">
        <v>56</v>
      </c>
      <c r="G192" t="s">
        <v>66</v>
      </c>
      <c r="H192" t="s">
        <v>84</v>
      </c>
      <c r="I192" t="s">
        <v>623</v>
      </c>
      <c r="J192" t="s">
        <v>56</v>
      </c>
      <c r="K192" t="s">
        <v>22</v>
      </c>
      <c r="L192" t="s">
        <v>630</v>
      </c>
      <c r="M192" t="s">
        <v>4</v>
      </c>
      <c r="N192" t="s">
        <v>63</v>
      </c>
      <c r="O192" t="s">
        <v>47</v>
      </c>
    </row>
    <row r="193" spans="1:15" x14ac:dyDescent="0.25">
      <c r="A193" t="s">
        <v>862</v>
      </c>
      <c r="B193" t="s">
        <v>100</v>
      </c>
      <c r="C193" t="s">
        <v>621</v>
      </c>
      <c r="D193" t="s">
        <v>618</v>
      </c>
      <c r="E193" t="s">
        <v>622</v>
      </c>
      <c r="F193" s="213" t="s">
        <v>56</v>
      </c>
      <c r="G193" t="s">
        <v>66</v>
      </c>
      <c r="H193" t="s">
        <v>84</v>
      </c>
      <c r="I193" t="s">
        <v>623</v>
      </c>
      <c r="J193" t="s">
        <v>56</v>
      </c>
      <c r="K193" t="s">
        <v>19</v>
      </c>
      <c r="L193" t="s">
        <v>625</v>
      </c>
      <c r="M193" t="s">
        <v>4</v>
      </c>
      <c r="N193" t="s">
        <v>61</v>
      </c>
      <c r="O193" t="s">
        <v>44</v>
      </c>
    </row>
    <row r="194" spans="1:15" x14ac:dyDescent="0.25">
      <c r="A194" t="s">
        <v>863</v>
      </c>
      <c r="B194" t="s">
        <v>100</v>
      </c>
      <c r="C194" t="s">
        <v>621</v>
      </c>
      <c r="D194" t="s">
        <v>618</v>
      </c>
      <c r="E194" t="s">
        <v>622</v>
      </c>
      <c r="F194" s="213" t="s">
        <v>56</v>
      </c>
      <c r="G194" t="s">
        <v>66</v>
      </c>
      <c r="H194" t="s">
        <v>84</v>
      </c>
      <c r="I194" t="s">
        <v>623</v>
      </c>
      <c r="J194" t="s">
        <v>56</v>
      </c>
      <c r="K194" t="s">
        <v>15</v>
      </c>
      <c r="L194" t="s">
        <v>632</v>
      </c>
      <c r="M194" t="s">
        <v>4</v>
      </c>
      <c r="N194" t="s">
        <v>25</v>
      </c>
      <c r="O194" t="s">
        <v>814</v>
      </c>
    </row>
    <row r="195" spans="1:15" x14ac:dyDescent="0.25">
      <c r="A195" t="s">
        <v>864</v>
      </c>
      <c r="B195" t="s">
        <v>100</v>
      </c>
      <c r="C195" t="s">
        <v>621</v>
      </c>
      <c r="D195" t="s">
        <v>618</v>
      </c>
      <c r="E195" t="s">
        <v>622</v>
      </c>
      <c r="F195" s="213" t="s">
        <v>56</v>
      </c>
      <c r="G195" t="s">
        <v>66</v>
      </c>
      <c r="H195" t="s">
        <v>84</v>
      </c>
      <c r="I195" t="s">
        <v>623</v>
      </c>
      <c r="J195" t="s">
        <v>56</v>
      </c>
      <c r="K195" t="s">
        <v>12</v>
      </c>
      <c r="L195" t="s">
        <v>629</v>
      </c>
      <c r="M195" t="s">
        <v>4</v>
      </c>
      <c r="N195" t="s">
        <v>45</v>
      </c>
      <c r="O195" t="s">
        <v>623</v>
      </c>
    </row>
    <row r="196" spans="1:15" x14ac:dyDescent="0.25">
      <c r="A196" t="s">
        <v>865</v>
      </c>
      <c r="B196" t="s">
        <v>100</v>
      </c>
      <c r="C196" t="s">
        <v>621</v>
      </c>
      <c r="D196" t="s">
        <v>618</v>
      </c>
      <c r="E196" t="s">
        <v>622</v>
      </c>
      <c r="F196" s="213" t="s">
        <v>56</v>
      </c>
      <c r="G196" t="s">
        <v>66</v>
      </c>
      <c r="H196" t="s">
        <v>84</v>
      </c>
      <c r="I196" t="s">
        <v>623</v>
      </c>
      <c r="J196" t="s">
        <v>56</v>
      </c>
      <c r="K196" t="s">
        <v>10</v>
      </c>
      <c r="L196" t="s">
        <v>635</v>
      </c>
      <c r="M196" t="s">
        <v>4</v>
      </c>
      <c r="N196" t="s">
        <v>27</v>
      </c>
      <c r="O196" t="s">
        <v>809</v>
      </c>
    </row>
    <row r="197" spans="1:15" x14ac:dyDescent="0.25">
      <c r="A197" t="s">
        <v>866</v>
      </c>
      <c r="B197" t="s">
        <v>100</v>
      </c>
      <c r="C197" t="s">
        <v>621</v>
      </c>
      <c r="D197" t="s">
        <v>618</v>
      </c>
      <c r="E197" t="s">
        <v>622</v>
      </c>
      <c r="F197" s="213" t="s">
        <v>56</v>
      </c>
      <c r="G197" t="s">
        <v>66</v>
      </c>
      <c r="H197" t="s">
        <v>84</v>
      </c>
      <c r="I197" t="s">
        <v>623</v>
      </c>
      <c r="J197" t="s">
        <v>56</v>
      </c>
      <c r="K197" t="s">
        <v>8</v>
      </c>
      <c r="L197" t="s">
        <v>637</v>
      </c>
      <c r="M197" t="s">
        <v>4</v>
      </c>
      <c r="N197" t="s">
        <v>41</v>
      </c>
      <c r="O197" t="s">
        <v>629</v>
      </c>
    </row>
    <row r="198" spans="1:15" x14ac:dyDescent="0.25">
      <c r="A198" t="s">
        <v>867</v>
      </c>
      <c r="B198" t="s">
        <v>100</v>
      </c>
      <c r="C198" t="s">
        <v>621</v>
      </c>
      <c r="D198" t="s">
        <v>618</v>
      </c>
      <c r="E198" t="s">
        <v>622</v>
      </c>
      <c r="F198" s="213" t="s">
        <v>56</v>
      </c>
      <c r="G198" t="s">
        <v>66</v>
      </c>
      <c r="H198" t="s">
        <v>84</v>
      </c>
      <c r="I198" t="s">
        <v>623</v>
      </c>
      <c r="J198" t="s">
        <v>56</v>
      </c>
      <c r="K198" t="s">
        <v>27</v>
      </c>
      <c r="L198" t="s">
        <v>626</v>
      </c>
      <c r="M198" t="s">
        <v>51</v>
      </c>
      <c r="N198" t="s">
        <v>10</v>
      </c>
      <c r="O198" t="s">
        <v>100</v>
      </c>
    </row>
    <row r="199" spans="1:15" x14ac:dyDescent="0.25">
      <c r="A199" t="s">
        <v>868</v>
      </c>
      <c r="B199" t="s">
        <v>100</v>
      </c>
      <c r="C199" t="s">
        <v>621</v>
      </c>
      <c r="D199" t="s">
        <v>618</v>
      </c>
      <c r="E199" t="s">
        <v>622</v>
      </c>
      <c r="F199" s="213" t="s">
        <v>56</v>
      </c>
      <c r="G199" t="s">
        <v>66</v>
      </c>
      <c r="H199" t="s">
        <v>84</v>
      </c>
      <c r="I199" t="s">
        <v>623</v>
      </c>
      <c r="J199" t="s">
        <v>56</v>
      </c>
      <c r="K199" t="s">
        <v>25</v>
      </c>
      <c r="L199" t="s">
        <v>628</v>
      </c>
      <c r="M199" t="s">
        <v>51</v>
      </c>
      <c r="N199" t="s">
        <v>4</v>
      </c>
      <c r="O199" t="s">
        <v>626</v>
      </c>
    </row>
    <row r="200" spans="1:15" x14ac:dyDescent="0.25">
      <c r="A200" t="s">
        <v>869</v>
      </c>
      <c r="B200" t="s">
        <v>100</v>
      </c>
      <c r="C200" t="s">
        <v>621</v>
      </c>
      <c r="D200" t="s">
        <v>618</v>
      </c>
      <c r="E200" t="s">
        <v>622</v>
      </c>
      <c r="F200" s="213" t="s">
        <v>56</v>
      </c>
      <c r="G200" t="s">
        <v>66</v>
      </c>
      <c r="H200" t="s">
        <v>84</v>
      </c>
      <c r="I200" t="s">
        <v>623</v>
      </c>
      <c r="J200" t="s">
        <v>56</v>
      </c>
      <c r="K200" t="s">
        <v>22</v>
      </c>
      <c r="L200" t="s">
        <v>630</v>
      </c>
      <c r="M200" t="s">
        <v>51</v>
      </c>
      <c r="N200" t="s">
        <v>1</v>
      </c>
      <c r="O200" t="s">
        <v>665</v>
      </c>
    </row>
    <row r="201" spans="1:15" x14ac:dyDescent="0.25">
      <c r="A201" t="s">
        <v>870</v>
      </c>
      <c r="B201" t="s">
        <v>100</v>
      </c>
      <c r="C201" t="s">
        <v>621</v>
      </c>
      <c r="D201" t="s">
        <v>618</v>
      </c>
      <c r="E201" t="s">
        <v>622</v>
      </c>
      <c r="F201" s="213" t="s">
        <v>56</v>
      </c>
      <c r="G201" t="s">
        <v>66</v>
      </c>
      <c r="H201" t="s">
        <v>84</v>
      </c>
      <c r="I201" t="s">
        <v>623</v>
      </c>
      <c r="J201" t="s">
        <v>56</v>
      </c>
      <c r="K201" t="s">
        <v>27</v>
      </c>
      <c r="L201" t="s">
        <v>626</v>
      </c>
      <c r="M201" t="s">
        <v>55</v>
      </c>
      <c r="N201" t="s">
        <v>0</v>
      </c>
      <c r="O201" t="s">
        <v>630</v>
      </c>
    </row>
    <row r="202" spans="1:15" x14ac:dyDescent="0.25">
      <c r="A202" t="s">
        <v>871</v>
      </c>
      <c r="B202" t="s">
        <v>100</v>
      </c>
      <c r="C202" t="s">
        <v>621</v>
      </c>
      <c r="D202" t="s">
        <v>618</v>
      </c>
      <c r="E202" t="s">
        <v>622</v>
      </c>
      <c r="F202" s="213" t="s">
        <v>56</v>
      </c>
      <c r="G202" t="s">
        <v>66</v>
      </c>
      <c r="H202" t="s">
        <v>84</v>
      </c>
      <c r="I202" t="s">
        <v>623</v>
      </c>
      <c r="J202" t="s">
        <v>56</v>
      </c>
      <c r="K202" t="s">
        <v>27</v>
      </c>
      <c r="L202" t="s">
        <v>626</v>
      </c>
      <c r="M202" t="s">
        <v>12</v>
      </c>
      <c r="N202" t="s">
        <v>39</v>
      </c>
      <c r="O202" t="s">
        <v>714</v>
      </c>
    </row>
    <row r="203" spans="1:15" x14ac:dyDescent="0.25">
      <c r="A203" t="s">
        <v>872</v>
      </c>
      <c r="B203" t="s">
        <v>100</v>
      </c>
      <c r="C203" t="s">
        <v>621</v>
      </c>
      <c r="D203" t="s">
        <v>618</v>
      </c>
      <c r="E203" t="s">
        <v>622</v>
      </c>
      <c r="F203" s="213" t="s">
        <v>56</v>
      </c>
      <c r="G203" t="s">
        <v>66</v>
      </c>
      <c r="H203" t="s">
        <v>84</v>
      </c>
      <c r="I203" t="s">
        <v>623</v>
      </c>
      <c r="J203" t="s">
        <v>56</v>
      </c>
      <c r="K203" t="s">
        <v>25</v>
      </c>
      <c r="L203" t="s">
        <v>628</v>
      </c>
      <c r="M203" t="s">
        <v>12</v>
      </c>
      <c r="N203" t="s">
        <v>20</v>
      </c>
      <c r="O203" t="s">
        <v>637</v>
      </c>
    </row>
    <row r="204" spans="1:15" x14ac:dyDescent="0.25">
      <c r="A204" t="s">
        <v>873</v>
      </c>
      <c r="B204" t="s">
        <v>100</v>
      </c>
      <c r="C204" t="s">
        <v>621</v>
      </c>
      <c r="D204" t="s">
        <v>618</v>
      </c>
      <c r="E204" t="s">
        <v>622</v>
      </c>
      <c r="F204" s="213" t="s">
        <v>56</v>
      </c>
      <c r="G204" t="s">
        <v>66</v>
      </c>
      <c r="H204" t="s">
        <v>84</v>
      </c>
      <c r="I204" t="s">
        <v>623</v>
      </c>
      <c r="J204" t="s">
        <v>56</v>
      </c>
      <c r="K204" t="s">
        <v>22</v>
      </c>
      <c r="L204" t="s">
        <v>630</v>
      </c>
      <c r="M204" t="s">
        <v>12</v>
      </c>
      <c r="N204" t="s">
        <v>45</v>
      </c>
      <c r="O204" t="s">
        <v>646</v>
      </c>
    </row>
    <row r="205" spans="1:15" x14ac:dyDescent="0.25">
      <c r="A205" t="s">
        <v>874</v>
      </c>
      <c r="B205" t="s">
        <v>100</v>
      </c>
      <c r="C205" t="s">
        <v>621</v>
      </c>
      <c r="D205" t="s">
        <v>618</v>
      </c>
      <c r="E205" t="s">
        <v>622</v>
      </c>
      <c r="F205" s="213" t="s">
        <v>56</v>
      </c>
      <c r="G205" t="s">
        <v>66</v>
      </c>
      <c r="H205" t="s">
        <v>84</v>
      </c>
      <c r="I205" t="s">
        <v>623</v>
      </c>
      <c r="J205" t="s">
        <v>56</v>
      </c>
      <c r="K205" t="s">
        <v>19</v>
      </c>
      <c r="L205" t="s">
        <v>625</v>
      </c>
      <c r="M205" t="s">
        <v>12</v>
      </c>
      <c r="N205" t="s">
        <v>1</v>
      </c>
      <c r="O205" t="s">
        <v>875</v>
      </c>
    </row>
    <row r="206" spans="1:15" x14ac:dyDescent="0.25">
      <c r="A206" t="s">
        <v>876</v>
      </c>
      <c r="B206" t="s">
        <v>100</v>
      </c>
      <c r="C206" t="s">
        <v>621</v>
      </c>
      <c r="D206" t="s">
        <v>618</v>
      </c>
      <c r="E206" t="s">
        <v>622</v>
      </c>
      <c r="F206" s="213" t="s">
        <v>56</v>
      </c>
      <c r="G206" t="s">
        <v>66</v>
      </c>
      <c r="H206" t="s">
        <v>84</v>
      </c>
      <c r="I206" t="s">
        <v>623</v>
      </c>
      <c r="J206" t="s">
        <v>56</v>
      </c>
      <c r="K206" t="s">
        <v>15</v>
      </c>
      <c r="L206" t="s">
        <v>632</v>
      </c>
      <c r="M206" t="s">
        <v>12</v>
      </c>
      <c r="N206" t="s">
        <v>42</v>
      </c>
      <c r="O206" t="s">
        <v>626</v>
      </c>
    </row>
    <row r="207" spans="1:15" x14ac:dyDescent="0.25">
      <c r="A207" t="s">
        <v>877</v>
      </c>
      <c r="B207" t="s">
        <v>100</v>
      </c>
      <c r="C207" t="s">
        <v>621</v>
      </c>
      <c r="D207" t="s">
        <v>618</v>
      </c>
      <c r="E207" t="s">
        <v>622</v>
      </c>
      <c r="F207" s="213" t="s">
        <v>56</v>
      </c>
      <c r="G207" t="s">
        <v>66</v>
      </c>
      <c r="H207" t="s">
        <v>84</v>
      </c>
      <c r="I207" t="s">
        <v>623</v>
      </c>
      <c r="J207" t="s">
        <v>56</v>
      </c>
      <c r="K207" t="s">
        <v>27</v>
      </c>
      <c r="L207" t="s">
        <v>626</v>
      </c>
      <c r="M207" t="s">
        <v>41</v>
      </c>
      <c r="N207" t="s">
        <v>16</v>
      </c>
      <c r="O207" t="s">
        <v>878</v>
      </c>
    </row>
    <row r="208" spans="1:15" x14ac:dyDescent="0.25">
      <c r="A208" t="s">
        <v>879</v>
      </c>
      <c r="B208" t="s">
        <v>100</v>
      </c>
      <c r="C208" t="s">
        <v>621</v>
      </c>
      <c r="D208" t="s">
        <v>618</v>
      </c>
      <c r="E208" t="s">
        <v>622</v>
      </c>
      <c r="F208" s="213" t="s">
        <v>56</v>
      </c>
      <c r="G208" t="s">
        <v>66</v>
      </c>
      <c r="H208" t="s">
        <v>84</v>
      </c>
      <c r="I208" t="s">
        <v>623</v>
      </c>
      <c r="J208" t="s">
        <v>56</v>
      </c>
      <c r="K208" t="s">
        <v>25</v>
      </c>
      <c r="L208" t="s">
        <v>628</v>
      </c>
      <c r="M208" t="s">
        <v>41</v>
      </c>
      <c r="N208" t="s">
        <v>11</v>
      </c>
      <c r="O208" t="s">
        <v>47</v>
      </c>
    </row>
    <row r="209" spans="1:15" x14ac:dyDescent="0.25">
      <c r="A209" t="s">
        <v>880</v>
      </c>
      <c r="B209" t="s">
        <v>100</v>
      </c>
      <c r="C209" t="s">
        <v>621</v>
      </c>
      <c r="D209" t="s">
        <v>618</v>
      </c>
      <c r="E209" t="s">
        <v>622</v>
      </c>
      <c r="F209" s="213" t="s">
        <v>56</v>
      </c>
      <c r="G209" t="s">
        <v>66</v>
      </c>
      <c r="H209" t="s">
        <v>84</v>
      </c>
      <c r="I209" t="s">
        <v>623</v>
      </c>
      <c r="J209" t="s">
        <v>56</v>
      </c>
      <c r="K209" t="s">
        <v>22</v>
      </c>
      <c r="L209" t="s">
        <v>630</v>
      </c>
      <c r="M209" t="s">
        <v>41</v>
      </c>
      <c r="N209" t="s">
        <v>1</v>
      </c>
      <c r="O209" t="s">
        <v>635</v>
      </c>
    </row>
    <row r="210" spans="1:15" x14ac:dyDescent="0.25">
      <c r="A210" t="s">
        <v>881</v>
      </c>
      <c r="B210" t="s">
        <v>100</v>
      </c>
      <c r="C210" t="s">
        <v>621</v>
      </c>
      <c r="D210" t="s">
        <v>618</v>
      </c>
      <c r="E210" t="s">
        <v>622</v>
      </c>
      <c r="F210" s="213" t="s">
        <v>56</v>
      </c>
      <c r="G210" t="s">
        <v>66</v>
      </c>
      <c r="H210" t="s">
        <v>84</v>
      </c>
      <c r="I210" t="s">
        <v>623</v>
      </c>
      <c r="J210" t="s">
        <v>56</v>
      </c>
      <c r="K210" t="s">
        <v>19</v>
      </c>
      <c r="L210" t="s">
        <v>625</v>
      </c>
      <c r="M210" t="s">
        <v>41</v>
      </c>
      <c r="N210" t="s">
        <v>5</v>
      </c>
      <c r="O210" t="s">
        <v>625</v>
      </c>
    </row>
    <row r="211" spans="1:15" x14ac:dyDescent="0.25">
      <c r="A211" t="s">
        <v>882</v>
      </c>
      <c r="B211" t="s">
        <v>100</v>
      </c>
      <c r="C211" t="s">
        <v>621</v>
      </c>
      <c r="D211" t="s">
        <v>618</v>
      </c>
      <c r="E211" t="s">
        <v>622</v>
      </c>
      <c r="F211" s="213" t="s">
        <v>56</v>
      </c>
      <c r="G211" t="s">
        <v>66</v>
      </c>
      <c r="H211" t="s">
        <v>84</v>
      </c>
      <c r="I211" t="s">
        <v>623</v>
      </c>
      <c r="J211" t="s">
        <v>56</v>
      </c>
      <c r="K211" t="s">
        <v>27</v>
      </c>
      <c r="L211" t="s">
        <v>626</v>
      </c>
      <c r="M211" t="s">
        <v>26</v>
      </c>
      <c r="N211" t="s">
        <v>29</v>
      </c>
      <c r="O211" t="s">
        <v>883</v>
      </c>
    </row>
    <row r="212" spans="1:15" x14ac:dyDescent="0.25">
      <c r="A212" t="s">
        <v>884</v>
      </c>
      <c r="B212" t="s">
        <v>100</v>
      </c>
      <c r="C212" t="s">
        <v>621</v>
      </c>
      <c r="D212" t="s">
        <v>618</v>
      </c>
      <c r="E212" t="s">
        <v>622</v>
      </c>
      <c r="F212" s="213" t="s">
        <v>56</v>
      </c>
      <c r="G212" t="s">
        <v>66</v>
      </c>
      <c r="H212" t="s">
        <v>84</v>
      </c>
      <c r="I212" t="s">
        <v>623</v>
      </c>
      <c r="J212" t="s">
        <v>56</v>
      </c>
      <c r="K212" t="s">
        <v>25</v>
      </c>
      <c r="L212" t="s">
        <v>628</v>
      </c>
      <c r="M212" t="s">
        <v>26</v>
      </c>
      <c r="N212" t="s">
        <v>23</v>
      </c>
      <c r="O212" t="s">
        <v>628</v>
      </c>
    </row>
    <row r="213" spans="1:15" x14ac:dyDescent="0.25">
      <c r="A213" t="s">
        <v>885</v>
      </c>
      <c r="B213" t="s">
        <v>100</v>
      </c>
      <c r="C213" t="s">
        <v>621</v>
      </c>
      <c r="D213" t="s">
        <v>618</v>
      </c>
      <c r="E213" t="s">
        <v>622</v>
      </c>
      <c r="F213" s="213" t="s">
        <v>56</v>
      </c>
      <c r="G213" t="s">
        <v>66</v>
      </c>
      <c r="H213" t="s">
        <v>84</v>
      </c>
      <c r="I213" t="s">
        <v>623</v>
      </c>
      <c r="J213" t="s">
        <v>56</v>
      </c>
      <c r="K213" t="s">
        <v>22</v>
      </c>
      <c r="L213" t="s">
        <v>630</v>
      </c>
      <c r="M213" t="s">
        <v>26</v>
      </c>
      <c r="N213" t="s">
        <v>22</v>
      </c>
      <c r="O213" t="s">
        <v>714</v>
      </c>
    </row>
    <row r="214" spans="1:15" x14ac:dyDescent="0.25">
      <c r="A214" t="s">
        <v>886</v>
      </c>
      <c r="B214" t="s">
        <v>100</v>
      </c>
      <c r="C214" t="s">
        <v>621</v>
      </c>
      <c r="D214" t="s">
        <v>618</v>
      </c>
      <c r="E214" t="s">
        <v>622</v>
      </c>
      <c r="F214" s="213" t="s">
        <v>56</v>
      </c>
      <c r="G214" t="s">
        <v>66</v>
      </c>
      <c r="H214" t="s">
        <v>84</v>
      </c>
      <c r="I214" t="s">
        <v>623</v>
      </c>
      <c r="J214" t="s">
        <v>56</v>
      </c>
      <c r="K214" t="s">
        <v>19</v>
      </c>
      <c r="L214" t="s">
        <v>625</v>
      </c>
      <c r="M214" t="s">
        <v>26</v>
      </c>
      <c r="N214" t="s">
        <v>100</v>
      </c>
      <c r="O214" t="s">
        <v>741</v>
      </c>
    </row>
    <row r="215" spans="1:15" x14ac:dyDescent="0.25">
      <c r="A215" t="s">
        <v>887</v>
      </c>
      <c r="B215" t="s">
        <v>100</v>
      </c>
      <c r="C215" t="s">
        <v>621</v>
      </c>
      <c r="D215" t="s">
        <v>618</v>
      </c>
      <c r="E215" t="s">
        <v>622</v>
      </c>
      <c r="F215" s="213" t="s">
        <v>56</v>
      </c>
      <c r="G215" t="s">
        <v>66</v>
      </c>
      <c r="H215" t="s">
        <v>84</v>
      </c>
      <c r="I215" t="s">
        <v>623</v>
      </c>
      <c r="J215" t="s">
        <v>56</v>
      </c>
      <c r="K215" t="s">
        <v>15</v>
      </c>
      <c r="L215" t="s">
        <v>632</v>
      </c>
      <c r="M215" t="s">
        <v>26</v>
      </c>
      <c r="N215" t="s">
        <v>9</v>
      </c>
      <c r="O215" t="s">
        <v>888</v>
      </c>
    </row>
    <row r="216" spans="1:15" x14ac:dyDescent="0.25">
      <c r="A216" t="s">
        <v>889</v>
      </c>
      <c r="B216" t="s">
        <v>100</v>
      </c>
      <c r="C216" t="s">
        <v>621</v>
      </c>
      <c r="D216" t="s">
        <v>618</v>
      </c>
      <c r="E216" t="s">
        <v>622</v>
      </c>
      <c r="F216" s="213" t="s">
        <v>56</v>
      </c>
      <c r="G216" t="s">
        <v>66</v>
      </c>
      <c r="H216" t="s">
        <v>84</v>
      </c>
      <c r="I216" t="s">
        <v>623</v>
      </c>
      <c r="J216" t="s">
        <v>56</v>
      </c>
      <c r="K216" t="s">
        <v>27</v>
      </c>
      <c r="L216" t="s">
        <v>626</v>
      </c>
      <c r="M216" t="s">
        <v>62</v>
      </c>
      <c r="N216" t="s">
        <v>2</v>
      </c>
      <c r="O216" t="s">
        <v>100</v>
      </c>
    </row>
    <row r="217" spans="1:15" x14ac:dyDescent="0.25">
      <c r="A217" t="s">
        <v>890</v>
      </c>
      <c r="B217" t="s">
        <v>100</v>
      </c>
      <c r="C217" t="s">
        <v>621</v>
      </c>
      <c r="D217" t="s">
        <v>618</v>
      </c>
      <c r="E217" t="s">
        <v>622</v>
      </c>
      <c r="F217" s="213" t="s">
        <v>56</v>
      </c>
      <c r="G217" t="s">
        <v>66</v>
      </c>
      <c r="H217" t="s">
        <v>84</v>
      </c>
      <c r="I217" t="s">
        <v>623</v>
      </c>
      <c r="J217" t="s">
        <v>56</v>
      </c>
      <c r="K217" t="s">
        <v>27</v>
      </c>
      <c r="L217" t="s">
        <v>626</v>
      </c>
      <c r="M217" t="s">
        <v>45</v>
      </c>
      <c r="N217" t="s">
        <v>8</v>
      </c>
      <c r="O217" t="s">
        <v>628</v>
      </c>
    </row>
    <row r="218" spans="1:15" x14ac:dyDescent="0.25">
      <c r="A218" t="s">
        <v>891</v>
      </c>
      <c r="B218" t="s">
        <v>100</v>
      </c>
      <c r="C218" t="s">
        <v>621</v>
      </c>
      <c r="D218" t="s">
        <v>618</v>
      </c>
      <c r="E218" t="s">
        <v>622</v>
      </c>
      <c r="F218" s="213" t="s">
        <v>56</v>
      </c>
      <c r="G218" t="s">
        <v>66</v>
      </c>
      <c r="H218" t="s">
        <v>84</v>
      </c>
      <c r="I218" t="s">
        <v>623</v>
      </c>
      <c r="J218" t="s">
        <v>56</v>
      </c>
      <c r="K218" t="s">
        <v>25</v>
      </c>
      <c r="L218" t="s">
        <v>628</v>
      </c>
      <c r="M218" t="s">
        <v>45</v>
      </c>
      <c r="N218" t="s">
        <v>10</v>
      </c>
      <c r="O218" t="s">
        <v>40</v>
      </c>
    </row>
    <row r="219" spans="1:15" x14ac:dyDescent="0.25">
      <c r="A219" t="s">
        <v>892</v>
      </c>
      <c r="B219" t="s">
        <v>100</v>
      </c>
      <c r="C219" t="s">
        <v>621</v>
      </c>
      <c r="D219" t="s">
        <v>618</v>
      </c>
      <c r="E219" t="s">
        <v>622</v>
      </c>
      <c r="F219" s="213" t="s">
        <v>56</v>
      </c>
      <c r="G219" t="s">
        <v>66</v>
      </c>
      <c r="H219" t="s">
        <v>84</v>
      </c>
      <c r="I219" t="s">
        <v>623</v>
      </c>
      <c r="J219" t="s">
        <v>56</v>
      </c>
      <c r="K219" t="s">
        <v>22</v>
      </c>
      <c r="L219" t="s">
        <v>630</v>
      </c>
      <c r="M219" t="s">
        <v>45</v>
      </c>
      <c r="N219" t="s">
        <v>4</v>
      </c>
      <c r="O219" t="s">
        <v>665</v>
      </c>
    </row>
    <row r="220" spans="1:15" x14ac:dyDescent="0.25">
      <c r="A220" t="s">
        <v>893</v>
      </c>
      <c r="B220" t="s">
        <v>100</v>
      </c>
      <c r="C220" t="s">
        <v>621</v>
      </c>
      <c r="D220" t="s">
        <v>618</v>
      </c>
      <c r="E220" t="s">
        <v>622</v>
      </c>
      <c r="F220" s="213" t="s">
        <v>56</v>
      </c>
      <c r="G220" t="s">
        <v>66</v>
      </c>
      <c r="H220" t="s">
        <v>84</v>
      </c>
      <c r="I220" t="s">
        <v>623</v>
      </c>
      <c r="J220" t="s">
        <v>56</v>
      </c>
      <c r="K220" t="s">
        <v>27</v>
      </c>
      <c r="L220" t="s">
        <v>626</v>
      </c>
      <c r="M220" t="s">
        <v>15</v>
      </c>
      <c r="N220" t="s">
        <v>38</v>
      </c>
      <c r="O220" t="s">
        <v>646</v>
      </c>
    </row>
    <row r="221" spans="1:15" x14ac:dyDescent="0.25">
      <c r="A221" t="s">
        <v>894</v>
      </c>
      <c r="B221" t="s">
        <v>100</v>
      </c>
      <c r="C221" t="s">
        <v>621</v>
      </c>
      <c r="D221" t="s">
        <v>618</v>
      </c>
      <c r="E221" t="s">
        <v>622</v>
      </c>
      <c r="F221" s="213" t="s">
        <v>56</v>
      </c>
      <c r="G221" t="s">
        <v>66</v>
      </c>
      <c r="H221" t="s">
        <v>84</v>
      </c>
      <c r="I221" t="s">
        <v>623</v>
      </c>
      <c r="J221" t="s">
        <v>56</v>
      </c>
      <c r="K221" t="s">
        <v>25</v>
      </c>
      <c r="L221" t="s">
        <v>628</v>
      </c>
      <c r="M221" t="s">
        <v>15</v>
      </c>
      <c r="N221" t="s">
        <v>23</v>
      </c>
      <c r="O221" t="s">
        <v>643</v>
      </c>
    </row>
    <row r="222" spans="1:15" x14ac:dyDescent="0.25">
      <c r="A222" t="s">
        <v>895</v>
      </c>
      <c r="B222" t="s">
        <v>100</v>
      </c>
      <c r="C222" t="s">
        <v>621</v>
      </c>
      <c r="D222" t="s">
        <v>618</v>
      </c>
      <c r="E222" t="s">
        <v>622</v>
      </c>
      <c r="F222" s="213" t="s">
        <v>56</v>
      </c>
      <c r="G222" t="s">
        <v>66</v>
      </c>
      <c r="H222" t="s">
        <v>84</v>
      </c>
      <c r="I222" t="s">
        <v>623</v>
      </c>
      <c r="J222" t="s">
        <v>56</v>
      </c>
      <c r="K222" t="s">
        <v>22</v>
      </c>
      <c r="L222" t="s">
        <v>630</v>
      </c>
      <c r="M222" t="s">
        <v>15</v>
      </c>
      <c r="N222" t="s">
        <v>38</v>
      </c>
      <c r="O222" t="s">
        <v>626</v>
      </c>
    </row>
    <row r="223" spans="1:15" x14ac:dyDescent="0.25">
      <c r="A223" t="s">
        <v>896</v>
      </c>
      <c r="B223" t="s">
        <v>100</v>
      </c>
      <c r="C223" t="s">
        <v>621</v>
      </c>
      <c r="D223" t="s">
        <v>618</v>
      </c>
      <c r="E223" t="s">
        <v>622</v>
      </c>
      <c r="F223" s="213" t="s">
        <v>56</v>
      </c>
      <c r="G223" t="s">
        <v>66</v>
      </c>
      <c r="H223" t="s">
        <v>84</v>
      </c>
      <c r="I223" t="s">
        <v>623</v>
      </c>
      <c r="J223" t="s">
        <v>56</v>
      </c>
      <c r="K223" t="s">
        <v>19</v>
      </c>
      <c r="L223" t="s">
        <v>625</v>
      </c>
      <c r="M223" t="s">
        <v>15</v>
      </c>
      <c r="N223" t="s">
        <v>4</v>
      </c>
      <c r="O223" t="s">
        <v>716</v>
      </c>
    </row>
    <row r="224" spans="1:15" x14ac:dyDescent="0.25">
      <c r="A224" t="s">
        <v>897</v>
      </c>
      <c r="B224" t="s">
        <v>100</v>
      </c>
      <c r="C224" t="s">
        <v>621</v>
      </c>
      <c r="D224" t="s">
        <v>618</v>
      </c>
      <c r="E224" t="s">
        <v>622</v>
      </c>
      <c r="F224" s="213" t="s">
        <v>56</v>
      </c>
      <c r="G224" t="s">
        <v>66</v>
      </c>
      <c r="H224" t="s">
        <v>84</v>
      </c>
      <c r="I224" t="s">
        <v>623</v>
      </c>
      <c r="J224" t="s">
        <v>56</v>
      </c>
      <c r="K224" t="s">
        <v>15</v>
      </c>
      <c r="L224" t="s">
        <v>632</v>
      </c>
      <c r="M224" t="s">
        <v>15</v>
      </c>
      <c r="N224" t="s">
        <v>21</v>
      </c>
      <c r="O224" t="s">
        <v>888</v>
      </c>
    </row>
    <row r="225" spans="1:15" x14ac:dyDescent="0.25">
      <c r="A225" t="s">
        <v>898</v>
      </c>
      <c r="B225" t="s">
        <v>100</v>
      </c>
      <c r="C225" t="s">
        <v>621</v>
      </c>
      <c r="D225" t="s">
        <v>618</v>
      </c>
      <c r="E225" t="s">
        <v>622</v>
      </c>
      <c r="F225" s="213" t="s">
        <v>56</v>
      </c>
      <c r="G225" t="s">
        <v>66</v>
      </c>
      <c r="H225" t="s">
        <v>84</v>
      </c>
      <c r="I225" t="s">
        <v>623</v>
      </c>
      <c r="J225" t="s">
        <v>56</v>
      </c>
      <c r="K225" t="s">
        <v>12</v>
      </c>
      <c r="L225" t="s">
        <v>629</v>
      </c>
      <c r="M225" t="s">
        <v>15</v>
      </c>
      <c r="N225" t="s">
        <v>29</v>
      </c>
      <c r="O225" t="s">
        <v>623</v>
      </c>
    </row>
    <row r="226" spans="1:15" x14ac:dyDescent="0.25">
      <c r="A226" t="s">
        <v>899</v>
      </c>
      <c r="B226" t="s">
        <v>100</v>
      </c>
      <c r="C226" t="s">
        <v>621</v>
      </c>
      <c r="D226" t="s">
        <v>618</v>
      </c>
      <c r="E226" t="s">
        <v>622</v>
      </c>
      <c r="F226" s="213" t="s">
        <v>56</v>
      </c>
      <c r="G226" t="s">
        <v>66</v>
      </c>
      <c r="H226" t="s">
        <v>84</v>
      </c>
      <c r="I226" t="s">
        <v>623</v>
      </c>
      <c r="J226" t="s">
        <v>56</v>
      </c>
      <c r="K226" t="s">
        <v>27</v>
      </c>
      <c r="L226" t="s">
        <v>626</v>
      </c>
      <c r="M226" t="s">
        <v>19</v>
      </c>
      <c r="N226" t="s">
        <v>35</v>
      </c>
      <c r="O226" t="s">
        <v>900</v>
      </c>
    </row>
    <row r="227" spans="1:15" x14ac:dyDescent="0.25">
      <c r="A227" t="s">
        <v>901</v>
      </c>
      <c r="B227" t="s">
        <v>100</v>
      </c>
      <c r="C227" t="s">
        <v>621</v>
      </c>
      <c r="D227" t="s">
        <v>618</v>
      </c>
      <c r="E227" t="s">
        <v>622</v>
      </c>
      <c r="F227" s="213" t="s">
        <v>56</v>
      </c>
      <c r="G227" t="s">
        <v>66</v>
      </c>
      <c r="H227" t="s">
        <v>84</v>
      </c>
      <c r="I227" t="s">
        <v>623</v>
      </c>
      <c r="J227" t="s">
        <v>56</v>
      </c>
      <c r="K227" t="s">
        <v>25</v>
      </c>
      <c r="L227" t="s">
        <v>628</v>
      </c>
      <c r="M227" t="s">
        <v>19</v>
      </c>
      <c r="N227" t="s">
        <v>23</v>
      </c>
      <c r="O227" t="s">
        <v>623</v>
      </c>
    </row>
    <row r="228" spans="1:15" x14ac:dyDescent="0.25">
      <c r="A228" t="s">
        <v>902</v>
      </c>
      <c r="B228" t="s">
        <v>100</v>
      </c>
      <c r="C228" t="s">
        <v>621</v>
      </c>
      <c r="D228" t="s">
        <v>618</v>
      </c>
      <c r="E228" t="s">
        <v>622</v>
      </c>
      <c r="F228" s="213" t="s">
        <v>56</v>
      </c>
      <c r="G228" t="s">
        <v>66</v>
      </c>
      <c r="H228" t="s">
        <v>84</v>
      </c>
      <c r="I228" t="s">
        <v>623</v>
      </c>
      <c r="J228" t="s">
        <v>56</v>
      </c>
      <c r="K228" t="s">
        <v>22</v>
      </c>
      <c r="L228" t="s">
        <v>630</v>
      </c>
      <c r="M228" t="s">
        <v>19</v>
      </c>
      <c r="N228" t="s">
        <v>20</v>
      </c>
      <c r="O228" t="s">
        <v>642</v>
      </c>
    </row>
    <row r="229" spans="1:15" x14ac:dyDescent="0.25">
      <c r="A229" t="s">
        <v>903</v>
      </c>
      <c r="B229" t="s">
        <v>100</v>
      </c>
      <c r="C229" t="s">
        <v>621</v>
      </c>
      <c r="D229" t="s">
        <v>618</v>
      </c>
      <c r="E229" t="s">
        <v>622</v>
      </c>
      <c r="F229" s="213" t="s">
        <v>56</v>
      </c>
      <c r="G229" t="s">
        <v>66</v>
      </c>
      <c r="H229" t="s">
        <v>84</v>
      </c>
      <c r="I229" t="s">
        <v>623</v>
      </c>
      <c r="J229" t="s">
        <v>56</v>
      </c>
      <c r="K229" t="s">
        <v>19</v>
      </c>
      <c r="L229" t="s">
        <v>625</v>
      </c>
      <c r="M229" t="s">
        <v>19</v>
      </c>
      <c r="N229" t="s">
        <v>3</v>
      </c>
      <c r="O229" t="s">
        <v>765</v>
      </c>
    </row>
    <row r="230" spans="1:15" x14ac:dyDescent="0.25">
      <c r="A230" t="s">
        <v>904</v>
      </c>
      <c r="B230" t="s">
        <v>100</v>
      </c>
      <c r="C230" t="s">
        <v>621</v>
      </c>
      <c r="D230" t="s">
        <v>618</v>
      </c>
      <c r="E230" t="s">
        <v>622</v>
      </c>
      <c r="F230" s="213" t="s">
        <v>56</v>
      </c>
      <c r="G230" t="s">
        <v>66</v>
      </c>
      <c r="H230" t="s">
        <v>84</v>
      </c>
      <c r="I230" t="s">
        <v>623</v>
      </c>
      <c r="J230" t="s">
        <v>56</v>
      </c>
      <c r="K230" t="s">
        <v>15</v>
      </c>
      <c r="L230" t="s">
        <v>632</v>
      </c>
      <c r="M230" t="s">
        <v>19</v>
      </c>
      <c r="N230" t="s">
        <v>35</v>
      </c>
      <c r="O230" t="s">
        <v>42</v>
      </c>
    </row>
    <row r="231" spans="1:15" x14ac:dyDescent="0.25">
      <c r="A231" t="s">
        <v>905</v>
      </c>
      <c r="B231" t="s">
        <v>100</v>
      </c>
      <c r="C231" t="s">
        <v>621</v>
      </c>
      <c r="D231" t="s">
        <v>618</v>
      </c>
      <c r="E231" t="s">
        <v>622</v>
      </c>
      <c r="F231" s="213" t="s">
        <v>56</v>
      </c>
      <c r="G231" t="s">
        <v>66</v>
      </c>
      <c r="H231" t="s">
        <v>84</v>
      </c>
      <c r="I231" t="s">
        <v>623</v>
      </c>
      <c r="J231" t="s">
        <v>56</v>
      </c>
      <c r="K231" t="s">
        <v>12</v>
      </c>
      <c r="L231" t="s">
        <v>629</v>
      </c>
      <c r="M231" t="s">
        <v>19</v>
      </c>
      <c r="N231" t="s">
        <v>7</v>
      </c>
      <c r="O231" t="s">
        <v>644</v>
      </c>
    </row>
    <row r="232" spans="1:15" x14ac:dyDescent="0.25">
      <c r="A232" t="s">
        <v>906</v>
      </c>
      <c r="B232" t="s">
        <v>100</v>
      </c>
      <c r="C232" t="s">
        <v>621</v>
      </c>
      <c r="D232" t="s">
        <v>618</v>
      </c>
      <c r="E232" t="s">
        <v>622</v>
      </c>
      <c r="F232" s="213" t="s">
        <v>56</v>
      </c>
      <c r="G232" t="s">
        <v>66</v>
      </c>
      <c r="H232" t="s">
        <v>84</v>
      </c>
      <c r="I232" t="s">
        <v>623</v>
      </c>
      <c r="J232" t="s">
        <v>56</v>
      </c>
      <c r="K232" t="s">
        <v>27</v>
      </c>
      <c r="L232" t="s">
        <v>626</v>
      </c>
      <c r="M232" t="s">
        <v>30</v>
      </c>
      <c r="N232" t="s">
        <v>18</v>
      </c>
      <c r="O232" t="s">
        <v>47</v>
      </c>
    </row>
    <row r="233" spans="1:15" x14ac:dyDescent="0.25">
      <c r="A233" t="s">
        <v>907</v>
      </c>
      <c r="B233" t="s">
        <v>100</v>
      </c>
      <c r="C233" t="s">
        <v>621</v>
      </c>
      <c r="D233" t="s">
        <v>618</v>
      </c>
      <c r="E233" t="s">
        <v>622</v>
      </c>
      <c r="F233" s="213" t="s">
        <v>56</v>
      </c>
      <c r="G233" t="s">
        <v>66</v>
      </c>
      <c r="H233" t="s">
        <v>84</v>
      </c>
      <c r="I233" t="s">
        <v>623</v>
      </c>
      <c r="J233" t="s">
        <v>56</v>
      </c>
      <c r="K233" t="s">
        <v>25</v>
      </c>
      <c r="L233" t="s">
        <v>628</v>
      </c>
      <c r="M233" t="s">
        <v>30</v>
      </c>
      <c r="N233" t="s">
        <v>19</v>
      </c>
      <c r="O233" t="s">
        <v>682</v>
      </c>
    </row>
    <row r="234" spans="1:15" x14ac:dyDescent="0.25">
      <c r="A234" t="s">
        <v>908</v>
      </c>
      <c r="B234" t="s">
        <v>100</v>
      </c>
      <c r="C234" t="s">
        <v>621</v>
      </c>
      <c r="D234" t="s">
        <v>618</v>
      </c>
      <c r="E234" t="s">
        <v>622</v>
      </c>
      <c r="F234" s="213" t="s">
        <v>56</v>
      </c>
      <c r="G234" t="s">
        <v>66</v>
      </c>
      <c r="H234" t="s">
        <v>84</v>
      </c>
      <c r="I234" t="s">
        <v>623</v>
      </c>
      <c r="J234" t="s">
        <v>56</v>
      </c>
      <c r="K234" t="s">
        <v>22</v>
      </c>
      <c r="L234" t="s">
        <v>630</v>
      </c>
      <c r="M234" t="s">
        <v>30</v>
      </c>
      <c r="N234" t="s">
        <v>20</v>
      </c>
      <c r="O234" t="s">
        <v>739</v>
      </c>
    </row>
    <row r="235" spans="1:15" x14ac:dyDescent="0.25">
      <c r="A235" t="s">
        <v>909</v>
      </c>
      <c r="B235" t="s">
        <v>100</v>
      </c>
      <c r="C235" t="s">
        <v>621</v>
      </c>
      <c r="D235" t="s">
        <v>618</v>
      </c>
      <c r="E235" t="s">
        <v>622</v>
      </c>
      <c r="F235" s="213" t="s">
        <v>56</v>
      </c>
      <c r="G235" t="s">
        <v>66</v>
      </c>
      <c r="H235" t="s">
        <v>84</v>
      </c>
      <c r="I235" t="s">
        <v>623</v>
      </c>
      <c r="J235" t="s">
        <v>56</v>
      </c>
      <c r="K235" t="s">
        <v>19</v>
      </c>
      <c r="L235" t="s">
        <v>625</v>
      </c>
      <c r="M235" t="s">
        <v>30</v>
      </c>
      <c r="N235" t="s">
        <v>23</v>
      </c>
      <c r="O235" t="s">
        <v>33</v>
      </c>
    </row>
    <row r="236" spans="1:15" x14ac:dyDescent="0.25">
      <c r="A236" t="s">
        <v>910</v>
      </c>
      <c r="B236" t="s">
        <v>100</v>
      </c>
      <c r="C236" t="s">
        <v>621</v>
      </c>
      <c r="D236" t="s">
        <v>618</v>
      </c>
      <c r="E236" t="s">
        <v>622</v>
      </c>
      <c r="F236" s="213" t="s">
        <v>56</v>
      </c>
      <c r="G236" t="s">
        <v>66</v>
      </c>
      <c r="H236" t="s">
        <v>84</v>
      </c>
      <c r="I236" t="s">
        <v>623</v>
      </c>
      <c r="J236" t="s">
        <v>56</v>
      </c>
      <c r="K236" t="s">
        <v>27</v>
      </c>
      <c r="L236" t="s">
        <v>626</v>
      </c>
      <c r="M236" t="s">
        <v>22</v>
      </c>
      <c r="N236" t="s">
        <v>14</v>
      </c>
      <c r="O236" t="s">
        <v>643</v>
      </c>
    </row>
    <row r="237" spans="1:15" x14ac:dyDescent="0.25">
      <c r="A237" t="s">
        <v>911</v>
      </c>
      <c r="B237" t="s">
        <v>100</v>
      </c>
      <c r="C237" t="s">
        <v>621</v>
      </c>
      <c r="D237" t="s">
        <v>618</v>
      </c>
      <c r="E237" t="s">
        <v>622</v>
      </c>
      <c r="F237" s="213" t="s">
        <v>56</v>
      </c>
      <c r="G237" t="s">
        <v>66</v>
      </c>
      <c r="H237" t="s">
        <v>84</v>
      </c>
      <c r="I237" t="s">
        <v>623</v>
      </c>
      <c r="J237" t="s">
        <v>56</v>
      </c>
      <c r="K237" t="s">
        <v>25</v>
      </c>
      <c r="L237" t="s">
        <v>628</v>
      </c>
      <c r="M237" t="s">
        <v>22</v>
      </c>
      <c r="N237" t="s">
        <v>29</v>
      </c>
      <c r="O237" t="s">
        <v>45</v>
      </c>
    </row>
    <row r="238" spans="1:15" x14ac:dyDescent="0.25">
      <c r="A238" t="s">
        <v>912</v>
      </c>
      <c r="B238" t="s">
        <v>100</v>
      </c>
      <c r="C238" t="s">
        <v>621</v>
      </c>
      <c r="D238" t="s">
        <v>618</v>
      </c>
      <c r="E238" t="s">
        <v>622</v>
      </c>
      <c r="F238" s="213" t="s">
        <v>56</v>
      </c>
      <c r="G238" t="s">
        <v>66</v>
      </c>
      <c r="H238" t="s">
        <v>84</v>
      </c>
      <c r="I238" t="s">
        <v>623</v>
      </c>
      <c r="J238" t="s">
        <v>56</v>
      </c>
      <c r="K238" t="s">
        <v>22</v>
      </c>
      <c r="L238" t="s">
        <v>630</v>
      </c>
      <c r="M238" t="s">
        <v>22</v>
      </c>
      <c r="N238" t="s">
        <v>35</v>
      </c>
      <c r="O238" t="s">
        <v>418</v>
      </c>
    </row>
    <row r="239" spans="1:15" x14ac:dyDescent="0.25">
      <c r="A239" t="s">
        <v>913</v>
      </c>
      <c r="B239" t="s">
        <v>100</v>
      </c>
      <c r="C239" t="s">
        <v>621</v>
      </c>
      <c r="D239" t="s">
        <v>618</v>
      </c>
      <c r="E239" t="s">
        <v>622</v>
      </c>
      <c r="F239" s="213" t="s">
        <v>56</v>
      </c>
      <c r="G239" t="s">
        <v>66</v>
      </c>
      <c r="H239" t="s">
        <v>84</v>
      </c>
      <c r="I239" t="s">
        <v>623</v>
      </c>
      <c r="J239" t="s">
        <v>56</v>
      </c>
      <c r="K239" t="s">
        <v>19</v>
      </c>
      <c r="L239" t="s">
        <v>625</v>
      </c>
      <c r="M239" t="s">
        <v>22</v>
      </c>
      <c r="N239" t="s">
        <v>20</v>
      </c>
      <c r="O239" t="s">
        <v>623</v>
      </c>
    </row>
    <row r="240" spans="1:15" x14ac:dyDescent="0.25">
      <c r="A240" t="s">
        <v>914</v>
      </c>
      <c r="B240" t="s">
        <v>100</v>
      </c>
      <c r="C240" t="s">
        <v>621</v>
      </c>
      <c r="D240" t="s">
        <v>618</v>
      </c>
      <c r="E240" t="s">
        <v>622</v>
      </c>
      <c r="F240" s="213" t="s">
        <v>56</v>
      </c>
      <c r="G240" t="s">
        <v>66</v>
      </c>
      <c r="H240" t="s">
        <v>84</v>
      </c>
      <c r="I240" t="s">
        <v>623</v>
      </c>
      <c r="J240" t="s">
        <v>56</v>
      </c>
      <c r="K240" t="s">
        <v>15</v>
      </c>
      <c r="L240" t="s">
        <v>632</v>
      </c>
      <c r="M240" t="s">
        <v>22</v>
      </c>
      <c r="N240" t="s">
        <v>35</v>
      </c>
      <c r="O240" t="s">
        <v>100</v>
      </c>
    </row>
    <row r="241" spans="1:15" x14ac:dyDescent="0.25">
      <c r="A241" t="s">
        <v>915</v>
      </c>
      <c r="B241" t="s">
        <v>100</v>
      </c>
      <c r="C241" t="s">
        <v>621</v>
      </c>
      <c r="D241" t="s">
        <v>618</v>
      </c>
      <c r="E241" t="s">
        <v>622</v>
      </c>
      <c r="F241" s="213" t="s">
        <v>56</v>
      </c>
      <c r="G241" t="s">
        <v>66</v>
      </c>
      <c r="H241" t="s">
        <v>84</v>
      </c>
      <c r="I241" t="s">
        <v>623</v>
      </c>
      <c r="J241" t="s">
        <v>56</v>
      </c>
      <c r="K241" t="s">
        <v>12</v>
      </c>
      <c r="L241" t="s">
        <v>629</v>
      </c>
      <c r="M241" t="s">
        <v>22</v>
      </c>
      <c r="N241" t="s">
        <v>5</v>
      </c>
      <c r="O241" t="s">
        <v>644</v>
      </c>
    </row>
    <row r="242" spans="1:15" x14ac:dyDescent="0.25">
      <c r="A242" t="s">
        <v>916</v>
      </c>
      <c r="B242" t="s">
        <v>100</v>
      </c>
      <c r="C242" t="s">
        <v>621</v>
      </c>
      <c r="D242" t="s">
        <v>618</v>
      </c>
      <c r="E242" t="s">
        <v>622</v>
      </c>
      <c r="F242" s="213" t="s">
        <v>56</v>
      </c>
      <c r="G242" t="s">
        <v>66</v>
      </c>
      <c r="H242" t="s">
        <v>84</v>
      </c>
      <c r="I242" t="s">
        <v>623</v>
      </c>
      <c r="J242" t="s">
        <v>56</v>
      </c>
      <c r="K242" t="s">
        <v>27</v>
      </c>
      <c r="L242" t="s">
        <v>626</v>
      </c>
      <c r="M242" t="s">
        <v>34</v>
      </c>
      <c r="N242" t="s">
        <v>11</v>
      </c>
      <c r="O242" t="s">
        <v>665</v>
      </c>
    </row>
    <row r="243" spans="1:15" x14ac:dyDescent="0.25">
      <c r="A243" t="s">
        <v>917</v>
      </c>
      <c r="B243" t="s">
        <v>100</v>
      </c>
      <c r="C243" t="s">
        <v>621</v>
      </c>
      <c r="D243" t="s">
        <v>618</v>
      </c>
      <c r="E243" t="s">
        <v>622</v>
      </c>
      <c r="F243" s="213" t="s">
        <v>56</v>
      </c>
      <c r="G243" t="s">
        <v>66</v>
      </c>
      <c r="H243" t="s">
        <v>84</v>
      </c>
      <c r="I243" t="s">
        <v>623</v>
      </c>
      <c r="J243" t="s">
        <v>56</v>
      </c>
      <c r="K243" t="s">
        <v>25</v>
      </c>
      <c r="L243" t="s">
        <v>628</v>
      </c>
      <c r="M243" t="s">
        <v>34</v>
      </c>
      <c r="N243" t="s">
        <v>23</v>
      </c>
      <c r="O243" t="s">
        <v>418</v>
      </c>
    </row>
    <row r="244" spans="1:15" x14ac:dyDescent="0.25">
      <c r="A244" t="s">
        <v>918</v>
      </c>
      <c r="B244" t="s">
        <v>100</v>
      </c>
      <c r="C244" t="s">
        <v>621</v>
      </c>
      <c r="D244" t="s">
        <v>618</v>
      </c>
      <c r="E244" t="s">
        <v>622</v>
      </c>
      <c r="F244" s="213" t="s">
        <v>56</v>
      </c>
      <c r="G244" t="s">
        <v>66</v>
      </c>
      <c r="H244" t="s">
        <v>84</v>
      </c>
      <c r="I244" t="s">
        <v>623</v>
      </c>
      <c r="J244" t="s">
        <v>56</v>
      </c>
      <c r="K244" t="s">
        <v>22</v>
      </c>
      <c r="L244" t="s">
        <v>630</v>
      </c>
      <c r="M244" t="s">
        <v>34</v>
      </c>
      <c r="N244" t="s">
        <v>21</v>
      </c>
      <c r="O244" t="s">
        <v>28</v>
      </c>
    </row>
    <row r="245" spans="1:15" x14ac:dyDescent="0.25">
      <c r="A245" t="s">
        <v>919</v>
      </c>
      <c r="B245" t="s">
        <v>100</v>
      </c>
      <c r="C245" t="s">
        <v>621</v>
      </c>
      <c r="D245" t="s">
        <v>618</v>
      </c>
      <c r="E245" t="s">
        <v>622</v>
      </c>
      <c r="F245" s="213" t="s">
        <v>56</v>
      </c>
      <c r="G245" t="s">
        <v>66</v>
      </c>
      <c r="H245" t="s">
        <v>84</v>
      </c>
      <c r="I245" t="s">
        <v>623</v>
      </c>
      <c r="J245" t="s">
        <v>56</v>
      </c>
      <c r="K245" t="s">
        <v>19</v>
      </c>
      <c r="L245" t="s">
        <v>625</v>
      </c>
      <c r="M245" t="s">
        <v>34</v>
      </c>
      <c r="N245" t="s">
        <v>5</v>
      </c>
      <c r="O245" t="s">
        <v>643</v>
      </c>
    </row>
    <row r="246" spans="1:15" x14ac:dyDescent="0.25">
      <c r="A246" t="s">
        <v>920</v>
      </c>
      <c r="B246" t="s">
        <v>100</v>
      </c>
      <c r="C246" t="s">
        <v>621</v>
      </c>
      <c r="D246" t="s">
        <v>618</v>
      </c>
      <c r="E246" t="s">
        <v>622</v>
      </c>
      <c r="F246" s="213" t="s">
        <v>56</v>
      </c>
      <c r="G246" t="s">
        <v>66</v>
      </c>
      <c r="H246" t="s">
        <v>84</v>
      </c>
      <c r="I246" t="s">
        <v>623</v>
      </c>
      <c r="J246" t="s">
        <v>56</v>
      </c>
      <c r="K246" t="s">
        <v>27</v>
      </c>
      <c r="L246" t="s">
        <v>626</v>
      </c>
      <c r="M246" t="s">
        <v>18</v>
      </c>
      <c r="N246" t="s">
        <v>35</v>
      </c>
      <c r="O246" t="s">
        <v>682</v>
      </c>
    </row>
    <row r="247" spans="1:15" x14ac:dyDescent="0.25">
      <c r="A247" t="s">
        <v>921</v>
      </c>
      <c r="B247" t="s">
        <v>100</v>
      </c>
      <c r="C247" t="s">
        <v>621</v>
      </c>
      <c r="D247" t="s">
        <v>618</v>
      </c>
      <c r="E247" t="s">
        <v>622</v>
      </c>
      <c r="F247" s="213" t="s">
        <v>56</v>
      </c>
      <c r="G247" t="s">
        <v>66</v>
      </c>
      <c r="H247" t="s">
        <v>84</v>
      </c>
      <c r="I247" t="s">
        <v>623</v>
      </c>
      <c r="J247" t="s">
        <v>56</v>
      </c>
      <c r="K247" t="s">
        <v>25</v>
      </c>
      <c r="L247" t="s">
        <v>628</v>
      </c>
      <c r="M247" t="s">
        <v>18</v>
      </c>
      <c r="N247" t="s">
        <v>34</v>
      </c>
      <c r="O247" t="s">
        <v>46</v>
      </c>
    </row>
    <row r="248" spans="1:15" x14ac:dyDescent="0.25">
      <c r="A248" t="s">
        <v>922</v>
      </c>
      <c r="B248" t="s">
        <v>100</v>
      </c>
      <c r="C248" t="s">
        <v>621</v>
      </c>
      <c r="D248" t="s">
        <v>618</v>
      </c>
      <c r="E248" t="s">
        <v>622</v>
      </c>
      <c r="F248" s="213" t="s">
        <v>56</v>
      </c>
      <c r="G248" t="s">
        <v>66</v>
      </c>
      <c r="H248" t="s">
        <v>84</v>
      </c>
      <c r="I248" t="s">
        <v>623</v>
      </c>
      <c r="J248" t="s">
        <v>56</v>
      </c>
      <c r="K248" t="s">
        <v>22</v>
      </c>
      <c r="L248" t="s">
        <v>630</v>
      </c>
      <c r="M248" t="s">
        <v>18</v>
      </c>
      <c r="N248" t="s">
        <v>18</v>
      </c>
      <c r="O248" t="s">
        <v>643</v>
      </c>
    </row>
    <row r="249" spans="1:15" x14ac:dyDescent="0.25">
      <c r="A249" t="s">
        <v>923</v>
      </c>
      <c r="B249" t="s">
        <v>100</v>
      </c>
      <c r="C249" t="s">
        <v>621</v>
      </c>
      <c r="D249" t="s">
        <v>618</v>
      </c>
      <c r="E249" t="s">
        <v>622</v>
      </c>
      <c r="F249" s="213" t="s">
        <v>56</v>
      </c>
      <c r="G249" t="s">
        <v>66</v>
      </c>
      <c r="H249" t="s">
        <v>84</v>
      </c>
      <c r="I249" t="s">
        <v>623</v>
      </c>
      <c r="J249" t="s">
        <v>56</v>
      </c>
      <c r="K249" t="s">
        <v>19</v>
      </c>
      <c r="L249" t="s">
        <v>625</v>
      </c>
      <c r="M249" t="s">
        <v>18</v>
      </c>
      <c r="N249" t="s">
        <v>33</v>
      </c>
      <c r="O249" t="s">
        <v>641</v>
      </c>
    </row>
    <row r="250" spans="1:15" x14ac:dyDescent="0.25">
      <c r="A250" t="s">
        <v>924</v>
      </c>
      <c r="B250" t="s">
        <v>100</v>
      </c>
      <c r="C250" t="s">
        <v>621</v>
      </c>
      <c r="D250" t="s">
        <v>618</v>
      </c>
      <c r="E250" t="s">
        <v>622</v>
      </c>
      <c r="F250" s="213" t="s">
        <v>56</v>
      </c>
      <c r="G250" t="s">
        <v>66</v>
      </c>
      <c r="H250" t="s">
        <v>84</v>
      </c>
      <c r="I250" t="s">
        <v>623</v>
      </c>
      <c r="J250" t="s">
        <v>56</v>
      </c>
      <c r="K250" t="s">
        <v>15</v>
      </c>
      <c r="L250" t="s">
        <v>632</v>
      </c>
      <c r="M250" t="s">
        <v>18</v>
      </c>
      <c r="N250" t="s">
        <v>32</v>
      </c>
      <c r="O250" t="s">
        <v>646</v>
      </c>
    </row>
    <row r="251" spans="1:15" x14ac:dyDescent="0.25">
      <c r="A251" t="s">
        <v>925</v>
      </c>
      <c r="B251" t="s">
        <v>100</v>
      </c>
      <c r="C251" t="s">
        <v>621</v>
      </c>
      <c r="D251" t="s">
        <v>618</v>
      </c>
      <c r="E251" t="s">
        <v>622</v>
      </c>
      <c r="F251" s="213" t="s">
        <v>56</v>
      </c>
      <c r="G251" t="s">
        <v>66</v>
      </c>
      <c r="H251" t="s">
        <v>84</v>
      </c>
      <c r="I251" t="s">
        <v>623</v>
      </c>
      <c r="J251" t="s">
        <v>56</v>
      </c>
      <c r="K251" t="s">
        <v>12</v>
      </c>
      <c r="L251" t="s">
        <v>629</v>
      </c>
      <c r="M251" t="s">
        <v>18</v>
      </c>
      <c r="N251" t="s">
        <v>5</v>
      </c>
      <c r="O251" t="s">
        <v>627</v>
      </c>
    </row>
    <row r="252" spans="1:15" x14ac:dyDescent="0.25">
      <c r="A252" t="s">
        <v>926</v>
      </c>
      <c r="B252" t="s">
        <v>100</v>
      </c>
      <c r="C252" t="s">
        <v>621</v>
      </c>
      <c r="D252" t="s">
        <v>618</v>
      </c>
      <c r="E252" t="s">
        <v>622</v>
      </c>
      <c r="F252" s="213" t="s">
        <v>56</v>
      </c>
      <c r="G252" t="s">
        <v>66</v>
      </c>
      <c r="H252" t="s">
        <v>84</v>
      </c>
      <c r="I252" t="s">
        <v>623</v>
      </c>
      <c r="J252" t="s">
        <v>56</v>
      </c>
      <c r="K252" t="s">
        <v>27</v>
      </c>
      <c r="L252" t="s">
        <v>626</v>
      </c>
      <c r="M252" t="s">
        <v>35</v>
      </c>
      <c r="N252" t="s">
        <v>10</v>
      </c>
      <c r="O252" t="s">
        <v>665</v>
      </c>
    </row>
    <row r="253" spans="1:15" x14ac:dyDescent="0.25">
      <c r="A253" t="s">
        <v>927</v>
      </c>
      <c r="B253" t="s">
        <v>100</v>
      </c>
      <c r="C253" t="s">
        <v>621</v>
      </c>
      <c r="D253" t="s">
        <v>618</v>
      </c>
      <c r="E253" t="s">
        <v>622</v>
      </c>
      <c r="F253" s="213" t="s">
        <v>56</v>
      </c>
      <c r="G253" t="s">
        <v>66</v>
      </c>
      <c r="H253" t="s">
        <v>84</v>
      </c>
      <c r="I253" t="s">
        <v>623</v>
      </c>
      <c r="J253" t="s">
        <v>56</v>
      </c>
      <c r="K253" t="s">
        <v>25</v>
      </c>
      <c r="L253" t="s">
        <v>628</v>
      </c>
      <c r="M253" t="s">
        <v>35</v>
      </c>
      <c r="N253" t="s">
        <v>22</v>
      </c>
      <c r="O253" t="s">
        <v>418</v>
      </c>
    </row>
    <row r="254" spans="1:15" x14ac:dyDescent="0.25">
      <c r="A254" t="s">
        <v>928</v>
      </c>
      <c r="B254" t="s">
        <v>100</v>
      </c>
      <c r="C254" t="s">
        <v>621</v>
      </c>
      <c r="D254" t="s">
        <v>618</v>
      </c>
      <c r="E254" t="s">
        <v>622</v>
      </c>
      <c r="F254" s="213" t="s">
        <v>56</v>
      </c>
      <c r="G254" t="s">
        <v>66</v>
      </c>
      <c r="H254" t="s">
        <v>84</v>
      </c>
      <c r="I254" t="s">
        <v>623</v>
      </c>
      <c r="J254" t="s">
        <v>56</v>
      </c>
      <c r="K254" t="s">
        <v>22</v>
      </c>
      <c r="L254" t="s">
        <v>630</v>
      </c>
      <c r="M254" t="s">
        <v>35</v>
      </c>
      <c r="N254" t="s">
        <v>20</v>
      </c>
      <c r="O254" t="s">
        <v>27</v>
      </c>
    </row>
    <row r="255" spans="1:15" x14ac:dyDescent="0.25">
      <c r="A255" t="s">
        <v>929</v>
      </c>
      <c r="B255" t="s">
        <v>100</v>
      </c>
      <c r="C255" t="s">
        <v>621</v>
      </c>
      <c r="D255" t="s">
        <v>618</v>
      </c>
      <c r="E255" t="s">
        <v>622</v>
      </c>
      <c r="F255" s="213" t="s">
        <v>56</v>
      </c>
      <c r="G255" t="s">
        <v>66</v>
      </c>
      <c r="H255" t="s">
        <v>84</v>
      </c>
      <c r="I255" t="s">
        <v>623</v>
      </c>
      <c r="J255" t="s">
        <v>56</v>
      </c>
      <c r="K255" t="s">
        <v>19</v>
      </c>
      <c r="L255" t="s">
        <v>625</v>
      </c>
      <c r="M255" t="s">
        <v>35</v>
      </c>
      <c r="N255" t="s">
        <v>5</v>
      </c>
      <c r="O255" t="s">
        <v>629</v>
      </c>
    </row>
    <row r="256" spans="1:15" x14ac:dyDescent="0.25">
      <c r="A256" t="s">
        <v>930</v>
      </c>
      <c r="B256" t="s">
        <v>100</v>
      </c>
      <c r="C256" t="s">
        <v>621</v>
      </c>
      <c r="D256" t="s">
        <v>618</v>
      </c>
      <c r="E256" t="s">
        <v>622</v>
      </c>
      <c r="F256" s="213" t="s">
        <v>56</v>
      </c>
      <c r="G256" t="s">
        <v>66</v>
      </c>
      <c r="H256" t="s">
        <v>84</v>
      </c>
      <c r="I256" t="s">
        <v>623</v>
      </c>
      <c r="J256" t="s">
        <v>56</v>
      </c>
      <c r="K256" t="s">
        <v>27</v>
      </c>
      <c r="L256" t="s">
        <v>626</v>
      </c>
      <c r="M256" t="s">
        <v>39</v>
      </c>
      <c r="N256" t="s">
        <v>17</v>
      </c>
      <c r="O256" t="s">
        <v>878</v>
      </c>
    </row>
    <row r="257" spans="1:15" x14ac:dyDescent="0.25">
      <c r="A257" t="s">
        <v>931</v>
      </c>
      <c r="B257" t="s">
        <v>100</v>
      </c>
      <c r="C257" t="s">
        <v>621</v>
      </c>
      <c r="D257" t="s">
        <v>618</v>
      </c>
      <c r="E257" t="s">
        <v>622</v>
      </c>
      <c r="F257" s="213" t="s">
        <v>56</v>
      </c>
      <c r="G257" t="s">
        <v>66</v>
      </c>
      <c r="H257" t="s">
        <v>84</v>
      </c>
      <c r="I257" t="s">
        <v>623</v>
      </c>
      <c r="J257" t="s">
        <v>56</v>
      </c>
      <c r="K257" t="s">
        <v>25</v>
      </c>
      <c r="L257" t="s">
        <v>628</v>
      </c>
      <c r="M257" t="s">
        <v>39</v>
      </c>
      <c r="N257" t="s">
        <v>14</v>
      </c>
      <c r="O257" t="s">
        <v>626</v>
      </c>
    </row>
    <row r="258" spans="1:15" x14ac:dyDescent="0.25">
      <c r="A258" t="s">
        <v>932</v>
      </c>
      <c r="B258" t="s">
        <v>100</v>
      </c>
      <c r="C258" t="s">
        <v>621</v>
      </c>
      <c r="D258" t="s">
        <v>618</v>
      </c>
      <c r="E258" t="s">
        <v>622</v>
      </c>
      <c r="F258" s="213" t="s">
        <v>56</v>
      </c>
      <c r="G258" t="s">
        <v>66</v>
      </c>
      <c r="H258" t="s">
        <v>84</v>
      </c>
      <c r="I258" t="s">
        <v>623</v>
      </c>
      <c r="J258" t="s">
        <v>56</v>
      </c>
      <c r="K258" t="s">
        <v>22</v>
      </c>
      <c r="L258" t="s">
        <v>630</v>
      </c>
      <c r="M258" t="s">
        <v>39</v>
      </c>
      <c r="N258" t="s">
        <v>2</v>
      </c>
      <c r="O258" t="s">
        <v>635</v>
      </c>
    </row>
    <row r="259" spans="1:15" x14ac:dyDescent="0.25">
      <c r="A259" t="s">
        <v>933</v>
      </c>
      <c r="B259" t="s">
        <v>100</v>
      </c>
      <c r="C259" t="s">
        <v>621</v>
      </c>
      <c r="D259" t="s">
        <v>618</v>
      </c>
      <c r="E259" t="s">
        <v>622</v>
      </c>
      <c r="F259" s="213" t="s">
        <v>56</v>
      </c>
      <c r="G259" t="s">
        <v>66</v>
      </c>
      <c r="H259" t="s">
        <v>84</v>
      </c>
      <c r="I259" t="s">
        <v>623</v>
      </c>
      <c r="J259" t="s">
        <v>56</v>
      </c>
      <c r="K259" t="s">
        <v>19</v>
      </c>
      <c r="L259" t="s">
        <v>625</v>
      </c>
      <c r="M259" t="s">
        <v>39</v>
      </c>
      <c r="N259" t="s">
        <v>6</v>
      </c>
      <c r="O259" t="s">
        <v>665</v>
      </c>
    </row>
    <row r="260" spans="1:15" x14ac:dyDescent="0.25">
      <c r="A260" t="s">
        <v>934</v>
      </c>
      <c r="B260" t="s">
        <v>100</v>
      </c>
      <c r="C260" t="s">
        <v>621</v>
      </c>
      <c r="D260" t="s">
        <v>618</v>
      </c>
      <c r="E260" t="s">
        <v>622</v>
      </c>
      <c r="F260" s="213" t="s">
        <v>56</v>
      </c>
      <c r="G260" t="s">
        <v>66</v>
      </c>
      <c r="H260" t="s">
        <v>84</v>
      </c>
      <c r="I260" t="s">
        <v>623</v>
      </c>
      <c r="J260" t="s">
        <v>56</v>
      </c>
      <c r="K260" t="s">
        <v>27</v>
      </c>
      <c r="L260" t="s">
        <v>626</v>
      </c>
      <c r="M260" t="s">
        <v>23</v>
      </c>
      <c r="N260" t="s">
        <v>29</v>
      </c>
      <c r="O260" t="s">
        <v>43</v>
      </c>
    </row>
    <row r="261" spans="1:15" x14ac:dyDescent="0.25">
      <c r="A261" t="s">
        <v>935</v>
      </c>
      <c r="B261" t="s">
        <v>100</v>
      </c>
      <c r="C261" t="s">
        <v>621</v>
      </c>
      <c r="D261" t="s">
        <v>618</v>
      </c>
      <c r="E261" t="s">
        <v>622</v>
      </c>
      <c r="F261" s="213" t="s">
        <v>56</v>
      </c>
      <c r="G261" t="s">
        <v>66</v>
      </c>
      <c r="H261" t="s">
        <v>84</v>
      </c>
      <c r="I261" t="s">
        <v>623</v>
      </c>
      <c r="J261" t="s">
        <v>56</v>
      </c>
      <c r="K261" t="s">
        <v>25</v>
      </c>
      <c r="L261" t="s">
        <v>628</v>
      </c>
      <c r="M261" t="s">
        <v>23</v>
      </c>
      <c r="N261" t="s">
        <v>22</v>
      </c>
      <c r="O261" t="s">
        <v>665</v>
      </c>
    </row>
    <row r="262" spans="1:15" x14ac:dyDescent="0.25">
      <c r="A262" t="s">
        <v>936</v>
      </c>
      <c r="B262" t="s">
        <v>100</v>
      </c>
      <c r="C262" t="s">
        <v>621</v>
      </c>
      <c r="D262" t="s">
        <v>618</v>
      </c>
      <c r="E262" t="s">
        <v>622</v>
      </c>
      <c r="F262" s="213" t="s">
        <v>56</v>
      </c>
      <c r="G262" t="s">
        <v>66</v>
      </c>
      <c r="H262" t="s">
        <v>84</v>
      </c>
      <c r="I262" t="s">
        <v>623</v>
      </c>
      <c r="J262" t="s">
        <v>56</v>
      </c>
      <c r="K262" t="s">
        <v>22</v>
      </c>
      <c r="L262" t="s">
        <v>630</v>
      </c>
      <c r="M262" t="s">
        <v>23</v>
      </c>
      <c r="N262" t="s">
        <v>31</v>
      </c>
      <c r="O262" t="s">
        <v>698</v>
      </c>
    </row>
    <row r="263" spans="1:15" x14ac:dyDescent="0.25">
      <c r="A263" t="s">
        <v>937</v>
      </c>
      <c r="B263" t="s">
        <v>100</v>
      </c>
      <c r="C263" t="s">
        <v>621</v>
      </c>
      <c r="D263" t="s">
        <v>618</v>
      </c>
      <c r="E263" t="s">
        <v>622</v>
      </c>
      <c r="F263" s="213" t="s">
        <v>56</v>
      </c>
      <c r="G263" t="s">
        <v>66</v>
      </c>
      <c r="H263" t="s">
        <v>84</v>
      </c>
      <c r="I263" t="s">
        <v>623</v>
      </c>
      <c r="J263" t="s">
        <v>56</v>
      </c>
      <c r="K263" t="s">
        <v>19</v>
      </c>
      <c r="L263" t="s">
        <v>625</v>
      </c>
      <c r="M263" t="s">
        <v>23</v>
      </c>
      <c r="N263" t="s">
        <v>1</v>
      </c>
      <c r="O263" t="s">
        <v>825</v>
      </c>
    </row>
    <row r="264" spans="1:15" x14ac:dyDescent="0.25">
      <c r="A264" t="s">
        <v>938</v>
      </c>
      <c r="B264" t="s">
        <v>100</v>
      </c>
      <c r="C264" t="s">
        <v>621</v>
      </c>
      <c r="D264" t="s">
        <v>618</v>
      </c>
      <c r="E264" t="s">
        <v>622</v>
      </c>
      <c r="F264" s="213" t="s">
        <v>56</v>
      </c>
      <c r="G264" t="s">
        <v>66</v>
      </c>
      <c r="H264" t="s">
        <v>84</v>
      </c>
      <c r="I264" t="s">
        <v>623</v>
      </c>
      <c r="J264" t="s">
        <v>56</v>
      </c>
      <c r="K264" t="s">
        <v>15</v>
      </c>
      <c r="L264" t="s">
        <v>632</v>
      </c>
      <c r="M264" t="s">
        <v>23</v>
      </c>
      <c r="N264" t="s">
        <v>8</v>
      </c>
      <c r="O264" t="s">
        <v>645</v>
      </c>
    </row>
    <row r="265" spans="1:15" x14ac:dyDescent="0.25">
      <c r="A265" t="s">
        <v>939</v>
      </c>
      <c r="B265" t="s">
        <v>100</v>
      </c>
      <c r="C265" t="s">
        <v>621</v>
      </c>
      <c r="D265" t="s">
        <v>618</v>
      </c>
      <c r="E265" t="s">
        <v>622</v>
      </c>
      <c r="F265" s="213" t="s">
        <v>56</v>
      </c>
      <c r="G265" t="s">
        <v>66</v>
      </c>
      <c r="H265" t="s">
        <v>84</v>
      </c>
      <c r="I265" t="s">
        <v>623</v>
      </c>
      <c r="J265" t="s">
        <v>56</v>
      </c>
      <c r="K265" t="s">
        <v>12</v>
      </c>
      <c r="L265" t="s">
        <v>629</v>
      </c>
      <c r="M265" t="s">
        <v>23</v>
      </c>
      <c r="N265" t="s">
        <v>18</v>
      </c>
      <c r="O265" t="s">
        <v>632</v>
      </c>
    </row>
    <row r="266" spans="1:15" x14ac:dyDescent="0.25">
      <c r="A266" t="s">
        <v>940</v>
      </c>
      <c r="B266" t="s">
        <v>100</v>
      </c>
      <c r="C266" t="s">
        <v>621</v>
      </c>
      <c r="D266" t="s">
        <v>618</v>
      </c>
      <c r="E266" t="s">
        <v>622</v>
      </c>
      <c r="F266" s="213" t="s">
        <v>56</v>
      </c>
      <c r="G266" t="s">
        <v>66</v>
      </c>
      <c r="H266" t="s">
        <v>84</v>
      </c>
      <c r="I266" t="s">
        <v>623</v>
      </c>
      <c r="J266" t="s">
        <v>56</v>
      </c>
      <c r="K266" t="s">
        <v>27</v>
      </c>
      <c r="L266" t="s">
        <v>626</v>
      </c>
      <c r="M266" t="s">
        <v>16</v>
      </c>
      <c r="N266" t="s">
        <v>11</v>
      </c>
      <c r="O266" t="s">
        <v>674</v>
      </c>
    </row>
    <row r="267" spans="1:15" x14ac:dyDescent="0.25">
      <c r="A267" t="s">
        <v>941</v>
      </c>
      <c r="B267" t="s">
        <v>100</v>
      </c>
      <c r="C267" t="s">
        <v>621</v>
      </c>
      <c r="D267" t="s">
        <v>618</v>
      </c>
      <c r="E267" t="s">
        <v>622</v>
      </c>
      <c r="F267" s="213" t="s">
        <v>56</v>
      </c>
      <c r="G267" t="s">
        <v>66</v>
      </c>
      <c r="H267" t="s">
        <v>84</v>
      </c>
      <c r="I267" t="s">
        <v>623</v>
      </c>
      <c r="J267" t="s">
        <v>56</v>
      </c>
      <c r="K267" t="s">
        <v>25</v>
      </c>
      <c r="L267" t="s">
        <v>628</v>
      </c>
      <c r="M267" t="s">
        <v>16</v>
      </c>
      <c r="N267" t="s">
        <v>42</v>
      </c>
      <c r="O267" t="s">
        <v>101</v>
      </c>
    </row>
    <row r="268" spans="1:15" x14ac:dyDescent="0.25">
      <c r="A268" t="s">
        <v>942</v>
      </c>
      <c r="B268" t="s">
        <v>100</v>
      </c>
      <c r="C268" t="s">
        <v>621</v>
      </c>
      <c r="D268" t="s">
        <v>618</v>
      </c>
      <c r="E268" t="s">
        <v>622</v>
      </c>
      <c r="F268" s="213" t="s">
        <v>56</v>
      </c>
      <c r="G268" t="s">
        <v>66</v>
      </c>
      <c r="H268" t="s">
        <v>84</v>
      </c>
      <c r="I268" t="s">
        <v>623</v>
      </c>
      <c r="J268" t="s">
        <v>56</v>
      </c>
      <c r="K268" t="s">
        <v>22</v>
      </c>
      <c r="L268" t="s">
        <v>630</v>
      </c>
      <c r="M268" t="s">
        <v>16</v>
      </c>
      <c r="N268" t="s">
        <v>40</v>
      </c>
      <c r="O268" t="s">
        <v>682</v>
      </c>
    </row>
    <row r="269" spans="1:15" x14ac:dyDescent="0.25">
      <c r="A269" t="s">
        <v>943</v>
      </c>
      <c r="B269" t="s">
        <v>100</v>
      </c>
      <c r="C269" t="s">
        <v>621</v>
      </c>
      <c r="D269" t="s">
        <v>618</v>
      </c>
      <c r="E269" t="s">
        <v>622</v>
      </c>
      <c r="F269" s="213" t="s">
        <v>56</v>
      </c>
      <c r="G269" t="s">
        <v>66</v>
      </c>
      <c r="H269" t="s">
        <v>84</v>
      </c>
      <c r="I269" t="s">
        <v>623</v>
      </c>
      <c r="J269" t="s">
        <v>56</v>
      </c>
      <c r="K269" t="s">
        <v>19</v>
      </c>
      <c r="L269" t="s">
        <v>625</v>
      </c>
      <c r="M269" t="s">
        <v>16</v>
      </c>
      <c r="N269" t="s">
        <v>100</v>
      </c>
      <c r="O269" t="s">
        <v>638</v>
      </c>
    </row>
    <row r="270" spans="1:15" x14ac:dyDescent="0.25">
      <c r="A270" t="s">
        <v>944</v>
      </c>
      <c r="B270" t="s">
        <v>100</v>
      </c>
      <c r="C270" t="s">
        <v>621</v>
      </c>
      <c r="D270" t="s">
        <v>618</v>
      </c>
      <c r="E270" t="s">
        <v>622</v>
      </c>
      <c r="F270" s="213" t="s">
        <v>56</v>
      </c>
      <c r="G270" t="s">
        <v>66</v>
      </c>
      <c r="H270" t="s">
        <v>84</v>
      </c>
      <c r="I270" t="s">
        <v>623</v>
      </c>
      <c r="J270" t="s">
        <v>56</v>
      </c>
      <c r="K270" t="s">
        <v>15</v>
      </c>
      <c r="L270" t="s">
        <v>632</v>
      </c>
      <c r="M270" t="s">
        <v>16</v>
      </c>
      <c r="N270" t="s">
        <v>41</v>
      </c>
      <c r="O270" t="s">
        <v>43</v>
      </c>
    </row>
    <row r="271" spans="1:15" x14ac:dyDescent="0.25">
      <c r="A271" t="s">
        <v>945</v>
      </c>
      <c r="B271" t="s">
        <v>100</v>
      </c>
      <c r="C271" t="s">
        <v>621</v>
      </c>
      <c r="D271" t="s">
        <v>618</v>
      </c>
      <c r="E271" t="s">
        <v>622</v>
      </c>
      <c r="F271" s="213" t="s">
        <v>56</v>
      </c>
      <c r="G271" t="s">
        <v>66</v>
      </c>
      <c r="H271" t="s">
        <v>84</v>
      </c>
      <c r="I271" t="s">
        <v>623</v>
      </c>
      <c r="J271" t="s">
        <v>56</v>
      </c>
      <c r="K271" t="s">
        <v>27</v>
      </c>
      <c r="L271" t="s">
        <v>626</v>
      </c>
      <c r="M271" t="s">
        <v>29</v>
      </c>
      <c r="N271" t="s">
        <v>23</v>
      </c>
      <c r="O271" t="s">
        <v>36</v>
      </c>
    </row>
    <row r="272" spans="1:15" x14ac:dyDescent="0.25">
      <c r="A272" t="s">
        <v>946</v>
      </c>
      <c r="B272" t="s">
        <v>100</v>
      </c>
      <c r="C272" t="s">
        <v>621</v>
      </c>
      <c r="D272" t="s">
        <v>618</v>
      </c>
      <c r="E272" t="s">
        <v>622</v>
      </c>
      <c r="F272" s="213" t="s">
        <v>56</v>
      </c>
      <c r="G272" t="s">
        <v>66</v>
      </c>
      <c r="H272" t="s">
        <v>84</v>
      </c>
      <c r="I272" t="s">
        <v>623</v>
      </c>
      <c r="J272" t="s">
        <v>56</v>
      </c>
      <c r="K272" t="s">
        <v>25</v>
      </c>
      <c r="L272" t="s">
        <v>628</v>
      </c>
      <c r="M272" t="s">
        <v>29</v>
      </c>
      <c r="N272" t="s">
        <v>12</v>
      </c>
      <c r="O272" t="s">
        <v>623</v>
      </c>
    </row>
    <row r="273" spans="1:15" x14ac:dyDescent="0.25">
      <c r="A273" t="s">
        <v>947</v>
      </c>
      <c r="B273" t="s">
        <v>100</v>
      </c>
      <c r="C273" t="s">
        <v>621</v>
      </c>
      <c r="D273" t="s">
        <v>618</v>
      </c>
      <c r="E273" t="s">
        <v>622</v>
      </c>
      <c r="F273" s="213" t="s">
        <v>56</v>
      </c>
      <c r="G273" t="s">
        <v>66</v>
      </c>
      <c r="H273" t="s">
        <v>84</v>
      </c>
      <c r="I273" t="s">
        <v>623</v>
      </c>
      <c r="J273" t="s">
        <v>56</v>
      </c>
      <c r="K273" t="s">
        <v>22</v>
      </c>
      <c r="L273" t="s">
        <v>630</v>
      </c>
      <c r="M273" t="s">
        <v>29</v>
      </c>
      <c r="N273" t="s">
        <v>18</v>
      </c>
      <c r="O273" t="s">
        <v>714</v>
      </c>
    </row>
    <row r="274" spans="1:15" x14ac:dyDescent="0.25">
      <c r="A274" t="s">
        <v>948</v>
      </c>
      <c r="B274" t="s">
        <v>100</v>
      </c>
      <c r="C274" t="s">
        <v>621</v>
      </c>
      <c r="D274" t="s">
        <v>618</v>
      </c>
      <c r="E274" t="s">
        <v>622</v>
      </c>
      <c r="F274" s="213" t="s">
        <v>56</v>
      </c>
      <c r="G274" t="s">
        <v>66</v>
      </c>
      <c r="H274" t="s">
        <v>84</v>
      </c>
      <c r="I274" t="s">
        <v>623</v>
      </c>
      <c r="J274" t="s">
        <v>56</v>
      </c>
      <c r="K274" t="s">
        <v>19</v>
      </c>
      <c r="L274" t="s">
        <v>625</v>
      </c>
      <c r="M274" t="s">
        <v>29</v>
      </c>
      <c r="N274" t="s">
        <v>3</v>
      </c>
      <c r="O274" t="s">
        <v>639</v>
      </c>
    </row>
    <row r="275" spans="1:15" x14ac:dyDescent="0.25">
      <c r="A275" t="s">
        <v>949</v>
      </c>
      <c r="B275" t="s">
        <v>100</v>
      </c>
      <c r="C275" t="s">
        <v>621</v>
      </c>
      <c r="D275" t="s">
        <v>618</v>
      </c>
      <c r="E275" t="s">
        <v>622</v>
      </c>
      <c r="F275" s="213" t="s">
        <v>56</v>
      </c>
      <c r="G275" t="s">
        <v>66</v>
      </c>
      <c r="H275" t="s">
        <v>84</v>
      </c>
      <c r="I275" t="s">
        <v>623</v>
      </c>
      <c r="J275" t="s">
        <v>56</v>
      </c>
      <c r="K275" t="s">
        <v>15</v>
      </c>
      <c r="L275" t="s">
        <v>632</v>
      </c>
      <c r="M275" t="s">
        <v>29</v>
      </c>
      <c r="N275" t="s">
        <v>7</v>
      </c>
      <c r="O275" t="s">
        <v>888</v>
      </c>
    </row>
    <row r="276" spans="1:15" x14ac:dyDescent="0.25">
      <c r="A276" t="s">
        <v>950</v>
      </c>
      <c r="B276" t="s">
        <v>100</v>
      </c>
      <c r="C276" t="s">
        <v>621</v>
      </c>
      <c r="D276" t="s">
        <v>618</v>
      </c>
      <c r="E276" t="s">
        <v>622</v>
      </c>
      <c r="F276" s="213" t="s">
        <v>56</v>
      </c>
      <c r="G276" t="s">
        <v>66</v>
      </c>
      <c r="H276" t="s">
        <v>84</v>
      </c>
      <c r="I276" t="s">
        <v>623</v>
      </c>
      <c r="J276" t="s">
        <v>56</v>
      </c>
      <c r="K276" t="s">
        <v>12</v>
      </c>
      <c r="L276" t="s">
        <v>629</v>
      </c>
      <c r="M276" t="s">
        <v>29</v>
      </c>
      <c r="N276" t="s">
        <v>21</v>
      </c>
      <c r="O276" t="s">
        <v>739</v>
      </c>
    </row>
    <row r="277" spans="1:15" x14ac:dyDescent="0.25">
      <c r="A277" t="s">
        <v>951</v>
      </c>
      <c r="B277" t="s">
        <v>100</v>
      </c>
      <c r="C277" t="s">
        <v>621</v>
      </c>
      <c r="D277" t="s">
        <v>618</v>
      </c>
      <c r="E277" t="s">
        <v>622</v>
      </c>
      <c r="F277" s="213" t="s">
        <v>56</v>
      </c>
      <c r="G277" t="s">
        <v>66</v>
      </c>
      <c r="H277" t="s">
        <v>84</v>
      </c>
      <c r="I277" t="s">
        <v>623</v>
      </c>
      <c r="J277" t="s">
        <v>56</v>
      </c>
      <c r="K277" t="s">
        <v>31</v>
      </c>
      <c r="L277" t="s">
        <v>418</v>
      </c>
      <c r="M277" t="s">
        <v>6</v>
      </c>
      <c r="N277" t="s">
        <v>43</v>
      </c>
      <c r="O277" t="s">
        <v>623</v>
      </c>
    </row>
    <row r="278" spans="1:15" x14ac:dyDescent="0.25">
      <c r="A278" t="s">
        <v>952</v>
      </c>
      <c r="B278" t="s">
        <v>100</v>
      </c>
      <c r="C278" t="s">
        <v>621</v>
      </c>
      <c r="D278" t="s">
        <v>618</v>
      </c>
      <c r="E278" t="s">
        <v>622</v>
      </c>
      <c r="F278" s="213" t="s">
        <v>56</v>
      </c>
      <c r="G278" t="s">
        <v>66</v>
      </c>
      <c r="H278" t="s">
        <v>84</v>
      </c>
      <c r="I278" t="s">
        <v>623</v>
      </c>
      <c r="J278" t="s">
        <v>56</v>
      </c>
      <c r="K278" t="s">
        <v>24</v>
      </c>
      <c r="L278" t="s">
        <v>628</v>
      </c>
      <c r="M278" t="s">
        <v>6</v>
      </c>
      <c r="N278" t="s">
        <v>56</v>
      </c>
      <c r="O278" t="s">
        <v>101</v>
      </c>
    </row>
    <row r="279" spans="1:15" x14ac:dyDescent="0.25">
      <c r="A279" t="s">
        <v>953</v>
      </c>
      <c r="B279" t="s">
        <v>100</v>
      </c>
      <c r="C279" t="s">
        <v>621</v>
      </c>
      <c r="D279" t="s">
        <v>618</v>
      </c>
      <c r="E279" t="s">
        <v>622</v>
      </c>
      <c r="F279" s="213" t="s">
        <v>56</v>
      </c>
      <c r="G279" t="s">
        <v>66</v>
      </c>
      <c r="H279" t="s">
        <v>84</v>
      </c>
      <c r="I279" t="s">
        <v>623</v>
      </c>
      <c r="J279" t="s">
        <v>56</v>
      </c>
      <c r="K279" t="s">
        <v>21</v>
      </c>
      <c r="L279" t="s">
        <v>630</v>
      </c>
      <c r="M279" t="s">
        <v>6</v>
      </c>
      <c r="N279" t="s">
        <v>60</v>
      </c>
      <c r="O279" t="s">
        <v>641</v>
      </c>
    </row>
    <row r="280" spans="1:15" x14ac:dyDescent="0.25">
      <c r="A280" t="s">
        <v>954</v>
      </c>
      <c r="B280" t="s">
        <v>100</v>
      </c>
      <c r="C280" t="s">
        <v>621</v>
      </c>
      <c r="D280" t="s">
        <v>618</v>
      </c>
      <c r="E280" t="s">
        <v>622</v>
      </c>
      <c r="F280" s="213" t="s">
        <v>56</v>
      </c>
      <c r="G280" t="s">
        <v>66</v>
      </c>
      <c r="H280" t="s">
        <v>84</v>
      </c>
      <c r="I280" t="s">
        <v>623</v>
      </c>
      <c r="J280" t="s">
        <v>56</v>
      </c>
      <c r="K280" t="s">
        <v>18</v>
      </c>
      <c r="L280" t="s">
        <v>625</v>
      </c>
      <c r="M280" t="s">
        <v>6</v>
      </c>
      <c r="N280" t="s">
        <v>34</v>
      </c>
      <c r="O280" t="s">
        <v>635</v>
      </c>
    </row>
    <row r="281" spans="1:15" x14ac:dyDescent="0.25">
      <c r="A281" t="s">
        <v>955</v>
      </c>
      <c r="B281" t="s">
        <v>100</v>
      </c>
      <c r="C281" t="s">
        <v>621</v>
      </c>
      <c r="D281" t="s">
        <v>618</v>
      </c>
      <c r="E281" t="s">
        <v>622</v>
      </c>
      <c r="F281" s="213" t="s">
        <v>56</v>
      </c>
      <c r="G281" t="s">
        <v>66</v>
      </c>
      <c r="H281" t="s">
        <v>84</v>
      </c>
      <c r="I281" t="s">
        <v>623</v>
      </c>
      <c r="J281" t="s">
        <v>56</v>
      </c>
      <c r="K281" t="s">
        <v>14</v>
      </c>
      <c r="L281" t="s">
        <v>632</v>
      </c>
      <c r="M281" t="s">
        <v>6</v>
      </c>
      <c r="N281" t="s">
        <v>47</v>
      </c>
      <c r="O281" t="s">
        <v>630</v>
      </c>
    </row>
    <row r="282" spans="1:15" x14ac:dyDescent="0.25">
      <c r="A282" t="s">
        <v>956</v>
      </c>
      <c r="B282" t="s">
        <v>100</v>
      </c>
      <c r="C282" t="s">
        <v>621</v>
      </c>
      <c r="D282" t="s">
        <v>618</v>
      </c>
      <c r="E282" t="s">
        <v>622</v>
      </c>
      <c r="F282" s="213" t="s">
        <v>56</v>
      </c>
      <c r="G282" t="s">
        <v>66</v>
      </c>
      <c r="H282" t="s">
        <v>84</v>
      </c>
      <c r="I282" t="s">
        <v>623</v>
      </c>
      <c r="J282" t="s">
        <v>56</v>
      </c>
      <c r="K282" t="s">
        <v>12</v>
      </c>
      <c r="L282" t="s">
        <v>642</v>
      </c>
      <c r="M282" t="s">
        <v>6</v>
      </c>
      <c r="N282" t="s">
        <v>58</v>
      </c>
      <c r="O282" t="s">
        <v>44</v>
      </c>
    </row>
    <row r="283" spans="1:15" x14ac:dyDescent="0.25">
      <c r="A283" t="s">
        <v>957</v>
      </c>
      <c r="B283" t="s">
        <v>100</v>
      </c>
      <c r="C283" t="s">
        <v>621</v>
      </c>
      <c r="D283" t="s">
        <v>618</v>
      </c>
      <c r="E283" t="s">
        <v>622</v>
      </c>
      <c r="F283" s="213" t="s">
        <v>56</v>
      </c>
      <c r="G283" t="s">
        <v>66</v>
      </c>
      <c r="H283" t="s">
        <v>84</v>
      </c>
      <c r="I283" t="s">
        <v>623</v>
      </c>
      <c r="J283" t="s">
        <v>56</v>
      </c>
      <c r="K283" t="s">
        <v>10</v>
      </c>
      <c r="L283" t="s">
        <v>643</v>
      </c>
      <c r="M283" t="s">
        <v>6</v>
      </c>
      <c r="N283" t="s">
        <v>55</v>
      </c>
      <c r="O283" t="s">
        <v>654</v>
      </c>
    </row>
    <row r="284" spans="1:15" x14ac:dyDescent="0.25">
      <c r="A284" t="s">
        <v>958</v>
      </c>
      <c r="B284" t="s">
        <v>100</v>
      </c>
      <c r="C284" t="s">
        <v>621</v>
      </c>
      <c r="D284" t="s">
        <v>618</v>
      </c>
      <c r="E284" t="s">
        <v>622</v>
      </c>
      <c r="F284" s="213" t="s">
        <v>56</v>
      </c>
      <c r="G284" t="s">
        <v>66</v>
      </c>
      <c r="H284" t="s">
        <v>84</v>
      </c>
      <c r="I284" t="s">
        <v>623</v>
      </c>
      <c r="J284" t="s">
        <v>56</v>
      </c>
      <c r="K284" t="s">
        <v>31</v>
      </c>
      <c r="L284" t="s">
        <v>418</v>
      </c>
      <c r="M284" t="s">
        <v>0</v>
      </c>
      <c r="N284" t="s">
        <v>25</v>
      </c>
      <c r="O284" t="s">
        <v>741</v>
      </c>
    </row>
    <row r="285" spans="1:15" x14ac:dyDescent="0.25">
      <c r="A285" t="s">
        <v>959</v>
      </c>
      <c r="B285" t="s">
        <v>100</v>
      </c>
      <c r="C285" t="s">
        <v>621</v>
      </c>
      <c r="D285" t="s">
        <v>618</v>
      </c>
      <c r="E285" t="s">
        <v>622</v>
      </c>
      <c r="F285" s="213" t="s">
        <v>56</v>
      </c>
      <c r="G285" t="s">
        <v>66</v>
      </c>
      <c r="H285" t="s">
        <v>84</v>
      </c>
      <c r="I285" t="s">
        <v>623</v>
      </c>
      <c r="J285" t="s">
        <v>56</v>
      </c>
      <c r="K285" t="s">
        <v>24</v>
      </c>
      <c r="L285" t="s">
        <v>628</v>
      </c>
      <c r="M285" t="s">
        <v>0</v>
      </c>
      <c r="N285" t="s">
        <v>23</v>
      </c>
      <c r="O285" t="s">
        <v>789</v>
      </c>
    </row>
    <row r="286" spans="1:15" x14ac:dyDescent="0.25">
      <c r="A286" t="s">
        <v>960</v>
      </c>
      <c r="B286" t="s">
        <v>100</v>
      </c>
      <c r="C286" t="s">
        <v>621</v>
      </c>
      <c r="D286" t="s">
        <v>618</v>
      </c>
      <c r="E286" t="s">
        <v>622</v>
      </c>
      <c r="F286" s="213" t="s">
        <v>56</v>
      </c>
      <c r="G286" t="s">
        <v>66</v>
      </c>
      <c r="H286" t="s">
        <v>84</v>
      </c>
      <c r="I286" t="s">
        <v>623</v>
      </c>
      <c r="J286" t="s">
        <v>56</v>
      </c>
      <c r="K286" t="s">
        <v>21</v>
      </c>
      <c r="L286" t="s">
        <v>630</v>
      </c>
      <c r="M286" t="s">
        <v>0</v>
      </c>
      <c r="N286" t="s">
        <v>21</v>
      </c>
      <c r="O286" t="s">
        <v>716</v>
      </c>
    </row>
    <row r="287" spans="1:15" x14ac:dyDescent="0.25">
      <c r="A287" t="s">
        <v>961</v>
      </c>
      <c r="B287" t="s">
        <v>100</v>
      </c>
      <c r="C287" t="s">
        <v>621</v>
      </c>
      <c r="D287" t="s">
        <v>618</v>
      </c>
      <c r="E287" t="s">
        <v>622</v>
      </c>
      <c r="F287" s="213" t="s">
        <v>56</v>
      </c>
      <c r="G287" t="s">
        <v>66</v>
      </c>
      <c r="H287" t="s">
        <v>84</v>
      </c>
      <c r="I287" t="s">
        <v>623</v>
      </c>
      <c r="J287" t="s">
        <v>56</v>
      </c>
      <c r="K287" t="s">
        <v>18</v>
      </c>
      <c r="L287" t="s">
        <v>625</v>
      </c>
      <c r="M287" t="s">
        <v>0</v>
      </c>
      <c r="N287" t="s">
        <v>37</v>
      </c>
      <c r="O287" t="s">
        <v>639</v>
      </c>
    </row>
    <row r="288" spans="1:15" x14ac:dyDescent="0.25">
      <c r="A288" t="s">
        <v>962</v>
      </c>
      <c r="B288" t="s">
        <v>100</v>
      </c>
      <c r="C288" t="s">
        <v>621</v>
      </c>
      <c r="D288" t="s">
        <v>618</v>
      </c>
      <c r="E288" t="s">
        <v>622</v>
      </c>
      <c r="F288" s="213" t="s">
        <v>56</v>
      </c>
      <c r="G288" t="s">
        <v>66</v>
      </c>
      <c r="H288" t="s">
        <v>84</v>
      </c>
      <c r="I288" t="s">
        <v>623</v>
      </c>
      <c r="J288" t="s">
        <v>56</v>
      </c>
      <c r="K288" t="s">
        <v>14</v>
      </c>
      <c r="L288" t="s">
        <v>632</v>
      </c>
      <c r="M288" t="s">
        <v>0</v>
      </c>
      <c r="N288" t="s">
        <v>67</v>
      </c>
      <c r="O288" t="s">
        <v>36</v>
      </c>
    </row>
    <row r="289" spans="1:15" x14ac:dyDescent="0.25">
      <c r="A289" t="s">
        <v>963</v>
      </c>
      <c r="B289" t="s">
        <v>100</v>
      </c>
      <c r="C289" t="s">
        <v>621</v>
      </c>
      <c r="D289" t="s">
        <v>618</v>
      </c>
      <c r="E289" t="s">
        <v>622</v>
      </c>
      <c r="F289" s="213" t="s">
        <v>56</v>
      </c>
      <c r="G289" t="s">
        <v>66</v>
      </c>
      <c r="H289" t="s">
        <v>84</v>
      </c>
      <c r="I289" t="s">
        <v>623</v>
      </c>
      <c r="J289" t="s">
        <v>56</v>
      </c>
      <c r="K289" t="s">
        <v>12</v>
      </c>
      <c r="L289" t="s">
        <v>642</v>
      </c>
      <c r="M289" t="s">
        <v>0</v>
      </c>
      <c r="N289" t="s">
        <v>5</v>
      </c>
      <c r="O289" t="s">
        <v>964</v>
      </c>
    </row>
    <row r="290" spans="1:15" x14ac:dyDescent="0.25">
      <c r="A290" t="s">
        <v>965</v>
      </c>
      <c r="B290" t="s">
        <v>100</v>
      </c>
      <c r="C290" t="s">
        <v>621</v>
      </c>
      <c r="D290" t="s">
        <v>618</v>
      </c>
      <c r="E290" t="s">
        <v>622</v>
      </c>
      <c r="F290" s="213" t="s">
        <v>56</v>
      </c>
      <c r="G290" t="s">
        <v>66</v>
      </c>
      <c r="H290" t="s">
        <v>84</v>
      </c>
      <c r="I290" t="s">
        <v>623</v>
      </c>
      <c r="J290" t="s">
        <v>56</v>
      </c>
      <c r="K290" t="s">
        <v>10</v>
      </c>
      <c r="L290" t="s">
        <v>643</v>
      </c>
      <c r="M290" t="s">
        <v>0</v>
      </c>
      <c r="N290" t="s">
        <v>3</v>
      </c>
      <c r="O290" t="s">
        <v>812</v>
      </c>
    </row>
    <row r="291" spans="1:15" x14ac:dyDescent="0.25">
      <c r="A291" t="s">
        <v>966</v>
      </c>
      <c r="B291" t="s">
        <v>100</v>
      </c>
      <c r="C291" t="s">
        <v>621</v>
      </c>
      <c r="D291" t="s">
        <v>618</v>
      </c>
      <c r="E291" t="s">
        <v>622</v>
      </c>
      <c r="F291" s="213" t="s">
        <v>56</v>
      </c>
      <c r="G291" t="s">
        <v>66</v>
      </c>
      <c r="H291" t="s">
        <v>84</v>
      </c>
      <c r="I291" t="s">
        <v>623</v>
      </c>
      <c r="J291" t="s">
        <v>56</v>
      </c>
      <c r="K291" t="s">
        <v>8</v>
      </c>
      <c r="L291" t="s">
        <v>685</v>
      </c>
      <c r="M291" t="s">
        <v>0</v>
      </c>
      <c r="N291" t="s">
        <v>1</v>
      </c>
      <c r="O291" t="s">
        <v>967</v>
      </c>
    </row>
    <row r="292" spans="1:15" x14ac:dyDescent="0.25">
      <c r="A292" t="s">
        <v>968</v>
      </c>
      <c r="B292" t="s">
        <v>100</v>
      </c>
      <c r="C292" t="s">
        <v>621</v>
      </c>
      <c r="D292" t="s">
        <v>618</v>
      </c>
      <c r="E292" t="s">
        <v>622</v>
      </c>
      <c r="F292" s="213" t="s">
        <v>56</v>
      </c>
      <c r="G292" t="s">
        <v>66</v>
      </c>
      <c r="H292" t="s">
        <v>84</v>
      </c>
      <c r="I292" t="s">
        <v>623</v>
      </c>
      <c r="J292" t="s">
        <v>56</v>
      </c>
      <c r="K292" t="s">
        <v>6</v>
      </c>
      <c r="L292" t="s">
        <v>645</v>
      </c>
      <c r="M292" t="s">
        <v>0</v>
      </c>
      <c r="N292" t="s">
        <v>17</v>
      </c>
      <c r="O292" t="s">
        <v>969</v>
      </c>
    </row>
    <row r="293" spans="1:15" x14ac:dyDescent="0.25">
      <c r="A293" t="s">
        <v>970</v>
      </c>
      <c r="B293" t="s">
        <v>100</v>
      </c>
      <c r="C293" t="s">
        <v>621</v>
      </c>
      <c r="D293" t="s">
        <v>618</v>
      </c>
      <c r="E293" t="s">
        <v>622</v>
      </c>
      <c r="F293" s="213" t="s">
        <v>56</v>
      </c>
      <c r="G293" t="s">
        <v>66</v>
      </c>
      <c r="H293" t="s">
        <v>84</v>
      </c>
      <c r="I293" t="s">
        <v>623</v>
      </c>
      <c r="J293" t="s">
        <v>56</v>
      </c>
      <c r="K293" t="s">
        <v>4</v>
      </c>
      <c r="L293" t="s">
        <v>674</v>
      </c>
      <c r="M293" t="s">
        <v>0</v>
      </c>
      <c r="N293" t="s">
        <v>9</v>
      </c>
      <c r="O293" t="s">
        <v>701</v>
      </c>
    </row>
    <row r="294" spans="1:15" x14ac:dyDescent="0.25">
      <c r="A294" t="s">
        <v>971</v>
      </c>
      <c r="B294" t="s">
        <v>100</v>
      </c>
      <c r="C294" t="s">
        <v>621</v>
      </c>
      <c r="D294" t="s">
        <v>618</v>
      </c>
      <c r="E294" t="s">
        <v>622</v>
      </c>
      <c r="F294" s="213" t="s">
        <v>56</v>
      </c>
      <c r="G294" t="s">
        <v>66</v>
      </c>
      <c r="H294" t="s">
        <v>84</v>
      </c>
      <c r="I294" t="s">
        <v>623</v>
      </c>
      <c r="J294" t="s">
        <v>56</v>
      </c>
      <c r="K294" t="s">
        <v>31</v>
      </c>
      <c r="L294" t="s">
        <v>418</v>
      </c>
      <c r="M294" t="s">
        <v>13</v>
      </c>
      <c r="N294" t="s">
        <v>43</v>
      </c>
      <c r="O294" t="s">
        <v>624</v>
      </c>
    </row>
    <row r="295" spans="1:15" x14ac:dyDescent="0.25">
      <c r="A295" t="s">
        <v>972</v>
      </c>
      <c r="B295" t="s">
        <v>100</v>
      </c>
      <c r="C295" t="s">
        <v>621</v>
      </c>
      <c r="D295" t="s">
        <v>618</v>
      </c>
      <c r="E295" t="s">
        <v>622</v>
      </c>
      <c r="F295" s="213" t="s">
        <v>56</v>
      </c>
      <c r="G295" t="s">
        <v>66</v>
      </c>
      <c r="H295" t="s">
        <v>84</v>
      </c>
      <c r="I295" t="s">
        <v>623</v>
      </c>
      <c r="J295" t="s">
        <v>56</v>
      </c>
      <c r="K295" t="s">
        <v>24</v>
      </c>
      <c r="L295" t="s">
        <v>628</v>
      </c>
      <c r="M295" t="s">
        <v>13</v>
      </c>
      <c r="N295" t="s">
        <v>43</v>
      </c>
      <c r="O295" t="s">
        <v>646</v>
      </c>
    </row>
    <row r="296" spans="1:15" x14ac:dyDescent="0.25">
      <c r="A296" t="s">
        <v>973</v>
      </c>
      <c r="B296" t="s">
        <v>100</v>
      </c>
      <c r="C296" t="s">
        <v>621</v>
      </c>
      <c r="D296" t="s">
        <v>618</v>
      </c>
      <c r="E296" t="s">
        <v>622</v>
      </c>
      <c r="F296" s="213" t="s">
        <v>56</v>
      </c>
      <c r="G296" t="s">
        <v>66</v>
      </c>
      <c r="H296" t="s">
        <v>84</v>
      </c>
      <c r="I296" t="s">
        <v>623</v>
      </c>
      <c r="J296" t="s">
        <v>56</v>
      </c>
      <c r="K296" t="s">
        <v>21</v>
      </c>
      <c r="L296" t="s">
        <v>630</v>
      </c>
      <c r="M296" t="s">
        <v>13</v>
      </c>
      <c r="N296" t="s">
        <v>43</v>
      </c>
      <c r="O296" t="s">
        <v>49</v>
      </c>
    </row>
    <row r="297" spans="1:15" x14ac:dyDescent="0.25">
      <c r="A297" t="s">
        <v>974</v>
      </c>
      <c r="B297" t="s">
        <v>100</v>
      </c>
      <c r="C297" t="s">
        <v>621</v>
      </c>
      <c r="D297" t="s">
        <v>618</v>
      </c>
      <c r="E297" t="s">
        <v>622</v>
      </c>
      <c r="F297" s="213" t="s">
        <v>56</v>
      </c>
      <c r="G297" t="s">
        <v>66</v>
      </c>
      <c r="H297" t="s">
        <v>84</v>
      </c>
      <c r="I297" t="s">
        <v>623</v>
      </c>
      <c r="J297" t="s">
        <v>56</v>
      </c>
      <c r="K297" t="s">
        <v>18</v>
      </c>
      <c r="L297" t="s">
        <v>625</v>
      </c>
      <c r="M297" t="s">
        <v>13</v>
      </c>
      <c r="N297" t="s">
        <v>4</v>
      </c>
      <c r="O297" t="s">
        <v>975</v>
      </c>
    </row>
    <row r="298" spans="1:15" x14ac:dyDescent="0.25">
      <c r="A298" t="s">
        <v>976</v>
      </c>
      <c r="B298" t="s">
        <v>100</v>
      </c>
      <c r="C298" t="s">
        <v>621</v>
      </c>
      <c r="D298" t="s">
        <v>618</v>
      </c>
      <c r="E298" t="s">
        <v>622</v>
      </c>
      <c r="F298" s="213" t="s">
        <v>56</v>
      </c>
      <c r="G298" t="s">
        <v>66</v>
      </c>
      <c r="H298" t="s">
        <v>84</v>
      </c>
      <c r="I298" t="s">
        <v>623</v>
      </c>
      <c r="J298" t="s">
        <v>56</v>
      </c>
      <c r="K298" t="s">
        <v>14</v>
      </c>
      <c r="L298" t="s">
        <v>632</v>
      </c>
      <c r="M298" t="s">
        <v>13</v>
      </c>
      <c r="N298" t="s">
        <v>45</v>
      </c>
      <c r="O298" t="s">
        <v>47</v>
      </c>
    </row>
    <row r="299" spans="1:15" x14ac:dyDescent="0.25">
      <c r="A299" t="s">
        <v>977</v>
      </c>
      <c r="B299" t="s">
        <v>100</v>
      </c>
      <c r="C299" t="s">
        <v>621</v>
      </c>
      <c r="D299" t="s">
        <v>618</v>
      </c>
      <c r="E299" t="s">
        <v>622</v>
      </c>
      <c r="F299" s="213" t="s">
        <v>56</v>
      </c>
      <c r="G299" t="s">
        <v>66</v>
      </c>
      <c r="H299" t="s">
        <v>84</v>
      </c>
      <c r="I299" t="s">
        <v>623</v>
      </c>
      <c r="J299" t="s">
        <v>56</v>
      </c>
      <c r="K299" t="s">
        <v>12</v>
      </c>
      <c r="L299" t="s">
        <v>642</v>
      </c>
      <c r="M299" t="s">
        <v>13</v>
      </c>
      <c r="N299" t="s">
        <v>26</v>
      </c>
      <c r="O299" t="s">
        <v>643</v>
      </c>
    </row>
    <row r="300" spans="1:15" x14ac:dyDescent="0.25">
      <c r="A300" t="s">
        <v>978</v>
      </c>
      <c r="B300" t="s">
        <v>100</v>
      </c>
      <c r="C300" t="s">
        <v>621</v>
      </c>
      <c r="D300" t="s">
        <v>618</v>
      </c>
      <c r="E300" t="s">
        <v>622</v>
      </c>
      <c r="F300" s="213" t="s">
        <v>56</v>
      </c>
      <c r="G300" t="s">
        <v>66</v>
      </c>
      <c r="H300" t="s">
        <v>84</v>
      </c>
      <c r="I300" t="s">
        <v>623</v>
      </c>
      <c r="J300" t="s">
        <v>56</v>
      </c>
      <c r="K300" t="s">
        <v>31</v>
      </c>
      <c r="L300" t="s">
        <v>418</v>
      </c>
      <c r="M300" t="s">
        <v>100</v>
      </c>
      <c r="N300" t="s">
        <v>64</v>
      </c>
      <c r="O300" t="s">
        <v>624</v>
      </c>
    </row>
    <row r="301" spans="1:15" x14ac:dyDescent="0.25">
      <c r="A301" t="s">
        <v>979</v>
      </c>
      <c r="B301" t="s">
        <v>100</v>
      </c>
      <c r="C301" t="s">
        <v>621</v>
      </c>
      <c r="D301" t="s">
        <v>618</v>
      </c>
      <c r="E301" t="s">
        <v>622</v>
      </c>
      <c r="F301" s="213" t="s">
        <v>56</v>
      </c>
      <c r="G301" t="s">
        <v>66</v>
      </c>
      <c r="H301" t="s">
        <v>84</v>
      </c>
      <c r="I301" t="s">
        <v>623</v>
      </c>
      <c r="J301" t="s">
        <v>56</v>
      </c>
      <c r="K301" t="s">
        <v>24</v>
      </c>
      <c r="L301" t="s">
        <v>628</v>
      </c>
      <c r="M301" t="s">
        <v>100</v>
      </c>
      <c r="N301" t="s">
        <v>20</v>
      </c>
      <c r="O301" t="s">
        <v>781</v>
      </c>
    </row>
    <row r="302" spans="1:15" x14ac:dyDescent="0.25">
      <c r="A302" t="s">
        <v>980</v>
      </c>
      <c r="B302" t="s">
        <v>100</v>
      </c>
      <c r="C302" t="s">
        <v>621</v>
      </c>
      <c r="D302" t="s">
        <v>618</v>
      </c>
      <c r="E302" t="s">
        <v>622</v>
      </c>
      <c r="F302" s="213" t="s">
        <v>56</v>
      </c>
      <c r="G302" t="s">
        <v>66</v>
      </c>
      <c r="H302" t="s">
        <v>84</v>
      </c>
      <c r="I302" t="s">
        <v>623</v>
      </c>
      <c r="J302" t="s">
        <v>56</v>
      </c>
      <c r="K302" t="s">
        <v>21</v>
      </c>
      <c r="L302" t="s">
        <v>630</v>
      </c>
      <c r="M302" t="s">
        <v>100</v>
      </c>
      <c r="N302" t="s">
        <v>74</v>
      </c>
      <c r="O302" t="s">
        <v>45</v>
      </c>
    </row>
    <row r="303" spans="1:15" x14ac:dyDescent="0.25">
      <c r="A303" t="s">
        <v>981</v>
      </c>
      <c r="B303" t="s">
        <v>100</v>
      </c>
      <c r="C303" t="s">
        <v>621</v>
      </c>
      <c r="D303" t="s">
        <v>618</v>
      </c>
      <c r="E303" t="s">
        <v>622</v>
      </c>
      <c r="F303" s="213" t="s">
        <v>56</v>
      </c>
      <c r="G303" t="s">
        <v>66</v>
      </c>
      <c r="H303" t="s">
        <v>84</v>
      </c>
      <c r="I303" t="s">
        <v>623</v>
      </c>
      <c r="J303" t="s">
        <v>56</v>
      </c>
      <c r="K303" t="s">
        <v>18</v>
      </c>
      <c r="L303" t="s">
        <v>625</v>
      </c>
      <c r="M303" t="s">
        <v>100</v>
      </c>
      <c r="N303" t="s">
        <v>75</v>
      </c>
      <c r="O303" t="s">
        <v>641</v>
      </c>
    </row>
    <row r="304" spans="1:15" x14ac:dyDescent="0.25">
      <c r="A304" t="s">
        <v>982</v>
      </c>
      <c r="B304" t="s">
        <v>100</v>
      </c>
      <c r="C304" t="s">
        <v>621</v>
      </c>
      <c r="D304" t="s">
        <v>618</v>
      </c>
      <c r="E304" t="s">
        <v>622</v>
      </c>
      <c r="F304" s="213" t="s">
        <v>56</v>
      </c>
      <c r="G304" t="s">
        <v>66</v>
      </c>
      <c r="H304" t="s">
        <v>84</v>
      </c>
      <c r="I304" t="s">
        <v>623</v>
      </c>
      <c r="J304" t="s">
        <v>56</v>
      </c>
      <c r="K304" t="s">
        <v>14</v>
      </c>
      <c r="L304" t="s">
        <v>632</v>
      </c>
      <c r="M304" t="s">
        <v>100</v>
      </c>
      <c r="N304" t="s">
        <v>73</v>
      </c>
      <c r="O304" t="s">
        <v>729</v>
      </c>
    </row>
    <row r="305" spans="1:15" x14ac:dyDescent="0.25">
      <c r="A305" t="s">
        <v>983</v>
      </c>
      <c r="B305" t="s">
        <v>100</v>
      </c>
      <c r="C305" t="s">
        <v>621</v>
      </c>
      <c r="D305" t="s">
        <v>618</v>
      </c>
      <c r="E305" t="s">
        <v>622</v>
      </c>
      <c r="F305" s="213" t="s">
        <v>56</v>
      </c>
      <c r="G305" t="s">
        <v>66</v>
      </c>
      <c r="H305" t="s">
        <v>84</v>
      </c>
      <c r="I305" t="s">
        <v>623</v>
      </c>
      <c r="J305" t="s">
        <v>56</v>
      </c>
      <c r="K305" t="s">
        <v>12</v>
      </c>
      <c r="L305" t="s">
        <v>642</v>
      </c>
      <c r="M305" t="s">
        <v>100</v>
      </c>
      <c r="N305" t="s">
        <v>4</v>
      </c>
      <c r="O305" t="s">
        <v>812</v>
      </c>
    </row>
    <row r="306" spans="1:15" x14ac:dyDescent="0.25">
      <c r="A306" t="s">
        <v>984</v>
      </c>
      <c r="B306" t="s">
        <v>100</v>
      </c>
      <c r="C306" t="s">
        <v>621</v>
      </c>
      <c r="D306" t="s">
        <v>618</v>
      </c>
      <c r="E306" t="s">
        <v>622</v>
      </c>
      <c r="F306" s="213" t="s">
        <v>56</v>
      </c>
      <c r="G306" t="s">
        <v>66</v>
      </c>
      <c r="H306" t="s">
        <v>84</v>
      </c>
      <c r="I306" t="s">
        <v>623</v>
      </c>
      <c r="J306" t="s">
        <v>56</v>
      </c>
      <c r="K306" t="s">
        <v>10</v>
      </c>
      <c r="L306" t="s">
        <v>643</v>
      </c>
      <c r="M306" t="s">
        <v>100</v>
      </c>
      <c r="N306" t="s">
        <v>39</v>
      </c>
      <c r="O306" t="s">
        <v>639</v>
      </c>
    </row>
    <row r="307" spans="1:15" x14ac:dyDescent="0.25">
      <c r="A307" t="s">
        <v>985</v>
      </c>
      <c r="B307" t="s">
        <v>100</v>
      </c>
      <c r="C307" t="s">
        <v>621</v>
      </c>
      <c r="D307" t="s">
        <v>618</v>
      </c>
      <c r="E307" t="s">
        <v>622</v>
      </c>
      <c r="F307" s="213" t="s">
        <v>56</v>
      </c>
      <c r="G307" t="s">
        <v>66</v>
      </c>
      <c r="H307" t="s">
        <v>84</v>
      </c>
      <c r="I307" t="s">
        <v>623</v>
      </c>
      <c r="J307" t="s">
        <v>56</v>
      </c>
      <c r="K307" t="s">
        <v>8</v>
      </c>
      <c r="L307" t="s">
        <v>685</v>
      </c>
      <c r="M307" t="s">
        <v>100</v>
      </c>
      <c r="N307" t="s">
        <v>2</v>
      </c>
      <c r="O307" t="s">
        <v>636</v>
      </c>
    </row>
    <row r="308" spans="1:15" x14ac:dyDescent="0.25">
      <c r="A308" t="s">
        <v>986</v>
      </c>
      <c r="B308" t="s">
        <v>100</v>
      </c>
      <c r="C308" t="s">
        <v>621</v>
      </c>
      <c r="D308" t="s">
        <v>618</v>
      </c>
      <c r="E308" t="s">
        <v>622</v>
      </c>
      <c r="F308" s="213" t="s">
        <v>56</v>
      </c>
      <c r="G308" t="s">
        <v>66</v>
      </c>
      <c r="H308" t="s">
        <v>84</v>
      </c>
      <c r="I308" t="s">
        <v>623</v>
      </c>
      <c r="J308" t="s">
        <v>56</v>
      </c>
      <c r="K308" t="s">
        <v>6</v>
      </c>
      <c r="L308" t="s">
        <v>645</v>
      </c>
      <c r="M308" t="s">
        <v>100</v>
      </c>
      <c r="N308" t="s">
        <v>67</v>
      </c>
      <c r="O308" t="s">
        <v>100</v>
      </c>
    </row>
    <row r="309" spans="1:15" x14ac:dyDescent="0.25">
      <c r="A309" t="s">
        <v>987</v>
      </c>
      <c r="B309" t="s">
        <v>100</v>
      </c>
      <c r="C309" t="s">
        <v>621</v>
      </c>
      <c r="D309" t="s">
        <v>618</v>
      </c>
      <c r="E309" t="s">
        <v>622</v>
      </c>
      <c r="F309" s="213" t="s">
        <v>56</v>
      </c>
      <c r="G309" t="s">
        <v>66</v>
      </c>
      <c r="H309" t="s">
        <v>84</v>
      </c>
      <c r="I309" t="s">
        <v>623</v>
      </c>
      <c r="J309" t="s">
        <v>56</v>
      </c>
      <c r="K309" t="s">
        <v>4</v>
      </c>
      <c r="L309" t="s">
        <v>674</v>
      </c>
      <c r="M309" t="s">
        <v>100</v>
      </c>
      <c r="N309" t="s">
        <v>10</v>
      </c>
      <c r="O309" t="s">
        <v>701</v>
      </c>
    </row>
    <row r="310" spans="1:15" x14ac:dyDescent="0.25">
      <c r="A310" t="s">
        <v>988</v>
      </c>
      <c r="B310" t="s">
        <v>100</v>
      </c>
      <c r="C310" t="s">
        <v>621</v>
      </c>
      <c r="D310" t="s">
        <v>618</v>
      </c>
      <c r="E310" t="s">
        <v>622</v>
      </c>
      <c r="F310" s="213" t="s">
        <v>56</v>
      </c>
      <c r="G310" t="s">
        <v>66</v>
      </c>
      <c r="H310" t="s">
        <v>84</v>
      </c>
      <c r="I310" t="s">
        <v>623</v>
      </c>
      <c r="J310" t="s">
        <v>56</v>
      </c>
      <c r="K310" t="s">
        <v>32</v>
      </c>
      <c r="L310" t="s">
        <v>654</v>
      </c>
      <c r="M310" t="s">
        <v>16</v>
      </c>
      <c r="N310" t="s">
        <v>37</v>
      </c>
      <c r="O310" t="s">
        <v>682</v>
      </c>
    </row>
    <row r="311" spans="1:15" x14ac:dyDescent="0.25">
      <c r="A311" t="s">
        <v>989</v>
      </c>
      <c r="B311" t="s">
        <v>100</v>
      </c>
      <c r="C311" t="s">
        <v>621</v>
      </c>
      <c r="D311" t="s">
        <v>618</v>
      </c>
      <c r="E311" t="s">
        <v>622</v>
      </c>
      <c r="F311" s="213" t="s">
        <v>56</v>
      </c>
      <c r="G311" t="s">
        <v>66</v>
      </c>
      <c r="H311" t="s">
        <v>84</v>
      </c>
      <c r="I311" t="s">
        <v>623</v>
      </c>
      <c r="J311" t="s">
        <v>56</v>
      </c>
      <c r="K311" t="s">
        <v>26</v>
      </c>
      <c r="L311" t="s">
        <v>714</v>
      </c>
      <c r="M311" t="s">
        <v>16</v>
      </c>
      <c r="N311" t="s">
        <v>37</v>
      </c>
      <c r="O311" t="s">
        <v>44</v>
      </c>
    </row>
    <row r="312" spans="1:15" x14ac:dyDescent="0.25">
      <c r="A312" t="s">
        <v>990</v>
      </c>
      <c r="B312" t="s">
        <v>100</v>
      </c>
      <c r="C312" t="s">
        <v>621</v>
      </c>
      <c r="D312" t="s">
        <v>618</v>
      </c>
      <c r="E312" t="s">
        <v>622</v>
      </c>
      <c r="F312" s="213" t="s">
        <v>56</v>
      </c>
      <c r="G312" t="s">
        <v>66</v>
      </c>
      <c r="H312" t="s">
        <v>84</v>
      </c>
      <c r="I312" t="s">
        <v>623</v>
      </c>
      <c r="J312" t="s">
        <v>56</v>
      </c>
      <c r="K312" t="s">
        <v>24</v>
      </c>
      <c r="L312" t="s">
        <v>630</v>
      </c>
      <c r="M312" t="s">
        <v>16</v>
      </c>
      <c r="N312" t="s">
        <v>37</v>
      </c>
      <c r="O312" t="s">
        <v>624</v>
      </c>
    </row>
    <row r="313" spans="1:15" x14ac:dyDescent="0.25">
      <c r="A313" t="s">
        <v>991</v>
      </c>
      <c r="B313" t="s">
        <v>100</v>
      </c>
      <c r="C313" t="s">
        <v>621</v>
      </c>
      <c r="D313" t="s">
        <v>618</v>
      </c>
      <c r="E313" t="s">
        <v>622</v>
      </c>
      <c r="F313" s="213" t="s">
        <v>56</v>
      </c>
      <c r="G313" t="s">
        <v>66</v>
      </c>
      <c r="H313" t="s">
        <v>84</v>
      </c>
      <c r="I313" t="s">
        <v>623</v>
      </c>
      <c r="J313" t="s">
        <v>56</v>
      </c>
      <c r="K313" t="s">
        <v>21</v>
      </c>
      <c r="L313" t="s">
        <v>625</v>
      </c>
      <c r="M313" t="s">
        <v>16</v>
      </c>
      <c r="N313" t="s">
        <v>4</v>
      </c>
      <c r="O313" t="s">
        <v>765</v>
      </c>
    </row>
    <row r="314" spans="1:15" x14ac:dyDescent="0.25">
      <c r="A314" t="s">
        <v>992</v>
      </c>
      <c r="B314" t="s">
        <v>100</v>
      </c>
      <c r="C314" t="s">
        <v>621</v>
      </c>
      <c r="D314" t="s">
        <v>618</v>
      </c>
      <c r="E314" t="s">
        <v>622</v>
      </c>
      <c r="F314" s="213" t="s">
        <v>56</v>
      </c>
      <c r="G314" t="s">
        <v>66</v>
      </c>
      <c r="H314" t="s">
        <v>84</v>
      </c>
      <c r="I314" t="s">
        <v>623</v>
      </c>
      <c r="J314" t="s">
        <v>56</v>
      </c>
      <c r="K314" t="s">
        <v>18</v>
      </c>
      <c r="L314" t="s">
        <v>632</v>
      </c>
      <c r="M314" t="s">
        <v>16</v>
      </c>
      <c r="N314" t="s">
        <v>39</v>
      </c>
      <c r="O314" t="s">
        <v>41</v>
      </c>
    </row>
    <row r="315" spans="1:15" x14ac:dyDescent="0.25">
      <c r="A315" t="s">
        <v>993</v>
      </c>
      <c r="B315" t="s">
        <v>100</v>
      </c>
      <c r="C315" t="s">
        <v>621</v>
      </c>
      <c r="D315" t="s">
        <v>618</v>
      </c>
      <c r="E315" t="s">
        <v>622</v>
      </c>
      <c r="F315" s="213" t="s">
        <v>56</v>
      </c>
      <c r="G315" t="s">
        <v>66</v>
      </c>
      <c r="H315" t="s">
        <v>84</v>
      </c>
      <c r="I315" t="s">
        <v>623</v>
      </c>
      <c r="J315" t="s">
        <v>56</v>
      </c>
      <c r="K315" t="s">
        <v>16</v>
      </c>
      <c r="L315" t="s">
        <v>642</v>
      </c>
      <c r="M315" t="s">
        <v>16</v>
      </c>
      <c r="N315" t="s">
        <v>12</v>
      </c>
      <c r="O315" t="s">
        <v>645</v>
      </c>
    </row>
    <row r="316" spans="1:15" x14ac:dyDescent="0.25">
      <c r="A316" t="s">
        <v>994</v>
      </c>
      <c r="B316" t="s">
        <v>100</v>
      </c>
      <c r="C316" t="s">
        <v>621</v>
      </c>
      <c r="D316" t="s">
        <v>618</v>
      </c>
      <c r="E316" t="s">
        <v>622</v>
      </c>
      <c r="F316" s="213" t="s">
        <v>56</v>
      </c>
      <c r="G316" t="s">
        <v>66</v>
      </c>
      <c r="H316" t="s">
        <v>84</v>
      </c>
      <c r="I316" t="s">
        <v>623</v>
      </c>
      <c r="J316" t="s">
        <v>56</v>
      </c>
      <c r="K316" t="s">
        <v>31</v>
      </c>
      <c r="L316" t="s">
        <v>654</v>
      </c>
      <c r="M316" t="s">
        <v>3</v>
      </c>
      <c r="N316" t="s">
        <v>25</v>
      </c>
      <c r="O316" t="s">
        <v>674</v>
      </c>
    </row>
    <row r="317" spans="1:15" x14ac:dyDescent="0.25">
      <c r="A317" t="s">
        <v>995</v>
      </c>
      <c r="B317" t="s">
        <v>100</v>
      </c>
      <c r="C317" t="s">
        <v>621</v>
      </c>
      <c r="D317" t="s">
        <v>618</v>
      </c>
      <c r="E317" t="s">
        <v>622</v>
      </c>
      <c r="F317" s="213" t="s">
        <v>56</v>
      </c>
      <c r="G317" t="s">
        <v>66</v>
      </c>
      <c r="H317" t="s">
        <v>84</v>
      </c>
      <c r="I317" t="s">
        <v>623</v>
      </c>
      <c r="J317" t="s">
        <v>56</v>
      </c>
      <c r="K317" t="s">
        <v>33</v>
      </c>
      <c r="L317" t="s">
        <v>418</v>
      </c>
      <c r="M317" t="s">
        <v>3</v>
      </c>
      <c r="N317" t="s">
        <v>44</v>
      </c>
      <c r="O317" t="s">
        <v>642</v>
      </c>
    </row>
    <row r="318" spans="1:15" x14ac:dyDescent="0.25">
      <c r="A318" t="s">
        <v>996</v>
      </c>
      <c r="B318" t="s">
        <v>100</v>
      </c>
      <c r="C318" t="s">
        <v>621</v>
      </c>
      <c r="D318" t="s">
        <v>618</v>
      </c>
      <c r="E318" t="s">
        <v>622</v>
      </c>
      <c r="F318" s="213" t="s">
        <v>56</v>
      </c>
      <c r="G318" t="s">
        <v>66</v>
      </c>
      <c r="H318" t="s">
        <v>84</v>
      </c>
      <c r="I318" t="s">
        <v>623</v>
      </c>
      <c r="J318" t="s">
        <v>56</v>
      </c>
      <c r="K318" t="s">
        <v>23</v>
      </c>
      <c r="L318" t="s">
        <v>630</v>
      </c>
      <c r="M318" t="s">
        <v>3</v>
      </c>
      <c r="N318" t="s">
        <v>66</v>
      </c>
      <c r="O318" t="s">
        <v>49</v>
      </c>
    </row>
    <row r="319" spans="1:15" x14ac:dyDescent="0.25">
      <c r="A319" t="s">
        <v>997</v>
      </c>
      <c r="B319" t="s">
        <v>100</v>
      </c>
      <c r="C319" t="s">
        <v>621</v>
      </c>
      <c r="D319" t="s">
        <v>618</v>
      </c>
      <c r="E319" t="s">
        <v>622</v>
      </c>
      <c r="F319" s="213" t="s">
        <v>56</v>
      </c>
      <c r="G319" t="s">
        <v>66</v>
      </c>
      <c r="H319" t="s">
        <v>84</v>
      </c>
      <c r="I319" t="s">
        <v>623</v>
      </c>
      <c r="J319" t="s">
        <v>56</v>
      </c>
      <c r="K319" t="s">
        <v>20</v>
      </c>
      <c r="L319" t="s">
        <v>625</v>
      </c>
      <c r="M319" t="s">
        <v>3</v>
      </c>
      <c r="N319" t="s">
        <v>60</v>
      </c>
      <c r="O319" t="s">
        <v>40</v>
      </c>
    </row>
    <row r="320" spans="1:15" x14ac:dyDescent="0.25">
      <c r="A320" t="s">
        <v>998</v>
      </c>
      <c r="B320" t="s">
        <v>100</v>
      </c>
      <c r="C320" t="s">
        <v>621</v>
      </c>
      <c r="D320" t="s">
        <v>618</v>
      </c>
      <c r="E320" t="s">
        <v>622</v>
      </c>
      <c r="F320" s="213" t="s">
        <v>56</v>
      </c>
      <c r="G320" t="s">
        <v>66</v>
      </c>
      <c r="H320" t="s">
        <v>84</v>
      </c>
      <c r="I320" t="s">
        <v>623</v>
      </c>
      <c r="J320" t="s">
        <v>56</v>
      </c>
      <c r="K320" t="s">
        <v>16</v>
      </c>
      <c r="L320" t="s">
        <v>632</v>
      </c>
      <c r="M320" t="s">
        <v>3</v>
      </c>
      <c r="N320" t="s">
        <v>4</v>
      </c>
      <c r="O320" t="s">
        <v>701</v>
      </c>
    </row>
    <row r="321" spans="1:15" x14ac:dyDescent="0.25">
      <c r="A321" t="s">
        <v>999</v>
      </c>
      <c r="B321" t="s">
        <v>100</v>
      </c>
      <c r="C321" t="s">
        <v>621</v>
      </c>
      <c r="D321" t="s">
        <v>618</v>
      </c>
      <c r="E321" t="s">
        <v>622</v>
      </c>
      <c r="F321" s="213" t="s">
        <v>56</v>
      </c>
      <c r="G321" t="s">
        <v>66</v>
      </c>
      <c r="H321" t="s">
        <v>84</v>
      </c>
      <c r="I321" t="s">
        <v>623</v>
      </c>
      <c r="J321" t="s">
        <v>56</v>
      </c>
      <c r="K321" t="s">
        <v>13</v>
      </c>
      <c r="L321" t="s">
        <v>629</v>
      </c>
      <c r="M321" t="s">
        <v>3</v>
      </c>
      <c r="N321" t="s">
        <v>46</v>
      </c>
      <c r="O321" t="s">
        <v>623</v>
      </c>
    </row>
    <row r="322" spans="1:15" x14ac:dyDescent="0.25">
      <c r="A322" t="s">
        <v>1000</v>
      </c>
      <c r="B322" t="s">
        <v>100</v>
      </c>
      <c r="C322" t="s">
        <v>621</v>
      </c>
      <c r="D322" t="s">
        <v>618</v>
      </c>
      <c r="E322" t="s">
        <v>622</v>
      </c>
      <c r="F322" s="213" t="s">
        <v>56</v>
      </c>
      <c r="G322" t="s">
        <v>66</v>
      </c>
      <c r="H322" t="s">
        <v>84</v>
      </c>
      <c r="I322" t="s">
        <v>623</v>
      </c>
      <c r="J322" t="s">
        <v>56</v>
      </c>
      <c r="K322" t="s">
        <v>10</v>
      </c>
      <c r="L322" t="s">
        <v>695</v>
      </c>
      <c r="M322" t="s">
        <v>3</v>
      </c>
      <c r="N322" t="s">
        <v>12</v>
      </c>
      <c r="O322" t="s">
        <v>969</v>
      </c>
    </row>
    <row r="323" spans="1:15" x14ac:dyDescent="0.25">
      <c r="A323" t="s">
        <v>1001</v>
      </c>
      <c r="B323" t="s">
        <v>100</v>
      </c>
      <c r="C323" t="s">
        <v>621</v>
      </c>
      <c r="D323" t="s">
        <v>618</v>
      </c>
      <c r="E323" t="s">
        <v>622</v>
      </c>
      <c r="F323" s="213" t="s">
        <v>56</v>
      </c>
      <c r="G323" t="s">
        <v>66</v>
      </c>
      <c r="H323" t="s">
        <v>84</v>
      </c>
      <c r="I323" t="s">
        <v>623</v>
      </c>
      <c r="J323" t="s">
        <v>56</v>
      </c>
      <c r="K323" t="s">
        <v>8</v>
      </c>
      <c r="L323" t="s">
        <v>656</v>
      </c>
      <c r="M323" t="s">
        <v>3</v>
      </c>
      <c r="N323" t="s">
        <v>45</v>
      </c>
      <c r="O323" t="s">
        <v>632</v>
      </c>
    </row>
    <row r="324" spans="1:15" x14ac:dyDescent="0.25">
      <c r="A324" t="s">
        <v>1002</v>
      </c>
      <c r="B324" t="s">
        <v>100</v>
      </c>
      <c r="C324" t="s">
        <v>621</v>
      </c>
      <c r="D324" t="s">
        <v>618</v>
      </c>
      <c r="E324" t="s">
        <v>622</v>
      </c>
      <c r="F324" s="213" t="s">
        <v>56</v>
      </c>
      <c r="G324" t="s">
        <v>66</v>
      </c>
      <c r="H324" t="s">
        <v>84</v>
      </c>
      <c r="I324" t="s">
        <v>623</v>
      </c>
      <c r="J324" t="s">
        <v>56</v>
      </c>
      <c r="K324" t="s">
        <v>32</v>
      </c>
      <c r="L324" t="s">
        <v>654</v>
      </c>
      <c r="M324" t="s">
        <v>0</v>
      </c>
      <c r="N324" t="s">
        <v>22</v>
      </c>
      <c r="O324" t="s">
        <v>741</v>
      </c>
    </row>
    <row r="325" spans="1:15" x14ac:dyDescent="0.25">
      <c r="A325" t="s">
        <v>1003</v>
      </c>
      <c r="B325" t="s">
        <v>100</v>
      </c>
      <c r="C325" t="s">
        <v>621</v>
      </c>
      <c r="D325" t="s">
        <v>618</v>
      </c>
      <c r="E325" t="s">
        <v>622</v>
      </c>
      <c r="F325" s="213" t="s">
        <v>56</v>
      </c>
      <c r="G325" t="s">
        <v>66</v>
      </c>
      <c r="H325" t="s">
        <v>84</v>
      </c>
      <c r="I325" t="s">
        <v>623</v>
      </c>
      <c r="J325" t="s">
        <v>56</v>
      </c>
      <c r="K325" t="s">
        <v>26</v>
      </c>
      <c r="L325" t="s">
        <v>714</v>
      </c>
      <c r="M325" t="s">
        <v>0</v>
      </c>
      <c r="N325" t="s">
        <v>42</v>
      </c>
      <c r="O325" t="s">
        <v>635</v>
      </c>
    </row>
    <row r="326" spans="1:15" x14ac:dyDescent="0.25">
      <c r="A326" t="s">
        <v>1004</v>
      </c>
      <c r="B326" t="s">
        <v>100</v>
      </c>
      <c r="C326" t="s">
        <v>621</v>
      </c>
      <c r="D326" t="s">
        <v>618</v>
      </c>
      <c r="E326" t="s">
        <v>622</v>
      </c>
      <c r="F326" s="213" t="s">
        <v>56</v>
      </c>
      <c r="G326" t="s">
        <v>66</v>
      </c>
      <c r="H326" t="s">
        <v>84</v>
      </c>
      <c r="I326" t="s">
        <v>623</v>
      </c>
      <c r="J326" t="s">
        <v>56</v>
      </c>
      <c r="K326" t="s">
        <v>24</v>
      </c>
      <c r="L326" t="s">
        <v>630</v>
      </c>
      <c r="M326" t="s">
        <v>0</v>
      </c>
      <c r="N326" t="s">
        <v>63</v>
      </c>
      <c r="O326" t="s">
        <v>687</v>
      </c>
    </row>
    <row r="327" spans="1:15" x14ac:dyDescent="0.25">
      <c r="A327" t="s">
        <v>1005</v>
      </c>
      <c r="B327" t="s">
        <v>100</v>
      </c>
      <c r="C327" t="s">
        <v>621</v>
      </c>
      <c r="D327" t="s">
        <v>618</v>
      </c>
      <c r="E327" t="s">
        <v>622</v>
      </c>
      <c r="F327" s="213" t="s">
        <v>56</v>
      </c>
      <c r="G327" t="s">
        <v>66</v>
      </c>
      <c r="H327" t="s">
        <v>84</v>
      </c>
      <c r="I327" t="s">
        <v>623</v>
      </c>
      <c r="J327" t="s">
        <v>56</v>
      </c>
      <c r="K327" t="s">
        <v>21</v>
      </c>
      <c r="L327" t="s">
        <v>625</v>
      </c>
      <c r="M327" t="s">
        <v>0</v>
      </c>
      <c r="N327" t="s">
        <v>70</v>
      </c>
      <c r="O327" t="s">
        <v>49</v>
      </c>
    </row>
    <row r="328" spans="1:15" x14ac:dyDescent="0.25">
      <c r="A328" t="s">
        <v>1006</v>
      </c>
      <c r="B328" t="s">
        <v>100</v>
      </c>
      <c r="C328" t="s">
        <v>621</v>
      </c>
      <c r="D328" t="s">
        <v>618</v>
      </c>
      <c r="E328" t="s">
        <v>622</v>
      </c>
      <c r="F328" s="213" t="s">
        <v>56</v>
      </c>
      <c r="G328" t="s">
        <v>66</v>
      </c>
      <c r="H328" t="s">
        <v>84</v>
      </c>
      <c r="I328" t="s">
        <v>623</v>
      </c>
      <c r="J328" t="s">
        <v>56</v>
      </c>
      <c r="K328" t="s">
        <v>18</v>
      </c>
      <c r="L328" t="s">
        <v>632</v>
      </c>
      <c r="M328" t="s">
        <v>0</v>
      </c>
      <c r="N328" t="s">
        <v>67</v>
      </c>
      <c r="O328" t="s">
        <v>44</v>
      </c>
    </row>
    <row r="329" spans="1:15" x14ac:dyDescent="0.25">
      <c r="A329" t="s">
        <v>1007</v>
      </c>
      <c r="B329" t="s">
        <v>100</v>
      </c>
      <c r="C329" t="s">
        <v>621</v>
      </c>
      <c r="D329" t="s">
        <v>618</v>
      </c>
      <c r="E329" t="s">
        <v>622</v>
      </c>
      <c r="F329" s="213" t="s">
        <v>56</v>
      </c>
      <c r="G329" t="s">
        <v>66</v>
      </c>
      <c r="H329" t="s">
        <v>84</v>
      </c>
      <c r="I329" t="s">
        <v>623</v>
      </c>
      <c r="J329" t="s">
        <v>56</v>
      </c>
      <c r="K329" t="s">
        <v>16</v>
      </c>
      <c r="L329" t="s">
        <v>642</v>
      </c>
      <c r="M329" t="s">
        <v>0</v>
      </c>
      <c r="N329" t="s">
        <v>63</v>
      </c>
      <c r="O329" t="s">
        <v>37</v>
      </c>
    </row>
    <row r="330" spans="1:15" x14ac:dyDescent="0.25">
      <c r="A330" t="s">
        <v>1008</v>
      </c>
      <c r="B330" t="s">
        <v>100</v>
      </c>
      <c r="C330" t="s">
        <v>621</v>
      </c>
      <c r="D330" t="s">
        <v>618</v>
      </c>
      <c r="E330" t="s">
        <v>622</v>
      </c>
      <c r="F330" s="213" t="s">
        <v>56</v>
      </c>
      <c r="G330" t="s">
        <v>66</v>
      </c>
      <c r="H330" t="s">
        <v>84</v>
      </c>
      <c r="I330" t="s">
        <v>623</v>
      </c>
      <c r="J330" t="s">
        <v>56</v>
      </c>
      <c r="K330" t="s">
        <v>13</v>
      </c>
      <c r="L330" t="s">
        <v>643</v>
      </c>
      <c r="M330" t="s">
        <v>0</v>
      </c>
      <c r="N330" t="s">
        <v>39</v>
      </c>
      <c r="O330" t="s">
        <v>685</v>
      </c>
    </row>
    <row r="331" spans="1:15" x14ac:dyDescent="0.25">
      <c r="A331" t="s">
        <v>1009</v>
      </c>
      <c r="B331" t="s">
        <v>100</v>
      </c>
      <c r="C331" t="s">
        <v>621</v>
      </c>
      <c r="D331" t="s">
        <v>618</v>
      </c>
      <c r="E331" t="s">
        <v>622</v>
      </c>
      <c r="F331" s="213" t="s">
        <v>56</v>
      </c>
      <c r="G331" t="s">
        <v>66</v>
      </c>
      <c r="H331" t="s">
        <v>84</v>
      </c>
      <c r="I331" t="s">
        <v>623</v>
      </c>
      <c r="J331" t="s">
        <v>56</v>
      </c>
      <c r="K331" t="s">
        <v>11</v>
      </c>
      <c r="L331" t="s">
        <v>635</v>
      </c>
      <c r="M331" t="s">
        <v>0</v>
      </c>
      <c r="N331" t="s">
        <v>61</v>
      </c>
      <c r="O331" t="s">
        <v>654</v>
      </c>
    </row>
    <row r="332" spans="1:15" x14ac:dyDescent="0.25">
      <c r="A332" t="s">
        <v>1010</v>
      </c>
      <c r="B332" t="s">
        <v>100</v>
      </c>
      <c r="C332" t="s">
        <v>621</v>
      </c>
      <c r="D332" t="s">
        <v>618</v>
      </c>
      <c r="E332" t="s">
        <v>622</v>
      </c>
      <c r="F332" s="213" t="s">
        <v>56</v>
      </c>
      <c r="G332" t="s">
        <v>66</v>
      </c>
      <c r="H332" t="s">
        <v>84</v>
      </c>
      <c r="I332" t="s">
        <v>623</v>
      </c>
      <c r="J332" t="s">
        <v>56</v>
      </c>
      <c r="K332" t="s">
        <v>9</v>
      </c>
      <c r="L332" t="s">
        <v>637</v>
      </c>
      <c r="M332" t="s">
        <v>0</v>
      </c>
      <c r="N332" t="s">
        <v>10</v>
      </c>
      <c r="O332" t="s">
        <v>712</v>
      </c>
    </row>
    <row r="333" spans="1:15" x14ac:dyDescent="0.25">
      <c r="A333" t="s">
        <v>1011</v>
      </c>
      <c r="B333" t="s">
        <v>100</v>
      </c>
      <c r="C333" t="s">
        <v>621</v>
      </c>
      <c r="D333" t="s">
        <v>618</v>
      </c>
      <c r="E333" t="s">
        <v>622</v>
      </c>
      <c r="F333" s="213" t="s">
        <v>56</v>
      </c>
      <c r="G333" t="s">
        <v>66</v>
      </c>
      <c r="H333" t="s">
        <v>84</v>
      </c>
      <c r="I333" t="s">
        <v>623</v>
      </c>
      <c r="J333" t="s">
        <v>56</v>
      </c>
      <c r="K333" t="s">
        <v>31</v>
      </c>
      <c r="L333" t="s">
        <v>654</v>
      </c>
      <c r="M333" t="s">
        <v>7</v>
      </c>
      <c r="N333" t="s">
        <v>40</v>
      </c>
      <c r="O333" t="s">
        <v>623</v>
      </c>
    </row>
    <row r="334" spans="1:15" x14ac:dyDescent="0.25">
      <c r="A334" t="s">
        <v>1012</v>
      </c>
      <c r="B334" t="s">
        <v>100</v>
      </c>
      <c r="C334" t="s">
        <v>621</v>
      </c>
      <c r="D334" t="s">
        <v>618</v>
      </c>
      <c r="E334" t="s">
        <v>622</v>
      </c>
      <c r="F334" s="213" t="s">
        <v>56</v>
      </c>
      <c r="G334" t="s">
        <v>66</v>
      </c>
      <c r="H334" t="s">
        <v>84</v>
      </c>
      <c r="I334" t="s">
        <v>623</v>
      </c>
      <c r="J334" t="s">
        <v>56</v>
      </c>
      <c r="K334" t="s">
        <v>33</v>
      </c>
      <c r="L334" t="s">
        <v>418</v>
      </c>
      <c r="M334" t="s">
        <v>7</v>
      </c>
      <c r="N334" t="s">
        <v>31</v>
      </c>
      <c r="O334" t="s">
        <v>635</v>
      </c>
    </row>
    <row r="335" spans="1:15" x14ac:dyDescent="0.25">
      <c r="A335" t="s">
        <v>1013</v>
      </c>
      <c r="B335" t="s">
        <v>100</v>
      </c>
      <c r="C335" t="s">
        <v>621</v>
      </c>
      <c r="D335" t="s">
        <v>618</v>
      </c>
      <c r="E335" t="s">
        <v>622</v>
      </c>
      <c r="F335" s="213" t="s">
        <v>56</v>
      </c>
      <c r="G335" t="s">
        <v>66</v>
      </c>
      <c r="H335" t="s">
        <v>84</v>
      </c>
      <c r="I335" t="s">
        <v>623</v>
      </c>
      <c r="J335" t="s">
        <v>56</v>
      </c>
      <c r="K335" t="s">
        <v>23</v>
      </c>
      <c r="L335" t="s">
        <v>630</v>
      </c>
      <c r="M335" t="s">
        <v>7</v>
      </c>
      <c r="N335" t="s">
        <v>56</v>
      </c>
      <c r="O335" t="s">
        <v>807</v>
      </c>
    </row>
    <row r="336" spans="1:15" x14ac:dyDescent="0.25">
      <c r="A336" t="s">
        <v>1014</v>
      </c>
      <c r="B336" t="s">
        <v>100</v>
      </c>
      <c r="C336" t="s">
        <v>621</v>
      </c>
      <c r="D336" t="s">
        <v>618</v>
      </c>
      <c r="E336" t="s">
        <v>622</v>
      </c>
      <c r="F336" s="213" t="s">
        <v>56</v>
      </c>
      <c r="G336" t="s">
        <v>66</v>
      </c>
      <c r="H336" t="s">
        <v>84</v>
      </c>
      <c r="I336" t="s">
        <v>623</v>
      </c>
      <c r="J336" t="s">
        <v>56</v>
      </c>
      <c r="K336" t="s">
        <v>20</v>
      </c>
      <c r="L336" t="s">
        <v>625</v>
      </c>
      <c r="M336" t="s">
        <v>7</v>
      </c>
      <c r="N336" t="s">
        <v>54</v>
      </c>
      <c r="O336" t="s">
        <v>46</v>
      </c>
    </row>
    <row r="337" spans="1:15" x14ac:dyDescent="0.25">
      <c r="A337" t="s">
        <v>1015</v>
      </c>
      <c r="B337" t="s">
        <v>100</v>
      </c>
      <c r="C337" t="s">
        <v>621</v>
      </c>
      <c r="D337" t="s">
        <v>618</v>
      </c>
      <c r="E337" t="s">
        <v>622</v>
      </c>
      <c r="F337" s="213" t="s">
        <v>56</v>
      </c>
      <c r="G337" t="s">
        <v>66</v>
      </c>
      <c r="H337" t="s">
        <v>84</v>
      </c>
      <c r="I337" t="s">
        <v>623</v>
      </c>
      <c r="J337" t="s">
        <v>56</v>
      </c>
      <c r="K337" t="s">
        <v>16</v>
      </c>
      <c r="L337" t="s">
        <v>632</v>
      </c>
      <c r="M337" t="s">
        <v>7</v>
      </c>
      <c r="N337" t="s">
        <v>49</v>
      </c>
      <c r="O337" t="s">
        <v>626</v>
      </c>
    </row>
    <row r="338" spans="1:15" x14ac:dyDescent="0.25">
      <c r="A338" t="s">
        <v>1016</v>
      </c>
      <c r="B338" t="s">
        <v>100</v>
      </c>
      <c r="C338" t="s">
        <v>621</v>
      </c>
      <c r="D338" t="s">
        <v>618</v>
      </c>
      <c r="E338" t="s">
        <v>622</v>
      </c>
      <c r="F338" s="213" t="s">
        <v>56</v>
      </c>
      <c r="G338" t="s">
        <v>66</v>
      </c>
      <c r="H338" t="s">
        <v>84</v>
      </c>
      <c r="I338" t="s">
        <v>623</v>
      </c>
      <c r="J338" t="s">
        <v>56</v>
      </c>
      <c r="K338" t="s">
        <v>13</v>
      </c>
      <c r="L338" t="s">
        <v>629</v>
      </c>
      <c r="M338" t="s">
        <v>7</v>
      </c>
      <c r="N338" t="s">
        <v>41</v>
      </c>
      <c r="O338" t="s">
        <v>625</v>
      </c>
    </row>
    <row r="339" spans="1:15" x14ac:dyDescent="0.25">
      <c r="A339" t="s">
        <v>1017</v>
      </c>
      <c r="B339" t="s">
        <v>100</v>
      </c>
      <c r="C339" t="s">
        <v>621</v>
      </c>
      <c r="D339" t="s">
        <v>618</v>
      </c>
      <c r="E339" t="s">
        <v>622</v>
      </c>
      <c r="F339" s="213" t="s">
        <v>56</v>
      </c>
      <c r="G339" t="s">
        <v>66</v>
      </c>
      <c r="H339" t="s">
        <v>84</v>
      </c>
      <c r="I339" t="s">
        <v>623</v>
      </c>
      <c r="J339" t="s">
        <v>56</v>
      </c>
      <c r="K339" t="s">
        <v>10</v>
      </c>
      <c r="L339" t="s">
        <v>695</v>
      </c>
      <c r="M339" t="s">
        <v>7</v>
      </c>
      <c r="N339" t="s">
        <v>33</v>
      </c>
      <c r="O339" t="s">
        <v>888</v>
      </c>
    </row>
    <row r="340" spans="1:15" x14ac:dyDescent="0.25">
      <c r="A340" t="s">
        <v>1018</v>
      </c>
      <c r="B340" t="s">
        <v>100</v>
      </c>
      <c r="C340" t="s">
        <v>621</v>
      </c>
      <c r="D340" t="s">
        <v>618</v>
      </c>
      <c r="E340" t="s">
        <v>622</v>
      </c>
      <c r="F340" s="213" t="s">
        <v>56</v>
      </c>
      <c r="G340" t="s">
        <v>66</v>
      </c>
      <c r="H340" t="s">
        <v>84</v>
      </c>
      <c r="I340" t="s">
        <v>623</v>
      </c>
      <c r="J340" t="s">
        <v>56</v>
      </c>
      <c r="K340" t="s">
        <v>31</v>
      </c>
      <c r="L340" t="s">
        <v>654</v>
      </c>
      <c r="M340" t="s">
        <v>25</v>
      </c>
      <c r="N340" t="s">
        <v>25</v>
      </c>
      <c r="O340" t="s">
        <v>729</v>
      </c>
    </row>
    <row r="341" spans="1:15" x14ac:dyDescent="0.25">
      <c r="A341" t="s">
        <v>1019</v>
      </c>
      <c r="B341" t="s">
        <v>100</v>
      </c>
      <c r="C341" t="s">
        <v>621</v>
      </c>
      <c r="D341" t="s">
        <v>618</v>
      </c>
      <c r="E341" t="s">
        <v>622</v>
      </c>
      <c r="F341" s="213" t="s">
        <v>56</v>
      </c>
      <c r="G341" t="s">
        <v>66</v>
      </c>
      <c r="H341" t="s">
        <v>84</v>
      </c>
      <c r="I341" t="s">
        <v>623</v>
      </c>
      <c r="J341" t="s">
        <v>56</v>
      </c>
      <c r="K341" t="s">
        <v>33</v>
      </c>
      <c r="L341" t="s">
        <v>418</v>
      </c>
      <c r="M341" t="s">
        <v>25</v>
      </c>
      <c r="N341" t="s">
        <v>22</v>
      </c>
      <c r="O341" t="s">
        <v>49</v>
      </c>
    </row>
    <row r="342" spans="1:15" x14ac:dyDescent="0.25">
      <c r="A342" t="s">
        <v>1020</v>
      </c>
      <c r="B342" t="s">
        <v>100</v>
      </c>
      <c r="C342" t="s">
        <v>621</v>
      </c>
      <c r="D342" t="s">
        <v>618</v>
      </c>
      <c r="E342" t="s">
        <v>622</v>
      </c>
      <c r="F342" s="213" t="s">
        <v>56</v>
      </c>
      <c r="G342" t="s">
        <v>66</v>
      </c>
      <c r="H342" t="s">
        <v>84</v>
      </c>
      <c r="I342" t="s">
        <v>623</v>
      </c>
      <c r="J342" t="s">
        <v>56</v>
      </c>
      <c r="K342" t="s">
        <v>23</v>
      </c>
      <c r="L342" t="s">
        <v>630</v>
      </c>
      <c r="M342" t="s">
        <v>25</v>
      </c>
      <c r="N342" t="s">
        <v>31</v>
      </c>
      <c r="O342" t="s">
        <v>418</v>
      </c>
    </row>
    <row r="343" spans="1:15" x14ac:dyDescent="0.25">
      <c r="A343" t="s">
        <v>1021</v>
      </c>
      <c r="B343" t="s">
        <v>100</v>
      </c>
      <c r="C343" t="s">
        <v>621</v>
      </c>
      <c r="D343" t="s">
        <v>618</v>
      </c>
      <c r="E343" t="s">
        <v>622</v>
      </c>
      <c r="F343" s="213" t="s">
        <v>56</v>
      </c>
      <c r="G343" t="s">
        <v>66</v>
      </c>
      <c r="H343" t="s">
        <v>84</v>
      </c>
      <c r="I343" t="s">
        <v>623</v>
      </c>
      <c r="J343" t="s">
        <v>56</v>
      </c>
      <c r="K343" t="s">
        <v>20</v>
      </c>
      <c r="L343" t="s">
        <v>625</v>
      </c>
      <c r="M343" t="s">
        <v>25</v>
      </c>
      <c r="N343" t="s">
        <v>4</v>
      </c>
      <c r="O343" t="s">
        <v>674</v>
      </c>
    </row>
    <row r="344" spans="1:15" x14ac:dyDescent="0.25">
      <c r="A344" t="s">
        <v>1022</v>
      </c>
      <c r="B344" t="s">
        <v>100</v>
      </c>
      <c r="C344" t="s">
        <v>621</v>
      </c>
      <c r="D344" t="s">
        <v>618</v>
      </c>
      <c r="E344" t="s">
        <v>622</v>
      </c>
      <c r="F344" s="213" t="s">
        <v>56</v>
      </c>
      <c r="G344" t="s">
        <v>66</v>
      </c>
      <c r="H344" t="s">
        <v>84</v>
      </c>
      <c r="I344" t="s">
        <v>623</v>
      </c>
      <c r="J344" t="s">
        <v>56</v>
      </c>
      <c r="K344" t="s">
        <v>16</v>
      </c>
      <c r="L344" t="s">
        <v>632</v>
      </c>
      <c r="M344" t="s">
        <v>25</v>
      </c>
      <c r="N344" t="s">
        <v>8</v>
      </c>
      <c r="O344" t="s">
        <v>685</v>
      </c>
    </row>
    <row r="345" spans="1:15" x14ac:dyDescent="0.25">
      <c r="A345" t="s">
        <v>1023</v>
      </c>
      <c r="B345" t="s">
        <v>100</v>
      </c>
      <c r="C345" t="s">
        <v>621</v>
      </c>
      <c r="D345" t="s">
        <v>618</v>
      </c>
      <c r="E345" t="s">
        <v>622</v>
      </c>
      <c r="F345" s="213" t="s">
        <v>56</v>
      </c>
      <c r="G345" t="s">
        <v>66</v>
      </c>
      <c r="H345" t="s">
        <v>84</v>
      </c>
      <c r="I345" t="s">
        <v>623</v>
      </c>
      <c r="J345" t="s">
        <v>56</v>
      </c>
      <c r="K345" t="s">
        <v>13</v>
      </c>
      <c r="L345" t="s">
        <v>629</v>
      </c>
      <c r="M345" t="s">
        <v>25</v>
      </c>
      <c r="N345" t="s">
        <v>5</v>
      </c>
      <c r="O345" t="s">
        <v>809</v>
      </c>
    </row>
    <row r="346" spans="1:15" x14ac:dyDescent="0.25">
      <c r="A346" t="s">
        <v>1024</v>
      </c>
      <c r="B346" t="s">
        <v>100</v>
      </c>
      <c r="C346" t="s">
        <v>621</v>
      </c>
      <c r="D346" t="s">
        <v>618</v>
      </c>
      <c r="E346" t="s">
        <v>622</v>
      </c>
      <c r="F346" s="213" t="s">
        <v>56</v>
      </c>
      <c r="G346" t="s">
        <v>66</v>
      </c>
      <c r="H346" t="s">
        <v>84</v>
      </c>
      <c r="I346" t="s">
        <v>623</v>
      </c>
      <c r="J346" t="s">
        <v>56</v>
      </c>
      <c r="K346" t="s">
        <v>30</v>
      </c>
      <c r="L346" t="s">
        <v>418</v>
      </c>
      <c r="M346" t="s">
        <v>100</v>
      </c>
      <c r="N346" t="s">
        <v>68</v>
      </c>
      <c r="O346" t="s">
        <v>100</v>
      </c>
    </row>
    <row r="347" spans="1:15" x14ac:dyDescent="0.25">
      <c r="A347" t="s">
        <v>1025</v>
      </c>
      <c r="B347" t="s">
        <v>100</v>
      </c>
      <c r="C347" t="s">
        <v>621</v>
      </c>
      <c r="D347" t="s">
        <v>618</v>
      </c>
      <c r="E347" t="s">
        <v>622</v>
      </c>
      <c r="F347" s="213" t="s">
        <v>56</v>
      </c>
      <c r="G347" t="s">
        <v>66</v>
      </c>
      <c r="H347" t="s">
        <v>84</v>
      </c>
      <c r="I347" t="s">
        <v>623</v>
      </c>
      <c r="J347" t="s">
        <v>56</v>
      </c>
      <c r="K347" t="s">
        <v>23</v>
      </c>
      <c r="L347" t="s">
        <v>628</v>
      </c>
      <c r="M347" t="s">
        <v>100</v>
      </c>
      <c r="N347" t="s">
        <v>44</v>
      </c>
      <c r="O347" t="s">
        <v>637</v>
      </c>
    </row>
    <row r="348" spans="1:15" x14ac:dyDescent="0.25">
      <c r="A348" t="s">
        <v>1026</v>
      </c>
      <c r="B348" t="s">
        <v>100</v>
      </c>
      <c r="C348" t="s">
        <v>621</v>
      </c>
      <c r="D348" t="s">
        <v>618</v>
      </c>
      <c r="E348" t="s">
        <v>622</v>
      </c>
      <c r="F348" s="213" t="s">
        <v>56</v>
      </c>
      <c r="G348" t="s">
        <v>66</v>
      </c>
      <c r="H348" t="s">
        <v>84</v>
      </c>
      <c r="I348" t="s">
        <v>623</v>
      </c>
      <c r="J348" t="s">
        <v>56</v>
      </c>
      <c r="K348" t="s">
        <v>20</v>
      </c>
      <c r="L348" t="s">
        <v>630</v>
      </c>
      <c r="M348" t="s">
        <v>100</v>
      </c>
      <c r="N348" t="s">
        <v>75</v>
      </c>
      <c r="O348" t="s">
        <v>731</v>
      </c>
    </row>
    <row r="349" spans="1:15" x14ac:dyDescent="0.25">
      <c r="A349" t="s">
        <v>1027</v>
      </c>
      <c r="B349" t="s">
        <v>100</v>
      </c>
      <c r="C349" t="s">
        <v>621</v>
      </c>
      <c r="D349" t="s">
        <v>618</v>
      </c>
      <c r="E349" t="s">
        <v>622</v>
      </c>
      <c r="F349" s="213" t="s">
        <v>56</v>
      </c>
      <c r="G349" t="s">
        <v>66</v>
      </c>
      <c r="H349" t="s">
        <v>84</v>
      </c>
      <c r="I349" t="s">
        <v>623</v>
      </c>
      <c r="J349" t="s">
        <v>56</v>
      </c>
      <c r="K349" t="s">
        <v>17</v>
      </c>
      <c r="L349" t="s">
        <v>625</v>
      </c>
      <c r="M349" t="s">
        <v>100</v>
      </c>
      <c r="N349" t="s">
        <v>39</v>
      </c>
      <c r="O349" t="s">
        <v>809</v>
      </c>
    </row>
    <row r="350" spans="1:15" x14ac:dyDescent="0.25">
      <c r="A350" t="s">
        <v>1028</v>
      </c>
      <c r="B350" t="s">
        <v>100</v>
      </c>
      <c r="C350" t="s">
        <v>621</v>
      </c>
      <c r="D350" t="s">
        <v>618</v>
      </c>
      <c r="E350" t="s">
        <v>622</v>
      </c>
      <c r="F350" s="213" t="s">
        <v>56</v>
      </c>
      <c r="G350" t="s">
        <v>66</v>
      </c>
      <c r="H350" t="s">
        <v>84</v>
      </c>
      <c r="I350" t="s">
        <v>623</v>
      </c>
      <c r="J350" t="s">
        <v>56</v>
      </c>
      <c r="K350" t="s">
        <v>15</v>
      </c>
      <c r="L350" t="s">
        <v>623</v>
      </c>
      <c r="M350" t="s">
        <v>100</v>
      </c>
      <c r="N350" t="s">
        <v>73</v>
      </c>
      <c r="O350" t="s">
        <v>652</v>
      </c>
    </row>
    <row r="351" spans="1:15" x14ac:dyDescent="0.25">
      <c r="A351" t="s">
        <v>1029</v>
      </c>
      <c r="B351" t="s">
        <v>100</v>
      </c>
      <c r="C351" t="s">
        <v>621</v>
      </c>
      <c r="D351" t="s">
        <v>618</v>
      </c>
      <c r="E351" t="s">
        <v>622</v>
      </c>
      <c r="F351" s="213" t="s">
        <v>56</v>
      </c>
      <c r="G351" t="s">
        <v>66</v>
      </c>
      <c r="H351" t="s">
        <v>84</v>
      </c>
      <c r="I351" t="s">
        <v>623</v>
      </c>
      <c r="J351" t="s">
        <v>56</v>
      </c>
      <c r="K351" t="s">
        <v>11</v>
      </c>
      <c r="L351" t="s">
        <v>642</v>
      </c>
      <c r="M351" t="s">
        <v>100</v>
      </c>
      <c r="N351" t="s">
        <v>42</v>
      </c>
      <c r="O351" t="s">
        <v>645</v>
      </c>
    </row>
    <row r="352" spans="1:15" x14ac:dyDescent="0.25">
      <c r="A352" t="s">
        <v>1030</v>
      </c>
      <c r="B352" t="s">
        <v>100</v>
      </c>
      <c r="C352" t="s">
        <v>621</v>
      </c>
      <c r="D352" t="s">
        <v>618</v>
      </c>
      <c r="E352" t="s">
        <v>622</v>
      </c>
      <c r="F352" s="213" t="s">
        <v>56</v>
      </c>
      <c r="G352" t="s">
        <v>66</v>
      </c>
      <c r="H352" t="s">
        <v>84</v>
      </c>
      <c r="I352" t="s">
        <v>623</v>
      </c>
      <c r="J352" t="s">
        <v>56</v>
      </c>
      <c r="K352" t="s">
        <v>9</v>
      </c>
      <c r="L352" t="s">
        <v>888</v>
      </c>
      <c r="M352" t="s">
        <v>100</v>
      </c>
      <c r="N352" t="s">
        <v>55</v>
      </c>
      <c r="O352" t="s">
        <v>632</v>
      </c>
    </row>
    <row r="353" spans="1:15" x14ac:dyDescent="0.25">
      <c r="A353" t="s">
        <v>1031</v>
      </c>
      <c r="B353" t="s">
        <v>100</v>
      </c>
      <c r="C353" t="s">
        <v>621</v>
      </c>
      <c r="D353" t="s">
        <v>618</v>
      </c>
      <c r="E353" t="s">
        <v>622</v>
      </c>
      <c r="F353" s="213" t="s">
        <v>56</v>
      </c>
      <c r="G353" t="s">
        <v>66</v>
      </c>
      <c r="H353" t="s">
        <v>84</v>
      </c>
      <c r="I353" t="s">
        <v>623</v>
      </c>
      <c r="J353" t="s">
        <v>56</v>
      </c>
      <c r="K353" t="s">
        <v>7</v>
      </c>
      <c r="L353" t="s">
        <v>685</v>
      </c>
      <c r="M353" t="s">
        <v>100</v>
      </c>
      <c r="N353" t="s">
        <v>1</v>
      </c>
      <c r="O353" t="s">
        <v>1032</v>
      </c>
    </row>
    <row r="354" spans="1:15" x14ac:dyDescent="0.25">
      <c r="A354" t="s">
        <v>1033</v>
      </c>
      <c r="B354" t="s">
        <v>100</v>
      </c>
      <c r="C354" t="s">
        <v>621</v>
      </c>
      <c r="D354" t="s">
        <v>618</v>
      </c>
      <c r="E354" t="s">
        <v>622</v>
      </c>
      <c r="F354" s="213" t="s">
        <v>56</v>
      </c>
      <c r="G354" t="s">
        <v>66</v>
      </c>
      <c r="H354" t="s">
        <v>84</v>
      </c>
      <c r="I354" t="s">
        <v>623</v>
      </c>
      <c r="J354" t="s">
        <v>56</v>
      </c>
      <c r="K354" t="s">
        <v>5</v>
      </c>
      <c r="L354" t="s">
        <v>639</v>
      </c>
      <c r="M354" t="s">
        <v>100</v>
      </c>
      <c r="N354" t="s">
        <v>19</v>
      </c>
      <c r="O354" t="s">
        <v>638</v>
      </c>
    </row>
    <row r="355" spans="1:15" x14ac:dyDescent="0.25">
      <c r="A355" t="s">
        <v>1034</v>
      </c>
      <c r="B355" t="s">
        <v>100</v>
      </c>
      <c r="C355" t="s">
        <v>621</v>
      </c>
      <c r="D355" t="s">
        <v>618</v>
      </c>
      <c r="E355" t="s">
        <v>622</v>
      </c>
      <c r="F355" s="213" t="s">
        <v>56</v>
      </c>
      <c r="G355" t="s">
        <v>66</v>
      </c>
      <c r="H355" t="s">
        <v>84</v>
      </c>
      <c r="I355" t="s">
        <v>623</v>
      </c>
      <c r="J355" t="s">
        <v>56</v>
      </c>
      <c r="K355" t="s">
        <v>3</v>
      </c>
      <c r="L355" t="s">
        <v>674</v>
      </c>
      <c r="M355" t="s">
        <v>100</v>
      </c>
      <c r="N355" t="s">
        <v>9</v>
      </c>
      <c r="O355" t="s">
        <v>1035</v>
      </c>
    </row>
    <row r="356" spans="1:15" x14ac:dyDescent="0.25">
      <c r="A356" t="s">
        <v>1036</v>
      </c>
      <c r="B356" t="s">
        <v>100</v>
      </c>
      <c r="C356" t="s">
        <v>621</v>
      </c>
      <c r="D356" t="s">
        <v>618</v>
      </c>
      <c r="E356" t="s">
        <v>622</v>
      </c>
      <c r="F356" s="213" t="s">
        <v>56</v>
      </c>
      <c r="G356" t="s">
        <v>66</v>
      </c>
      <c r="H356" t="s">
        <v>84</v>
      </c>
      <c r="I356" t="s">
        <v>623</v>
      </c>
      <c r="J356" t="s">
        <v>56</v>
      </c>
      <c r="K356" t="s">
        <v>26</v>
      </c>
      <c r="L356" t="s">
        <v>624</v>
      </c>
      <c r="M356" t="s">
        <v>100</v>
      </c>
      <c r="N356" t="s">
        <v>59</v>
      </c>
      <c r="O356" t="s">
        <v>625</v>
      </c>
    </row>
    <row r="357" spans="1:15" x14ac:dyDescent="0.25">
      <c r="A357" t="s">
        <v>1037</v>
      </c>
      <c r="B357" t="s">
        <v>100</v>
      </c>
      <c r="C357" t="s">
        <v>621</v>
      </c>
      <c r="D357" t="s">
        <v>618</v>
      </c>
      <c r="E357" t="s">
        <v>622</v>
      </c>
      <c r="F357" s="213" t="s">
        <v>56</v>
      </c>
      <c r="G357" t="s">
        <v>66</v>
      </c>
      <c r="H357" t="s">
        <v>84</v>
      </c>
      <c r="I357" t="s">
        <v>623</v>
      </c>
      <c r="J357" t="s">
        <v>56</v>
      </c>
      <c r="K357" t="s">
        <v>22</v>
      </c>
      <c r="L357" t="s">
        <v>628</v>
      </c>
      <c r="M357" t="s">
        <v>100</v>
      </c>
      <c r="N357" t="s">
        <v>25</v>
      </c>
      <c r="O357" t="s">
        <v>716</v>
      </c>
    </row>
    <row r="358" spans="1:15" x14ac:dyDescent="0.25">
      <c r="A358" t="s">
        <v>1038</v>
      </c>
      <c r="B358" t="s">
        <v>100</v>
      </c>
      <c r="C358" t="s">
        <v>621</v>
      </c>
      <c r="D358" t="s">
        <v>618</v>
      </c>
      <c r="E358" t="s">
        <v>622</v>
      </c>
      <c r="F358" s="213" t="s">
        <v>56</v>
      </c>
      <c r="G358" t="s">
        <v>66</v>
      </c>
      <c r="H358" t="s">
        <v>84</v>
      </c>
      <c r="I358" t="s">
        <v>623</v>
      </c>
      <c r="J358" t="s">
        <v>56</v>
      </c>
      <c r="K358" t="s">
        <v>20</v>
      </c>
      <c r="L358" t="s">
        <v>714</v>
      </c>
      <c r="M358" t="s">
        <v>100</v>
      </c>
      <c r="N358" t="s">
        <v>24</v>
      </c>
      <c r="O358" t="s">
        <v>755</v>
      </c>
    </row>
    <row r="359" spans="1:15" x14ac:dyDescent="0.25">
      <c r="A359" t="s">
        <v>1039</v>
      </c>
      <c r="B359" t="s">
        <v>100</v>
      </c>
      <c r="C359" t="s">
        <v>621</v>
      </c>
      <c r="D359" t="s">
        <v>618</v>
      </c>
      <c r="E359" t="s">
        <v>622</v>
      </c>
      <c r="F359" s="213" t="s">
        <v>56</v>
      </c>
      <c r="G359" t="s">
        <v>66</v>
      </c>
      <c r="H359" t="s">
        <v>84</v>
      </c>
      <c r="I359" t="s">
        <v>623</v>
      </c>
      <c r="J359" t="s">
        <v>56</v>
      </c>
      <c r="K359" t="s">
        <v>17</v>
      </c>
      <c r="L359" t="s">
        <v>665</v>
      </c>
      <c r="M359" t="s">
        <v>100</v>
      </c>
      <c r="N359" t="s">
        <v>75</v>
      </c>
      <c r="O359" t="s">
        <v>900</v>
      </c>
    </row>
    <row r="360" spans="1:15" x14ac:dyDescent="0.25">
      <c r="A360" t="s">
        <v>1040</v>
      </c>
      <c r="B360" t="s">
        <v>100</v>
      </c>
      <c r="C360" t="s">
        <v>621</v>
      </c>
      <c r="D360" t="s">
        <v>618</v>
      </c>
      <c r="E360" t="s">
        <v>622</v>
      </c>
      <c r="F360" s="213" t="s">
        <v>56</v>
      </c>
      <c r="G360" t="s">
        <v>66</v>
      </c>
      <c r="H360" t="s">
        <v>84</v>
      </c>
      <c r="I360" t="s">
        <v>623</v>
      </c>
      <c r="J360" t="s">
        <v>56</v>
      </c>
      <c r="K360" t="s">
        <v>14</v>
      </c>
      <c r="L360" t="s">
        <v>623</v>
      </c>
      <c r="M360" t="s">
        <v>100</v>
      </c>
      <c r="N360" t="s">
        <v>33</v>
      </c>
      <c r="O360" t="s">
        <v>749</v>
      </c>
    </row>
    <row r="361" spans="1:15" x14ac:dyDescent="0.25">
      <c r="A361" t="s">
        <v>1041</v>
      </c>
      <c r="B361" t="s">
        <v>100</v>
      </c>
      <c r="C361" t="s">
        <v>621</v>
      </c>
      <c r="D361" t="s">
        <v>618</v>
      </c>
      <c r="E361" t="s">
        <v>622</v>
      </c>
      <c r="F361" s="213" t="s">
        <v>56</v>
      </c>
      <c r="G361" t="s">
        <v>66</v>
      </c>
      <c r="H361" t="s">
        <v>84</v>
      </c>
      <c r="I361" t="s">
        <v>623</v>
      </c>
      <c r="J361" t="s">
        <v>56</v>
      </c>
      <c r="K361" t="s">
        <v>10</v>
      </c>
      <c r="L361" t="s">
        <v>642</v>
      </c>
      <c r="M361" t="s">
        <v>100</v>
      </c>
      <c r="N361" t="s">
        <v>72</v>
      </c>
      <c r="O361" t="s">
        <v>35</v>
      </c>
    </row>
    <row r="362" spans="1:15" x14ac:dyDescent="0.25">
      <c r="A362" t="s">
        <v>1042</v>
      </c>
      <c r="B362" t="s">
        <v>100</v>
      </c>
      <c r="C362" t="s">
        <v>621</v>
      </c>
      <c r="D362" t="s">
        <v>618</v>
      </c>
      <c r="E362" t="s">
        <v>622</v>
      </c>
      <c r="F362" s="213" t="s">
        <v>56</v>
      </c>
      <c r="G362" t="s">
        <v>66</v>
      </c>
      <c r="H362" t="s">
        <v>84</v>
      </c>
      <c r="I362" t="s">
        <v>623</v>
      </c>
      <c r="J362" t="s">
        <v>56</v>
      </c>
      <c r="K362" t="s">
        <v>8</v>
      </c>
      <c r="L362" t="s">
        <v>635</v>
      </c>
      <c r="M362" t="s">
        <v>100</v>
      </c>
      <c r="N362" t="s">
        <v>8</v>
      </c>
      <c r="O362" t="s">
        <v>964</v>
      </c>
    </row>
    <row r="363" spans="1:15" x14ac:dyDescent="0.25">
      <c r="A363" t="s">
        <v>1043</v>
      </c>
      <c r="B363" t="s">
        <v>100</v>
      </c>
      <c r="C363" t="s">
        <v>621</v>
      </c>
      <c r="D363" t="s">
        <v>618</v>
      </c>
      <c r="E363" t="s">
        <v>622</v>
      </c>
      <c r="F363" s="213" t="s">
        <v>56</v>
      </c>
      <c r="G363" t="s">
        <v>66</v>
      </c>
      <c r="H363" t="s">
        <v>84</v>
      </c>
      <c r="I363" t="s">
        <v>623</v>
      </c>
      <c r="J363" t="s">
        <v>56</v>
      </c>
      <c r="K363" t="s">
        <v>6</v>
      </c>
      <c r="L363" t="s">
        <v>637</v>
      </c>
      <c r="M363" t="s">
        <v>100</v>
      </c>
      <c r="N363" t="s">
        <v>100</v>
      </c>
      <c r="O363" t="s">
        <v>1044</v>
      </c>
    </row>
    <row r="364" spans="1:15" x14ac:dyDescent="0.25">
      <c r="A364" t="s">
        <v>1045</v>
      </c>
      <c r="B364" t="s">
        <v>100</v>
      </c>
      <c r="C364" t="s">
        <v>621</v>
      </c>
      <c r="D364" t="s">
        <v>618</v>
      </c>
      <c r="E364" t="s">
        <v>622</v>
      </c>
      <c r="F364" s="213" t="s">
        <v>56</v>
      </c>
      <c r="G364" t="s">
        <v>66</v>
      </c>
      <c r="H364" t="s">
        <v>84</v>
      </c>
      <c r="I364" t="s">
        <v>623</v>
      </c>
      <c r="J364" t="s">
        <v>56</v>
      </c>
      <c r="K364" t="s">
        <v>4</v>
      </c>
      <c r="L364" t="s">
        <v>639</v>
      </c>
      <c r="M364" t="s">
        <v>100</v>
      </c>
      <c r="N364" t="s">
        <v>69</v>
      </c>
      <c r="O364" t="s">
        <v>101</v>
      </c>
    </row>
    <row r="365" spans="1:15" x14ac:dyDescent="0.25">
      <c r="A365" t="s">
        <v>1046</v>
      </c>
      <c r="B365" t="s">
        <v>100</v>
      </c>
      <c r="C365" t="s">
        <v>621</v>
      </c>
      <c r="D365" t="s">
        <v>618</v>
      </c>
      <c r="E365" t="s">
        <v>622</v>
      </c>
      <c r="F365" s="213" t="s">
        <v>56</v>
      </c>
      <c r="G365" t="s">
        <v>66</v>
      </c>
      <c r="H365" t="s">
        <v>84</v>
      </c>
      <c r="I365" t="s">
        <v>623</v>
      </c>
      <c r="J365" t="s">
        <v>56</v>
      </c>
      <c r="K365" t="s">
        <v>2</v>
      </c>
      <c r="L365" t="s">
        <v>662</v>
      </c>
      <c r="M365" t="s">
        <v>100</v>
      </c>
      <c r="N365" t="s">
        <v>69</v>
      </c>
      <c r="O365" t="s">
        <v>418</v>
      </c>
    </row>
    <row r="366" spans="1:15" x14ac:dyDescent="0.25">
      <c r="A366" t="s">
        <v>1047</v>
      </c>
      <c r="B366" t="s">
        <v>100</v>
      </c>
      <c r="C366" t="s">
        <v>621</v>
      </c>
      <c r="D366" t="s">
        <v>618</v>
      </c>
      <c r="E366" t="s">
        <v>622</v>
      </c>
      <c r="F366" s="213" t="s">
        <v>56</v>
      </c>
      <c r="G366" t="s">
        <v>66</v>
      </c>
      <c r="H366" t="s">
        <v>84</v>
      </c>
      <c r="I366" t="s">
        <v>623</v>
      </c>
      <c r="J366" t="s">
        <v>56</v>
      </c>
      <c r="K366" t="s">
        <v>0</v>
      </c>
      <c r="L366" t="s">
        <v>749</v>
      </c>
      <c r="M366" t="s">
        <v>100</v>
      </c>
      <c r="N366" t="s">
        <v>36</v>
      </c>
      <c r="O366" t="s">
        <v>662</v>
      </c>
    </row>
    <row r="367" spans="1:15" x14ac:dyDescent="0.25">
      <c r="A367" t="s">
        <v>1048</v>
      </c>
      <c r="B367" t="s">
        <v>100</v>
      </c>
      <c r="C367" t="s">
        <v>621</v>
      </c>
      <c r="D367" t="s">
        <v>618</v>
      </c>
      <c r="E367" t="s">
        <v>622</v>
      </c>
      <c r="F367" s="213" t="s">
        <v>56</v>
      </c>
      <c r="G367" t="s">
        <v>66</v>
      </c>
      <c r="H367" t="s">
        <v>84</v>
      </c>
      <c r="I367" t="s">
        <v>623</v>
      </c>
      <c r="J367" t="s">
        <v>56</v>
      </c>
      <c r="K367" t="s">
        <v>26</v>
      </c>
      <c r="L367" t="s">
        <v>654</v>
      </c>
      <c r="M367" t="s">
        <v>100</v>
      </c>
      <c r="N367" t="s">
        <v>30</v>
      </c>
      <c r="O367" t="s">
        <v>741</v>
      </c>
    </row>
    <row r="368" spans="1:15" x14ac:dyDescent="0.25">
      <c r="A368" t="s">
        <v>1049</v>
      </c>
      <c r="B368" t="s">
        <v>100</v>
      </c>
      <c r="C368" t="s">
        <v>621</v>
      </c>
      <c r="D368" t="s">
        <v>618</v>
      </c>
      <c r="E368" t="s">
        <v>622</v>
      </c>
      <c r="F368" s="213" t="s">
        <v>56</v>
      </c>
      <c r="G368" t="s">
        <v>66</v>
      </c>
      <c r="H368" t="s">
        <v>84</v>
      </c>
      <c r="I368" t="s">
        <v>623</v>
      </c>
      <c r="J368" t="s">
        <v>56</v>
      </c>
      <c r="K368" t="s">
        <v>21</v>
      </c>
      <c r="L368" t="s">
        <v>628</v>
      </c>
      <c r="M368" t="s">
        <v>100</v>
      </c>
      <c r="N368" t="s">
        <v>21</v>
      </c>
      <c r="O368" t="s">
        <v>638</v>
      </c>
    </row>
    <row r="369" spans="1:15" x14ac:dyDescent="0.25">
      <c r="A369" t="s">
        <v>1050</v>
      </c>
      <c r="B369" t="s">
        <v>100</v>
      </c>
      <c r="C369" t="s">
        <v>621</v>
      </c>
      <c r="D369" t="s">
        <v>618</v>
      </c>
      <c r="E369" t="s">
        <v>622</v>
      </c>
      <c r="F369" s="213" t="s">
        <v>56</v>
      </c>
      <c r="G369" t="s">
        <v>66</v>
      </c>
      <c r="H369" t="s">
        <v>84</v>
      </c>
      <c r="I369" t="s">
        <v>623</v>
      </c>
      <c r="J369" t="s">
        <v>56</v>
      </c>
      <c r="K369" t="s">
        <v>18</v>
      </c>
      <c r="L369" t="s">
        <v>630</v>
      </c>
      <c r="M369" t="s">
        <v>100</v>
      </c>
      <c r="N369" t="s">
        <v>69</v>
      </c>
      <c r="O369" t="s">
        <v>654</v>
      </c>
    </row>
    <row r="370" spans="1:15" x14ac:dyDescent="0.25">
      <c r="A370" t="s">
        <v>1051</v>
      </c>
      <c r="B370" t="s">
        <v>100</v>
      </c>
      <c r="C370" t="s">
        <v>621</v>
      </c>
      <c r="D370" t="s">
        <v>618</v>
      </c>
      <c r="E370" t="s">
        <v>622</v>
      </c>
      <c r="F370" s="213" t="s">
        <v>56</v>
      </c>
      <c r="G370" t="s">
        <v>66</v>
      </c>
      <c r="H370" t="s">
        <v>84</v>
      </c>
      <c r="I370" t="s">
        <v>623</v>
      </c>
      <c r="J370" t="s">
        <v>56</v>
      </c>
      <c r="K370" t="s">
        <v>14</v>
      </c>
      <c r="L370" t="s">
        <v>625</v>
      </c>
      <c r="M370" t="s">
        <v>100</v>
      </c>
      <c r="N370" t="s">
        <v>78</v>
      </c>
      <c r="O370" t="s">
        <v>641</v>
      </c>
    </row>
    <row r="371" spans="1:15" x14ac:dyDescent="0.25">
      <c r="A371" t="s">
        <v>1052</v>
      </c>
      <c r="B371" t="s">
        <v>100</v>
      </c>
      <c r="C371" t="s">
        <v>621</v>
      </c>
      <c r="D371" t="s">
        <v>618</v>
      </c>
      <c r="E371" t="s">
        <v>622</v>
      </c>
      <c r="F371" s="213" t="s">
        <v>56</v>
      </c>
      <c r="G371" t="s">
        <v>66</v>
      </c>
      <c r="H371" t="s">
        <v>84</v>
      </c>
      <c r="I371" t="s">
        <v>623</v>
      </c>
      <c r="J371" t="s">
        <v>56</v>
      </c>
      <c r="K371" t="s">
        <v>11</v>
      </c>
      <c r="L371" t="s">
        <v>632</v>
      </c>
      <c r="M371" t="s">
        <v>100</v>
      </c>
      <c r="N371" t="s">
        <v>32</v>
      </c>
      <c r="O371" t="s">
        <v>735</v>
      </c>
    </row>
    <row r="372" spans="1:15" x14ac:dyDescent="0.25">
      <c r="A372" t="s">
        <v>1053</v>
      </c>
      <c r="B372" t="s">
        <v>100</v>
      </c>
      <c r="C372" t="s">
        <v>621</v>
      </c>
      <c r="D372" t="s">
        <v>618</v>
      </c>
      <c r="E372" t="s">
        <v>622</v>
      </c>
      <c r="F372" s="213" t="s">
        <v>56</v>
      </c>
      <c r="G372" t="s">
        <v>66</v>
      </c>
      <c r="H372" t="s">
        <v>84</v>
      </c>
      <c r="I372" t="s">
        <v>623</v>
      </c>
      <c r="J372" t="s">
        <v>56</v>
      </c>
      <c r="K372" t="s">
        <v>8</v>
      </c>
      <c r="L372" t="s">
        <v>888</v>
      </c>
      <c r="M372" t="s">
        <v>100</v>
      </c>
      <c r="N372" t="s">
        <v>5</v>
      </c>
      <c r="O372" t="s">
        <v>967</v>
      </c>
    </row>
    <row r="373" spans="1:15" x14ac:dyDescent="0.25">
      <c r="A373" t="s">
        <v>1054</v>
      </c>
      <c r="B373" t="s">
        <v>100</v>
      </c>
      <c r="C373" t="s">
        <v>621</v>
      </c>
      <c r="D373" t="s">
        <v>618</v>
      </c>
      <c r="E373" t="s">
        <v>622</v>
      </c>
      <c r="F373" s="213" t="s">
        <v>56</v>
      </c>
      <c r="G373" t="s">
        <v>66</v>
      </c>
      <c r="H373" t="s">
        <v>84</v>
      </c>
      <c r="I373" t="s">
        <v>623</v>
      </c>
      <c r="J373" t="s">
        <v>56</v>
      </c>
      <c r="K373" t="s">
        <v>6</v>
      </c>
      <c r="L373" t="s">
        <v>685</v>
      </c>
      <c r="M373" t="s">
        <v>100</v>
      </c>
      <c r="N373" t="s">
        <v>4</v>
      </c>
      <c r="O373" t="s">
        <v>1055</v>
      </c>
    </row>
    <row r="374" spans="1:15" x14ac:dyDescent="0.25">
      <c r="A374" t="s">
        <v>1056</v>
      </c>
      <c r="B374" t="s">
        <v>100</v>
      </c>
      <c r="C374" t="s">
        <v>621</v>
      </c>
      <c r="D374" t="s">
        <v>618</v>
      </c>
      <c r="E374" t="s">
        <v>622</v>
      </c>
      <c r="F374" s="213" t="s">
        <v>56</v>
      </c>
      <c r="G374" t="s">
        <v>66</v>
      </c>
      <c r="H374" t="s">
        <v>84</v>
      </c>
      <c r="I374" t="s">
        <v>623</v>
      </c>
      <c r="J374" t="s">
        <v>56</v>
      </c>
      <c r="K374" t="s">
        <v>4</v>
      </c>
      <c r="L374" t="s">
        <v>645</v>
      </c>
      <c r="M374" t="s">
        <v>100</v>
      </c>
      <c r="N374" t="s">
        <v>61</v>
      </c>
      <c r="O374" t="s">
        <v>665</v>
      </c>
    </row>
    <row r="375" spans="1:15" x14ac:dyDescent="0.25">
      <c r="A375" t="s">
        <v>1057</v>
      </c>
      <c r="B375" t="s">
        <v>100</v>
      </c>
      <c r="C375" t="s">
        <v>621</v>
      </c>
      <c r="D375" t="s">
        <v>618</v>
      </c>
      <c r="E375" t="s">
        <v>622</v>
      </c>
      <c r="F375" s="213" t="s">
        <v>56</v>
      </c>
      <c r="G375" t="s">
        <v>66</v>
      </c>
      <c r="H375" t="s">
        <v>84</v>
      </c>
      <c r="I375" t="s">
        <v>623</v>
      </c>
      <c r="J375" t="s">
        <v>56</v>
      </c>
      <c r="K375" t="s">
        <v>2</v>
      </c>
      <c r="L375" t="s">
        <v>674</v>
      </c>
      <c r="M375" t="s">
        <v>100</v>
      </c>
      <c r="N375" t="s">
        <v>16</v>
      </c>
      <c r="O375" t="s">
        <v>677</v>
      </c>
    </row>
    <row r="376" spans="1:15" x14ac:dyDescent="0.25">
      <c r="A376" t="s">
        <v>1058</v>
      </c>
      <c r="B376" t="s">
        <v>100</v>
      </c>
      <c r="C376" t="s">
        <v>621</v>
      </c>
      <c r="D376" t="s">
        <v>618</v>
      </c>
      <c r="E376" t="s">
        <v>622</v>
      </c>
      <c r="F376" s="213" t="s">
        <v>56</v>
      </c>
      <c r="G376" t="s">
        <v>66</v>
      </c>
      <c r="H376" t="s">
        <v>84</v>
      </c>
      <c r="I376" t="s">
        <v>623</v>
      </c>
      <c r="J376" t="s">
        <v>56</v>
      </c>
      <c r="K376" t="s">
        <v>0</v>
      </c>
      <c r="L376" t="s">
        <v>693</v>
      </c>
      <c r="M376" t="s">
        <v>100</v>
      </c>
      <c r="N376" t="s">
        <v>12</v>
      </c>
      <c r="O376" t="s">
        <v>640</v>
      </c>
    </row>
    <row r="377" spans="1:15" x14ac:dyDescent="0.25">
      <c r="A377" t="s">
        <v>1059</v>
      </c>
      <c r="B377" t="s">
        <v>100</v>
      </c>
      <c r="C377" t="s">
        <v>621</v>
      </c>
      <c r="D377" t="s">
        <v>618</v>
      </c>
      <c r="E377" t="s">
        <v>622</v>
      </c>
      <c r="F377" s="213" t="s">
        <v>56</v>
      </c>
      <c r="G377" t="s">
        <v>66</v>
      </c>
      <c r="H377" t="s">
        <v>84</v>
      </c>
      <c r="I377" t="s">
        <v>623</v>
      </c>
      <c r="J377" t="s">
        <v>56</v>
      </c>
      <c r="K377" t="s">
        <v>24</v>
      </c>
      <c r="L377" t="s">
        <v>624</v>
      </c>
      <c r="M377" t="s">
        <v>100</v>
      </c>
      <c r="N377" t="s">
        <v>60</v>
      </c>
      <c r="O377" t="s">
        <v>623</v>
      </c>
    </row>
    <row r="378" spans="1:15" x14ac:dyDescent="0.25">
      <c r="A378" t="s">
        <v>1060</v>
      </c>
      <c r="B378" t="s">
        <v>100</v>
      </c>
      <c r="C378" t="s">
        <v>621</v>
      </c>
      <c r="D378" t="s">
        <v>618</v>
      </c>
      <c r="E378" t="s">
        <v>622</v>
      </c>
      <c r="F378" s="213" t="s">
        <v>56</v>
      </c>
      <c r="G378" t="s">
        <v>66</v>
      </c>
      <c r="H378" t="s">
        <v>84</v>
      </c>
      <c r="I378" t="s">
        <v>623</v>
      </c>
      <c r="J378" t="s">
        <v>56</v>
      </c>
      <c r="K378" t="s">
        <v>20</v>
      </c>
      <c r="L378" t="s">
        <v>628</v>
      </c>
      <c r="M378" t="s">
        <v>100</v>
      </c>
      <c r="N378" t="s">
        <v>31</v>
      </c>
      <c r="O378" t="s">
        <v>741</v>
      </c>
    </row>
    <row r="379" spans="1:15" x14ac:dyDescent="0.25">
      <c r="A379" t="s">
        <v>1061</v>
      </c>
      <c r="B379" t="s">
        <v>100</v>
      </c>
      <c r="C379" t="s">
        <v>621</v>
      </c>
      <c r="D379" t="s">
        <v>618</v>
      </c>
      <c r="E379" t="s">
        <v>622</v>
      </c>
      <c r="F379" s="213" t="s">
        <v>56</v>
      </c>
      <c r="G379" t="s">
        <v>66</v>
      </c>
      <c r="H379" t="s">
        <v>84</v>
      </c>
      <c r="I379" t="s">
        <v>623</v>
      </c>
      <c r="J379" t="s">
        <v>56</v>
      </c>
      <c r="K379" t="s">
        <v>17</v>
      </c>
      <c r="L379" t="s">
        <v>630</v>
      </c>
      <c r="M379" t="s">
        <v>100</v>
      </c>
      <c r="N379" t="s">
        <v>24</v>
      </c>
      <c r="O379" t="s">
        <v>781</v>
      </c>
    </row>
    <row r="380" spans="1:15" x14ac:dyDescent="0.25">
      <c r="A380" t="s">
        <v>1062</v>
      </c>
      <c r="B380" t="s">
        <v>100</v>
      </c>
      <c r="C380" t="s">
        <v>621</v>
      </c>
      <c r="D380" t="s">
        <v>618</v>
      </c>
      <c r="E380" t="s">
        <v>622</v>
      </c>
      <c r="F380" s="213" t="s">
        <v>56</v>
      </c>
      <c r="G380" t="s">
        <v>66</v>
      </c>
      <c r="H380" t="s">
        <v>84</v>
      </c>
      <c r="I380" t="s">
        <v>623</v>
      </c>
      <c r="J380" t="s">
        <v>56</v>
      </c>
      <c r="K380" t="s">
        <v>13</v>
      </c>
      <c r="L380" t="s">
        <v>625</v>
      </c>
      <c r="M380" t="s">
        <v>100</v>
      </c>
      <c r="N380" t="s">
        <v>78</v>
      </c>
      <c r="O380" t="s">
        <v>44</v>
      </c>
    </row>
    <row r="381" spans="1:15" x14ac:dyDescent="0.25">
      <c r="A381" t="s">
        <v>1063</v>
      </c>
      <c r="B381" t="s">
        <v>100</v>
      </c>
      <c r="C381" t="s">
        <v>621</v>
      </c>
      <c r="D381" t="s">
        <v>618</v>
      </c>
      <c r="E381" t="s">
        <v>622</v>
      </c>
      <c r="F381" s="213" t="s">
        <v>56</v>
      </c>
      <c r="G381" t="s">
        <v>66</v>
      </c>
      <c r="H381" t="s">
        <v>84</v>
      </c>
      <c r="I381" t="s">
        <v>623</v>
      </c>
      <c r="J381" t="s">
        <v>56</v>
      </c>
      <c r="K381" t="s">
        <v>11</v>
      </c>
      <c r="L381" t="s">
        <v>623</v>
      </c>
      <c r="M381" t="s">
        <v>100</v>
      </c>
      <c r="N381" t="s">
        <v>41</v>
      </c>
      <c r="O381" t="s">
        <v>814</v>
      </c>
    </row>
    <row r="382" spans="1:15" x14ac:dyDescent="0.25">
      <c r="A382" t="s">
        <v>1064</v>
      </c>
      <c r="B382" t="s">
        <v>100</v>
      </c>
      <c r="C382" t="s">
        <v>621</v>
      </c>
      <c r="D382" t="s">
        <v>618</v>
      </c>
      <c r="E382" t="s">
        <v>622</v>
      </c>
      <c r="F382" s="213" t="s">
        <v>56</v>
      </c>
      <c r="G382" t="s">
        <v>66</v>
      </c>
      <c r="H382" t="s">
        <v>84</v>
      </c>
      <c r="I382" t="s">
        <v>623</v>
      </c>
      <c r="J382" t="s">
        <v>56</v>
      </c>
      <c r="K382" t="s">
        <v>9</v>
      </c>
      <c r="L382" t="s">
        <v>642</v>
      </c>
      <c r="M382" t="s">
        <v>100</v>
      </c>
      <c r="N382" t="s">
        <v>76</v>
      </c>
      <c r="O382" t="s">
        <v>698</v>
      </c>
    </row>
    <row r="383" spans="1:15" x14ac:dyDescent="0.25">
      <c r="A383" t="s">
        <v>1065</v>
      </c>
      <c r="B383" t="s">
        <v>100</v>
      </c>
      <c r="C383" t="s">
        <v>621</v>
      </c>
      <c r="D383" t="s">
        <v>618</v>
      </c>
      <c r="E383" t="s">
        <v>622</v>
      </c>
      <c r="F383" s="213" t="s">
        <v>56</v>
      </c>
      <c r="G383" t="s">
        <v>66</v>
      </c>
      <c r="H383" t="s">
        <v>84</v>
      </c>
      <c r="I383" t="s">
        <v>623</v>
      </c>
      <c r="J383" t="s">
        <v>56</v>
      </c>
      <c r="K383" t="s">
        <v>7</v>
      </c>
      <c r="L383" t="s">
        <v>888</v>
      </c>
      <c r="M383" t="s">
        <v>100</v>
      </c>
      <c r="N383" t="s">
        <v>45</v>
      </c>
      <c r="O383" t="s">
        <v>645</v>
      </c>
    </row>
    <row r="384" spans="1:15" x14ac:dyDescent="0.25">
      <c r="A384" t="s">
        <v>1066</v>
      </c>
      <c r="B384" t="s">
        <v>100</v>
      </c>
      <c r="C384" t="s">
        <v>621</v>
      </c>
      <c r="D384" t="s">
        <v>618</v>
      </c>
      <c r="E384" t="s">
        <v>622</v>
      </c>
      <c r="F384" s="213" t="s">
        <v>56</v>
      </c>
      <c r="G384" t="s">
        <v>66</v>
      </c>
      <c r="H384" t="s">
        <v>84</v>
      </c>
      <c r="I384" t="s">
        <v>623</v>
      </c>
      <c r="J384" t="s">
        <v>56</v>
      </c>
      <c r="K384" t="s">
        <v>5</v>
      </c>
      <c r="L384" t="s">
        <v>637</v>
      </c>
      <c r="M384" t="s">
        <v>100</v>
      </c>
      <c r="N384" t="s">
        <v>53</v>
      </c>
      <c r="O384" t="s">
        <v>888</v>
      </c>
    </row>
    <row r="385" spans="1:15" x14ac:dyDescent="0.25">
      <c r="A385" t="s">
        <v>1067</v>
      </c>
      <c r="B385" t="s">
        <v>100</v>
      </c>
      <c r="C385" t="s">
        <v>621</v>
      </c>
      <c r="D385" t="s">
        <v>618</v>
      </c>
      <c r="E385" t="s">
        <v>622</v>
      </c>
      <c r="F385" s="213" t="s">
        <v>56</v>
      </c>
      <c r="G385" t="s">
        <v>66</v>
      </c>
      <c r="H385" t="s">
        <v>84</v>
      </c>
      <c r="I385" t="s">
        <v>623</v>
      </c>
      <c r="J385" t="s">
        <v>56</v>
      </c>
      <c r="K385" t="s">
        <v>3</v>
      </c>
      <c r="L385" t="s">
        <v>639</v>
      </c>
      <c r="M385" t="s">
        <v>100</v>
      </c>
      <c r="N385" t="s">
        <v>34</v>
      </c>
      <c r="O385" t="s">
        <v>735</v>
      </c>
    </row>
    <row r="386" spans="1:15" x14ac:dyDescent="0.25">
      <c r="A386" t="s">
        <v>1068</v>
      </c>
      <c r="B386" t="s">
        <v>100</v>
      </c>
      <c r="C386" t="s">
        <v>621</v>
      </c>
      <c r="D386" t="s">
        <v>618</v>
      </c>
      <c r="E386" t="s">
        <v>622</v>
      </c>
      <c r="F386" s="213" t="s">
        <v>56</v>
      </c>
      <c r="G386" t="s">
        <v>66</v>
      </c>
      <c r="H386" t="s">
        <v>84</v>
      </c>
      <c r="I386" t="s">
        <v>623</v>
      </c>
      <c r="J386" t="s">
        <v>56</v>
      </c>
      <c r="K386" t="s">
        <v>1</v>
      </c>
      <c r="L386" t="s">
        <v>662</v>
      </c>
      <c r="M386" t="s">
        <v>100</v>
      </c>
      <c r="N386" t="s">
        <v>18</v>
      </c>
      <c r="O386" t="s">
        <v>712</v>
      </c>
    </row>
    <row r="387" spans="1:15" x14ac:dyDescent="0.25">
      <c r="A387" t="s">
        <v>1069</v>
      </c>
      <c r="B387" t="s">
        <v>100</v>
      </c>
      <c r="C387" t="s">
        <v>621</v>
      </c>
      <c r="D387" t="s">
        <v>618</v>
      </c>
      <c r="E387" t="s">
        <v>622</v>
      </c>
      <c r="F387" s="213" t="s">
        <v>56</v>
      </c>
      <c r="G387" t="s">
        <v>66</v>
      </c>
      <c r="H387" t="s">
        <v>84</v>
      </c>
      <c r="I387" t="s">
        <v>623</v>
      </c>
      <c r="J387" t="s">
        <v>56</v>
      </c>
      <c r="K387" t="s">
        <v>100</v>
      </c>
      <c r="L387" t="s">
        <v>749</v>
      </c>
      <c r="M387" t="s">
        <v>100</v>
      </c>
      <c r="N387" t="s">
        <v>49</v>
      </c>
      <c r="O387" t="s">
        <v>685</v>
      </c>
    </row>
    <row r="388" spans="1:15" x14ac:dyDescent="0.25">
      <c r="A388" t="s">
        <v>1070</v>
      </c>
      <c r="B388" t="s">
        <v>100</v>
      </c>
      <c r="C388" t="s">
        <v>621</v>
      </c>
      <c r="D388" t="s">
        <v>618</v>
      </c>
      <c r="E388" t="s">
        <v>622</v>
      </c>
      <c r="F388" s="213" t="s">
        <v>56</v>
      </c>
      <c r="G388" t="s">
        <v>66</v>
      </c>
      <c r="H388" t="s">
        <v>84</v>
      </c>
      <c r="I388" t="s">
        <v>623</v>
      </c>
      <c r="J388" t="s">
        <v>56</v>
      </c>
      <c r="K388" t="s">
        <v>23</v>
      </c>
      <c r="L388" t="s">
        <v>624</v>
      </c>
      <c r="M388" t="s">
        <v>100</v>
      </c>
      <c r="N388" t="s">
        <v>27</v>
      </c>
      <c r="O388" t="s">
        <v>755</v>
      </c>
    </row>
    <row r="389" spans="1:15" x14ac:dyDescent="0.25">
      <c r="A389" t="s">
        <v>1071</v>
      </c>
      <c r="B389" t="s">
        <v>100</v>
      </c>
      <c r="C389" t="s">
        <v>621</v>
      </c>
      <c r="D389" t="s">
        <v>618</v>
      </c>
      <c r="E389" t="s">
        <v>622</v>
      </c>
      <c r="F389" s="213" t="s">
        <v>56</v>
      </c>
      <c r="G389" t="s">
        <v>66</v>
      </c>
      <c r="H389" t="s">
        <v>84</v>
      </c>
      <c r="I389" t="s">
        <v>623</v>
      </c>
      <c r="J389" t="s">
        <v>56</v>
      </c>
      <c r="K389" t="s">
        <v>19</v>
      </c>
      <c r="L389" t="s">
        <v>628</v>
      </c>
      <c r="M389" t="s">
        <v>100</v>
      </c>
      <c r="N389" t="s">
        <v>62</v>
      </c>
      <c r="O389" t="s">
        <v>625</v>
      </c>
    </row>
    <row r="390" spans="1:15" x14ac:dyDescent="0.25">
      <c r="A390" t="s">
        <v>1072</v>
      </c>
      <c r="B390" t="s">
        <v>100</v>
      </c>
      <c r="C390" t="s">
        <v>621</v>
      </c>
      <c r="D390" t="s">
        <v>618</v>
      </c>
      <c r="E390" t="s">
        <v>622</v>
      </c>
      <c r="F390" s="213" t="s">
        <v>56</v>
      </c>
      <c r="G390" t="s">
        <v>66</v>
      </c>
      <c r="H390" t="s">
        <v>84</v>
      </c>
      <c r="I390" t="s">
        <v>623</v>
      </c>
      <c r="J390" t="s">
        <v>56</v>
      </c>
      <c r="K390" t="s">
        <v>16</v>
      </c>
      <c r="L390" t="s">
        <v>630</v>
      </c>
      <c r="M390" t="s">
        <v>100</v>
      </c>
      <c r="N390" t="s">
        <v>53</v>
      </c>
      <c r="O390" t="s">
        <v>635</v>
      </c>
    </row>
    <row r="391" spans="1:15" x14ac:dyDescent="0.25">
      <c r="A391" t="s">
        <v>1073</v>
      </c>
      <c r="B391" t="s">
        <v>100</v>
      </c>
      <c r="C391" t="s">
        <v>621</v>
      </c>
      <c r="D391" t="s">
        <v>618</v>
      </c>
      <c r="E391" t="s">
        <v>622</v>
      </c>
      <c r="F391" s="213" t="s">
        <v>56</v>
      </c>
      <c r="G391" t="s">
        <v>66</v>
      </c>
      <c r="H391" t="s">
        <v>84</v>
      </c>
      <c r="I391" t="s">
        <v>623</v>
      </c>
      <c r="J391" t="s">
        <v>56</v>
      </c>
      <c r="K391" t="s">
        <v>12</v>
      </c>
      <c r="L391" t="s">
        <v>625</v>
      </c>
      <c r="M391" t="s">
        <v>100</v>
      </c>
      <c r="N391" t="s">
        <v>78</v>
      </c>
      <c r="O391" t="s">
        <v>41</v>
      </c>
    </row>
    <row r="392" spans="1:15" x14ac:dyDescent="0.25">
      <c r="A392" t="s">
        <v>1074</v>
      </c>
      <c r="B392" t="s">
        <v>100</v>
      </c>
      <c r="C392" t="s">
        <v>621</v>
      </c>
      <c r="D392" t="s">
        <v>618</v>
      </c>
      <c r="E392" t="s">
        <v>622</v>
      </c>
      <c r="F392" s="213" t="s">
        <v>56</v>
      </c>
      <c r="G392" t="s">
        <v>66</v>
      </c>
      <c r="H392" t="s">
        <v>84</v>
      </c>
      <c r="I392" t="s">
        <v>623</v>
      </c>
      <c r="J392" t="s">
        <v>56</v>
      </c>
      <c r="K392" t="s">
        <v>9</v>
      </c>
      <c r="L392" t="s">
        <v>632</v>
      </c>
      <c r="M392" t="s">
        <v>100</v>
      </c>
      <c r="N392" t="s">
        <v>76</v>
      </c>
      <c r="O392" t="s">
        <v>1075</v>
      </c>
    </row>
    <row r="393" spans="1:15" x14ac:dyDescent="0.25">
      <c r="A393" t="s">
        <v>1076</v>
      </c>
      <c r="B393" t="s">
        <v>100</v>
      </c>
      <c r="C393" t="s">
        <v>621</v>
      </c>
      <c r="D393" t="s">
        <v>618</v>
      </c>
      <c r="E393" t="s">
        <v>622</v>
      </c>
      <c r="F393" s="213" t="s">
        <v>56</v>
      </c>
      <c r="G393" t="s">
        <v>66</v>
      </c>
      <c r="H393" t="s">
        <v>84</v>
      </c>
      <c r="I393" t="s">
        <v>623</v>
      </c>
      <c r="J393" t="s">
        <v>56</v>
      </c>
      <c r="K393" t="s">
        <v>7</v>
      </c>
      <c r="L393" t="s">
        <v>643</v>
      </c>
      <c r="M393" t="s">
        <v>100</v>
      </c>
      <c r="N393" t="s">
        <v>75</v>
      </c>
      <c r="O393" t="s">
        <v>1077</v>
      </c>
    </row>
    <row r="394" spans="1:15" x14ac:dyDescent="0.25">
      <c r="A394" t="s">
        <v>1078</v>
      </c>
      <c r="B394" t="s">
        <v>100</v>
      </c>
      <c r="C394" t="s">
        <v>621</v>
      </c>
      <c r="D394" t="s">
        <v>618</v>
      </c>
      <c r="E394" t="s">
        <v>622</v>
      </c>
      <c r="F394" s="213" t="s">
        <v>56</v>
      </c>
      <c r="G394" t="s">
        <v>66</v>
      </c>
      <c r="H394" t="s">
        <v>84</v>
      </c>
      <c r="I394" t="s">
        <v>623</v>
      </c>
      <c r="J394" t="s">
        <v>56</v>
      </c>
      <c r="K394" t="s">
        <v>5</v>
      </c>
      <c r="L394" t="s">
        <v>685</v>
      </c>
      <c r="M394" t="s">
        <v>100</v>
      </c>
      <c r="N394" t="s">
        <v>38</v>
      </c>
      <c r="O394" t="s">
        <v>693</v>
      </c>
    </row>
    <row r="395" spans="1:15" x14ac:dyDescent="0.25">
      <c r="A395" t="s">
        <v>1079</v>
      </c>
      <c r="B395" t="s">
        <v>100</v>
      </c>
      <c r="C395" t="s">
        <v>621</v>
      </c>
      <c r="D395" t="s">
        <v>618</v>
      </c>
      <c r="E395" t="s">
        <v>622</v>
      </c>
      <c r="F395" s="213" t="s">
        <v>56</v>
      </c>
      <c r="G395" t="s">
        <v>66</v>
      </c>
      <c r="H395" t="s">
        <v>84</v>
      </c>
      <c r="I395" t="s">
        <v>623</v>
      </c>
      <c r="J395" t="s">
        <v>56</v>
      </c>
      <c r="K395" t="s">
        <v>3</v>
      </c>
      <c r="L395" t="s">
        <v>645</v>
      </c>
      <c r="M395" t="s">
        <v>100</v>
      </c>
      <c r="N395" t="s">
        <v>0</v>
      </c>
      <c r="O395" t="s">
        <v>1080</v>
      </c>
    </row>
    <row r="396" spans="1:15" x14ac:dyDescent="0.25">
      <c r="A396" t="s">
        <v>1081</v>
      </c>
      <c r="B396" t="s">
        <v>100</v>
      </c>
      <c r="C396" t="s">
        <v>621</v>
      </c>
      <c r="D396" t="s">
        <v>618</v>
      </c>
      <c r="E396" t="s">
        <v>622</v>
      </c>
      <c r="F396" s="213" t="s">
        <v>56</v>
      </c>
      <c r="G396" t="s">
        <v>66</v>
      </c>
      <c r="H396" t="s">
        <v>84</v>
      </c>
      <c r="I396" t="s">
        <v>623</v>
      </c>
      <c r="J396" t="s">
        <v>56</v>
      </c>
      <c r="K396" t="s">
        <v>1</v>
      </c>
      <c r="L396" t="s">
        <v>674</v>
      </c>
      <c r="M396" t="s">
        <v>100</v>
      </c>
      <c r="N396" t="s">
        <v>9</v>
      </c>
      <c r="O396" t="s">
        <v>1082</v>
      </c>
    </row>
    <row r="397" spans="1:15" x14ac:dyDescent="0.25">
      <c r="A397" t="s">
        <v>1083</v>
      </c>
      <c r="B397" t="s">
        <v>100</v>
      </c>
      <c r="C397" t="s">
        <v>621</v>
      </c>
      <c r="D397" t="s">
        <v>618</v>
      </c>
      <c r="E397" t="s">
        <v>622</v>
      </c>
      <c r="F397" s="213" t="s">
        <v>56</v>
      </c>
      <c r="G397" t="s">
        <v>66</v>
      </c>
      <c r="H397" t="s">
        <v>84</v>
      </c>
      <c r="I397" t="s">
        <v>623</v>
      </c>
      <c r="J397" t="s">
        <v>56</v>
      </c>
      <c r="K397" t="s">
        <v>100</v>
      </c>
      <c r="L397" t="s">
        <v>693</v>
      </c>
      <c r="M397" t="s">
        <v>100</v>
      </c>
      <c r="N397" t="s">
        <v>40</v>
      </c>
      <c r="O397" t="s">
        <v>662</v>
      </c>
    </row>
    <row r="398" spans="1:15" x14ac:dyDescent="0.25">
      <c r="A398" t="s">
        <v>1084</v>
      </c>
      <c r="B398" t="s">
        <v>100</v>
      </c>
      <c r="C398" t="s">
        <v>621</v>
      </c>
      <c r="D398" t="s">
        <v>618</v>
      </c>
      <c r="E398" t="s">
        <v>622</v>
      </c>
      <c r="F398" s="213" t="s">
        <v>56</v>
      </c>
      <c r="G398" t="s">
        <v>66</v>
      </c>
      <c r="H398" t="s">
        <v>84</v>
      </c>
      <c r="I398" t="s">
        <v>623</v>
      </c>
      <c r="J398" t="s">
        <v>56</v>
      </c>
      <c r="K398" t="s">
        <v>19</v>
      </c>
      <c r="L398" t="s">
        <v>682</v>
      </c>
      <c r="M398" t="s">
        <v>100</v>
      </c>
      <c r="N398" t="s">
        <v>47</v>
      </c>
      <c r="O398" t="s">
        <v>645</v>
      </c>
    </row>
    <row r="399" spans="1:15" x14ac:dyDescent="0.25">
      <c r="A399" t="s">
        <v>1085</v>
      </c>
      <c r="B399" t="s">
        <v>100</v>
      </c>
      <c r="C399" t="s">
        <v>621</v>
      </c>
      <c r="D399" t="s">
        <v>618</v>
      </c>
      <c r="E399" t="s">
        <v>622</v>
      </c>
      <c r="F399" s="213" t="s">
        <v>56</v>
      </c>
      <c r="G399" t="s">
        <v>66</v>
      </c>
      <c r="H399" t="s">
        <v>84</v>
      </c>
      <c r="I399" t="s">
        <v>623</v>
      </c>
      <c r="J399" t="s">
        <v>56</v>
      </c>
      <c r="K399" t="s">
        <v>22</v>
      </c>
      <c r="L399" t="s">
        <v>624</v>
      </c>
      <c r="M399" t="s">
        <v>100</v>
      </c>
      <c r="N399" t="s">
        <v>55</v>
      </c>
      <c r="O399" t="s">
        <v>888</v>
      </c>
    </row>
    <row r="400" spans="1:15" x14ac:dyDescent="0.25">
      <c r="A400" t="s">
        <v>1086</v>
      </c>
      <c r="B400" t="s">
        <v>100</v>
      </c>
      <c r="C400" t="s">
        <v>621</v>
      </c>
      <c r="D400" t="s">
        <v>618</v>
      </c>
      <c r="E400" t="s">
        <v>622</v>
      </c>
      <c r="F400" s="213" t="s">
        <v>56</v>
      </c>
      <c r="G400" t="s">
        <v>66</v>
      </c>
      <c r="H400" t="s">
        <v>84</v>
      </c>
      <c r="I400" t="s">
        <v>623</v>
      </c>
      <c r="J400" t="s">
        <v>56</v>
      </c>
      <c r="K400" t="s">
        <v>18</v>
      </c>
      <c r="L400" t="s">
        <v>628</v>
      </c>
      <c r="M400" t="s">
        <v>100</v>
      </c>
      <c r="N400" t="s">
        <v>47</v>
      </c>
      <c r="O400" t="s">
        <v>639</v>
      </c>
    </row>
    <row r="401" spans="1:15" x14ac:dyDescent="0.25">
      <c r="A401" t="s">
        <v>1087</v>
      </c>
      <c r="B401" t="s">
        <v>100</v>
      </c>
      <c r="C401" t="s">
        <v>621</v>
      </c>
      <c r="D401" t="s">
        <v>618</v>
      </c>
      <c r="E401" t="s">
        <v>622</v>
      </c>
      <c r="F401" s="213" t="s">
        <v>56</v>
      </c>
      <c r="G401" t="s">
        <v>66</v>
      </c>
      <c r="H401" t="s">
        <v>84</v>
      </c>
      <c r="I401" t="s">
        <v>623</v>
      </c>
      <c r="J401" t="s">
        <v>56</v>
      </c>
      <c r="K401" t="s">
        <v>15</v>
      </c>
      <c r="L401" t="s">
        <v>630</v>
      </c>
      <c r="M401" t="s">
        <v>100</v>
      </c>
      <c r="N401" t="s">
        <v>52</v>
      </c>
      <c r="O401" t="s">
        <v>685</v>
      </c>
    </row>
    <row r="402" spans="1:15" x14ac:dyDescent="0.25">
      <c r="A402" t="s">
        <v>1088</v>
      </c>
      <c r="B402" t="s">
        <v>100</v>
      </c>
      <c r="C402" t="s">
        <v>621</v>
      </c>
      <c r="D402" t="s">
        <v>618</v>
      </c>
      <c r="E402" t="s">
        <v>622</v>
      </c>
      <c r="F402" s="213" t="s">
        <v>56</v>
      </c>
      <c r="G402" t="s">
        <v>66</v>
      </c>
      <c r="H402" t="s">
        <v>84</v>
      </c>
      <c r="I402" t="s">
        <v>623</v>
      </c>
      <c r="J402" t="s">
        <v>56</v>
      </c>
      <c r="K402" t="s">
        <v>11</v>
      </c>
      <c r="L402" t="s">
        <v>625</v>
      </c>
      <c r="M402" t="s">
        <v>100</v>
      </c>
      <c r="N402" t="s">
        <v>79</v>
      </c>
      <c r="O402" t="s">
        <v>739</v>
      </c>
    </row>
    <row r="403" spans="1:15" x14ac:dyDescent="0.25">
      <c r="A403" t="s">
        <v>1089</v>
      </c>
      <c r="B403" t="s">
        <v>100</v>
      </c>
      <c r="C403" t="s">
        <v>621</v>
      </c>
      <c r="D403" t="s">
        <v>618</v>
      </c>
      <c r="E403" t="s">
        <v>622</v>
      </c>
      <c r="F403" s="213" t="s">
        <v>56</v>
      </c>
      <c r="G403" t="s">
        <v>66</v>
      </c>
      <c r="H403" t="s">
        <v>84</v>
      </c>
      <c r="I403" t="s">
        <v>623</v>
      </c>
      <c r="J403" t="s">
        <v>56</v>
      </c>
      <c r="K403" t="s">
        <v>8</v>
      </c>
      <c r="L403" t="s">
        <v>632</v>
      </c>
      <c r="M403" t="s">
        <v>100</v>
      </c>
      <c r="N403" t="s">
        <v>73</v>
      </c>
      <c r="O403" t="s">
        <v>100</v>
      </c>
    </row>
    <row r="404" spans="1:15" x14ac:dyDescent="0.25">
      <c r="A404" t="s">
        <v>1090</v>
      </c>
      <c r="B404" t="s">
        <v>100</v>
      </c>
      <c r="C404" t="s">
        <v>621</v>
      </c>
      <c r="D404" t="s">
        <v>618</v>
      </c>
      <c r="E404" t="s">
        <v>622</v>
      </c>
      <c r="F404" s="213" t="s">
        <v>56</v>
      </c>
      <c r="G404" t="s">
        <v>66</v>
      </c>
      <c r="H404" t="s">
        <v>84</v>
      </c>
      <c r="I404" t="s">
        <v>623</v>
      </c>
      <c r="J404" t="s">
        <v>56</v>
      </c>
      <c r="K404" t="s">
        <v>6</v>
      </c>
      <c r="L404" t="s">
        <v>888</v>
      </c>
      <c r="M404" t="s">
        <v>100</v>
      </c>
      <c r="N404" t="s">
        <v>74</v>
      </c>
      <c r="O404" t="s">
        <v>1091</v>
      </c>
    </row>
    <row r="405" spans="1:15" x14ac:dyDescent="0.25">
      <c r="A405" t="s">
        <v>1092</v>
      </c>
      <c r="B405" t="s">
        <v>100</v>
      </c>
      <c r="C405" t="s">
        <v>621</v>
      </c>
      <c r="D405" t="s">
        <v>618</v>
      </c>
      <c r="E405" t="s">
        <v>622</v>
      </c>
      <c r="F405" s="213" t="s">
        <v>56</v>
      </c>
      <c r="G405" t="s">
        <v>66</v>
      </c>
      <c r="H405" t="s">
        <v>84</v>
      </c>
      <c r="I405" t="s">
        <v>623</v>
      </c>
      <c r="J405" t="s">
        <v>56</v>
      </c>
      <c r="K405" t="s">
        <v>4</v>
      </c>
      <c r="L405" t="s">
        <v>685</v>
      </c>
      <c r="M405" t="s">
        <v>100</v>
      </c>
      <c r="N405" t="s">
        <v>9</v>
      </c>
      <c r="O405" t="s">
        <v>812</v>
      </c>
    </row>
    <row r="406" spans="1:15" x14ac:dyDescent="0.25">
      <c r="A406" t="s">
        <v>1093</v>
      </c>
      <c r="B406" t="s">
        <v>100</v>
      </c>
      <c r="C406" t="s">
        <v>621</v>
      </c>
      <c r="D406" t="s">
        <v>618</v>
      </c>
      <c r="E406" t="s">
        <v>622</v>
      </c>
      <c r="F406" s="213" t="s">
        <v>56</v>
      </c>
      <c r="G406" t="s">
        <v>66</v>
      </c>
      <c r="H406" t="s">
        <v>84</v>
      </c>
      <c r="I406" t="s">
        <v>623</v>
      </c>
      <c r="J406" t="s">
        <v>56</v>
      </c>
      <c r="K406" t="s">
        <v>2</v>
      </c>
      <c r="L406" t="s">
        <v>639</v>
      </c>
      <c r="M406" t="s">
        <v>100</v>
      </c>
      <c r="N406" t="s">
        <v>100</v>
      </c>
      <c r="O406" t="s">
        <v>1094</v>
      </c>
    </row>
    <row r="407" spans="1:15" x14ac:dyDescent="0.25">
      <c r="A407" t="s">
        <v>1095</v>
      </c>
      <c r="B407" t="s">
        <v>100</v>
      </c>
      <c r="C407" t="s">
        <v>621</v>
      </c>
      <c r="D407" t="s">
        <v>618</v>
      </c>
      <c r="E407" t="s">
        <v>622</v>
      </c>
      <c r="F407" s="213" t="s">
        <v>56</v>
      </c>
      <c r="G407" t="s">
        <v>66</v>
      </c>
      <c r="H407" t="s">
        <v>84</v>
      </c>
      <c r="I407" t="s">
        <v>623</v>
      </c>
      <c r="J407" t="s">
        <v>56</v>
      </c>
      <c r="K407" t="s">
        <v>0</v>
      </c>
      <c r="L407" t="s">
        <v>674</v>
      </c>
      <c r="M407" t="s">
        <v>100</v>
      </c>
      <c r="N407" t="s">
        <v>17</v>
      </c>
      <c r="O407" t="s">
        <v>770</v>
      </c>
    </row>
    <row r="408" spans="1:15" x14ac:dyDescent="0.25">
      <c r="A408" t="s">
        <v>1096</v>
      </c>
      <c r="B408" t="s">
        <v>100</v>
      </c>
      <c r="C408" t="s">
        <v>621</v>
      </c>
      <c r="D408" t="s">
        <v>618</v>
      </c>
      <c r="E408" t="s">
        <v>622</v>
      </c>
      <c r="F408" s="213" t="s">
        <v>56</v>
      </c>
      <c r="G408" t="s">
        <v>66</v>
      </c>
      <c r="H408" t="s">
        <v>84</v>
      </c>
      <c r="I408" t="s">
        <v>623</v>
      </c>
      <c r="J408" t="s">
        <v>56</v>
      </c>
      <c r="K408" t="s">
        <v>17</v>
      </c>
      <c r="L408" t="s">
        <v>641</v>
      </c>
      <c r="M408" t="s">
        <v>100</v>
      </c>
      <c r="N408" t="s">
        <v>39</v>
      </c>
      <c r="O408" t="s">
        <v>693</v>
      </c>
    </row>
    <row r="409" spans="1:15" x14ac:dyDescent="0.25">
      <c r="A409" t="s">
        <v>1097</v>
      </c>
      <c r="B409" t="s">
        <v>100</v>
      </c>
      <c r="C409" t="s">
        <v>621</v>
      </c>
      <c r="D409" t="s">
        <v>618</v>
      </c>
      <c r="E409" t="s">
        <v>622</v>
      </c>
      <c r="F409" s="213" t="s">
        <v>56</v>
      </c>
      <c r="G409" t="s">
        <v>66</v>
      </c>
      <c r="H409" t="s">
        <v>84</v>
      </c>
      <c r="I409" t="s">
        <v>623</v>
      </c>
      <c r="J409" t="s">
        <v>56</v>
      </c>
      <c r="K409" t="s">
        <v>19</v>
      </c>
      <c r="L409" t="s">
        <v>739</v>
      </c>
      <c r="M409" t="s">
        <v>100</v>
      </c>
      <c r="N409" t="s">
        <v>64</v>
      </c>
      <c r="O409" t="s">
        <v>665</v>
      </c>
    </row>
    <row r="410" spans="1:15" x14ac:dyDescent="0.25">
      <c r="A410" t="s">
        <v>1098</v>
      </c>
      <c r="B410" t="s">
        <v>100</v>
      </c>
      <c r="C410" t="s">
        <v>621</v>
      </c>
      <c r="D410" t="s">
        <v>618</v>
      </c>
      <c r="E410" t="s">
        <v>622</v>
      </c>
      <c r="F410" s="213" t="s">
        <v>56</v>
      </c>
      <c r="G410" t="s">
        <v>66</v>
      </c>
      <c r="H410" t="s">
        <v>84</v>
      </c>
      <c r="I410" t="s">
        <v>623</v>
      </c>
      <c r="J410" t="s">
        <v>56</v>
      </c>
      <c r="K410" t="s">
        <v>21</v>
      </c>
      <c r="L410" t="s">
        <v>624</v>
      </c>
      <c r="M410" t="s">
        <v>100</v>
      </c>
      <c r="N410" t="s">
        <v>60</v>
      </c>
      <c r="O410" t="s">
        <v>642</v>
      </c>
    </row>
    <row r="411" spans="1:15" x14ac:dyDescent="0.25">
      <c r="A411" t="s">
        <v>1099</v>
      </c>
      <c r="B411" t="s">
        <v>100</v>
      </c>
      <c r="C411" t="s">
        <v>621</v>
      </c>
      <c r="D411" t="s">
        <v>618</v>
      </c>
      <c r="E411" t="s">
        <v>622</v>
      </c>
      <c r="F411" s="213" t="s">
        <v>56</v>
      </c>
      <c r="G411" t="s">
        <v>66</v>
      </c>
      <c r="H411" t="s">
        <v>84</v>
      </c>
      <c r="I411" t="s">
        <v>623</v>
      </c>
      <c r="J411" t="s">
        <v>56</v>
      </c>
      <c r="K411" t="s">
        <v>19</v>
      </c>
      <c r="L411" t="s">
        <v>626</v>
      </c>
      <c r="M411" t="s">
        <v>100</v>
      </c>
      <c r="N411" t="s">
        <v>24</v>
      </c>
      <c r="O411" t="s">
        <v>1100</v>
      </c>
    </row>
    <row r="412" spans="1:15" x14ac:dyDescent="0.25">
      <c r="A412" t="s">
        <v>1101</v>
      </c>
      <c r="B412" t="s">
        <v>100</v>
      </c>
      <c r="C412" t="s">
        <v>621</v>
      </c>
      <c r="D412" t="s">
        <v>618</v>
      </c>
      <c r="E412" t="s">
        <v>622</v>
      </c>
      <c r="F412" s="213" t="s">
        <v>56</v>
      </c>
      <c r="G412" t="s">
        <v>66</v>
      </c>
      <c r="H412" t="s">
        <v>84</v>
      </c>
      <c r="I412" t="s">
        <v>623</v>
      </c>
      <c r="J412" t="s">
        <v>56</v>
      </c>
      <c r="K412" t="s">
        <v>15</v>
      </c>
      <c r="L412" t="s">
        <v>714</v>
      </c>
      <c r="M412" t="s">
        <v>100</v>
      </c>
      <c r="N412" t="s">
        <v>56</v>
      </c>
      <c r="O412" t="s">
        <v>888</v>
      </c>
    </row>
    <row r="413" spans="1:15" x14ac:dyDescent="0.25">
      <c r="A413" t="s">
        <v>1102</v>
      </c>
      <c r="B413" t="s">
        <v>100</v>
      </c>
      <c r="C413" t="s">
        <v>621</v>
      </c>
      <c r="D413" t="s">
        <v>618</v>
      </c>
      <c r="E413" t="s">
        <v>622</v>
      </c>
      <c r="F413" s="213" t="s">
        <v>56</v>
      </c>
      <c r="G413" t="s">
        <v>66</v>
      </c>
      <c r="H413" t="s">
        <v>84</v>
      </c>
      <c r="I413" t="s">
        <v>623</v>
      </c>
      <c r="J413" t="s">
        <v>56</v>
      </c>
      <c r="K413" t="s">
        <v>13</v>
      </c>
      <c r="L413" t="s">
        <v>630</v>
      </c>
      <c r="M413" t="s">
        <v>100</v>
      </c>
      <c r="N413" t="s">
        <v>81</v>
      </c>
      <c r="O413" t="s">
        <v>682</v>
      </c>
    </row>
    <row r="414" spans="1:15" x14ac:dyDescent="0.25">
      <c r="A414" t="s">
        <v>1103</v>
      </c>
      <c r="B414" t="s">
        <v>100</v>
      </c>
      <c r="C414" t="s">
        <v>621</v>
      </c>
      <c r="D414" t="s">
        <v>618</v>
      </c>
      <c r="E414" t="s">
        <v>622</v>
      </c>
      <c r="F414" s="213" t="s">
        <v>56</v>
      </c>
      <c r="G414" t="s">
        <v>66</v>
      </c>
      <c r="H414" t="s">
        <v>84</v>
      </c>
      <c r="I414" t="s">
        <v>623</v>
      </c>
      <c r="J414" t="s">
        <v>56</v>
      </c>
      <c r="K414" t="s">
        <v>10</v>
      </c>
      <c r="L414" t="s">
        <v>625</v>
      </c>
      <c r="M414" t="s">
        <v>100</v>
      </c>
      <c r="N414" t="s">
        <v>75</v>
      </c>
      <c r="O414" t="s">
        <v>26</v>
      </c>
    </row>
    <row r="415" spans="1:15" x14ac:dyDescent="0.25">
      <c r="A415" t="s">
        <v>1104</v>
      </c>
      <c r="B415" t="s">
        <v>100</v>
      </c>
      <c r="C415" t="s">
        <v>621</v>
      </c>
      <c r="D415" t="s">
        <v>618</v>
      </c>
      <c r="E415" t="s">
        <v>622</v>
      </c>
      <c r="F415" s="213" t="s">
        <v>56</v>
      </c>
      <c r="G415" t="s">
        <v>66</v>
      </c>
      <c r="H415" t="s">
        <v>84</v>
      </c>
      <c r="I415" t="s">
        <v>623</v>
      </c>
      <c r="J415" t="s">
        <v>56</v>
      </c>
      <c r="K415" t="s">
        <v>7</v>
      </c>
      <c r="L415" t="s">
        <v>642</v>
      </c>
      <c r="M415" t="s">
        <v>100</v>
      </c>
      <c r="N415" t="s">
        <v>76</v>
      </c>
      <c r="O415" t="s">
        <v>822</v>
      </c>
    </row>
    <row r="416" spans="1:15" x14ac:dyDescent="0.25">
      <c r="A416" t="s">
        <v>1105</v>
      </c>
      <c r="B416" t="s">
        <v>100</v>
      </c>
      <c r="C416" t="s">
        <v>621</v>
      </c>
      <c r="D416" t="s">
        <v>618</v>
      </c>
      <c r="E416" t="s">
        <v>622</v>
      </c>
      <c r="F416" s="213" t="s">
        <v>56</v>
      </c>
      <c r="G416" t="s">
        <v>66</v>
      </c>
      <c r="H416" t="s">
        <v>84</v>
      </c>
      <c r="I416" t="s">
        <v>623</v>
      </c>
      <c r="J416" t="s">
        <v>56</v>
      </c>
      <c r="K416" t="s">
        <v>5</v>
      </c>
      <c r="L416" t="s">
        <v>888</v>
      </c>
      <c r="M416" t="s">
        <v>100</v>
      </c>
      <c r="N416" t="s">
        <v>7</v>
      </c>
      <c r="O416" t="s">
        <v>1055</v>
      </c>
    </row>
    <row r="417" spans="1:15" x14ac:dyDescent="0.25">
      <c r="A417" t="s">
        <v>1106</v>
      </c>
      <c r="B417" t="s">
        <v>100</v>
      </c>
      <c r="C417" t="s">
        <v>621</v>
      </c>
      <c r="D417" t="s">
        <v>618</v>
      </c>
      <c r="E417" t="s">
        <v>622</v>
      </c>
      <c r="F417" s="213" t="s">
        <v>56</v>
      </c>
      <c r="G417" t="s">
        <v>66</v>
      </c>
      <c r="H417" t="s">
        <v>84</v>
      </c>
      <c r="I417" t="s">
        <v>623</v>
      </c>
      <c r="J417" t="s">
        <v>56</v>
      </c>
      <c r="K417" t="s">
        <v>3</v>
      </c>
      <c r="L417" t="s">
        <v>637</v>
      </c>
      <c r="M417" t="s">
        <v>100</v>
      </c>
      <c r="N417" t="s">
        <v>18</v>
      </c>
      <c r="O417" t="s">
        <v>770</v>
      </c>
    </row>
    <row r="418" spans="1:15" x14ac:dyDescent="0.25">
      <c r="A418" t="s">
        <v>1107</v>
      </c>
      <c r="B418" t="s">
        <v>100</v>
      </c>
      <c r="C418" t="s">
        <v>621</v>
      </c>
      <c r="D418" t="s">
        <v>618</v>
      </c>
      <c r="E418" t="s">
        <v>622</v>
      </c>
      <c r="F418" s="213" t="s">
        <v>56</v>
      </c>
      <c r="G418" t="s">
        <v>66</v>
      </c>
      <c r="H418" t="s">
        <v>84</v>
      </c>
      <c r="I418" t="s">
        <v>623</v>
      </c>
      <c r="J418" t="s">
        <v>56</v>
      </c>
      <c r="K418" t="s">
        <v>1</v>
      </c>
      <c r="L418" t="s">
        <v>639</v>
      </c>
      <c r="M418" t="s">
        <v>100</v>
      </c>
      <c r="N418" t="s">
        <v>2</v>
      </c>
      <c r="O418" t="s">
        <v>1108</v>
      </c>
    </row>
    <row r="419" spans="1:15" x14ac:dyDescent="0.25">
      <c r="A419" t="s">
        <v>1109</v>
      </c>
      <c r="B419" t="s">
        <v>100</v>
      </c>
      <c r="C419" t="s">
        <v>621</v>
      </c>
      <c r="D419" t="s">
        <v>618</v>
      </c>
      <c r="E419" t="s">
        <v>622</v>
      </c>
      <c r="F419" s="213" t="s">
        <v>56</v>
      </c>
      <c r="G419" t="s">
        <v>66</v>
      </c>
      <c r="H419" t="s">
        <v>84</v>
      </c>
      <c r="I419" t="s">
        <v>623</v>
      </c>
      <c r="J419" t="s">
        <v>56</v>
      </c>
      <c r="K419" t="s">
        <v>100</v>
      </c>
      <c r="L419" t="s">
        <v>662</v>
      </c>
      <c r="M419" t="s">
        <v>100</v>
      </c>
      <c r="N419" t="s">
        <v>73</v>
      </c>
      <c r="O419" t="s">
        <v>654</v>
      </c>
    </row>
    <row r="420" spans="1:15" x14ac:dyDescent="0.25">
      <c r="A420" t="s">
        <v>1110</v>
      </c>
      <c r="B420" t="s">
        <v>100</v>
      </c>
      <c r="C420" t="s">
        <v>621</v>
      </c>
      <c r="D420" t="s">
        <v>618</v>
      </c>
      <c r="E420" t="s">
        <v>622</v>
      </c>
      <c r="F420" s="213" t="s">
        <v>56</v>
      </c>
      <c r="G420" t="s">
        <v>66</v>
      </c>
      <c r="H420" t="s">
        <v>84</v>
      </c>
      <c r="I420" t="s">
        <v>623</v>
      </c>
      <c r="J420" t="s">
        <v>56</v>
      </c>
      <c r="K420" t="s">
        <v>17</v>
      </c>
      <c r="L420" t="s">
        <v>682</v>
      </c>
      <c r="M420" t="s">
        <v>100</v>
      </c>
      <c r="N420" t="s">
        <v>11</v>
      </c>
      <c r="O420" t="s">
        <v>1082</v>
      </c>
    </row>
    <row r="421" spans="1:15" x14ac:dyDescent="0.25">
      <c r="A421" t="s">
        <v>1111</v>
      </c>
      <c r="B421" t="s">
        <v>100</v>
      </c>
      <c r="C421" t="s">
        <v>621</v>
      </c>
      <c r="D421" t="s">
        <v>618</v>
      </c>
      <c r="E421" t="s">
        <v>622</v>
      </c>
      <c r="F421" s="213" t="s">
        <v>56</v>
      </c>
      <c r="G421" t="s">
        <v>66</v>
      </c>
      <c r="H421" t="s">
        <v>84</v>
      </c>
      <c r="I421" t="s">
        <v>623</v>
      </c>
      <c r="J421" t="s">
        <v>56</v>
      </c>
      <c r="K421" t="s">
        <v>18</v>
      </c>
      <c r="L421" t="s">
        <v>626</v>
      </c>
      <c r="M421" t="s">
        <v>100</v>
      </c>
      <c r="N421" t="s">
        <v>60</v>
      </c>
      <c r="O421" t="s">
        <v>629</v>
      </c>
    </row>
    <row r="422" spans="1:15" x14ac:dyDescent="0.25">
      <c r="A422" t="s">
        <v>1112</v>
      </c>
      <c r="B422" t="s">
        <v>100</v>
      </c>
      <c r="C422" t="s">
        <v>621</v>
      </c>
      <c r="D422" t="s">
        <v>618</v>
      </c>
      <c r="E422" t="s">
        <v>622</v>
      </c>
      <c r="F422" s="213" t="s">
        <v>56</v>
      </c>
      <c r="G422" t="s">
        <v>66</v>
      </c>
      <c r="H422" t="s">
        <v>84</v>
      </c>
      <c r="I422" t="s">
        <v>623</v>
      </c>
      <c r="J422" t="s">
        <v>56</v>
      </c>
      <c r="K422" t="s">
        <v>14</v>
      </c>
      <c r="L422" t="s">
        <v>714</v>
      </c>
      <c r="M422" t="s">
        <v>100</v>
      </c>
      <c r="N422" t="s">
        <v>66</v>
      </c>
      <c r="O422" t="s">
        <v>665</v>
      </c>
    </row>
    <row r="423" spans="1:15" x14ac:dyDescent="0.25">
      <c r="A423" t="s">
        <v>1113</v>
      </c>
      <c r="B423" t="s">
        <v>100</v>
      </c>
      <c r="C423" t="s">
        <v>621</v>
      </c>
      <c r="D423" t="s">
        <v>618</v>
      </c>
      <c r="E423" t="s">
        <v>622</v>
      </c>
      <c r="F423" s="213" t="s">
        <v>56</v>
      </c>
      <c r="G423" t="s">
        <v>66</v>
      </c>
      <c r="H423" t="s">
        <v>84</v>
      </c>
      <c r="I423" t="s">
        <v>623</v>
      </c>
      <c r="J423" t="s">
        <v>56</v>
      </c>
      <c r="K423" t="s">
        <v>11</v>
      </c>
      <c r="L423" t="s">
        <v>665</v>
      </c>
      <c r="M423" t="s">
        <v>100</v>
      </c>
      <c r="N423" t="s">
        <v>24</v>
      </c>
      <c r="O423" t="s">
        <v>875</v>
      </c>
    </row>
    <row r="424" spans="1:15" x14ac:dyDescent="0.25">
      <c r="A424" t="s">
        <v>1114</v>
      </c>
      <c r="B424" t="s">
        <v>100</v>
      </c>
      <c r="C424" t="s">
        <v>621</v>
      </c>
      <c r="D424" t="s">
        <v>618</v>
      </c>
      <c r="E424" t="s">
        <v>622</v>
      </c>
      <c r="F424" s="213" t="s">
        <v>56</v>
      </c>
      <c r="G424" t="s">
        <v>66</v>
      </c>
      <c r="H424" t="s">
        <v>84</v>
      </c>
      <c r="I424" t="s">
        <v>623</v>
      </c>
      <c r="J424" t="s">
        <v>56</v>
      </c>
      <c r="K424" t="s">
        <v>7</v>
      </c>
      <c r="L424" t="s">
        <v>632</v>
      </c>
      <c r="M424" t="s">
        <v>100</v>
      </c>
      <c r="N424" t="s">
        <v>41</v>
      </c>
      <c r="O424" t="s">
        <v>693</v>
      </c>
    </row>
    <row r="425" spans="1:15" x14ac:dyDescent="0.25">
      <c r="A425" t="s">
        <v>1115</v>
      </c>
      <c r="B425" t="s">
        <v>100</v>
      </c>
      <c r="C425" t="s">
        <v>621</v>
      </c>
      <c r="D425" t="s">
        <v>618</v>
      </c>
      <c r="E425" t="s">
        <v>622</v>
      </c>
      <c r="F425" s="213" t="s">
        <v>56</v>
      </c>
      <c r="G425" t="s">
        <v>66</v>
      </c>
      <c r="H425" t="s">
        <v>84</v>
      </c>
      <c r="I425" t="s">
        <v>623</v>
      </c>
      <c r="J425" t="s">
        <v>56</v>
      </c>
      <c r="K425" t="s">
        <v>5</v>
      </c>
      <c r="L425" t="s">
        <v>643</v>
      </c>
      <c r="M425" t="s">
        <v>100</v>
      </c>
      <c r="N425" t="s">
        <v>82</v>
      </c>
      <c r="O425" t="s">
        <v>44</v>
      </c>
    </row>
    <row r="426" spans="1:15" x14ac:dyDescent="0.25">
      <c r="A426" t="s">
        <v>1116</v>
      </c>
      <c r="B426" t="s">
        <v>100</v>
      </c>
      <c r="C426" t="s">
        <v>621</v>
      </c>
      <c r="D426" t="s">
        <v>618</v>
      </c>
      <c r="E426" t="s">
        <v>622</v>
      </c>
      <c r="F426" s="213" t="s">
        <v>56</v>
      </c>
      <c r="G426" t="s">
        <v>66</v>
      </c>
      <c r="H426" t="s">
        <v>84</v>
      </c>
      <c r="I426" t="s">
        <v>623</v>
      </c>
      <c r="J426" t="s">
        <v>56</v>
      </c>
      <c r="K426" t="s">
        <v>3</v>
      </c>
      <c r="L426" t="s">
        <v>685</v>
      </c>
      <c r="M426" t="s">
        <v>100</v>
      </c>
      <c r="N426" t="s">
        <v>81</v>
      </c>
      <c r="O426" t="s">
        <v>41</v>
      </c>
    </row>
    <row r="427" spans="1:15" x14ac:dyDescent="0.25">
      <c r="A427" t="s">
        <v>1117</v>
      </c>
      <c r="B427" t="s">
        <v>100</v>
      </c>
      <c r="C427" t="s">
        <v>621</v>
      </c>
      <c r="D427" t="s">
        <v>618</v>
      </c>
      <c r="E427" t="s">
        <v>622</v>
      </c>
      <c r="F427" s="213" t="s">
        <v>56</v>
      </c>
      <c r="G427" t="s">
        <v>66</v>
      </c>
      <c r="H427" t="s">
        <v>84</v>
      </c>
      <c r="I427" t="s">
        <v>623</v>
      </c>
      <c r="J427" t="s">
        <v>56</v>
      </c>
      <c r="K427" t="s">
        <v>1</v>
      </c>
      <c r="L427" t="s">
        <v>645</v>
      </c>
      <c r="M427" t="s">
        <v>100</v>
      </c>
      <c r="N427" t="s">
        <v>45</v>
      </c>
      <c r="O427" t="s">
        <v>674</v>
      </c>
    </row>
    <row r="428" spans="1:15" x14ac:dyDescent="0.25">
      <c r="A428" t="s">
        <v>1118</v>
      </c>
      <c r="B428" t="s">
        <v>100</v>
      </c>
      <c r="C428" t="s">
        <v>621</v>
      </c>
      <c r="D428" t="s">
        <v>618</v>
      </c>
      <c r="E428" t="s">
        <v>622</v>
      </c>
      <c r="F428" s="213" t="s">
        <v>56</v>
      </c>
      <c r="G428" t="s">
        <v>66</v>
      </c>
      <c r="H428" t="s">
        <v>84</v>
      </c>
      <c r="I428" t="s">
        <v>623</v>
      </c>
      <c r="J428" t="s">
        <v>56</v>
      </c>
      <c r="K428" t="s">
        <v>100</v>
      </c>
      <c r="L428" t="s">
        <v>674</v>
      </c>
      <c r="M428" t="s">
        <v>100</v>
      </c>
      <c r="N428" t="s">
        <v>53</v>
      </c>
      <c r="O428" t="s">
        <v>637</v>
      </c>
    </row>
    <row r="429" spans="1:15" x14ac:dyDescent="0.25">
      <c r="A429" t="s">
        <v>1119</v>
      </c>
      <c r="B429" t="s">
        <v>100</v>
      </c>
      <c r="C429" t="s">
        <v>621</v>
      </c>
      <c r="D429" t="s">
        <v>618</v>
      </c>
      <c r="E429" t="s">
        <v>622</v>
      </c>
      <c r="F429" s="213" t="s">
        <v>56</v>
      </c>
      <c r="G429" t="s">
        <v>66</v>
      </c>
      <c r="H429" t="s">
        <v>84</v>
      </c>
      <c r="I429" t="s">
        <v>623</v>
      </c>
      <c r="J429" t="s">
        <v>56</v>
      </c>
      <c r="K429" t="s">
        <v>16</v>
      </c>
      <c r="L429" t="s">
        <v>682</v>
      </c>
      <c r="M429" t="s">
        <v>100</v>
      </c>
      <c r="N429" t="s">
        <v>75</v>
      </c>
      <c r="O429" t="s">
        <v>418</v>
      </c>
    </row>
    <row r="430" spans="1:15" x14ac:dyDescent="0.25">
      <c r="A430" t="s">
        <v>1120</v>
      </c>
      <c r="B430" t="s">
        <v>100</v>
      </c>
      <c r="C430" t="s">
        <v>621</v>
      </c>
      <c r="D430" t="s">
        <v>618</v>
      </c>
      <c r="E430" t="s">
        <v>622</v>
      </c>
      <c r="F430" s="213" t="s">
        <v>56</v>
      </c>
      <c r="G430" t="s">
        <v>66</v>
      </c>
      <c r="H430" t="s">
        <v>84</v>
      </c>
      <c r="I430" t="s">
        <v>623</v>
      </c>
      <c r="J430" t="s">
        <v>56</v>
      </c>
      <c r="K430" t="s">
        <v>18</v>
      </c>
      <c r="L430" t="s">
        <v>650</v>
      </c>
      <c r="M430" t="s">
        <v>100</v>
      </c>
      <c r="N430" t="s">
        <v>36</v>
      </c>
      <c r="O430" t="s">
        <v>741</v>
      </c>
    </row>
    <row r="431" spans="1:15" x14ac:dyDescent="0.25">
      <c r="A431" t="s">
        <v>1121</v>
      </c>
      <c r="B431" t="s">
        <v>100</v>
      </c>
      <c r="C431" t="s">
        <v>621</v>
      </c>
      <c r="D431" t="s">
        <v>618</v>
      </c>
      <c r="E431" t="s">
        <v>622</v>
      </c>
      <c r="F431" s="213" t="s">
        <v>56</v>
      </c>
      <c r="G431" t="s">
        <v>66</v>
      </c>
      <c r="H431" t="s">
        <v>84</v>
      </c>
      <c r="I431" t="s">
        <v>623</v>
      </c>
      <c r="J431" t="s">
        <v>56</v>
      </c>
      <c r="K431" t="s">
        <v>20</v>
      </c>
      <c r="L431" t="s">
        <v>883</v>
      </c>
      <c r="M431" t="s">
        <v>100</v>
      </c>
      <c r="N431" t="s">
        <v>54</v>
      </c>
      <c r="O431" t="s">
        <v>685</v>
      </c>
    </row>
    <row r="432" spans="1:15" x14ac:dyDescent="0.25">
      <c r="A432" t="s">
        <v>1122</v>
      </c>
      <c r="B432" t="s">
        <v>100</v>
      </c>
      <c r="C432" t="s">
        <v>621</v>
      </c>
      <c r="D432" t="s">
        <v>618</v>
      </c>
      <c r="E432" t="s">
        <v>622</v>
      </c>
      <c r="F432" s="213" t="s">
        <v>56</v>
      </c>
      <c r="G432" t="s">
        <v>66</v>
      </c>
      <c r="H432" t="s">
        <v>84</v>
      </c>
      <c r="I432" t="s">
        <v>623</v>
      </c>
      <c r="J432" t="s">
        <v>56</v>
      </c>
      <c r="K432" t="s">
        <v>22</v>
      </c>
      <c r="L432" t="s">
        <v>878</v>
      </c>
      <c r="M432" t="s">
        <v>100</v>
      </c>
      <c r="N432" t="s">
        <v>13</v>
      </c>
      <c r="O432" t="s">
        <v>633</v>
      </c>
    </row>
    <row r="433" spans="1:15" x14ac:dyDescent="0.25">
      <c r="A433" t="s">
        <v>1123</v>
      </c>
      <c r="B433" t="s">
        <v>100</v>
      </c>
      <c r="C433" t="s">
        <v>621</v>
      </c>
      <c r="D433" t="s">
        <v>618</v>
      </c>
      <c r="E433" t="s">
        <v>622</v>
      </c>
      <c r="F433" s="213" t="s">
        <v>56</v>
      </c>
      <c r="G433" t="s">
        <v>66</v>
      </c>
      <c r="H433" t="s">
        <v>84</v>
      </c>
      <c r="I433" t="s">
        <v>623</v>
      </c>
      <c r="J433" t="s">
        <v>56</v>
      </c>
      <c r="K433" t="s">
        <v>17</v>
      </c>
      <c r="L433" t="s">
        <v>626</v>
      </c>
      <c r="M433" t="s">
        <v>100</v>
      </c>
      <c r="N433" t="s">
        <v>70</v>
      </c>
      <c r="O433" t="s">
        <v>714</v>
      </c>
    </row>
    <row r="434" spans="1:15" x14ac:dyDescent="0.25">
      <c r="A434" t="s">
        <v>1124</v>
      </c>
      <c r="B434" t="s">
        <v>100</v>
      </c>
      <c r="C434" t="s">
        <v>621</v>
      </c>
      <c r="D434" t="s">
        <v>618</v>
      </c>
      <c r="E434" t="s">
        <v>622</v>
      </c>
      <c r="F434" s="213" t="s">
        <v>56</v>
      </c>
      <c r="G434" t="s">
        <v>66</v>
      </c>
      <c r="H434" t="s">
        <v>84</v>
      </c>
      <c r="I434" t="s">
        <v>623</v>
      </c>
      <c r="J434" t="s">
        <v>56</v>
      </c>
      <c r="K434" t="s">
        <v>13</v>
      </c>
      <c r="L434" t="s">
        <v>714</v>
      </c>
      <c r="M434" t="s">
        <v>100</v>
      </c>
      <c r="N434" t="s">
        <v>22</v>
      </c>
      <c r="O434" t="s">
        <v>677</v>
      </c>
    </row>
    <row r="435" spans="1:15" x14ac:dyDescent="0.25">
      <c r="A435" t="s">
        <v>1125</v>
      </c>
      <c r="B435" t="s">
        <v>100</v>
      </c>
      <c r="C435" t="s">
        <v>621</v>
      </c>
      <c r="D435" t="s">
        <v>618</v>
      </c>
      <c r="E435" t="s">
        <v>622</v>
      </c>
      <c r="F435" s="213" t="s">
        <v>56</v>
      </c>
      <c r="G435" t="s">
        <v>66</v>
      </c>
      <c r="H435" t="s">
        <v>84</v>
      </c>
      <c r="I435" t="s">
        <v>623</v>
      </c>
      <c r="J435" t="s">
        <v>56</v>
      </c>
      <c r="K435" t="s">
        <v>10</v>
      </c>
      <c r="L435" t="s">
        <v>665</v>
      </c>
      <c r="M435" t="s">
        <v>100</v>
      </c>
      <c r="N435" t="s">
        <v>82</v>
      </c>
      <c r="O435" t="s">
        <v>41</v>
      </c>
    </row>
    <row r="436" spans="1:15" x14ac:dyDescent="0.25">
      <c r="A436" t="s">
        <v>1126</v>
      </c>
      <c r="B436" t="s">
        <v>100</v>
      </c>
      <c r="C436" t="s">
        <v>621</v>
      </c>
      <c r="D436" t="s">
        <v>618</v>
      </c>
      <c r="E436" t="s">
        <v>622</v>
      </c>
      <c r="F436" s="213" t="s">
        <v>56</v>
      </c>
      <c r="G436" t="s">
        <v>66</v>
      </c>
      <c r="H436" t="s">
        <v>84</v>
      </c>
      <c r="I436" t="s">
        <v>623</v>
      </c>
      <c r="J436" t="s">
        <v>56</v>
      </c>
      <c r="K436" t="s">
        <v>7</v>
      </c>
      <c r="L436" t="s">
        <v>623</v>
      </c>
      <c r="M436" t="s">
        <v>100</v>
      </c>
      <c r="N436" t="s">
        <v>43</v>
      </c>
      <c r="O436" t="s">
        <v>693</v>
      </c>
    </row>
    <row r="437" spans="1:15" x14ac:dyDescent="0.25">
      <c r="A437" t="s">
        <v>1127</v>
      </c>
      <c r="B437" t="s">
        <v>100</v>
      </c>
      <c r="C437" t="s">
        <v>621</v>
      </c>
      <c r="D437" t="s">
        <v>618</v>
      </c>
      <c r="E437" t="s">
        <v>622</v>
      </c>
      <c r="F437" s="213" t="s">
        <v>56</v>
      </c>
      <c r="G437" t="s">
        <v>66</v>
      </c>
      <c r="H437" t="s">
        <v>84</v>
      </c>
      <c r="I437" t="s">
        <v>623</v>
      </c>
      <c r="J437" t="s">
        <v>56</v>
      </c>
      <c r="K437" t="s">
        <v>5</v>
      </c>
      <c r="L437" t="s">
        <v>629</v>
      </c>
      <c r="M437" t="s">
        <v>100</v>
      </c>
      <c r="N437" t="s">
        <v>34</v>
      </c>
      <c r="O437" t="s">
        <v>789</v>
      </c>
    </row>
    <row r="438" spans="1:15" x14ac:dyDescent="0.25">
      <c r="A438" t="s">
        <v>1128</v>
      </c>
      <c r="B438" t="s">
        <v>100</v>
      </c>
      <c r="C438" t="s">
        <v>621</v>
      </c>
      <c r="D438" t="s">
        <v>618</v>
      </c>
      <c r="E438" t="s">
        <v>622</v>
      </c>
      <c r="F438" s="213" t="s">
        <v>56</v>
      </c>
      <c r="G438" t="s">
        <v>66</v>
      </c>
      <c r="H438" t="s">
        <v>84</v>
      </c>
      <c r="I438" t="s">
        <v>623</v>
      </c>
      <c r="J438" t="s">
        <v>56</v>
      </c>
      <c r="K438" t="s">
        <v>3</v>
      </c>
      <c r="L438" t="s">
        <v>695</v>
      </c>
      <c r="M438" t="s">
        <v>100</v>
      </c>
      <c r="N438" t="s">
        <v>67</v>
      </c>
      <c r="O438" t="s">
        <v>665</v>
      </c>
    </row>
    <row r="439" spans="1:15" x14ac:dyDescent="0.25">
      <c r="A439" t="s">
        <v>1129</v>
      </c>
      <c r="B439" t="s">
        <v>100</v>
      </c>
      <c r="C439" t="s">
        <v>621</v>
      </c>
      <c r="D439" t="s">
        <v>618</v>
      </c>
      <c r="E439" t="s">
        <v>622</v>
      </c>
      <c r="F439" s="213" t="s">
        <v>56</v>
      </c>
      <c r="G439" t="s">
        <v>66</v>
      </c>
      <c r="H439" t="s">
        <v>84</v>
      </c>
      <c r="I439" t="s">
        <v>623</v>
      </c>
      <c r="J439" t="s">
        <v>56</v>
      </c>
      <c r="K439" t="s">
        <v>1</v>
      </c>
      <c r="L439" t="s">
        <v>656</v>
      </c>
      <c r="M439" t="s">
        <v>100</v>
      </c>
      <c r="N439" t="s">
        <v>8</v>
      </c>
      <c r="O439" t="s">
        <v>1032</v>
      </c>
    </row>
    <row r="440" spans="1:15" x14ac:dyDescent="0.25">
      <c r="A440" t="s">
        <v>1130</v>
      </c>
      <c r="B440" t="s">
        <v>100</v>
      </c>
      <c r="C440" t="s">
        <v>621</v>
      </c>
      <c r="D440" t="s">
        <v>618</v>
      </c>
      <c r="E440" t="s">
        <v>622</v>
      </c>
      <c r="F440" s="213" t="s">
        <v>56</v>
      </c>
      <c r="G440" t="s">
        <v>66</v>
      </c>
      <c r="H440" t="s">
        <v>84</v>
      </c>
      <c r="I440" t="s">
        <v>623</v>
      </c>
      <c r="J440" t="s">
        <v>56</v>
      </c>
      <c r="K440" t="s">
        <v>100</v>
      </c>
      <c r="L440" t="s">
        <v>814</v>
      </c>
      <c r="M440" t="s">
        <v>100</v>
      </c>
      <c r="N440" t="s">
        <v>1</v>
      </c>
      <c r="O440" t="s">
        <v>1131</v>
      </c>
    </row>
    <row r="441" spans="1:15" x14ac:dyDescent="0.25">
      <c r="A441" t="s">
        <v>1132</v>
      </c>
      <c r="B441" t="s">
        <v>100</v>
      </c>
      <c r="C441" t="s">
        <v>621</v>
      </c>
      <c r="D441" t="s">
        <v>618</v>
      </c>
      <c r="E441" t="s">
        <v>622</v>
      </c>
      <c r="F441" s="213" t="s">
        <v>56</v>
      </c>
      <c r="G441" t="s">
        <v>66</v>
      </c>
      <c r="H441" t="s">
        <v>84</v>
      </c>
      <c r="I441" t="s">
        <v>623</v>
      </c>
      <c r="J441" t="s">
        <v>56</v>
      </c>
      <c r="K441" t="s">
        <v>15</v>
      </c>
      <c r="L441" t="s">
        <v>682</v>
      </c>
      <c r="M441" t="s">
        <v>100</v>
      </c>
      <c r="N441" t="s">
        <v>17</v>
      </c>
      <c r="O441" t="s">
        <v>1133</v>
      </c>
    </row>
    <row r="442" spans="1:15" x14ac:dyDescent="0.25">
      <c r="A442" t="s">
        <v>1134</v>
      </c>
      <c r="B442" t="s">
        <v>100</v>
      </c>
      <c r="C442" t="s">
        <v>621</v>
      </c>
      <c r="D442" t="s">
        <v>618</v>
      </c>
      <c r="E442" t="s">
        <v>622</v>
      </c>
      <c r="F442" s="213" t="s">
        <v>56</v>
      </c>
      <c r="G442" t="s">
        <v>66</v>
      </c>
      <c r="H442" t="s">
        <v>84</v>
      </c>
      <c r="I442" t="s">
        <v>623</v>
      </c>
      <c r="J442" t="s">
        <v>56</v>
      </c>
      <c r="K442" t="s">
        <v>17</v>
      </c>
      <c r="L442" t="s">
        <v>650</v>
      </c>
      <c r="M442" t="s">
        <v>100</v>
      </c>
      <c r="N442" t="s">
        <v>77</v>
      </c>
      <c r="O442" t="s">
        <v>786</v>
      </c>
    </row>
    <row r="443" spans="1:15" x14ac:dyDescent="0.25">
      <c r="A443" t="s">
        <v>1135</v>
      </c>
      <c r="B443" t="s">
        <v>100</v>
      </c>
      <c r="C443" t="s">
        <v>621</v>
      </c>
      <c r="D443" t="s">
        <v>618</v>
      </c>
      <c r="E443" t="s">
        <v>622</v>
      </c>
      <c r="F443" s="213" t="s">
        <v>56</v>
      </c>
      <c r="G443" t="s">
        <v>66</v>
      </c>
      <c r="H443" t="s">
        <v>84</v>
      </c>
      <c r="I443" t="s">
        <v>623</v>
      </c>
      <c r="J443" t="s">
        <v>56</v>
      </c>
      <c r="K443" t="s">
        <v>19</v>
      </c>
      <c r="L443" t="s">
        <v>883</v>
      </c>
      <c r="M443" t="s">
        <v>100</v>
      </c>
      <c r="N443" t="s">
        <v>66</v>
      </c>
      <c r="O443" t="s">
        <v>625</v>
      </c>
    </row>
    <row r="444" spans="1:15" x14ac:dyDescent="0.25">
      <c r="A444" t="s">
        <v>1136</v>
      </c>
      <c r="B444" t="s">
        <v>100</v>
      </c>
      <c r="C444" t="s">
        <v>621</v>
      </c>
      <c r="D444" t="s">
        <v>618</v>
      </c>
      <c r="E444" t="s">
        <v>622</v>
      </c>
      <c r="F444" s="213" t="s">
        <v>56</v>
      </c>
      <c r="G444" t="s">
        <v>66</v>
      </c>
      <c r="H444" t="s">
        <v>84</v>
      </c>
      <c r="I444" t="s">
        <v>623</v>
      </c>
      <c r="J444" t="s">
        <v>56</v>
      </c>
      <c r="K444" t="s">
        <v>16</v>
      </c>
      <c r="L444" t="s">
        <v>626</v>
      </c>
      <c r="M444" t="s">
        <v>100</v>
      </c>
      <c r="N444" t="s">
        <v>60</v>
      </c>
      <c r="O444" t="s">
        <v>888</v>
      </c>
    </row>
    <row r="445" spans="1:15" x14ac:dyDescent="0.25">
      <c r="A445" t="s">
        <v>1137</v>
      </c>
      <c r="B445" t="s">
        <v>100</v>
      </c>
      <c r="C445" t="s">
        <v>621</v>
      </c>
      <c r="D445" t="s">
        <v>618</v>
      </c>
      <c r="E445" t="s">
        <v>622</v>
      </c>
      <c r="F445" s="213" t="s">
        <v>56</v>
      </c>
      <c r="G445" t="s">
        <v>66</v>
      </c>
      <c r="H445" t="s">
        <v>84</v>
      </c>
      <c r="I445" t="s">
        <v>623</v>
      </c>
      <c r="J445" t="s">
        <v>56</v>
      </c>
      <c r="K445" t="s">
        <v>12</v>
      </c>
      <c r="L445" t="s">
        <v>714</v>
      </c>
      <c r="M445" t="s">
        <v>100</v>
      </c>
      <c r="N445" t="s">
        <v>24</v>
      </c>
      <c r="O445" t="s">
        <v>816</v>
      </c>
    </row>
    <row r="446" spans="1:15" x14ac:dyDescent="0.25">
      <c r="A446" t="s">
        <v>1138</v>
      </c>
      <c r="B446" t="s">
        <v>100</v>
      </c>
      <c r="C446" t="s">
        <v>621</v>
      </c>
      <c r="D446" t="s">
        <v>618</v>
      </c>
      <c r="E446" t="s">
        <v>622</v>
      </c>
      <c r="F446" s="213" t="s">
        <v>56</v>
      </c>
      <c r="G446" t="s">
        <v>66</v>
      </c>
      <c r="H446" t="s">
        <v>84</v>
      </c>
      <c r="I446" t="s">
        <v>623</v>
      </c>
      <c r="J446" t="s">
        <v>56</v>
      </c>
      <c r="K446" t="s">
        <v>9</v>
      </c>
      <c r="L446" t="s">
        <v>665</v>
      </c>
      <c r="M446" t="s">
        <v>100</v>
      </c>
      <c r="N446" t="s">
        <v>55</v>
      </c>
      <c r="O446" t="s">
        <v>637</v>
      </c>
    </row>
    <row r="447" spans="1:15" x14ac:dyDescent="0.25">
      <c r="A447" t="s">
        <v>1139</v>
      </c>
      <c r="B447" t="s">
        <v>100</v>
      </c>
      <c r="C447" t="s">
        <v>621</v>
      </c>
      <c r="D447" t="s">
        <v>618</v>
      </c>
      <c r="E447" t="s">
        <v>622</v>
      </c>
      <c r="F447" s="213" t="s">
        <v>56</v>
      </c>
      <c r="G447" t="s">
        <v>66</v>
      </c>
      <c r="H447" t="s">
        <v>84</v>
      </c>
      <c r="I447" t="s">
        <v>623</v>
      </c>
      <c r="J447" t="s">
        <v>56</v>
      </c>
      <c r="K447" t="s">
        <v>6</v>
      </c>
      <c r="L447" t="s">
        <v>632</v>
      </c>
      <c r="M447" t="s">
        <v>100</v>
      </c>
      <c r="N447" t="s">
        <v>84</v>
      </c>
      <c r="O447" t="s">
        <v>731</v>
      </c>
    </row>
    <row r="448" spans="1:15" x14ac:dyDescent="0.25">
      <c r="A448" t="s">
        <v>1140</v>
      </c>
      <c r="B448" t="s">
        <v>100</v>
      </c>
      <c r="C448" t="s">
        <v>621</v>
      </c>
      <c r="D448" t="s">
        <v>618</v>
      </c>
      <c r="E448" t="s">
        <v>622</v>
      </c>
      <c r="F448" s="213" t="s">
        <v>56</v>
      </c>
      <c r="G448" t="s">
        <v>66</v>
      </c>
      <c r="H448" t="s">
        <v>84</v>
      </c>
      <c r="I448" t="s">
        <v>623</v>
      </c>
      <c r="J448" t="s">
        <v>56</v>
      </c>
      <c r="K448" t="s">
        <v>4</v>
      </c>
      <c r="L448" t="s">
        <v>643</v>
      </c>
      <c r="M448" t="s">
        <v>100</v>
      </c>
      <c r="N448" t="s">
        <v>78</v>
      </c>
      <c r="O448" t="s">
        <v>23</v>
      </c>
    </row>
    <row r="449" spans="1:15" x14ac:dyDescent="0.25">
      <c r="A449" t="s">
        <v>1141</v>
      </c>
      <c r="B449" t="s">
        <v>100</v>
      </c>
      <c r="C449" t="s">
        <v>621</v>
      </c>
      <c r="D449" t="s">
        <v>618</v>
      </c>
      <c r="E449" t="s">
        <v>622</v>
      </c>
      <c r="F449" s="213" t="s">
        <v>56</v>
      </c>
      <c r="G449" t="s">
        <v>66</v>
      </c>
      <c r="H449" t="s">
        <v>84</v>
      </c>
      <c r="I449" t="s">
        <v>623</v>
      </c>
      <c r="J449" t="s">
        <v>56</v>
      </c>
      <c r="K449" t="s">
        <v>2</v>
      </c>
      <c r="L449" t="s">
        <v>685</v>
      </c>
      <c r="M449" t="s">
        <v>100</v>
      </c>
      <c r="N449" t="s">
        <v>79</v>
      </c>
      <c r="O449" t="s">
        <v>1091</v>
      </c>
    </row>
    <row r="450" spans="1:15" x14ac:dyDescent="0.25">
      <c r="A450" t="s">
        <v>1142</v>
      </c>
      <c r="B450" t="s">
        <v>100</v>
      </c>
      <c r="C450" t="s">
        <v>621</v>
      </c>
      <c r="D450" t="s">
        <v>618</v>
      </c>
      <c r="E450" t="s">
        <v>622</v>
      </c>
      <c r="F450" s="213" t="s">
        <v>56</v>
      </c>
      <c r="G450" t="s">
        <v>66</v>
      </c>
      <c r="H450" t="s">
        <v>84</v>
      </c>
      <c r="I450" t="s">
        <v>623</v>
      </c>
      <c r="J450" t="s">
        <v>56</v>
      </c>
      <c r="K450" t="s">
        <v>0</v>
      </c>
      <c r="L450" t="s">
        <v>645</v>
      </c>
      <c r="M450" t="s">
        <v>100</v>
      </c>
      <c r="N450" t="s">
        <v>7</v>
      </c>
      <c r="O450" t="s">
        <v>1143</v>
      </c>
    </row>
    <row r="451" spans="1:15" x14ac:dyDescent="0.25">
      <c r="A451" t="s">
        <v>1144</v>
      </c>
      <c r="B451" t="s">
        <v>100</v>
      </c>
      <c r="C451" t="s">
        <v>621</v>
      </c>
      <c r="D451" t="s">
        <v>618</v>
      </c>
      <c r="E451" t="s">
        <v>622</v>
      </c>
      <c r="F451" s="213" t="s">
        <v>56</v>
      </c>
      <c r="G451" t="s">
        <v>66</v>
      </c>
      <c r="H451" t="s">
        <v>84</v>
      </c>
      <c r="I451" t="s">
        <v>623</v>
      </c>
      <c r="J451" t="s">
        <v>56</v>
      </c>
      <c r="K451" t="s">
        <v>13</v>
      </c>
      <c r="L451" t="s">
        <v>807</v>
      </c>
      <c r="M451" t="s">
        <v>100</v>
      </c>
      <c r="N451" t="s">
        <v>18</v>
      </c>
      <c r="O451" t="s">
        <v>1133</v>
      </c>
    </row>
    <row r="452" spans="1:15" x14ac:dyDescent="0.25">
      <c r="A452" t="s">
        <v>1145</v>
      </c>
      <c r="B452" t="s">
        <v>100</v>
      </c>
      <c r="C452" t="s">
        <v>621</v>
      </c>
      <c r="D452" t="s">
        <v>618</v>
      </c>
      <c r="E452" t="s">
        <v>622</v>
      </c>
      <c r="F452" s="213" t="s">
        <v>56</v>
      </c>
      <c r="G452" t="s">
        <v>66</v>
      </c>
      <c r="H452" t="s">
        <v>84</v>
      </c>
      <c r="I452" t="s">
        <v>623</v>
      </c>
      <c r="J452" t="s">
        <v>56</v>
      </c>
      <c r="K452" t="s">
        <v>15</v>
      </c>
      <c r="L452" t="s">
        <v>739</v>
      </c>
      <c r="M452" t="s">
        <v>100</v>
      </c>
      <c r="N452" t="s">
        <v>2</v>
      </c>
      <c r="O452" t="s">
        <v>1094</v>
      </c>
    </row>
    <row r="453" spans="1:15" x14ac:dyDescent="0.25">
      <c r="A453" t="s">
        <v>1146</v>
      </c>
      <c r="B453" t="s">
        <v>100</v>
      </c>
      <c r="C453" t="s">
        <v>621</v>
      </c>
      <c r="D453" t="s">
        <v>618</v>
      </c>
      <c r="E453" t="s">
        <v>622</v>
      </c>
      <c r="F453" s="213" t="s">
        <v>56</v>
      </c>
      <c r="G453" t="s">
        <v>66</v>
      </c>
      <c r="H453" t="s">
        <v>84</v>
      </c>
      <c r="I453" t="s">
        <v>623</v>
      </c>
      <c r="J453" t="s">
        <v>56</v>
      </c>
      <c r="K453" t="s">
        <v>17</v>
      </c>
      <c r="L453" t="s">
        <v>1147</v>
      </c>
      <c r="M453" t="s">
        <v>100</v>
      </c>
      <c r="N453" t="s">
        <v>76</v>
      </c>
      <c r="O453" t="s">
        <v>654</v>
      </c>
    </row>
    <row r="454" spans="1:15" x14ac:dyDescent="0.25">
      <c r="A454" t="s">
        <v>1148</v>
      </c>
      <c r="B454" t="s">
        <v>100</v>
      </c>
      <c r="C454" t="s">
        <v>621</v>
      </c>
      <c r="D454" t="s">
        <v>618</v>
      </c>
      <c r="E454" t="s">
        <v>622</v>
      </c>
      <c r="F454" s="213" t="s">
        <v>56</v>
      </c>
      <c r="G454" t="s">
        <v>66</v>
      </c>
      <c r="H454" t="s">
        <v>84</v>
      </c>
      <c r="I454" t="s">
        <v>623</v>
      </c>
      <c r="J454" t="s">
        <v>56</v>
      </c>
      <c r="K454" t="s">
        <v>19</v>
      </c>
      <c r="L454" t="s">
        <v>1091</v>
      </c>
      <c r="M454" t="s">
        <v>100</v>
      </c>
      <c r="N454" t="s">
        <v>11</v>
      </c>
      <c r="O454" t="s">
        <v>967</v>
      </c>
    </row>
    <row r="455" spans="1:15" x14ac:dyDescent="0.25">
      <c r="A455" t="s">
        <v>1149</v>
      </c>
      <c r="B455" t="s">
        <v>100</v>
      </c>
      <c r="C455" t="s">
        <v>621</v>
      </c>
      <c r="D455" t="s">
        <v>618</v>
      </c>
      <c r="E455" t="s">
        <v>622</v>
      </c>
      <c r="F455" s="213" t="s">
        <v>56</v>
      </c>
      <c r="G455" t="s">
        <v>66</v>
      </c>
      <c r="H455" t="s">
        <v>84</v>
      </c>
      <c r="I455" t="s">
        <v>623</v>
      </c>
      <c r="J455" t="s">
        <v>56</v>
      </c>
      <c r="K455" t="s">
        <v>15</v>
      </c>
      <c r="L455" t="s">
        <v>626</v>
      </c>
      <c r="M455" t="s">
        <v>100</v>
      </c>
      <c r="N455" t="s">
        <v>63</v>
      </c>
      <c r="O455" t="s">
        <v>629</v>
      </c>
    </row>
    <row r="456" spans="1:15" x14ac:dyDescent="0.25">
      <c r="A456" t="s">
        <v>1150</v>
      </c>
      <c r="B456" t="s">
        <v>100</v>
      </c>
      <c r="C456" t="s">
        <v>621</v>
      </c>
      <c r="D456" t="s">
        <v>618</v>
      </c>
      <c r="E456" t="s">
        <v>622</v>
      </c>
      <c r="F456" s="213" t="s">
        <v>56</v>
      </c>
      <c r="G456" t="s">
        <v>66</v>
      </c>
      <c r="H456" t="s">
        <v>84</v>
      </c>
      <c r="I456" t="s">
        <v>623</v>
      </c>
      <c r="J456" t="s">
        <v>56</v>
      </c>
      <c r="K456" t="s">
        <v>11</v>
      </c>
      <c r="L456" t="s">
        <v>714</v>
      </c>
      <c r="M456" t="s">
        <v>100</v>
      </c>
      <c r="N456" t="s">
        <v>71</v>
      </c>
      <c r="O456" t="s">
        <v>630</v>
      </c>
    </row>
    <row r="457" spans="1:15" x14ac:dyDescent="0.25">
      <c r="A457" t="s">
        <v>1151</v>
      </c>
      <c r="B457" t="s">
        <v>100</v>
      </c>
      <c r="C457" t="s">
        <v>621</v>
      </c>
      <c r="D457" t="s">
        <v>618</v>
      </c>
      <c r="E457" t="s">
        <v>622</v>
      </c>
      <c r="F457" s="213" t="s">
        <v>56</v>
      </c>
      <c r="G457" t="s">
        <v>66</v>
      </c>
      <c r="H457" t="s">
        <v>84</v>
      </c>
      <c r="I457" t="s">
        <v>623</v>
      </c>
      <c r="J457" t="s">
        <v>56</v>
      </c>
      <c r="K457" t="s">
        <v>8</v>
      </c>
      <c r="L457" t="s">
        <v>665</v>
      </c>
      <c r="M457" t="s">
        <v>100</v>
      </c>
      <c r="N457" t="s">
        <v>23</v>
      </c>
      <c r="O457" t="s">
        <v>705</v>
      </c>
    </row>
    <row r="458" spans="1:15" x14ac:dyDescent="0.25">
      <c r="A458" t="s">
        <v>1152</v>
      </c>
      <c r="B458" t="s">
        <v>100</v>
      </c>
      <c r="C458" t="s">
        <v>621</v>
      </c>
      <c r="D458" t="s">
        <v>618</v>
      </c>
      <c r="E458" t="s">
        <v>622</v>
      </c>
      <c r="F458" s="213" t="s">
        <v>56</v>
      </c>
      <c r="G458" t="s">
        <v>66</v>
      </c>
      <c r="H458" t="s">
        <v>84</v>
      </c>
      <c r="I458" t="s">
        <v>623</v>
      </c>
      <c r="J458" t="s">
        <v>56</v>
      </c>
      <c r="K458" t="s">
        <v>6</v>
      </c>
      <c r="L458" t="s">
        <v>625</v>
      </c>
      <c r="M458" t="s">
        <v>100</v>
      </c>
      <c r="N458" t="s">
        <v>83</v>
      </c>
      <c r="O458" t="s">
        <v>37</v>
      </c>
    </row>
    <row r="459" spans="1:15" x14ac:dyDescent="0.25">
      <c r="A459" t="s">
        <v>1153</v>
      </c>
      <c r="B459" t="s">
        <v>100</v>
      </c>
      <c r="C459" t="s">
        <v>621</v>
      </c>
      <c r="D459" t="s">
        <v>618</v>
      </c>
      <c r="E459" t="s">
        <v>622</v>
      </c>
      <c r="F459" s="213" t="s">
        <v>56</v>
      </c>
      <c r="G459" t="s">
        <v>66</v>
      </c>
      <c r="H459" t="s">
        <v>84</v>
      </c>
      <c r="I459" t="s">
        <v>623</v>
      </c>
      <c r="J459" t="s">
        <v>56</v>
      </c>
      <c r="K459" t="s">
        <v>4</v>
      </c>
      <c r="L459" t="s">
        <v>629</v>
      </c>
      <c r="M459" t="s">
        <v>100</v>
      </c>
      <c r="N459" t="s">
        <v>86</v>
      </c>
      <c r="O459" t="s">
        <v>646</v>
      </c>
    </row>
    <row r="460" spans="1:15" x14ac:dyDescent="0.25">
      <c r="A460" t="s">
        <v>1154</v>
      </c>
      <c r="B460" t="s">
        <v>100</v>
      </c>
      <c r="C460" t="s">
        <v>621</v>
      </c>
      <c r="D460" t="s">
        <v>618</v>
      </c>
      <c r="E460" t="s">
        <v>622</v>
      </c>
      <c r="F460" s="213" t="s">
        <v>56</v>
      </c>
      <c r="G460" t="s">
        <v>66</v>
      </c>
      <c r="H460" t="s">
        <v>84</v>
      </c>
      <c r="I460" t="s">
        <v>623</v>
      </c>
      <c r="J460" t="s">
        <v>56</v>
      </c>
      <c r="K460" t="s">
        <v>2</v>
      </c>
      <c r="L460" t="s">
        <v>695</v>
      </c>
      <c r="M460" t="s">
        <v>100</v>
      </c>
      <c r="N460" t="s">
        <v>35</v>
      </c>
      <c r="O460" t="s">
        <v>647</v>
      </c>
    </row>
    <row r="461" spans="1:15" x14ac:dyDescent="0.25">
      <c r="A461" t="s">
        <v>1155</v>
      </c>
      <c r="B461" t="s">
        <v>100</v>
      </c>
      <c r="C461" t="s">
        <v>621</v>
      </c>
      <c r="D461" t="s">
        <v>618</v>
      </c>
      <c r="E461" t="s">
        <v>622</v>
      </c>
      <c r="F461" s="213" t="s">
        <v>56</v>
      </c>
      <c r="G461" t="s">
        <v>66</v>
      </c>
      <c r="H461" t="s">
        <v>84</v>
      </c>
      <c r="I461" t="s">
        <v>623</v>
      </c>
      <c r="J461" t="s">
        <v>56</v>
      </c>
      <c r="K461" t="s">
        <v>0</v>
      </c>
      <c r="L461" t="s">
        <v>656</v>
      </c>
      <c r="M461" t="s">
        <v>100</v>
      </c>
      <c r="N461" t="s">
        <v>61</v>
      </c>
      <c r="O461" t="s">
        <v>888</v>
      </c>
    </row>
    <row r="462" spans="1:15" x14ac:dyDescent="0.25">
      <c r="A462" t="s">
        <v>1156</v>
      </c>
      <c r="B462" t="s">
        <v>100</v>
      </c>
      <c r="C462" t="s">
        <v>621</v>
      </c>
      <c r="D462" t="s">
        <v>618</v>
      </c>
      <c r="E462" t="s">
        <v>622</v>
      </c>
      <c r="F462" s="213" t="s">
        <v>56</v>
      </c>
      <c r="G462" t="s">
        <v>66</v>
      </c>
      <c r="H462" t="s">
        <v>84</v>
      </c>
      <c r="I462" t="s">
        <v>623</v>
      </c>
      <c r="J462" t="s">
        <v>56</v>
      </c>
      <c r="K462" t="s">
        <v>12</v>
      </c>
      <c r="L462" t="s">
        <v>646</v>
      </c>
      <c r="M462" t="s">
        <v>100</v>
      </c>
      <c r="N462" t="s">
        <v>46</v>
      </c>
      <c r="O462" t="s">
        <v>644</v>
      </c>
    </row>
    <row r="463" spans="1:15" x14ac:dyDescent="0.25">
      <c r="A463" t="s">
        <v>1157</v>
      </c>
      <c r="B463" t="s">
        <v>100</v>
      </c>
      <c r="C463" t="s">
        <v>621</v>
      </c>
      <c r="D463" t="s">
        <v>618</v>
      </c>
      <c r="E463" t="s">
        <v>622</v>
      </c>
      <c r="F463" s="213" t="s">
        <v>56</v>
      </c>
      <c r="G463" t="s">
        <v>66</v>
      </c>
      <c r="H463" t="s">
        <v>84</v>
      </c>
      <c r="I463" t="s">
        <v>623</v>
      </c>
      <c r="J463" t="s">
        <v>56</v>
      </c>
      <c r="K463" t="s">
        <v>14</v>
      </c>
      <c r="L463" t="s">
        <v>739</v>
      </c>
      <c r="M463" t="s">
        <v>100</v>
      </c>
      <c r="N463" t="s">
        <v>100</v>
      </c>
      <c r="O463" t="s">
        <v>1158</v>
      </c>
    </row>
    <row r="464" spans="1:15" x14ac:dyDescent="0.25">
      <c r="A464" t="s">
        <v>1159</v>
      </c>
      <c r="B464" t="s">
        <v>100</v>
      </c>
      <c r="C464" t="s">
        <v>621</v>
      </c>
      <c r="D464" t="s">
        <v>618</v>
      </c>
      <c r="E464" t="s">
        <v>622</v>
      </c>
      <c r="F464" s="213" t="s">
        <v>56</v>
      </c>
      <c r="G464" t="s">
        <v>66</v>
      </c>
      <c r="H464" t="s">
        <v>84</v>
      </c>
      <c r="I464" t="s">
        <v>623</v>
      </c>
      <c r="J464" t="s">
        <v>56</v>
      </c>
      <c r="K464" t="s">
        <v>16</v>
      </c>
      <c r="L464" t="s">
        <v>1147</v>
      </c>
      <c r="M464" t="s">
        <v>100</v>
      </c>
      <c r="N464" t="s">
        <v>39</v>
      </c>
      <c r="O464" t="s">
        <v>825</v>
      </c>
    </row>
    <row r="465" spans="1:15" x14ac:dyDescent="0.25">
      <c r="A465" t="s">
        <v>1160</v>
      </c>
      <c r="B465" t="s">
        <v>100</v>
      </c>
      <c r="C465" t="s">
        <v>621</v>
      </c>
      <c r="D465" t="s">
        <v>618</v>
      </c>
      <c r="E465" t="s">
        <v>622</v>
      </c>
      <c r="F465" s="213" t="s">
        <v>56</v>
      </c>
      <c r="G465" t="s">
        <v>66</v>
      </c>
      <c r="H465" t="s">
        <v>84</v>
      </c>
      <c r="I465" t="s">
        <v>623</v>
      </c>
      <c r="J465" t="s">
        <v>56</v>
      </c>
      <c r="K465" t="s">
        <v>18</v>
      </c>
      <c r="L465" t="s">
        <v>1091</v>
      </c>
      <c r="M465" t="s">
        <v>100</v>
      </c>
      <c r="N465" t="s">
        <v>78</v>
      </c>
      <c r="O465" t="s">
        <v>100</v>
      </c>
    </row>
    <row r="466" spans="1:15" x14ac:dyDescent="0.25">
      <c r="A466" t="s">
        <v>1161</v>
      </c>
      <c r="B466" t="s">
        <v>100</v>
      </c>
      <c r="C466" t="s">
        <v>621</v>
      </c>
      <c r="D466" t="s">
        <v>618</v>
      </c>
      <c r="E466" t="s">
        <v>622</v>
      </c>
      <c r="F466" s="213" t="s">
        <v>56</v>
      </c>
      <c r="G466" t="s">
        <v>66</v>
      </c>
      <c r="H466" t="s">
        <v>84</v>
      </c>
      <c r="I466" t="s">
        <v>623</v>
      </c>
      <c r="J466" t="s">
        <v>56</v>
      </c>
      <c r="K466" t="s">
        <v>20</v>
      </c>
      <c r="L466" t="s">
        <v>101</v>
      </c>
      <c r="M466" t="s">
        <v>100</v>
      </c>
      <c r="N466" t="s">
        <v>11</v>
      </c>
      <c r="O466" t="s">
        <v>636</v>
      </c>
    </row>
    <row r="467" spans="1:15" x14ac:dyDescent="0.25">
      <c r="A467" t="s">
        <v>1162</v>
      </c>
      <c r="B467" t="s">
        <v>100</v>
      </c>
      <c r="C467" t="s">
        <v>621</v>
      </c>
      <c r="D467" t="s">
        <v>618</v>
      </c>
      <c r="E467" t="s">
        <v>622</v>
      </c>
      <c r="F467" s="213" t="s">
        <v>56</v>
      </c>
      <c r="G467" t="s">
        <v>66</v>
      </c>
      <c r="H467" t="s">
        <v>84</v>
      </c>
      <c r="I467" t="s">
        <v>623</v>
      </c>
      <c r="J467" t="s">
        <v>56</v>
      </c>
      <c r="K467" t="s">
        <v>14</v>
      </c>
      <c r="L467" t="s">
        <v>626</v>
      </c>
      <c r="M467" t="s">
        <v>100</v>
      </c>
      <c r="N467" t="s">
        <v>30</v>
      </c>
      <c r="O467" t="s">
        <v>638</v>
      </c>
    </row>
    <row r="468" spans="1:15" x14ac:dyDescent="0.25">
      <c r="A468" t="s">
        <v>1163</v>
      </c>
      <c r="B468" t="s">
        <v>100</v>
      </c>
      <c r="C468" t="s">
        <v>621</v>
      </c>
      <c r="D468" t="s">
        <v>618</v>
      </c>
      <c r="E468" t="s">
        <v>622</v>
      </c>
      <c r="F468" s="213" t="s">
        <v>56</v>
      </c>
      <c r="G468" t="s">
        <v>66</v>
      </c>
      <c r="H468" t="s">
        <v>84</v>
      </c>
      <c r="I468" t="s">
        <v>623</v>
      </c>
      <c r="J468" t="s">
        <v>56</v>
      </c>
      <c r="K468" t="s">
        <v>10</v>
      </c>
      <c r="L468" t="s">
        <v>714</v>
      </c>
      <c r="M468" t="s">
        <v>100</v>
      </c>
      <c r="N468" t="s">
        <v>66</v>
      </c>
      <c r="O468" t="s">
        <v>642</v>
      </c>
    </row>
    <row r="469" spans="1:15" x14ac:dyDescent="0.25">
      <c r="A469" t="s">
        <v>1164</v>
      </c>
      <c r="B469" t="s">
        <v>100</v>
      </c>
      <c r="C469" t="s">
        <v>621</v>
      </c>
      <c r="D469" t="s">
        <v>618</v>
      </c>
      <c r="E469" t="s">
        <v>622</v>
      </c>
      <c r="F469" s="213" t="s">
        <v>56</v>
      </c>
      <c r="G469" t="s">
        <v>66</v>
      </c>
      <c r="H469" t="s">
        <v>84</v>
      </c>
      <c r="I469" t="s">
        <v>623</v>
      </c>
      <c r="J469" t="s">
        <v>56</v>
      </c>
      <c r="K469" t="s">
        <v>6</v>
      </c>
      <c r="L469" t="s">
        <v>665</v>
      </c>
      <c r="M469" t="s">
        <v>100</v>
      </c>
      <c r="N469" t="s">
        <v>52</v>
      </c>
      <c r="O469" t="s">
        <v>809</v>
      </c>
    </row>
    <row r="470" spans="1:15" x14ac:dyDescent="0.25">
      <c r="A470" t="s">
        <v>1165</v>
      </c>
      <c r="B470" t="s">
        <v>100</v>
      </c>
      <c r="C470" t="s">
        <v>621</v>
      </c>
      <c r="D470" t="s">
        <v>618</v>
      </c>
      <c r="E470" t="s">
        <v>622</v>
      </c>
      <c r="F470" s="213" t="s">
        <v>56</v>
      </c>
      <c r="G470" t="s">
        <v>66</v>
      </c>
      <c r="H470" t="s">
        <v>84</v>
      </c>
      <c r="I470" t="s">
        <v>623</v>
      </c>
      <c r="J470" t="s">
        <v>56</v>
      </c>
      <c r="K470" t="s">
        <v>4</v>
      </c>
      <c r="L470" t="s">
        <v>642</v>
      </c>
      <c r="M470" t="s">
        <v>100</v>
      </c>
      <c r="N470" t="s">
        <v>83</v>
      </c>
      <c r="O470" t="s">
        <v>33</v>
      </c>
    </row>
    <row r="471" spans="1:15" x14ac:dyDescent="0.25">
      <c r="A471" t="s">
        <v>1166</v>
      </c>
      <c r="B471" t="s">
        <v>100</v>
      </c>
      <c r="C471" t="s">
        <v>621</v>
      </c>
      <c r="D471" t="s">
        <v>618</v>
      </c>
      <c r="E471" t="s">
        <v>622</v>
      </c>
      <c r="F471" s="213" t="s">
        <v>56</v>
      </c>
      <c r="G471" t="s">
        <v>66</v>
      </c>
      <c r="H471" t="s">
        <v>84</v>
      </c>
      <c r="I471" t="s">
        <v>623</v>
      </c>
      <c r="J471" t="s">
        <v>56</v>
      </c>
      <c r="K471" t="s">
        <v>2</v>
      </c>
      <c r="L471" t="s">
        <v>635</v>
      </c>
      <c r="M471" t="s">
        <v>100</v>
      </c>
      <c r="N471" t="s">
        <v>85</v>
      </c>
      <c r="O471" t="s">
        <v>900</v>
      </c>
    </row>
    <row r="472" spans="1:15" x14ac:dyDescent="0.25">
      <c r="A472" t="s">
        <v>1167</v>
      </c>
      <c r="B472" t="s">
        <v>100</v>
      </c>
      <c r="C472" t="s">
        <v>621</v>
      </c>
      <c r="D472" t="s">
        <v>618</v>
      </c>
      <c r="E472" t="s">
        <v>622</v>
      </c>
      <c r="F472" s="213" t="s">
        <v>56</v>
      </c>
      <c r="G472" t="s">
        <v>66</v>
      </c>
      <c r="H472" t="s">
        <v>84</v>
      </c>
      <c r="I472" t="s">
        <v>623</v>
      </c>
      <c r="J472" t="s">
        <v>56</v>
      </c>
      <c r="K472" t="s">
        <v>0</v>
      </c>
      <c r="L472" t="s">
        <v>637</v>
      </c>
      <c r="M472" t="s">
        <v>100</v>
      </c>
      <c r="N472" t="s">
        <v>82</v>
      </c>
      <c r="O472" t="s">
        <v>822</v>
      </c>
    </row>
    <row r="473" spans="1:15" x14ac:dyDescent="0.25">
      <c r="A473" t="s">
        <v>1168</v>
      </c>
      <c r="B473" t="s">
        <v>100</v>
      </c>
      <c r="C473" t="s">
        <v>621</v>
      </c>
      <c r="D473" t="s">
        <v>618</v>
      </c>
      <c r="E473" t="s">
        <v>622</v>
      </c>
      <c r="F473" s="213" t="s">
        <v>56</v>
      </c>
      <c r="G473" t="s">
        <v>66</v>
      </c>
      <c r="H473" t="s">
        <v>84</v>
      </c>
      <c r="I473" t="s">
        <v>623</v>
      </c>
      <c r="J473" t="s">
        <v>56</v>
      </c>
      <c r="K473" t="s">
        <v>12</v>
      </c>
      <c r="L473" t="s">
        <v>827</v>
      </c>
      <c r="M473" t="s">
        <v>100</v>
      </c>
      <c r="N473" t="s">
        <v>51</v>
      </c>
      <c r="O473" t="s">
        <v>814</v>
      </c>
    </row>
    <row r="474" spans="1:15" x14ac:dyDescent="0.25">
      <c r="A474" t="s">
        <v>1169</v>
      </c>
      <c r="B474" t="s">
        <v>100</v>
      </c>
      <c r="C474" t="s">
        <v>621</v>
      </c>
      <c r="D474" t="s">
        <v>618</v>
      </c>
      <c r="E474" t="s">
        <v>622</v>
      </c>
      <c r="F474" s="213" t="s">
        <v>56</v>
      </c>
      <c r="G474" t="s">
        <v>66</v>
      </c>
      <c r="H474" t="s">
        <v>84</v>
      </c>
      <c r="I474" t="s">
        <v>623</v>
      </c>
      <c r="J474" t="s">
        <v>56</v>
      </c>
      <c r="K474" t="s">
        <v>14</v>
      </c>
      <c r="L474" t="s">
        <v>650</v>
      </c>
      <c r="M474" t="s">
        <v>100</v>
      </c>
      <c r="N474" t="s">
        <v>79</v>
      </c>
      <c r="O474" t="s">
        <v>418</v>
      </c>
    </row>
    <row r="475" spans="1:15" x14ac:dyDescent="0.25">
      <c r="A475" t="s">
        <v>1170</v>
      </c>
      <c r="B475" t="s">
        <v>100</v>
      </c>
      <c r="C475" t="s">
        <v>621</v>
      </c>
      <c r="D475" t="s">
        <v>618</v>
      </c>
      <c r="E475" t="s">
        <v>622</v>
      </c>
      <c r="F475" s="213" t="s">
        <v>56</v>
      </c>
      <c r="G475" t="s">
        <v>66</v>
      </c>
      <c r="H475" t="s">
        <v>84</v>
      </c>
      <c r="I475" t="s">
        <v>623</v>
      </c>
      <c r="J475" t="s">
        <v>56</v>
      </c>
      <c r="K475" t="s">
        <v>16</v>
      </c>
      <c r="L475" t="s">
        <v>822</v>
      </c>
      <c r="M475" t="s">
        <v>100</v>
      </c>
      <c r="N475" t="s">
        <v>4</v>
      </c>
      <c r="O475" t="s">
        <v>1094</v>
      </c>
    </row>
    <row r="476" spans="1:15" x14ac:dyDescent="0.25">
      <c r="A476" t="s">
        <v>1171</v>
      </c>
      <c r="B476" t="s">
        <v>100</v>
      </c>
      <c r="C476" t="s">
        <v>621</v>
      </c>
      <c r="D476" t="s">
        <v>618</v>
      </c>
      <c r="E476" t="s">
        <v>622</v>
      </c>
      <c r="F476" s="213" t="s">
        <v>56</v>
      </c>
      <c r="G476" t="s">
        <v>66</v>
      </c>
      <c r="H476" t="s">
        <v>84</v>
      </c>
      <c r="I476" t="s">
        <v>623</v>
      </c>
      <c r="J476" t="s">
        <v>56</v>
      </c>
      <c r="K476" t="s">
        <v>18</v>
      </c>
      <c r="L476" t="s">
        <v>1172</v>
      </c>
      <c r="M476" t="s">
        <v>100</v>
      </c>
      <c r="N476" t="s">
        <v>36</v>
      </c>
      <c r="O476" t="s">
        <v>716</v>
      </c>
    </row>
    <row r="477" spans="1:15" x14ac:dyDescent="0.25">
      <c r="A477" t="s">
        <v>1173</v>
      </c>
      <c r="B477" t="s">
        <v>100</v>
      </c>
      <c r="C477" t="s">
        <v>621</v>
      </c>
      <c r="D477" t="s">
        <v>618</v>
      </c>
      <c r="E477" t="s">
        <v>622</v>
      </c>
      <c r="F477" s="213" t="s">
        <v>56</v>
      </c>
      <c r="G477" t="s">
        <v>66</v>
      </c>
      <c r="H477" t="s">
        <v>84</v>
      </c>
      <c r="I477" t="s">
        <v>623</v>
      </c>
      <c r="J477" t="s">
        <v>56</v>
      </c>
      <c r="K477" t="s">
        <v>12</v>
      </c>
      <c r="L477" t="s">
        <v>46</v>
      </c>
      <c r="M477" t="s">
        <v>100</v>
      </c>
      <c r="N477" t="s">
        <v>12</v>
      </c>
      <c r="O477" t="s">
        <v>636</v>
      </c>
    </row>
    <row r="478" spans="1:15" x14ac:dyDescent="0.25">
      <c r="A478" t="s">
        <v>1174</v>
      </c>
      <c r="B478" t="s">
        <v>100</v>
      </c>
      <c r="C478" t="s">
        <v>621</v>
      </c>
      <c r="D478" t="s">
        <v>618</v>
      </c>
      <c r="E478" t="s">
        <v>622</v>
      </c>
      <c r="F478" s="213" t="s">
        <v>56</v>
      </c>
      <c r="G478" t="s">
        <v>66</v>
      </c>
      <c r="H478" t="s">
        <v>84</v>
      </c>
      <c r="I478" t="s">
        <v>623</v>
      </c>
      <c r="J478" t="s">
        <v>56</v>
      </c>
      <c r="K478" t="s">
        <v>14</v>
      </c>
      <c r="L478" t="s">
        <v>38</v>
      </c>
      <c r="M478" t="s">
        <v>100</v>
      </c>
      <c r="N478" t="s">
        <v>63</v>
      </c>
      <c r="O478" t="s">
        <v>643</v>
      </c>
    </row>
    <row r="479" spans="1:15" x14ac:dyDescent="0.25">
      <c r="A479" t="s">
        <v>1175</v>
      </c>
      <c r="B479" t="s">
        <v>100</v>
      </c>
      <c r="C479" t="s">
        <v>621</v>
      </c>
      <c r="D479" t="s">
        <v>618</v>
      </c>
      <c r="E479" t="s">
        <v>622</v>
      </c>
      <c r="F479" s="213" t="s">
        <v>56</v>
      </c>
      <c r="G479" t="s">
        <v>66</v>
      </c>
      <c r="H479" t="s">
        <v>84</v>
      </c>
      <c r="I479" t="s">
        <v>623</v>
      </c>
      <c r="J479" t="s">
        <v>56</v>
      </c>
      <c r="K479" t="s">
        <v>13</v>
      </c>
      <c r="L479" t="s">
        <v>626</v>
      </c>
      <c r="M479" t="s">
        <v>100</v>
      </c>
      <c r="N479" t="s">
        <v>33</v>
      </c>
      <c r="O479" t="s">
        <v>781</v>
      </c>
    </row>
    <row r="480" spans="1:15" x14ac:dyDescent="0.25">
      <c r="A480" t="s">
        <v>1176</v>
      </c>
      <c r="B480" t="s">
        <v>100</v>
      </c>
      <c r="C480" t="s">
        <v>621</v>
      </c>
      <c r="D480" t="s">
        <v>618</v>
      </c>
      <c r="E480" t="s">
        <v>622</v>
      </c>
      <c r="F480" s="213" t="s">
        <v>56</v>
      </c>
      <c r="G480" t="s">
        <v>66</v>
      </c>
      <c r="H480" t="s">
        <v>84</v>
      </c>
      <c r="I480" t="s">
        <v>623</v>
      </c>
      <c r="J480" t="s">
        <v>56</v>
      </c>
      <c r="K480" t="s">
        <v>9</v>
      </c>
      <c r="L480" t="s">
        <v>714</v>
      </c>
      <c r="M480" t="s">
        <v>100</v>
      </c>
      <c r="N480" t="s">
        <v>25</v>
      </c>
      <c r="O480" t="s">
        <v>705</v>
      </c>
    </row>
    <row r="481" spans="1:15" x14ac:dyDescent="0.25">
      <c r="A481" t="s">
        <v>1177</v>
      </c>
      <c r="B481" t="s">
        <v>100</v>
      </c>
      <c r="C481" t="s">
        <v>621</v>
      </c>
      <c r="D481" t="s">
        <v>618</v>
      </c>
      <c r="E481" t="s">
        <v>622</v>
      </c>
      <c r="F481" s="213" t="s">
        <v>56</v>
      </c>
      <c r="G481" t="s">
        <v>66</v>
      </c>
      <c r="H481" t="s">
        <v>84</v>
      </c>
      <c r="I481" t="s">
        <v>623</v>
      </c>
      <c r="J481" t="s">
        <v>56</v>
      </c>
      <c r="K481" t="s">
        <v>5</v>
      </c>
      <c r="L481" t="s">
        <v>625</v>
      </c>
      <c r="M481" t="s">
        <v>100</v>
      </c>
      <c r="N481" t="s">
        <v>55</v>
      </c>
      <c r="O481" t="s">
        <v>639</v>
      </c>
    </row>
    <row r="482" spans="1:15" x14ac:dyDescent="0.25">
      <c r="A482" t="s">
        <v>1178</v>
      </c>
      <c r="B482" t="s">
        <v>100</v>
      </c>
      <c r="C482" t="s">
        <v>621</v>
      </c>
      <c r="D482" t="s">
        <v>618</v>
      </c>
      <c r="E482" t="s">
        <v>622</v>
      </c>
      <c r="F482" s="213" t="s">
        <v>56</v>
      </c>
      <c r="G482" t="s">
        <v>66</v>
      </c>
      <c r="H482" t="s">
        <v>84</v>
      </c>
      <c r="I482" t="s">
        <v>623</v>
      </c>
      <c r="J482" t="s">
        <v>56</v>
      </c>
      <c r="K482" t="s">
        <v>3</v>
      </c>
      <c r="L482" t="s">
        <v>629</v>
      </c>
      <c r="M482" t="s">
        <v>100</v>
      </c>
      <c r="N482" t="s">
        <v>46</v>
      </c>
      <c r="O482" t="s">
        <v>735</v>
      </c>
    </row>
    <row r="483" spans="1:15" x14ac:dyDescent="0.25">
      <c r="A483" t="s">
        <v>1179</v>
      </c>
      <c r="B483" t="s">
        <v>100</v>
      </c>
      <c r="C483" t="s">
        <v>621</v>
      </c>
      <c r="D483" t="s">
        <v>618</v>
      </c>
      <c r="E483" t="s">
        <v>622</v>
      </c>
      <c r="F483" s="213" t="s">
        <v>56</v>
      </c>
      <c r="G483" t="s">
        <v>66</v>
      </c>
      <c r="H483" t="s">
        <v>84</v>
      </c>
      <c r="I483" t="s">
        <v>623</v>
      </c>
      <c r="J483" t="s">
        <v>56</v>
      </c>
      <c r="K483" t="s">
        <v>1</v>
      </c>
      <c r="L483" t="s">
        <v>635</v>
      </c>
      <c r="M483" t="s">
        <v>100</v>
      </c>
      <c r="N483" t="s">
        <v>37</v>
      </c>
      <c r="O483" t="s">
        <v>716</v>
      </c>
    </row>
    <row r="484" spans="1:15" x14ac:dyDescent="0.25">
      <c r="A484" t="s">
        <v>1180</v>
      </c>
      <c r="B484" t="s">
        <v>100</v>
      </c>
      <c r="C484" t="s">
        <v>621</v>
      </c>
      <c r="D484" t="s">
        <v>618</v>
      </c>
      <c r="E484" t="s">
        <v>622</v>
      </c>
      <c r="F484" s="213" t="s">
        <v>56</v>
      </c>
      <c r="G484" t="s">
        <v>66</v>
      </c>
      <c r="H484" t="s">
        <v>84</v>
      </c>
      <c r="I484" t="s">
        <v>623</v>
      </c>
      <c r="J484" t="s">
        <v>56</v>
      </c>
      <c r="K484" t="s">
        <v>100</v>
      </c>
      <c r="L484" t="s">
        <v>656</v>
      </c>
      <c r="M484" t="s">
        <v>100</v>
      </c>
      <c r="N484" t="s">
        <v>81</v>
      </c>
      <c r="O484" t="s">
        <v>1181</v>
      </c>
    </row>
    <row r="485" spans="1:15" x14ac:dyDescent="0.25">
      <c r="A485" t="s">
        <v>1182</v>
      </c>
      <c r="B485" t="s">
        <v>100</v>
      </c>
      <c r="C485" t="s">
        <v>621</v>
      </c>
      <c r="D485" t="s">
        <v>618</v>
      </c>
      <c r="E485" t="s">
        <v>622</v>
      </c>
      <c r="F485" s="213" t="s">
        <v>56</v>
      </c>
      <c r="G485" t="s">
        <v>66</v>
      </c>
      <c r="H485" t="s">
        <v>84</v>
      </c>
      <c r="I485" t="s">
        <v>623</v>
      </c>
      <c r="J485" t="s">
        <v>56</v>
      </c>
      <c r="K485" t="s">
        <v>12</v>
      </c>
      <c r="L485" t="s">
        <v>900</v>
      </c>
      <c r="M485" t="s">
        <v>100</v>
      </c>
      <c r="N485" t="s">
        <v>9</v>
      </c>
      <c r="O485" t="s">
        <v>1183</v>
      </c>
    </row>
    <row r="486" spans="1:15" x14ac:dyDescent="0.25">
      <c r="A486" t="s">
        <v>1184</v>
      </c>
      <c r="B486" t="s">
        <v>100</v>
      </c>
      <c r="C486" t="s">
        <v>621</v>
      </c>
      <c r="D486" t="s">
        <v>618</v>
      </c>
      <c r="E486" t="s">
        <v>622</v>
      </c>
      <c r="F486" s="213" t="s">
        <v>56</v>
      </c>
      <c r="G486" t="s">
        <v>66</v>
      </c>
      <c r="H486" t="s">
        <v>84</v>
      </c>
      <c r="I486" t="s">
        <v>623</v>
      </c>
      <c r="J486" t="s">
        <v>56</v>
      </c>
      <c r="K486" t="s">
        <v>14</v>
      </c>
      <c r="L486" t="s">
        <v>1077</v>
      </c>
      <c r="M486" t="s">
        <v>100</v>
      </c>
      <c r="N486" t="s">
        <v>1</v>
      </c>
      <c r="O486" t="s">
        <v>1158</v>
      </c>
    </row>
    <row r="487" spans="1:15" x14ac:dyDescent="0.25">
      <c r="A487" t="s">
        <v>1185</v>
      </c>
      <c r="B487" t="s">
        <v>100</v>
      </c>
      <c r="C487" t="s">
        <v>621</v>
      </c>
      <c r="D487" t="s">
        <v>618</v>
      </c>
      <c r="E487" t="s">
        <v>622</v>
      </c>
      <c r="F487" s="213" t="s">
        <v>56</v>
      </c>
      <c r="G487" t="s">
        <v>66</v>
      </c>
      <c r="H487" t="s">
        <v>84</v>
      </c>
      <c r="I487" t="s">
        <v>623</v>
      </c>
      <c r="J487" t="s">
        <v>56</v>
      </c>
      <c r="K487" t="s">
        <v>16</v>
      </c>
      <c r="L487" t="s">
        <v>878</v>
      </c>
      <c r="M487" t="s">
        <v>100</v>
      </c>
      <c r="N487" t="s">
        <v>58</v>
      </c>
      <c r="O487" t="s">
        <v>637</v>
      </c>
    </row>
    <row r="488" spans="1:15" x14ac:dyDescent="0.25">
      <c r="A488" t="s">
        <v>1186</v>
      </c>
      <c r="B488" t="s">
        <v>100</v>
      </c>
      <c r="C488" t="s">
        <v>621</v>
      </c>
      <c r="D488" t="s">
        <v>618</v>
      </c>
      <c r="E488" t="s">
        <v>622</v>
      </c>
      <c r="F488" s="213" t="s">
        <v>56</v>
      </c>
      <c r="G488" t="s">
        <v>66</v>
      </c>
      <c r="H488" t="s">
        <v>84</v>
      </c>
      <c r="I488" t="s">
        <v>623</v>
      </c>
      <c r="J488" t="s">
        <v>56</v>
      </c>
      <c r="K488" t="s">
        <v>18</v>
      </c>
      <c r="L488" t="s">
        <v>101</v>
      </c>
      <c r="M488" t="s">
        <v>100</v>
      </c>
      <c r="N488" t="s">
        <v>21</v>
      </c>
      <c r="O488" t="s">
        <v>1133</v>
      </c>
    </row>
    <row r="489" spans="1:15" x14ac:dyDescent="0.25">
      <c r="A489" t="s">
        <v>1187</v>
      </c>
      <c r="B489" t="s">
        <v>100</v>
      </c>
      <c r="C489" t="s">
        <v>621</v>
      </c>
      <c r="D489" t="s">
        <v>618</v>
      </c>
      <c r="E489" t="s">
        <v>622</v>
      </c>
      <c r="F489" s="213" t="s">
        <v>56</v>
      </c>
      <c r="G489" t="s">
        <v>66</v>
      </c>
      <c r="H489" t="s">
        <v>84</v>
      </c>
      <c r="I489" t="s">
        <v>623</v>
      </c>
      <c r="J489" t="s">
        <v>56</v>
      </c>
      <c r="K489" t="s">
        <v>12</v>
      </c>
      <c r="L489" t="s">
        <v>42</v>
      </c>
      <c r="M489" t="s">
        <v>100</v>
      </c>
      <c r="N489" t="s">
        <v>13</v>
      </c>
      <c r="O489" t="s">
        <v>636</v>
      </c>
    </row>
    <row r="490" spans="1:15" x14ac:dyDescent="0.25">
      <c r="A490" t="s">
        <v>1188</v>
      </c>
      <c r="B490" t="s">
        <v>100</v>
      </c>
      <c r="C490" t="s">
        <v>621</v>
      </c>
      <c r="D490" t="s">
        <v>618</v>
      </c>
      <c r="E490" t="s">
        <v>622</v>
      </c>
      <c r="F490" s="213" t="s">
        <v>56</v>
      </c>
      <c r="G490" t="s">
        <v>66</v>
      </c>
      <c r="H490" t="s">
        <v>84</v>
      </c>
      <c r="I490" t="s">
        <v>623</v>
      </c>
      <c r="J490" t="s">
        <v>56</v>
      </c>
      <c r="K490" t="s">
        <v>14</v>
      </c>
      <c r="L490" t="s">
        <v>33</v>
      </c>
      <c r="M490" t="s">
        <v>100</v>
      </c>
      <c r="N490" t="s">
        <v>63</v>
      </c>
      <c r="O490" t="s">
        <v>888</v>
      </c>
    </row>
    <row r="491" spans="1:15" x14ac:dyDescent="0.25">
      <c r="A491" t="s">
        <v>1189</v>
      </c>
      <c r="B491" t="s">
        <v>100</v>
      </c>
      <c r="C491" t="s">
        <v>621</v>
      </c>
      <c r="D491" t="s">
        <v>618</v>
      </c>
      <c r="E491" t="s">
        <v>622</v>
      </c>
      <c r="F491" s="213" t="s">
        <v>56</v>
      </c>
      <c r="G491" t="s">
        <v>66</v>
      </c>
      <c r="H491" t="s">
        <v>84</v>
      </c>
      <c r="I491" t="s">
        <v>623</v>
      </c>
      <c r="J491" t="s">
        <v>56</v>
      </c>
      <c r="K491" t="s">
        <v>12</v>
      </c>
      <c r="L491" t="s">
        <v>626</v>
      </c>
      <c r="M491" t="s">
        <v>100</v>
      </c>
      <c r="N491" t="s">
        <v>34</v>
      </c>
      <c r="O491" t="s">
        <v>672</v>
      </c>
    </row>
    <row r="492" spans="1:15" x14ac:dyDescent="0.25">
      <c r="A492" t="s">
        <v>1190</v>
      </c>
      <c r="B492" t="s">
        <v>100</v>
      </c>
      <c r="C492" t="s">
        <v>621</v>
      </c>
      <c r="D492" t="s">
        <v>618</v>
      </c>
      <c r="E492" t="s">
        <v>622</v>
      </c>
      <c r="F492" s="213" t="s">
        <v>56</v>
      </c>
      <c r="G492" t="s">
        <v>66</v>
      </c>
      <c r="H492" t="s">
        <v>84</v>
      </c>
      <c r="I492" t="s">
        <v>623</v>
      </c>
      <c r="J492" t="s">
        <v>56</v>
      </c>
      <c r="K492" t="s">
        <v>8</v>
      </c>
      <c r="L492" t="s">
        <v>714</v>
      </c>
      <c r="M492" t="s">
        <v>100</v>
      </c>
      <c r="N492" t="s">
        <v>48</v>
      </c>
      <c r="O492" t="s">
        <v>749</v>
      </c>
    </row>
    <row r="493" spans="1:15" x14ac:dyDescent="0.25">
      <c r="A493" t="s">
        <v>1191</v>
      </c>
      <c r="B493" t="s">
        <v>100</v>
      </c>
      <c r="C493" t="s">
        <v>621</v>
      </c>
      <c r="D493" t="s">
        <v>618</v>
      </c>
      <c r="E493" t="s">
        <v>622</v>
      </c>
      <c r="F493" s="213" t="s">
        <v>56</v>
      </c>
      <c r="G493" t="s">
        <v>66</v>
      </c>
      <c r="H493" t="s">
        <v>84</v>
      </c>
      <c r="I493" t="s">
        <v>623</v>
      </c>
      <c r="J493" t="s">
        <v>56</v>
      </c>
      <c r="K493" t="s">
        <v>5</v>
      </c>
      <c r="L493" t="s">
        <v>665</v>
      </c>
      <c r="M493" t="s">
        <v>100</v>
      </c>
      <c r="N493" t="s">
        <v>56</v>
      </c>
      <c r="O493" t="s">
        <v>639</v>
      </c>
    </row>
    <row r="494" spans="1:15" x14ac:dyDescent="0.25">
      <c r="A494" t="s">
        <v>1192</v>
      </c>
      <c r="B494" t="s">
        <v>100</v>
      </c>
      <c r="C494" t="s">
        <v>621</v>
      </c>
      <c r="D494" t="s">
        <v>618</v>
      </c>
      <c r="E494" t="s">
        <v>622</v>
      </c>
      <c r="F494" s="213" t="s">
        <v>56</v>
      </c>
      <c r="G494" t="s">
        <v>66</v>
      </c>
      <c r="H494" t="s">
        <v>84</v>
      </c>
      <c r="I494" t="s">
        <v>623</v>
      </c>
      <c r="J494" t="s">
        <v>56</v>
      </c>
      <c r="K494" t="s">
        <v>3</v>
      </c>
      <c r="L494" t="s">
        <v>642</v>
      </c>
      <c r="M494" t="s">
        <v>100</v>
      </c>
      <c r="N494" t="s">
        <v>88</v>
      </c>
      <c r="O494" t="s">
        <v>48</v>
      </c>
    </row>
    <row r="495" spans="1:15" x14ac:dyDescent="0.25">
      <c r="A495" t="s">
        <v>1193</v>
      </c>
      <c r="B495" t="s">
        <v>100</v>
      </c>
      <c r="C495" t="s">
        <v>621</v>
      </c>
      <c r="D495" t="s">
        <v>618</v>
      </c>
      <c r="E495" t="s">
        <v>622</v>
      </c>
      <c r="F495" s="213" t="s">
        <v>56</v>
      </c>
      <c r="G495" t="s">
        <v>66</v>
      </c>
      <c r="H495" t="s">
        <v>84</v>
      </c>
      <c r="I495" t="s">
        <v>623</v>
      </c>
      <c r="J495" t="s">
        <v>56</v>
      </c>
      <c r="K495" t="s">
        <v>1</v>
      </c>
      <c r="L495" t="s">
        <v>888</v>
      </c>
      <c r="M495" t="s">
        <v>100</v>
      </c>
      <c r="N495" t="s">
        <v>73</v>
      </c>
      <c r="O495" t="s">
        <v>665</v>
      </c>
    </row>
    <row r="496" spans="1:15" x14ac:dyDescent="0.25">
      <c r="A496" t="s">
        <v>1194</v>
      </c>
      <c r="B496" t="s">
        <v>100</v>
      </c>
      <c r="C496" t="s">
        <v>621</v>
      </c>
      <c r="D496" t="s">
        <v>618</v>
      </c>
      <c r="E496" t="s">
        <v>622</v>
      </c>
      <c r="F496" s="213" t="s">
        <v>56</v>
      </c>
      <c r="G496" t="s">
        <v>66</v>
      </c>
      <c r="H496" t="s">
        <v>84</v>
      </c>
      <c r="I496" t="s">
        <v>623</v>
      </c>
      <c r="J496" t="s">
        <v>56</v>
      </c>
      <c r="K496" t="s">
        <v>100</v>
      </c>
      <c r="L496" t="s">
        <v>637</v>
      </c>
      <c r="M496" t="s">
        <v>100</v>
      </c>
      <c r="N496" t="s">
        <v>83</v>
      </c>
      <c r="O496" t="s">
        <v>24</v>
      </c>
    </row>
    <row r="497" spans="1:15" x14ac:dyDescent="0.25">
      <c r="A497" t="s">
        <v>1195</v>
      </c>
      <c r="B497" t="s">
        <v>100</v>
      </c>
      <c r="C497" t="s">
        <v>621</v>
      </c>
      <c r="D497" t="s">
        <v>618</v>
      </c>
      <c r="E497" t="s">
        <v>622</v>
      </c>
      <c r="F497" s="213" t="s">
        <v>56</v>
      </c>
      <c r="G497" t="s">
        <v>66</v>
      </c>
      <c r="H497" t="s">
        <v>84</v>
      </c>
      <c r="I497" t="s">
        <v>623</v>
      </c>
      <c r="J497" t="s">
        <v>56</v>
      </c>
      <c r="K497" t="s">
        <v>11</v>
      </c>
      <c r="L497" t="s">
        <v>729</v>
      </c>
      <c r="M497" t="s">
        <v>100</v>
      </c>
      <c r="N497" t="s">
        <v>10</v>
      </c>
      <c r="O497" t="s">
        <v>1183</v>
      </c>
    </row>
    <row r="498" spans="1:15" x14ac:dyDescent="0.25">
      <c r="A498" t="s">
        <v>1196</v>
      </c>
      <c r="B498" t="s">
        <v>100</v>
      </c>
      <c r="C498" t="s">
        <v>621</v>
      </c>
      <c r="D498" t="s">
        <v>618</v>
      </c>
      <c r="E498" t="s">
        <v>622</v>
      </c>
      <c r="F498" s="213" t="s">
        <v>56</v>
      </c>
      <c r="G498" t="s">
        <v>66</v>
      </c>
      <c r="H498" t="s">
        <v>84</v>
      </c>
      <c r="I498" t="s">
        <v>623</v>
      </c>
      <c r="J498" t="s">
        <v>56</v>
      </c>
      <c r="K498" t="s">
        <v>13</v>
      </c>
      <c r="L498" t="s">
        <v>1077</v>
      </c>
      <c r="M498" t="s">
        <v>100</v>
      </c>
      <c r="N498" t="s">
        <v>42</v>
      </c>
      <c r="O498" t="s">
        <v>765</v>
      </c>
    </row>
    <row r="499" spans="1:15" x14ac:dyDescent="0.25">
      <c r="A499" t="s">
        <v>1197</v>
      </c>
      <c r="B499" t="s">
        <v>100</v>
      </c>
      <c r="C499" t="s">
        <v>621</v>
      </c>
      <c r="D499" t="s">
        <v>618</v>
      </c>
      <c r="E499" t="s">
        <v>622</v>
      </c>
      <c r="F499" s="213" t="s">
        <v>56</v>
      </c>
      <c r="G499" t="s">
        <v>66</v>
      </c>
      <c r="H499" t="s">
        <v>84</v>
      </c>
      <c r="I499" t="s">
        <v>623</v>
      </c>
      <c r="J499" t="s">
        <v>56</v>
      </c>
      <c r="K499" t="s">
        <v>15</v>
      </c>
      <c r="L499" t="s">
        <v>786</v>
      </c>
      <c r="M499" t="s">
        <v>100</v>
      </c>
      <c r="N499" t="s">
        <v>69</v>
      </c>
      <c r="O499" t="s">
        <v>632</v>
      </c>
    </row>
    <row r="500" spans="1:15" x14ac:dyDescent="0.25">
      <c r="A500" t="s">
        <v>1198</v>
      </c>
      <c r="B500" t="s">
        <v>100</v>
      </c>
      <c r="C500" t="s">
        <v>621</v>
      </c>
      <c r="D500" t="s">
        <v>618</v>
      </c>
      <c r="E500" t="s">
        <v>622</v>
      </c>
      <c r="F500" s="213" t="s">
        <v>56</v>
      </c>
      <c r="G500" t="s">
        <v>66</v>
      </c>
      <c r="H500" t="s">
        <v>84</v>
      </c>
      <c r="I500" t="s">
        <v>623</v>
      </c>
      <c r="J500" t="s">
        <v>56</v>
      </c>
      <c r="K500" t="s">
        <v>17</v>
      </c>
      <c r="L500" t="s">
        <v>101</v>
      </c>
      <c r="M500" t="s">
        <v>100</v>
      </c>
      <c r="N500" t="s">
        <v>22</v>
      </c>
      <c r="O500" t="s">
        <v>1133</v>
      </c>
    </row>
    <row r="501" spans="1:15" x14ac:dyDescent="0.25">
      <c r="A501" t="s">
        <v>1199</v>
      </c>
      <c r="B501" t="s">
        <v>100</v>
      </c>
      <c r="C501" t="s">
        <v>621</v>
      </c>
      <c r="D501" t="s">
        <v>618</v>
      </c>
      <c r="E501" t="s">
        <v>622</v>
      </c>
      <c r="F501" s="213" t="s">
        <v>56</v>
      </c>
      <c r="G501" t="s">
        <v>66</v>
      </c>
      <c r="H501" t="s">
        <v>84</v>
      </c>
      <c r="I501" t="s">
        <v>623</v>
      </c>
      <c r="J501" t="s">
        <v>56</v>
      </c>
      <c r="K501" t="s">
        <v>11</v>
      </c>
      <c r="L501" t="s">
        <v>43</v>
      </c>
      <c r="M501" t="s">
        <v>100</v>
      </c>
      <c r="N501" t="s">
        <v>49</v>
      </c>
      <c r="O501" t="s">
        <v>693</v>
      </c>
    </row>
    <row r="502" spans="1:15" x14ac:dyDescent="0.25">
      <c r="A502" t="s">
        <v>1200</v>
      </c>
      <c r="B502" t="s">
        <v>100</v>
      </c>
      <c r="C502" t="s">
        <v>621</v>
      </c>
      <c r="D502" t="s">
        <v>618</v>
      </c>
      <c r="E502" t="s">
        <v>622</v>
      </c>
      <c r="F502" s="213" t="s">
        <v>56</v>
      </c>
      <c r="G502" t="s">
        <v>66</v>
      </c>
      <c r="H502" t="s">
        <v>84</v>
      </c>
      <c r="I502" t="s">
        <v>623</v>
      </c>
      <c r="J502" t="s">
        <v>56</v>
      </c>
      <c r="K502" t="s">
        <v>11</v>
      </c>
      <c r="L502" t="s">
        <v>626</v>
      </c>
      <c r="M502" t="s">
        <v>100</v>
      </c>
      <c r="N502" t="s">
        <v>31</v>
      </c>
      <c r="O502" t="s">
        <v>875</v>
      </c>
    </row>
    <row r="503" spans="1:15" x14ac:dyDescent="0.25">
      <c r="A503" t="s">
        <v>1201</v>
      </c>
      <c r="B503" t="s">
        <v>100</v>
      </c>
      <c r="C503" t="s">
        <v>621</v>
      </c>
      <c r="D503" t="s">
        <v>618</v>
      </c>
      <c r="E503" t="s">
        <v>622</v>
      </c>
      <c r="F503" s="213" t="s">
        <v>56</v>
      </c>
      <c r="G503" t="s">
        <v>66</v>
      </c>
      <c r="H503" t="s">
        <v>84</v>
      </c>
      <c r="I503" t="s">
        <v>623</v>
      </c>
      <c r="J503" t="s">
        <v>56</v>
      </c>
      <c r="K503" t="s">
        <v>9</v>
      </c>
      <c r="L503" t="s">
        <v>628</v>
      </c>
      <c r="M503" t="s">
        <v>100</v>
      </c>
      <c r="N503" t="s">
        <v>35</v>
      </c>
      <c r="O503" t="s">
        <v>672</v>
      </c>
    </row>
    <row r="504" spans="1:15" x14ac:dyDescent="0.25">
      <c r="A504" t="s">
        <v>1202</v>
      </c>
      <c r="B504" t="s">
        <v>100</v>
      </c>
      <c r="C504" t="s">
        <v>621</v>
      </c>
      <c r="D504" t="s">
        <v>618</v>
      </c>
      <c r="E504" t="s">
        <v>622</v>
      </c>
      <c r="F504" s="213" t="s">
        <v>56</v>
      </c>
      <c r="G504" t="s">
        <v>66</v>
      </c>
      <c r="H504" t="s">
        <v>84</v>
      </c>
      <c r="I504" t="s">
        <v>623</v>
      </c>
      <c r="J504" t="s">
        <v>56</v>
      </c>
      <c r="K504" t="s">
        <v>5</v>
      </c>
      <c r="L504" t="s">
        <v>630</v>
      </c>
      <c r="M504" t="s">
        <v>100</v>
      </c>
      <c r="N504" t="s">
        <v>51</v>
      </c>
      <c r="O504" t="s">
        <v>644</v>
      </c>
    </row>
    <row r="505" spans="1:15" x14ac:dyDescent="0.25">
      <c r="A505" t="s">
        <v>1203</v>
      </c>
      <c r="B505" t="s">
        <v>100</v>
      </c>
      <c r="C505" t="s">
        <v>621</v>
      </c>
      <c r="D505" t="s">
        <v>618</v>
      </c>
      <c r="E505" t="s">
        <v>622</v>
      </c>
      <c r="F505" s="213" t="s">
        <v>56</v>
      </c>
      <c r="G505" t="s">
        <v>66</v>
      </c>
      <c r="H505" t="s">
        <v>84</v>
      </c>
      <c r="I505" t="s">
        <v>623</v>
      </c>
      <c r="J505" t="s">
        <v>56</v>
      </c>
      <c r="K505" t="s">
        <v>3</v>
      </c>
      <c r="L505" t="s">
        <v>632</v>
      </c>
      <c r="M505" t="s">
        <v>100</v>
      </c>
      <c r="N505" t="s">
        <v>36</v>
      </c>
      <c r="O505" t="s">
        <v>781</v>
      </c>
    </row>
    <row r="506" spans="1:15" x14ac:dyDescent="0.25">
      <c r="A506" t="s">
        <v>1204</v>
      </c>
      <c r="B506" t="s">
        <v>100</v>
      </c>
      <c r="C506" t="s">
        <v>621</v>
      </c>
      <c r="D506" t="s">
        <v>618</v>
      </c>
      <c r="E506" t="s">
        <v>622</v>
      </c>
      <c r="F506" s="213" t="s">
        <v>56</v>
      </c>
      <c r="G506" t="s">
        <v>66</v>
      </c>
      <c r="H506" t="s">
        <v>84</v>
      </c>
      <c r="I506" t="s">
        <v>623</v>
      </c>
      <c r="J506" t="s">
        <v>56</v>
      </c>
      <c r="K506" t="s">
        <v>1</v>
      </c>
      <c r="L506" t="s">
        <v>643</v>
      </c>
      <c r="M506" t="s">
        <v>100</v>
      </c>
      <c r="N506" t="s">
        <v>47</v>
      </c>
      <c r="O506" t="s">
        <v>627</v>
      </c>
    </row>
    <row r="507" spans="1:15" x14ac:dyDescent="0.25">
      <c r="A507" t="s">
        <v>1205</v>
      </c>
      <c r="B507" t="s">
        <v>100</v>
      </c>
      <c r="C507" t="s">
        <v>621</v>
      </c>
      <c r="D507" t="s">
        <v>618</v>
      </c>
      <c r="E507" t="s">
        <v>622</v>
      </c>
      <c r="F507" s="213" t="s">
        <v>56</v>
      </c>
      <c r="G507" t="s">
        <v>66</v>
      </c>
      <c r="H507" t="s">
        <v>84</v>
      </c>
      <c r="I507" t="s">
        <v>623</v>
      </c>
      <c r="J507" t="s">
        <v>56</v>
      </c>
      <c r="K507" t="s">
        <v>100</v>
      </c>
      <c r="L507" t="s">
        <v>685</v>
      </c>
      <c r="M507" t="s">
        <v>100</v>
      </c>
      <c r="N507" t="s">
        <v>75</v>
      </c>
      <c r="O507" t="s">
        <v>630</v>
      </c>
    </row>
    <row r="508" spans="1:15" x14ac:dyDescent="0.25">
      <c r="A508" t="s">
        <v>1206</v>
      </c>
      <c r="B508" t="s">
        <v>100</v>
      </c>
      <c r="C508" t="s">
        <v>621</v>
      </c>
      <c r="D508" t="s">
        <v>618</v>
      </c>
      <c r="E508" t="s">
        <v>622</v>
      </c>
      <c r="F508" s="213" t="s">
        <v>56</v>
      </c>
      <c r="G508" t="s">
        <v>66</v>
      </c>
      <c r="H508" t="s">
        <v>84</v>
      </c>
      <c r="I508" t="s">
        <v>623</v>
      </c>
      <c r="J508" t="s">
        <v>56</v>
      </c>
      <c r="K508" t="s">
        <v>10</v>
      </c>
      <c r="L508" t="s">
        <v>682</v>
      </c>
      <c r="M508" t="s">
        <v>100</v>
      </c>
      <c r="N508" t="s">
        <v>84</v>
      </c>
      <c r="O508" t="s">
        <v>786</v>
      </c>
    </row>
    <row r="509" spans="1:15" x14ac:dyDescent="0.25">
      <c r="A509" t="s">
        <v>1207</v>
      </c>
      <c r="B509" t="s">
        <v>100</v>
      </c>
      <c r="C509" t="s">
        <v>621</v>
      </c>
      <c r="D509" t="s">
        <v>618</v>
      </c>
      <c r="E509" t="s">
        <v>622</v>
      </c>
      <c r="F509" s="213" t="s">
        <v>56</v>
      </c>
      <c r="G509" t="s">
        <v>66</v>
      </c>
      <c r="H509" t="s">
        <v>84</v>
      </c>
      <c r="I509" t="s">
        <v>623</v>
      </c>
      <c r="J509" t="s">
        <v>56</v>
      </c>
      <c r="K509" t="s">
        <v>12</v>
      </c>
      <c r="L509" t="s">
        <v>1147</v>
      </c>
      <c r="M509" t="s">
        <v>100</v>
      </c>
      <c r="N509" t="s">
        <v>9</v>
      </c>
      <c r="O509" t="s">
        <v>1108</v>
      </c>
    </row>
    <row r="510" spans="1:15" x14ac:dyDescent="0.25">
      <c r="A510" t="s">
        <v>1208</v>
      </c>
      <c r="B510" t="s">
        <v>100</v>
      </c>
      <c r="C510" t="s">
        <v>621</v>
      </c>
      <c r="D510" t="s">
        <v>618</v>
      </c>
      <c r="E510" t="s">
        <v>622</v>
      </c>
      <c r="F510" s="213" t="s">
        <v>56</v>
      </c>
      <c r="G510" t="s">
        <v>66</v>
      </c>
      <c r="H510" t="s">
        <v>84</v>
      </c>
      <c r="I510" t="s">
        <v>623</v>
      </c>
      <c r="J510" t="s">
        <v>56</v>
      </c>
      <c r="K510" t="s">
        <v>14</v>
      </c>
      <c r="L510" t="s">
        <v>786</v>
      </c>
      <c r="M510" t="s">
        <v>100</v>
      </c>
      <c r="N510" t="s">
        <v>1</v>
      </c>
      <c r="O510" t="s">
        <v>1209</v>
      </c>
    </row>
    <row r="511" spans="1:15" x14ac:dyDescent="0.25">
      <c r="A511" t="s">
        <v>1210</v>
      </c>
      <c r="B511" t="s">
        <v>100</v>
      </c>
      <c r="C511" t="s">
        <v>621</v>
      </c>
      <c r="D511" t="s">
        <v>618</v>
      </c>
      <c r="E511" t="s">
        <v>622</v>
      </c>
      <c r="F511" s="213" t="s">
        <v>56</v>
      </c>
      <c r="G511" t="s">
        <v>66</v>
      </c>
      <c r="H511" t="s">
        <v>84</v>
      </c>
      <c r="I511" t="s">
        <v>623</v>
      </c>
      <c r="J511" t="s">
        <v>56</v>
      </c>
      <c r="K511" t="s">
        <v>16</v>
      </c>
      <c r="L511" t="s">
        <v>101</v>
      </c>
      <c r="M511" t="s">
        <v>100</v>
      </c>
      <c r="N511" t="s">
        <v>53</v>
      </c>
      <c r="O511" t="s">
        <v>662</v>
      </c>
    </row>
    <row r="512" spans="1:15" x14ac:dyDescent="0.25">
      <c r="A512" t="s">
        <v>1211</v>
      </c>
      <c r="B512" t="s">
        <v>100</v>
      </c>
      <c r="C512" t="s">
        <v>621</v>
      </c>
      <c r="D512" t="s">
        <v>618</v>
      </c>
      <c r="E512" t="s">
        <v>622</v>
      </c>
      <c r="F512" s="213" t="s">
        <v>56</v>
      </c>
      <c r="G512" t="s">
        <v>66</v>
      </c>
      <c r="H512" t="s">
        <v>84</v>
      </c>
      <c r="I512" t="s">
        <v>623</v>
      </c>
      <c r="J512" t="s">
        <v>56</v>
      </c>
      <c r="K512" t="s">
        <v>10</v>
      </c>
      <c r="L512" t="s">
        <v>44</v>
      </c>
      <c r="M512" t="s">
        <v>100</v>
      </c>
      <c r="N512" t="s">
        <v>78</v>
      </c>
      <c r="O512" t="s">
        <v>626</v>
      </c>
    </row>
    <row r="513" spans="1:15" x14ac:dyDescent="0.25">
      <c r="A513" t="s">
        <v>1212</v>
      </c>
      <c r="B513" t="s">
        <v>100</v>
      </c>
      <c r="C513" t="s">
        <v>621</v>
      </c>
      <c r="D513" t="s">
        <v>618</v>
      </c>
      <c r="E513" t="s">
        <v>622</v>
      </c>
      <c r="F513" s="213" t="s">
        <v>56</v>
      </c>
      <c r="G513" t="s">
        <v>66</v>
      </c>
      <c r="H513" t="s">
        <v>84</v>
      </c>
      <c r="I513" t="s">
        <v>623</v>
      </c>
      <c r="J513" t="s">
        <v>56</v>
      </c>
      <c r="K513" t="s">
        <v>12</v>
      </c>
      <c r="L513" t="s">
        <v>34</v>
      </c>
      <c r="M513" t="s">
        <v>100</v>
      </c>
      <c r="N513" t="s">
        <v>13</v>
      </c>
      <c r="O513" t="s">
        <v>1213</v>
      </c>
    </row>
    <row r="514" spans="1:15" x14ac:dyDescent="0.25">
      <c r="A514" t="s">
        <v>1214</v>
      </c>
      <c r="B514" t="s">
        <v>100</v>
      </c>
      <c r="C514" t="s">
        <v>621</v>
      </c>
      <c r="D514" t="s">
        <v>618</v>
      </c>
      <c r="E514" t="s">
        <v>622</v>
      </c>
      <c r="F514" s="213" t="s">
        <v>56</v>
      </c>
      <c r="G514" t="s">
        <v>66</v>
      </c>
      <c r="H514" t="s">
        <v>84</v>
      </c>
      <c r="I514" t="s">
        <v>623</v>
      </c>
      <c r="J514" t="s">
        <v>56</v>
      </c>
      <c r="K514" t="s">
        <v>14</v>
      </c>
      <c r="L514" t="s">
        <v>24</v>
      </c>
      <c r="M514" t="s">
        <v>100</v>
      </c>
      <c r="N514" t="s">
        <v>63</v>
      </c>
      <c r="O514" t="s">
        <v>695</v>
      </c>
    </row>
    <row r="515" spans="1:15" x14ac:dyDescent="0.25">
      <c r="A515" t="s">
        <v>1215</v>
      </c>
      <c r="B515" t="s">
        <v>100</v>
      </c>
      <c r="C515" t="s">
        <v>621</v>
      </c>
      <c r="D515" t="s">
        <v>618</v>
      </c>
      <c r="E515" t="s">
        <v>622</v>
      </c>
      <c r="F515" s="213" t="s">
        <v>56</v>
      </c>
      <c r="G515" t="s">
        <v>66</v>
      </c>
      <c r="H515" t="s">
        <v>84</v>
      </c>
      <c r="I515" t="s">
        <v>623</v>
      </c>
      <c r="J515" t="s">
        <v>56</v>
      </c>
      <c r="K515" t="s">
        <v>9</v>
      </c>
      <c r="L515" t="s">
        <v>626</v>
      </c>
      <c r="M515" t="s">
        <v>100</v>
      </c>
      <c r="N515" t="s">
        <v>33</v>
      </c>
      <c r="O515" t="s">
        <v>1100</v>
      </c>
    </row>
    <row r="516" spans="1:15" x14ac:dyDescent="0.25">
      <c r="A516" t="s">
        <v>1216</v>
      </c>
      <c r="B516" t="s">
        <v>100</v>
      </c>
      <c r="C516" t="s">
        <v>621</v>
      </c>
      <c r="D516" t="s">
        <v>618</v>
      </c>
      <c r="E516" t="s">
        <v>622</v>
      </c>
      <c r="F516" s="213" t="s">
        <v>56</v>
      </c>
      <c r="G516" t="s">
        <v>66</v>
      </c>
      <c r="H516" t="s">
        <v>84</v>
      </c>
      <c r="I516" t="s">
        <v>623</v>
      </c>
      <c r="J516" t="s">
        <v>56</v>
      </c>
      <c r="K516" t="s">
        <v>6</v>
      </c>
      <c r="L516" t="s">
        <v>714</v>
      </c>
      <c r="M516" t="s">
        <v>100</v>
      </c>
      <c r="N516" t="s">
        <v>25</v>
      </c>
      <c r="O516" t="s">
        <v>640</v>
      </c>
    </row>
    <row r="517" spans="1:15" x14ac:dyDescent="0.25">
      <c r="A517" t="s">
        <v>1217</v>
      </c>
      <c r="B517" t="s">
        <v>100</v>
      </c>
      <c r="C517" t="s">
        <v>621</v>
      </c>
      <c r="D517" t="s">
        <v>618</v>
      </c>
      <c r="E517" t="s">
        <v>622</v>
      </c>
      <c r="F517" s="213" t="s">
        <v>56</v>
      </c>
      <c r="G517" t="s">
        <v>66</v>
      </c>
      <c r="H517" t="s">
        <v>84</v>
      </c>
      <c r="I517" t="s">
        <v>623</v>
      </c>
      <c r="J517" t="s">
        <v>56</v>
      </c>
      <c r="K517" t="s">
        <v>3</v>
      </c>
      <c r="L517" t="s">
        <v>623</v>
      </c>
      <c r="M517" t="s">
        <v>100</v>
      </c>
      <c r="N517" t="s">
        <v>55</v>
      </c>
      <c r="O517" t="s">
        <v>674</v>
      </c>
    </row>
    <row r="518" spans="1:15" x14ac:dyDescent="0.25">
      <c r="A518" t="s">
        <v>1218</v>
      </c>
      <c r="B518" t="s">
        <v>100</v>
      </c>
      <c r="C518" t="s">
        <v>621</v>
      </c>
      <c r="D518" t="s">
        <v>618</v>
      </c>
      <c r="E518" t="s">
        <v>622</v>
      </c>
      <c r="F518" s="213" t="s">
        <v>56</v>
      </c>
      <c r="G518" t="s">
        <v>66</v>
      </c>
      <c r="H518" t="s">
        <v>84</v>
      </c>
      <c r="I518" t="s">
        <v>623</v>
      </c>
      <c r="J518" t="s">
        <v>56</v>
      </c>
      <c r="K518" t="s">
        <v>1</v>
      </c>
      <c r="L518" t="s">
        <v>629</v>
      </c>
      <c r="M518" t="s">
        <v>100</v>
      </c>
      <c r="N518" t="s">
        <v>45</v>
      </c>
      <c r="O518" t="s">
        <v>765</v>
      </c>
    </row>
    <row r="519" spans="1:15" x14ac:dyDescent="0.25">
      <c r="A519" t="s">
        <v>1219</v>
      </c>
      <c r="B519" t="s">
        <v>100</v>
      </c>
      <c r="C519" t="s">
        <v>621</v>
      </c>
      <c r="D519" t="s">
        <v>618</v>
      </c>
      <c r="E519" t="s">
        <v>622</v>
      </c>
      <c r="F519" s="213" t="s">
        <v>56</v>
      </c>
      <c r="G519" t="s">
        <v>66</v>
      </c>
      <c r="H519" t="s">
        <v>84</v>
      </c>
      <c r="I519" t="s">
        <v>623</v>
      </c>
      <c r="J519" t="s">
        <v>56</v>
      </c>
      <c r="K519" t="s">
        <v>100</v>
      </c>
      <c r="L519" t="s">
        <v>695</v>
      </c>
      <c r="M519" t="s">
        <v>100</v>
      </c>
      <c r="N519" t="s">
        <v>37</v>
      </c>
      <c r="O519" t="s">
        <v>781</v>
      </c>
    </row>
    <row r="520" spans="1:15" x14ac:dyDescent="0.25">
      <c r="A520" t="s">
        <v>1220</v>
      </c>
      <c r="B520" t="s">
        <v>100</v>
      </c>
      <c r="C520" t="s">
        <v>621</v>
      </c>
      <c r="D520" t="s">
        <v>618</v>
      </c>
      <c r="E520" t="s">
        <v>622</v>
      </c>
      <c r="F520" s="213" t="s">
        <v>56</v>
      </c>
      <c r="G520" t="s">
        <v>66</v>
      </c>
      <c r="H520" t="s">
        <v>84</v>
      </c>
      <c r="I520" t="s">
        <v>623</v>
      </c>
      <c r="J520" t="s">
        <v>56</v>
      </c>
      <c r="K520" t="s">
        <v>10</v>
      </c>
      <c r="L520" t="s">
        <v>652</v>
      </c>
      <c r="M520" t="s">
        <v>100</v>
      </c>
      <c r="N520" t="s">
        <v>81</v>
      </c>
      <c r="O520" t="s">
        <v>624</v>
      </c>
    </row>
    <row r="521" spans="1:15" x14ac:dyDescent="0.25">
      <c r="A521" t="s">
        <v>1221</v>
      </c>
      <c r="B521" t="s">
        <v>100</v>
      </c>
      <c r="C521" t="s">
        <v>621</v>
      </c>
      <c r="D521" t="s">
        <v>618</v>
      </c>
      <c r="E521" t="s">
        <v>622</v>
      </c>
      <c r="F521" s="213" t="s">
        <v>56</v>
      </c>
      <c r="G521" t="s">
        <v>66</v>
      </c>
      <c r="H521" t="s">
        <v>84</v>
      </c>
      <c r="I521" t="s">
        <v>623</v>
      </c>
      <c r="J521" t="s">
        <v>56</v>
      </c>
      <c r="K521" t="s">
        <v>12</v>
      </c>
      <c r="L521" t="s">
        <v>822</v>
      </c>
      <c r="M521" t="s">
        <v>100</v>
      </c>
      <c r="N521" t="s">
        <v>9</v>
      </c>
      <c r="O521" t="s">
        <v>1080</v>
      </c>
    </row>
    <row r="522" spans="1:15" x14ac:dyDescent="0.25">
      <c r="A522" t="s">
        <v>1222</v>
      </c>
      <c r="B522" t="s">
        <v>100</v>
      </c>
      <c r="C522" t="s">
        <v>621</v>
      </c>
      <c r="D522" t="s">
        <v>618</v>
      </c>
      <c r="E522" t="s">
        <v>622</v>
      </c>
      <c r="F522" s="213" t="s">
        <v>56</v>
      </c>
      <c r="G522" t="s">
        <v>66</v>
      </c>
      <c r="H522" t="s">
        <v>84</v>
      </c>
      <c r="I522" t="s">
        <v>623</v>
      </c>
      <c r="J522" t="s">
        <v>56</v>
      </c>
      <c r="K522" t="s">
        <v>14</v>
      </c>
      <c r="L522" t="s">
        <v>1223</v>
      </c>
      <c r="M522" t="s">
        <v>100</v>
      </c>
      <c r="N522" t="s">
        <v>1</v>
      </c>
      <c r="O522" t="s">
        <v>1224</v>
      </c>
    </row>
    <row r="523" spans="1:15" x14ac:dyDescent="0.25">
      <c r="A523" t="s">
        <v>1225</v>
      </c>
      <c r="B523" t="s">
        <v>100</v>
      </c>
      <c r="C523" t="s">
        <v>621</v>
      </c>
      <c r="D523" t="s">
        <v>618</v>
      </c>
      <c r="E523" t="s">
        <v>622</v>
      </c>
      <c r="F523" s="213" t="s">
        <v>56</v>
      </c>
      <c r="G523" t="s">
        <v>66</v>
      </c>
      <c r="H523" t="s">
        <v>84</v>
      </c>
      <c r="I523" t="s">
        <v>623</v>
      </c>
      <c r="J523" t="s">
        <v>56</v>
      </c>
      <c r="K523" t="s">
        <v>9</v>
      </c>
      <c r="L523" t="s">
        <v>45</v>
      </c>
      <c r="M523" t="s">
        <v>100</v>
      </c>
      <c r="N523" t="s">
        <v>53</v>
      </c>
      <c r="O523" t="s">
        <v>644</v>
      </c>
    </row>
    <row r="524" spans="1:15" x14ac:dyDescent="0.25">
      <c r="A524" t="s">
        <v>1226</v>
      </c>
      <c r="B524" t="s">
        <v>100</v>
      </c>
      <c r="C524" t="s">
        <v>621</v>
      </c>
      <c r="D524" t="s">
        <v>618</v>
      </c>
      <c r="E524" t="s">
        <v>622</v>
      </c>
      <c r="F524" s="213" t="s">
        <v>56</v>
      </c>
      <c r="G524" t="s">
        <v>66</v>
      </c>
      <c r="H524" t="s">
        <v>84</v>
      </c>
      <c r="I524" t="s">
        <v>623</v>
      </c>
      <c r="J524" t="s">
        <v>56</v>
      </c>
      <c r="K524" t="s">
        <v>11</v>
      </c>
      <c r="L524" t="s">
        <v>34</v>
      </c>
      <c r="M524" t="s">
        <v>100</v>
      </c>
      <c r="N524" t="s">
        <v>21</v>
      </c>
      <c r="O524" t="s">
        <v>964</v>
      </c>
    </row>
    <row r="525" spans="1:15" x14ac:dyDescent="0.25">
      <c r="A525" t="s">
        <v>1227</v>
      </c>
      <c r="B525" t="s">
        <v>100</v>
      </c>
      <c r="C525" t="s">
        <v>621</v>
      </c>
      <c r="D525" t="s">
        <v>618</v>
      </c>
      <c r="E525" t="s">
        <v>622</v>
      </c>
      <c r="F525" s="213" t="s">
        <v>56</v>
      </c>
      <c r="G525" t="s">
        <v>66</v>
      </c>
      <c r="H525" t="s">
        <v>84</v>
      </c>
      <c r="I525" t="s">
        <v>623</v>
      </c>
      <c r="J525" t="s">
        <v>56</v>
      </c>
      <c r="K525" t="s">
        <v>13</v>
      </c>
      <c r="L525" t="s">
        <v>23</v>
      </c>
      <c r="M525" t="s">
        <v>100</v>
      </c>
      <c r="N525" t="s">
        <v>13</v>
      </c>
      <c r="O525" t="s">
        <v>1143</v>
      </c>
    </row>
    <row r="526" spans="1:15" x14ac:dyDescent="0.25">
      <c r="A526" t="s">
        <v>1228</v>
      </c>
      <c r="B526" t="s">
        <v>100</v>
      </c>
      <c r="C526" t="s">
        <v>621</v>
      </c>
      <c r="D526" t="s">
        <v>618</v>
      </c>
      <c r="E526" t="s">
        <v>622</v>
      </c>
      <c r="F526" s="213" t="s">
        <v>56</v>
      </c>
      <c r="G526" t="s">
        <v>66</v>
      </c>
      <c r="H526" t="s">
        <v>84</v>
      </c>
      <c r="I526" t="s">
        <v>623</v>
      </c>
      <c r="J526" t="s">
        <v>56</v>
      </c>
      <c r="K526" t="s">
        <v>11</v>
      </c>
      <c r="L526" t="s">
        <v>654</v>
      </c>
      <c r="M526" t="s">
        <v>0</v>
      </c>
      <c r="N526" t="s">
        <v>63</v>
      </c>
      <c r="O526" t="s">
        <v>685</v>
      </c>
    </row>
    <row r="527" spans="1:15" x14ac:dyDescent="0.25">
      <c r="A527" t="s">
        <v>1229</v>
      </c>
      <c r="B527" t="s">
        <v>100</v>
      </c>
      <c r="C527" t="s">
        <v>621</v>
      </c>
      <c r="D527" t="s">
        <v>618</v>
      </c>
      <c r="E527" t="s">
        <v>622</v>
      </c>
      <c r="F527" s="213" t="s">
        <v>56</v>
      </c>
      <c r="G527" t="s">
        <v>66</v>
      </c>
      <c r="H527" t="s">
        <v>84</v>
      </c>
      <c r="I527" t="s">
        <v>623</v>
      </c>
      <c r="J527" t="s">
        <v>56</v>
      </c>
      <c r="K527" t="s">
        <v>8</v>
      </c>
      <c r="L527" t="s">
        <v>626</v>
      </c>
      <c r="M527" t="s">
        <v>100</v>
      </c>
      <c r="N527" t="s">
        <v>72</v>
      </c>
      <c r="O527" t="s">
        <v>632</v>
      </c>
    </row>
    <row r="528" spans="1:15" x14ac:dyDescent="0.25">
      <c r="A528" t="s">
        <v>1230</v>
      </c>
      <c r="B528" t="s">
        <v>100</v>
      </c>
      <c r="C528" t="s">
        <v>621</v>
      </c>
      <c r="D528" t="s">
        <v>618</v>
      </c>
      <c r="E528" t="s">
        <v>622</v>
      </c>
      <c r="F528" s="213" t="s">
        <v>56</v>
      </c>
      <c r="G528" t="s">
        <v>66</v>
      </c>
      <c r="H528" t="s">
        <v>84</v>
      </c>
      <c r="I528" t="s">
        <v>623</v>
      </c>
      <c r="J528" t="s">
        <v>56</v>
      </c>
      <c r="K528" t="s">
        <v>5</v>
      </c>
      <c r="L528" t="s">
        <v>714</v>
      </c>
      <c r="M528" t="s">
        <v>100</v>
      </c>
      <c r="N528" t="s">
        <v>23</v>
      </c>
      <c r="O528" t="s">
        <v>1231</v>
      </c>
    </row>
    <row r="529" spans="1:15" x14ac:dyDescent="0.25">
      <c r="A529" t="s">
        <v>1232</v>
      </c>
      <c r="B529" t="s">
        <v>100</v>
      </c>
      <c r="C529" t="s">
        <v>621</v>
      </c>
      <c r="D529" t="s">
        <v>618</v>
      </c>
      <c r="E529" t="s">
        <v>622</v>
      </c>
      <c r="F529" s="213" t="s">
        <v>56</v>
      </c>
      <c r="G529" t="s">
        <v>66</v>
      </c>
      <c r="H529" t="s">
        <v>84</v>
      </c>
      <c r="I529" t="s">
        <v>623</v>
      </c>
      <c r="J529" t="s">
        <v>56</v>
      </c>
      <c r="K529" t="s">
        <v>3</v>
      </c>
      <c r="L529" t="s">
        <v>625</v>
      </c>
      <c r="M529" t="s">
        <v>100</v>
      </c>
      <c r="N529" t="s">
        <v>27</v>
      </c>
      <c r="O529" t="s">
        <v>701</v>
      </c>
    </row>
    <row r="530" spans="1:15" x14ac:dyDescent="0.25">
      <c r="A530" t="s">
        <v>1233</v>
      </c>
      <c r="B530" t="s">
        <v>100</v>
      </c>
      <c r="C530" t="s">
        <v>621</v>
      </c>
      <c r="D530" t="s">
        <v>618</v>
      </c>
      <c r="E530" t="s">
        <v>622</v>
      </c>
      <c r="F530" s="213" t="s">
        <v>56</v>
      </c>
      <c r="G530" t="s">
        <v>66</v>
      </c>
      <c r="H530" t="s">
        <v>84</v>
      </c>
      <c r="I530" t="s">
        <v>623</v>
      </c>
      <c r="J530" t="s">
        <v>56</v>
      </c>
      <c r="K530" t="s">
        <v>1</v>
      </c>
      <c r="L530" t="s">
        <v>642</v>
      </c>
      <c r="M530" t="s">
        <v>100</v>
      </c>
      <c r="N530" t="s">
        <v>89</v>
      </c>
      <c r="O530" t="s">
        <v>739</v>
      </c>
    </row>
    <row r="531" spans="1:15" x14ac:dyDescent="0.25">
      <c r="A531" t="s">
        <v>1234</v>
      </c>
      <c r="B531" t="s">
        <v>100</v>
      </c>
      <c r="C531" t="s">
        <v>621</v>
      </c>
      <c r="D531" t="s">
        <v>618</v>
      </c>
      <c r="E531" t="s">
        <v>622</v>
      </c>
      <c r="F531" s="213" t="s">
        <v>56</v>
      </c>
      <c r="G531" t="s">
        <v>66</v>
      </c>
      <c r="H531" t="s">
        <v>84</v>
      </c>
      <c r="I531" t="s">
        <v>623</v>
      </c>
      <c r="J531" t="s">
        <v>56</v>
      </c>
      <c r="K531" t="s">
        <v>100</v>
      </c>
      <c r="L531" t="s">
        <v>635</v>
      </c>
      <c r="M531" t="s">
        <v>100</v>
      </c>
      <c r="N531" t="s">
        <v>79</v>
      </c>
      <c r="O531" t="s">
        <v>628</v>
      </c>
    </row>
    <row r="532" spans="1:15" x14ac:dyDescent="0.25">
      <c r="A532" t="s">
        <v>1235</v>
      </c>
      <c r="B532" t="s">
        <v>100</v>
      </c>
      <c r="C532" t="s">
        <v>621</v>
      </c>
      <c r="D532" t="s">
        <v>618</v>
      </c>
      <c r="E532" t="s">
        <v>622</v>
      </c>
      <c r="F532" s="213" t="s">
        <v>56</v>
      </c>
      <c r="G532" t="s">
        <v>66</v>
      </c>
      <c r="H532" t="s">
        <v>84</v>
      </c>
      <c r="I532" t="s">
        <v>623</v>
      </c>
      <c r="J532" t="s">
        <v>56</v>
      </c>
      <c r="K532" t="s">
        <v>9</v>
      </c>
      <c r="L532" t="s">
        <v>739</v>
      </c>
      <c r="M532" t="s">
        <v>100</v>
      </c>
      <c r="N532" t="s">
        <v>39</v>
      </c>
      <c r="O532" t="s">
        <v>975</v>
      </c>
    </row>
    <row r="533" spans="1:15" x14ac:dyDescent="0.25">
      <c r="A533" t="s">
        <v>1236</v>
      </c>
      <c r="B533" t="s">
        <v>100</v>
      </c>
      <c r="C533" t="s">
        <v>621</v>
      </c>
      <c r="D533" t="s">
        <v>618</v>
      </c>
      <c r="E533" t="s">
        <v>622</v>
      </c>
      <c r="F533" s="213" t="s">
        <v>56</v>
      </c>
      <c r="G533" t="s">
        <v>66</v>
      </c>
      <c r="H533" t="s">
        <v>84</v>
      </c>
      <c r="I533" t="s">
        <v>623</v>
      </c>
      <c r="J533" t="s">
        <v>56</v>
      </c>
      <c r="K533" t="s">
        <v>11</v>
      </c>
      <c r="L533" t="s">
        <v>822</v>
      </c>
      <c r="M533" t="s">
        <v>100</v>
      </c>
      <c r="N533" t="s">
        <v>9</v>
      </c>
      <c r="O533" t="s">
        <v>1237</v>
      </c>
    </row>
    <row r="534" spans="1:15" x14ac:dyDescent="0.25">
      <c r="A534" t="s">
        <v>1238</v>
      </c>
      <c r="B534" t="s">
        <v>100</v>
      </c>
      <c r="C534" t="s">
        <v>621</v>
      </c>
      <c r="D534" t="s">
        <v>618</v>
      </c>
      <c r="E534" t="s">
        <v>622</v>
      </c>
      <c r="F534" s="213" t="s">
        <v>56</v>
      </c>
      <c r="G534" t="s">
        <v>66</v>
      </c>
      <c r="H534" t="s">
        <v>84</v>
      </c>
      <c r="I534" t="s">
        <v>623</v>
      </c>
      <c r="J534" t="s">
        <v>56</v>
      </c>
      <c r="K534" t="s">
        <v>13</v>
      </c>
      <c r="L534" t="s">
        <v>720</v>
      </c>
      <c r="M534" t="s">
        <v>100</v>
      </c>
      <c r="N534" t="s">
        <v>1</v>
      </c>
      <c r="O534" t="s">
        <v>1239</v>
      </c>
    </row>
    <row r="535" spans="1:15" x14ac:dyDescent="0.25">
      <c r="A535" t="s">
        <v>1240</v>
      </c>
      <c r="B535" t="s">
        <v>100</v>
      </c>
      <c r="C535" t="s">
        <v>621</v>
      </c>
      <c r="D535" t="s">
        <v>618</v>
      </c>
      <c r="E535" t="s">
        <v>622</v>
      </c>
      <c r="F535" s="213" t="s">
        <v>56</v>
      </c>
      <c r="G535" t="s">
        <v>66</v>
      </c>
      <c r="H535" t="s">
        <v>84</v>
      </c>
      <c r="I535" t="s">
        <v>623</v>
      </c>
      <c r="J535" t="s">
        <v>56</v>
      </c>
      <c r="K535" t="s">
        <v>8</v>
      </c>
      <c r="L535" t="s">
        <v>46</v>
      </c>
      <c r="M535" t="s">
        <v>100</v>
      </c>
      <c r="N535" t="s">
        <v>53</v>
      </c>
      <c r="O535" t="s">
        <v>693</v>
      </c>
    </row>
    <row r="536" spans="1:15" x14ac:dyDescent="0.25">
      <c r="A536" t="s">
        <v>1241</v>
      </c>
      <c r="B536" t="s">
        <v>100</v>
      </c>
      <c r="C536" t="s">
        <v>621</v>
      </c>
      <c r="D536" t="s">
        <v>618</v>
      </c>
      <c r="E536" t="s">
        <v>622</v>
      </c>
      <c r="F536" s="213" t="s">
        <v>56</v>
      </c>
      <c r="G536" t="s">
        <v>66</v>
      </c>
      <c r="H536" t="s">
        <v>84</v>
      </c>
      <c r="I536" t="s">
        <v>623</v>
      </c>
      <c r="J536" t="s">
        <v>56</v>
      </c>
      <c r="K536" t="s">
        <v>10</v>
      </c>
      <c r="L536" t="s">
        <v>35</v>
      </c>
      <c r="M536" t="s">
        <v>100</v>
      </c>
      <c r="N536" t="s">
        <v>78</v>
      </c>
      <c r="O536" t="s">
        <v>714</v>
      </c>
    </row>
    <row r="537" spans="1:15" x14ac:dyDescent="0.25">
      <c r="A537" t="s">
        <v>1242</v>
      </c>
      <c r="B537" t="s">
        <v>100</v>
      </c>
      <c r="C537" t="s">
        <v>621</v>
      </c>
      <c r="D537" t="s">
        <v>618</v>
      </c>
      <c r="E537" t="s">
        <v>622</v>
      </c>
      <c r="F537" s="213" t="s">
        <v>56</v>
      </c>
      <c r="G537" t="s">
        <v>66</v>
      </c>
      <c r="H537" t="s">
        <v>84</v>
      </c>
      <c r="I537" t="s">
        <v>623</v>
      </c>
      <c r="J537" t="s">
        <v>56</v>
      </c>
      <c r="K537" t="s">
        <v>12</v>
      </c>
      <c r="L537" t="s">
        <v>23</v>
      </c>
      <c r="M537" t="s">
        <v>100</v>
      </c>
      <c r="N537" t="s">
        <v>13</v>
      </c>
      <c r="O537" t="s">
        <v>1183</v>
      </c>
    </row>
    <row r="538" spans="1:15" x14ac:dyDescent="0.25">
      <c r="A538" t="s">
        <v>1243</v>
      </c>
      <c r="B538" t="s">
        <v>100</v>
      </c>
      <c r="C538" t="s">
        <v>621</v>
      </c>
      <c r="D538" t="s">
        <v>618</v>
      </c>
      <c r="E538" t="s">
        <v>622</v>
      </c>
      <c r="F538" s="213" t="s">
        <v>56</v>
      </c>
      <c r="G538" t="s">
        <v>66</v>
      </c>
      <c r="H538" t="s">
        <v>84</v>
      </c>
      <c r="I538" t="s">
        <v>623</v>
      </c>
      <c r="J538" t="s">
        <v>56</v>
      </c>
      <c r="K538" t="s">
        <v>10</v>
      </c>
      <c r="L538" t="s">
        <v>654</v>
      </c>
      <c r="M538" t="s">
        <v>0</v>
      </c>
      <c r="N538" t="s">
        <v>63</v>
      </c>
      <c r="O538" t="s">
        <v>637</v>
      </c>
    </row>
    <row r="539" spans="1:15" x14ac:dyDescent="0.25">
      <c r="A539" t="s">
        <v>1244</v>
      </c>
      <c r="B539" t="s">
        <v>100</v>
      </c>
      <c r="C539" t="s">
        <v>621</v>
      </c>
      <c r="D539" t="s">
        <v>618</v>
      </c>
      <c r="E539" t="s">
        <v>622</v>
      </c>
      <c r="F539" s="213" t="s">
        <v>56</v>
      </c>
      <c r="G539" t="s">
        <v>66</v>
      </c>
      <c r="H539" t="s">
        <v>84</v>
      </c>
      <c r="I539" t="s">
        <v>623</v>
      </c>
      <c r="J539" t="s">
        <v>56</v>
      </c>
      <c r="K539" t="s">
        <v>7</v>
      </c>
      <c r="L539" t="s">
        <v>626</v>
      </c>
      <c r="M539" t="s">
        <v>100</v>
      </c>
      <c r="N539" t="s">
        <v>72</v>
      </c>
      <c r="O539" t="s">
        <v>642</v>
      </c>
    </row>
    <row r="540" spans="1:15" x14ac:dyDescent="0.25">
      <c r="A540" t="s">
        <v>1245</v>
      </c>
      <c r="B540" t="s">
        <v>100</v>
      </c>
      <c r="C540" t="s">
        <v>621</v>
      </c>
      <c r="D540" t="s">
        <v>618</v>
      </c>
      <c r="E540" t="s">
        <v>622</v>
      </c>
      <c r="F540" s="213" t="s">
        <v>56</v>
      </c>
      <c r="G540" t="s">
        <v>66</v>
      </c>
      <c r="H540" t="s">
        <v>84</v>
      </c>
      <c r="I540" t="s">
        <v>623</v>
      </c>
      <c r="J540" t="s">
        <v>56</v>
      </c>
      <c r="K540" t="s">
        <v>4</v>
      </c>
      <c r="L540" t="s">
        <v>714</v>
      </c>
      <c r="M540" t="s">
        <v>100</v>
      </c>
      <c r="N540" t="s">
        <v>56</v>
      </c>
      <c r="O540" t="s">
        <v>662</v>
      </c>
    </row>
    <row r="541" spans="1:15" x14ac:dyDescent="0.25">
      <c r="A541" t="s">
        <v>1246</v>
      </c>
      <c r="B541" t="s">
        <v>100</v>
      </c>
      <c r="C541" t="s">
        <v>621</v>
      </c>
      <c r="D541" t="s">
        <v>618</v>
      </c>
      <c r="E541" t="s">
        <v>622</v>
      </c>
      <c r="F541" s="213" t="s">
        <v>56</v>
      </c>
      <c r="G541" t="s">
        <v>66</v>
      </c>
      <c r="H541" t="s">
        <v>84</v>
      </c>
      <c r="I541" t="s">
        <v>623</v>
      </c>
      <c r="J541" t="s">
        <v>56</v>
      </c>
      <c r="K541" t="s">
        <v>2</v>
      </c>
      <c r="L541" t="s">
        <v>625</v>
      </c>
      <c r="M541" t="s">
        <v>100</v>
      </c>
      <c r="N541" t="s">
        <v>27</v>
      </c>
      <c r="O541" t="s">
        <v>640</v>
      </c>
    </row>
    <row r="542" spans="1:15" x14ac:dyDescent="0.25">
      <c r="A542" t="s">
        <v>1247</v>
      </c>
      <c r="B542" t="s">
        <v>100</v>
      </c>
      <c r="C542" t="s">
        <v>621</v>
      </c>
      <c r="D542" t="s">
        <v>618</v>
      </c>
      <c r="E542" t="s">
        <v>622</v>
      </c>
      <c r="F542" s="213" t="s">
        <v>56</v>
      </c>
      <c r="G542" t="s">
        <v>66</v>
      </c>
      <c r="H542" t="s">
        <v>84</v>
      </c>
      <c r="I542" t="s">
        <v>623</v>
      </c>
      <c r="J542" t="s">
        <v>56</v>
      </c>
      <c r="K542" t="s">
        <v>0</v>
      </c>
      <c r="L542" t="s">
        <v>629</v>
      </c>
      <c r="M542" t="s">
        <v>100</v>
      </c>
      <c r="N542" t="s">
        <v>43</v>
      </c>
      <c r="O542" t="s">
        <v>755</v>
      </c>
    </row>
    <row r="543" spans="1:15" x14ac:dyDescent="0.25">
      <c r="A543" t="s">
        <v>1248</v>
      </c>
      <c r="B543" t="s">
        <v>100</v>
      </c>
      <c r="C543" t="s">
        <v>621</v>
      </c>
      <c r="D543" t="s">
        <v>618</v>
      </c>
      <c r="E543" t="s">
        <v>622</v>
      </c>
      <c r="F543" s="213" t="s">
        <v>56</v>
      </c>
      <c r="G543" t="s">
        <v>66</v>
      </c>
      <c r="H543" t="s">
        <v>84</v>
      </c>
      <c r="I543" t="s">
        <v>623</v>
      </c>
      <c r="J543" t="s">
        <v>56</v>
      </c>
      <c r="K543" t="s">
        <v>7</v>
      </c>
      <c r="L543" t="s">
        <v>807</v>
      </c>
      <c r="M543" t="s">
        <v>100</v>
      </c>
      <c r="N543" t="s">
        <v>79</v>
      </c>
      <c r="O543" t="s">
        <v>714</v>
      </c>
    </row>
    <row r="544" spans="1:15" x14ac:dyDescent="0.25">
      <c r="A544" t="s">
        <v>1249</v>
      </c>
      <c r="B544" t="s">
        <v>100</v>
      </c>
      <c r="C544" t="s">
        <v>621</v>
      </c>
      <c r="D544" t="s">
        <v>618</v>
      </c>
      <c r="E544" t="s">
        <v>622</v>
      </c>
      <c r="F544" s="213" t="s">
        <v>56</v>
      </c>
      <c r="G544" t="s">
        <v>66</v>
      </c>
      <c r="H544" t="s">
        <v>84</v>
      </c>
      <c r="I544" t="s">
        <v>623</v>
      </c>
      <c r="J544" t="s">
        <v>56</v>
      </c>
      <c r="K544" t="s">
        <v>9</v>
      </c>
      <c r="L544" t="s">
        <v>631</v>
      </c>
      <c r="M544" t="s">
        <v>100</v>
      </c>
      <c r="N544" t="s">
        <v>39</v>
      </c>
      <c r="O544" t="s">
        <v>781</v>
      </c>
    </row>
    <row r="545" spans="1:15" x14ac:dyDescent="0.25">
      <c r="A545" t="s">
        <v>1250</v>
      </c>
      <c r="B545" t="s">
        <v>100</v>
      </c>
      <c r="C545" t="s">
        <v>621</v>
      </c>
      <c r="D545" t="s">
        <v>618</v>
      </c>
      <c r="E545" t="s">
        <v>622</v>
      </c>
      <c r="F545" s="213" t="s">
        <v>56</v>
      </c>
      <c r="G545" t="s">
        <v>66</v>
      </c>
      <c r="H545" t="s">
        <v>84</v>
      </c>
      <c r="I545" t="s">
        <v>623</v>
      </c>
      <c r="J545" t="s">
        <v>56</v>
      </c>
      <c r="K545" t="s">
        <v>11</v>
      </c>
      <c r="L545" t="s">
        <v>1251</v>
      </c>
      <c r="M545" t="s">
        <v>100</v>
      </c>
      <c r="N545" t="s">
        <v>5</v>
      </c>
      <c r="O545" t="s">
        <v>1158</v>
      </c>
    </row>
    <row r="546" spans="1:15" x14ac:dyDescent="0.25">
      <c r="A546" t="s">
        <v>1252</v>
      </c>
      <c r="B546" t="s">
        <v>100</v>
      </c>
      <c r="C546" t="s">
        <v>621</v>
      </c>
      <c r="D546" t="s">
        <v>618</v>
      </c>
      <c r="E546" t="s">
        <v>622</v>
      </c>
      <c r="F546" s="213" t="s">
        <v>56</v>
      </c>
      <c r="G546" t="s">
        <v>66</v>
      </c>
      <c r="H546" t="s">
        <v>84</v>
      </c>
      <c r="I546" t="s">
        <v>623</v>
      </c>
      <c r="J546" t="s">
        <v>56</v>
      </c>
      <c r="K546" t="s">
        <v>13</v>
      </c>
      <c r="L546" t="s">
        <v>101</v>
      </c>
      <c r="M546" t="s">
        <v>100</v>
      </c>
      <c r="N546" t="s">
        <v>53</v>
      </c>
      <c r="O546" t="s">
        <v>749</v>
      </c>
    </row>
    <row r="547" spans="1:15" x14ac:dyDescent="0.25">
      <c r="A547" t="s">
        <v>1253</v>
      </c>
      <c r="B547" t="s">
        <v>100</v>
      </c>
      <c r="C547" t="s">
        <v>621</v>
      </c>
      <c r="D547" t="s">
        <v>618</v>
      </c>
      <c r="E547" t="s">
        <v>622</v>
      </c>
      <c r="F547" s="213" t="s">
        <v>56</v>
      </c>
      <c r="G547" t="s">
        <v>66</v>
      </c>
      <c r="H547" t="s">
        <v>84</v>
      </c>
      <c r="I547" t="s">
        <v>623</v>
      </c>
      <c r="J547" t="s">
        <v>56</v>
      </c>
      <c r="K547" t="s">
        <v>8</v>
      </c>
      <c r="L547" t="s">
        <v>42</v>
      </c>
      <c r="M547" t="s">
        <v>100</v>
      </c>
      <c r="N547" t="s">
        <v>45</v>
      </c>
      <c r="O547" t="s">
        <v>647</v>
      </c>
    </row>
    <row r="548" spans="1:15" x14ac:dyDescent="0.25">
      <c r="A548" t="s">
        <v>1254</v>
      </c>
      <c r="B548" t="s">
        <v>100</v>
      </c>
      <c r="C548" t="s">
        <v>621</v>
      </c>
      <c r="D548" t="s">
        <v>618</v>
      </c>
      <c r="E548" t="s">
        <v>622</v>
      </c>
      <c r="F548" s="213" t="s">
        <v>56</v>
      </c>
      <c r="G548" t="s">
        <v>66</v>
      </c>
      <c r="H548" t="s">
        <v>84</v>
      </c>
      <c r="I548" t="s">
        <v>623</v>
      </c>
      <c r="J548" t="s">
        <v>56</v>
      </c>
      <c r="K548" t="s">
        <v>10</v>
      </c>
      <c r="L548" t="s">
        <v>29</v>
      </c>
      <c r="M548" t="s">
        <v>100</v>
      </c>
      <c r="N548" t="s">
        <v>17</v>
      </c>
      <c r="O548" t="s">
        <v>1055</v>
      </c>
    </row>
    <row r="549" spans="1:15" x14ac:dyDescent="0.25">
      <c r="A549" t="s">
        <v>1255</v>
      </c>
      <c r="B549" t="s">
        <v>100</v>
      </c>
      <c r="C549" t="s">
        <v>621</v>
      </c>
      <c r="D549" t="s">
        <v>618</v>
      </c>
      <c r="E549" t="s">
        <v>622</v>
      </c>
      <c r="F549" s="213" t="s">
        <v>56</v>
      </c>
      <c r="G549" t="s">
        <v>66</v>
      </c>
      <c r="H549" t="s">
        <v>84</v>
      </c>
      <c r="I549" t="s">
        <v>623</v>
      </c>
      <c r="J549" t="s">
        <v>56</v>
      </c>
      <c r="K549" t="s">
        <v>12</v>
      </c>
      <c r="L549" t="s">
        <v>16</v>
      </c>
      <c r="M549" t="s">
        <v>100</v>
      </c>
      <c r="N549" t="s">
        <v>21</v>
      </c>
      <c r="O549" t="s">
        <v>812</v>
      </c>
    </row>
    <row r="550" spans="1:15" x14ac:dyDescent="0.25">
      <c r="A550" t="s">
        <v>1256</v>
      </c>
      <c r="B550" t="s">
        <v>100</v>
      </c>
      <c r="C550" t="s">
        <v>621</v>
      </c>
      <c r="D550" t="s">
        <v>618</v>
      </c>
      <c r="E550" t="s">
        <v>622</v>
      </c>
      <c r="F550" s="213" t="s">
        <v>56</v>
      </c>
      <c r="G550" t="s">
        <v>66</v>
      </c>
      <c r="H550" t="s">
        <v>84</v>
      </c>
      <c r="I550" t="s">
        <v>623</v>
      </c>
      <c r="J550" t="s">
        <v>56</v>
      </c>
      <c r="K550" t="s">
        <v>9</v>
      </c>
      <c r="L550" t="s">
        <v>654</v>
      </c>
      <c r="M550" t="s">
        <v>0</v>
      </c>
      <c r="N550" t="s">
        <v>71</v>
      </c>
      <c r="O550" t="s">
        <v>629</v>
      </c>
    </row>
    <row r="551" spans="1:15" x14ac:dyDescent="0.25">
      <c r="A551" t="s">
        <v>1257</v>
      </c>
      <c r="B551" t="s">
        <v>100</v>
      </c>
      <c r="C551" t="s">
        <v>621</v>
      </c>
      <c r="D551" t="s">
        <v>618</v>
      </c>
      <c r="E551" t="s">
        <v>622</v>
      </c>
      <c r="F551" s="213" t="s">
        <v>56</v>
      </c>
      <c r="G551" t="s">
        <v>66</v>
      </c>
      <c r="H551" t="s">
        <v>84</v>
      </c>
      <c r="I551" t="s">
        <v>623</v>
      </c>
      <c r="J551" t="s">
        <v>56</v>
      </c>
      <c r="K551" t="s">
        <v>6</v>
      </c>
      <c r="L551" t="s">
        <v>626</v>
      </c>
      <c r="M551" t="s">
        <v>100</v>
      </c>
      <c r="N551" t="s">
        <v>30</v>
      </c>
      <c r="O551" t="s">
        <v>793</v>
      </c>
    </row>
    <row r="552" spans="1:15" x14ac:dyDescent="0.25">
      <c r="A552" t="s">
        <v>1258</v>
      </c>
      <c r="B552" t="s">
        <v>100</v>
      </c>
      <c r="C552" t="s">
        <v>621</v>
      </c>
      <c r="D552" t="s">
        <v>618</v>
      </c>
      <c r="E552" t="s">
        <v>622</v>
      </c>
      <c r="F552" s="213" t="s">
        <v>56</v>
      </c>
      <c r="G552" t="s">
        <v>66</v>
      </c>
      <c r="H552" t="s">
        <v>84</v>
      </c>
      <c r="I552" t="s">
        <v>623</v>
      </c>
      <c r="J552" t="s">
        <v>56</v>
      </c>
      <c r="K552" t="s">
        <v>3</v>
      </c>
      <c r="L552" t="s">
        <v>630</v>
      </c>
      <c r="M552" t="s">
        <v>100</v>
      </c>
      <c r="N552" t="s">
        <v>52</v>
      </c>
      <c r="O552" t="s">
        <v>627</v>
      </c>
    </row>
    <row r="553" spans="1:15" x14ac:dyDescent="0.25">
      <c r="A553" t="s">
        <v>1259</v>
      </c>
      <c r="B553" t="s">
        <v>100</v>
      </c>
      <c r="C553" t="s">
        <v>621</v>
      </c>
      <c r="D553" t="s">
        <v>618</v>
      </c>
      <c r="E553" t="s">
        <v>622</v>
      </c>
      <c r="F553" s="213" t="s">
        <v>56</v>
      </c>
      <c r="G553" t="s">
        <v>66</v>
      </c>
      <c r="H553" t="s">
        <v>84</v>
      </c>
      <c r="I553" t="s">
        <v>623</v>
      </c>
      <c r="J553" t="s">
        <v>56</v>
      </c>
      <c r="K553" t="s">
        <v>1</v>
      </c>
      <c r="L553" t="s">
        <v>623</v>
      </c>
      <c r="M553" t="s">
        <v>100</v>
      </c>
      <c r="N553" t="s">
        <v>60</v>
      </c>
      <c r="O553" t="s">
        <v>814</v>
      </c>
    </row>
    <row r="554" spans="1:15" x14ac:dyDescent="0.25">
      <c r="A554" t="s">
        <v>1260</v>
      </c>
      <c r="B554" t="s">
        <v>100</v>
      </c>
      <c r="C554" t="s">
        <v>621</v>
      </c>
      <c r="D554" t="s">
        <v>618</v>
      </c>
      <c r="E554" t="s">
        <v>622</v>
      </c>
      <c r="F554" s="213" t="s">
        <v>56</v>
      </c>
      <c r="G554" t="s">
        <v>66</v>
      </c>
      <c r="H554" t="s">
        <v>84</v>
      </c>
      <c r="I554" t="s">
        <v>623</v>
      </c>
      <c r="J554" t="s">
        <v>56</v>
      </c>
      <c r="K554" t="s">
        <v>100</v>
      </c>
      <c r="L554" t="s">
        <v>643</v>
      </c>
      <c r="M554" t="s">
        <v>100</v>
      </c>
      <c r="N554" t="s">
        <v>87</v>
      </c>
      <c r="O554" t="s">
        <v>16</v>
      </c>
    </row>
    <row r="555" spans="1:15" x14ac:dyDescent="0.25">
      <c r="A555" t="s">
        <v>1261</v>
      </c>
      <c r="B555" t="s">
        <v>100</v>
      </c>
      <c r="C555" t="s">
        <v>621</v>
      </c>
      <c r="D555" t="s">
        <v>618</v>
      </c>
      <c r="E555" t="s">
        <v>622</v>
      </c>
      <c r="F555" s="213" t="s">
        <v>56</v>
      </c>
      <c r="G555" t="s">
        <v>66</v>
      </c>
      <c r="H555" t="s">
        <v>84</v>
      </c>
      <c r="I555" t="s">
        <v>623</v>
      </c>
      <c r="J555" t="s">
        <v>56</v>
      </c>
      <c r="K555" t="s">
        <v>8</v>
      </c>
      <c r="L555" t="s">
        <v>687</v>
      </c>
      <c r="M555" t="s">
        <v>100</v>
      </c>
      <c r="N555" t="s">
        <v>91</v>
      </c>
      <c r="O555" t="s">
        <v>44</v>
      </c>
    </row>
    <row r="556" spans="1:15" x14ac:dyDescent="0.25">
      <c r="A556" t="s">
        <v>1262</v>
      </c>
      <c r="B556" t="s">
        <v>100</v>
      </c>
      <c r="C556" t="s">
        <v>621</v>
      </c>
      <c r="D556" t="s">
        <v>618</v>
      </c>
      <c r="E556" t="s">
        <v>622</v>
      </c>
      <c r="F556" s="213" t="s">
        <v>56</v>
      </c>
      <c r="G556" t="s">
        <v>66</v>
      </c>
      <c r="H556" t="s">
        <v>84</v>
      </c>
      <c r="I556" t="s">
        <v>623</v>
      </c>
      <c r="J556" t="s">
        <v>56</v>
      </c>
      <c r="K556" t="s">
        <v>10</v>
      </c>
      <c r="L556" t="s">
        <v>1251</v>
      </c>
      <c r="M556" t="s">
        <v>100</v>
      </c>
      <c r="N556" t="s">
        <v>41</v>
      </c>
      <c r="O556" t="s">
        <v>781</v>
      </c>
    </row>
    <row r="557" spans="1:15" x14ac:dyDescent="0.25">
      <c r="A557" t="s">
        <v>1263</v>
      </c>
      <c r="B557" t="s">
        <v>100</v>
      </c>
      <c r="C557" t="s">
        <v>621</v>
      </c>
      <c r="D557" t="s">
        <v>618</v>
      </c>
      <c r="E557" t="s">
        <v>622</v>
      </c>
      <c r="F557" s="213" t="s">
        <v>56</v>
      </c>
      <c r="G557" t="s">
        <v>66</v>
      </c>
      <c r="H557" t="s">
        <v>84</v>
      </c>
      <c r="I557" t="s">
        <v>623</v>
      </c>
      <c r="J557" t="s">
        <v>56</v>
      </c>
      <c r="K557" t="s">
        <v>12</v>
      </c>
      <c r="L557" t="s">
        <v>101</v>
      </c>
      <c r="M557" t="s">
        <v>100</v>
      </c>
      <c r="N557" t="s">
        <v>50</v>
      </c>
      <c r="O557" t="s">
        <v>825</v>
      </c>
    </row>
    <row r="558" spans="1:15" x14ac:dyDescent="0.25">
      <c r="A558" t="s">
        <v>1264</v>
      </c>
      <c r="B558" t="s">
        <v>100</v>
      </c>
      <c r="C558" t="s">
        <v>621</v>
      </c>
      <c r="D558" t="s">
        <v>618</v>
      </c>
      <c r="E558" t="s">
        <v>622</v>
      </c>
      <c r="F558" s="213" t="s">
        <v>56</v>
      </c>
      <c r="G558" t="s">
        <v>66</v>
      </c>
      <c r="H558" t="s">
        <v>84</v>
      </c>
      <c r="I558" t="s">
        <v>623</v>
      </c>
      <c r="J558" t="s">
        <v>56</v>
      </c>
      <c r="K558" t="s">
        <v>8</v>
      </c>
      <c r="L558" t="s">
        <v>37</v>
      </c>
      <c r="M558" t="s">
        <v>100</v>
      </c>
      <c r="N558" t="s">
        <v>83</v>
      </c>
      <c r="O558" t="s">
        <v>626</v>
      </c>
    </row>
    <row r="559" spans="1:15" x14ac:dyDescent="0.25">
      <c r="A559" t="s">
        <v>1265</v>
      </c>
      <c r="B559" t="s">
        <v>100</v>
      </c>
      <c r="C559" t="s">
        <v>621</v>
      </c>
      <c r="D559" t="s">
        <v>618</v>
      </c>
      <c r="E559" t="s">
        <v>622</v>
      </c>
      <c r="F559" s="213" t="s">
        <v>56</v>
      </c>
      <c r="G559" t="s">
        <v>66</v>
      </c>
      <c r="H559" t="s">
        <v>84</v>
      </c>
      <c r="I559" t="s">
        <v>623</v>
      </c>
      <c r="J559" t="s">
        <v>56</v>
      </c>
      <c r="K559" t="s">
        <v>10</v>
      </c>
      <c r="L559" t="s">
        <v>23</v>
      </c>
      <c r="M559" t="s">
        <v>100</v>
      </c>
      <c r="N559" t="s">
        <v>4</v>
      </c>
      <c r="O559" t="s">
        <v>1209</v>
      </c>
    </row>
    <row r="560" spans="1:15" x14ac:dyDescent="0.25">
      <c r="A560" t="s">
        <v>1266</v>
      </c>
      <c r="B560" t="s">
        <v>100</v>
      </c>
      <c r="C560" t="s">
        <v>621</v>
      </c>
      <c r="D560" t="s">
        <v>618</v>
      </c>
      <c r="E560" t="s">
        <v>622</v>
      </c>
      <c r="F560" s="213" t="s">
        <v>56</v>
      </c>
      <c r="G560" t="s">
        <v>66</v>
      </c>
      <c r="H560" t="s">
        <v>84</v>
      </c>
      <c r="I560" t="s">
        <v>623</v>
      </c>
      <c r="J560" t="s">
        <v>56</v>
      </c>
      <c r="K560" t="s">
        <v>8</v>
      </c>
      <c r="L560" t="s">
        <v>654</v>
      </c>
      <c r="M560" t="s">
        <v>0</v>
      </c>
      <c r="N560" t="s">
        <v>20</v>
      </c>
      <c r="O560" t="s">
        <v>967</v>
      </c>
    </row>
    <row r="561" spans="1:15" x14ac:dyDescent="0.25">
      <c r="A561" t="s">
        <v>1267</v>
      </c>
      <c r="B561" t="s">
        <v>100</v>
      </c>
      <c r="C561" t="s">
        <v>621</v>
      </c>
      <c r="D561" t="s">
        <v>618</v>
      </c>
      <c r="E561" t="s">
        <v>622</v>
      </c>
      <c r="F561" s="213" t="s">
        <v>56</v>
      </c>
      <c r="G561" t="s">
        <v>66</v>
      </c>
      <c r="H561" t="s">
        <v>84</v>
      </c>
      <c r="I561" t="s">
        <v>623</v>
      </c>
      <c r="J561" t="s">
        <v>56</v>
      </c>
      <c r="K561" t="s">
        <v>4</v>
      </c>
      <c r="L561" t="s">
        <v>626</v>
      </c>
      <c r="M561" t="s">
        <v>0</v>
      </c>
      <c r="N561" t="s">
        <v>44</v>
      </c>
      <c r="O561" t="s">
        <v>755</v>
      </c>
    </row>
    <row r="562" spans="1:15" x14ac:dyDescent="0.25">
      <c r="A562" t="s">
        <v>1268</v>
      </c>
      <c r="B562" t="s">
        <v>100</v>
      </c>
      <c r="C562" t="s">
        <v>621</v>
      </c>
      <c r="D562" t="s">
        <v>618</v>
      </c>
      <c r="E562" t="s">
        <v>622</v>
      </c>
      <c r="F562" s="213" t="s">
        <v>56</v>
      </c>
      <c r="G562" t="s">
        <v>66</v>
      </c>
      <c r="H562" t="s">
        <v>84</v>
      </c>
      <c r="I562" t="s">
        <v>623</v>
      </c>
      <c r="J562" t="s">
        <v>56</v>
      </c>
      <c r="K562" t="s">
        <v>1</v>
      </c>
      <c r="L562" t="s">
        <v>665</v>
      </c>
      <c r="M562" t="s">
        <v>0</v>
      </c>
      <c r="N562" t="s">
        <v>16</v>
      </c>
      <c r="O562" t="s">
        <v>1143</v>
      </c>
    </row>
    <row r="563" spans="1:15" x14ac:dyDescent="0.25">
      <c r="A563" t="s">
        <v>1269</v>
      </c>
      <c r="B563" t="s">
        <v>100</v>
      </c>
      <c r="C563" t="s">
        <v>621</v>
      </c>
      <c r="D563" t="s">
        <v>618</v>
      </c>
      <c r="E563" t="s">
        <v>622</v>
      </c>
      <c r="F563" s="213" t="s">
        <v>56</v>
      </c>
      <c r="G563" t="s">
        <v>66</v>
      </c>
      <c r="H563" t="s">
        <v>84</v>
      </c>
      <c r="I563" t="s">
        <v>623</v>
      </c>
      <c r="J563" t="s">
        <v>56</v>
      </c>
      <c r="K563" t="s">
        <v>5</v>
      </c>
      <c r="L563" t="s">
        <v>626</v>
      </c>
      <c r="M563" t="s">
        <v>100</v>
      </c>
      <c r="N563" t="s">
        <v>63</v>
      </c>
      <c r="O563" t="s">
        <v>639</v>
      </c>
    </row>
    <row r="564" spans="1:15" x14ac:dyDescent="0.25">
      <c r="A564" t="s">
        <v>1270</v>
      </c>
      <c r="B564" t="s">
        <v>100</v>
      </c>
      <c r="C564" t="s">
        <v>621</v>
      </c>
      <c r="D564" t="s">
        <v>618</v>
      </c>
      <c r="E564" t="s">
        <v>622</v>
      </c>
      <c r="F564" s="213" t="s">
        <v>56</v>
      </c>
      <c r="G564" t="s">
        <v>66</v>
      </c>
      <c r="H564" t="s">
        <v>84</v>
      </c>
      <c r="I564" t="s">
        <v>623</v>
      </c>
      <c r="J564" t="s">
        <v>56</v>
      </c>
      <c r="K564" t="s">
        <v>3</v>
      </c>
      <c r="L564" t="s">
        <v>628</v>
      </c>
      <c r="M564" t="s">
        <v>100</v>
      </c>
      <c r="N564" t="s">
        <v>72</v>
      </c>
      <c r="O564" t="s">
        <v>643</v>
      </c>
    </row>
    <row r="565" spans="1:15" x14ac:dyDescent="0.25">
      <c r="A565" t="s">
        <v>1271</v>
      </c>
      <c r="B565" t="s">
        <v>100</v>
      </c>
      <c r="C565" t="s">
        <v>621</v>
      </c>
      <c r="D565" t="s">
        <v>618</v>
      </c>
      <c r="E565" t="s">
        <v>622</v>
      </c>
      <c r="F565" s="213" t="s">
        <v>56</v>
      </c>
      <c r="G565" t="s">
        <v>66</v>
      </c>
      <c r="H565" t="s">
        <v>84</v>
      </c>
      <c r="I565" t="s">
        <v>623</v>
      </c>
      <c r="J565" t="s">
        <v>56</v>
      </c>
      <c r="K565" t="s">
        <v>1</v>
      </c>
      <c r="L565" t="s">
        <v>625</v>
      </c>
      <c r="M565" t="s">
        <v>100</v>
      </c>
      <c r="N565" t="s">
        <v>59</v>
      </c>
      <c r="O565" t="s">
        <v>662</v>
      </c>
    </row>
    <row r="566" spans="1:15" x14ac:dyDescent="0.25">
      <c r="A566" t="s">
        <v>1272</v>
      </c>
      <c r="B566" t="s">
        <v>100</v>
      </c>
      <c r="C566" t="s">
        <v>621</v>
      </c>
      <c r="D566" t="s">
        <v>618</v>
      </c>
      <c r="E566" t="s">
        <v>622</v>
      </c>
      <c r="F566" s="213" t="s">
        <v>56</v>
      </c>
      <c r="G566" t="s">
        <v>66</v>
      </c>
      <c r="H566" t="s">
        <v>84</v>
      </c>
      <c r="I566" t="s">
        <v>623</v>
      </c>
      <c r="J566" t="s">
        <v>56</v>
      </c>
      <c r="K566" t="s">
        <v>100</v>
      </c>
      <c r="L566" t="s">
        <v>629</v>
      </c>
      <c r="M566" t="s">
        <v>100</v>
      </c>
      <c r="N566" t="s">
        <v>90</v>
      </c>
      <c r="O566" t="s">
        <v>30</v>
      </c>
    </row>
    <row r="567" spans="1:15" x14ac:dyDescent="0.25">
      <c r="A567" t="s">
        <v>1273</v>
      </c>
      <c r="B567" t="s">
        <v>100</v>
      </c>
      <c r="C567" t="s">
        <v>621</v>
      </c>
      <c r="D567" t="s">
        <v>618</v>
      </c>
      <c r="E567" t="s">
        <v>622</v>
      </c>
      <c r="F567" s="213" t="s">
        <v>56</v>
      </c>
      <c r="G567" t="s">
        <v>66</v>
      </c>
      <c r="H567" t="s">
        <v>84</v>
      </c>
      <c r="I567" t="s">
        <v>623</v>
      </c>
      <c r="J567" t="s">
        <v>56</v>
      </c>
      <c r="K567" t="s">
        <v>7</v>
      </c>
      <c r="L567" t="s">
        <v>650</v>
      </c>
      <c r="M567" t="s">
        <v>100</v>
      </c>
      <c r="N567" t="s">
        <v>91</v>
      </c>
      <c r="O567" t="s">
        <v>38</v>
      </c>
    </row>
    <row r="568" spans="1:15" x14ac:dyDescent="0.25">
      <c r="A568" t="s">
        <v>1274</v>
      </c>
      <c r="B568" t="s">
        <v>100</v>
      </c>
      <c r="C568" t="s">
        <v>621</v>
      </c>
      <c r="D568" t="s">
        <v>618</v>
      </c>
      <c r="E568" t="s">
        <v>622</v>
      </c>
      <c r="F568" s="213" t="s">
        <v>56</v>
      </c>
      <c r="G568" t="s">
        <v>66</v>
      </c>
      <c r="H568" t="s">
        <v>84</v>
      </c>
      <c r="I568" t="s">
        <v>623</v>
      </c>
      <c r="J568" t="s">
        <v>56</v>
      </c>
      <c r="K568" t="s">
        <v>9</v>
      </c>
      <c r="L568" t="s">
        <v>1251</v>
      </c>
      <c r="M568" t="s">
        <v>100</v>
      </c>
      <c r="N568" t="s">
        <v>37</v>
      </c>
      <c r="O568" t="s">
        <v>875</v>
      </c>
    </row>
    <row r="569" spans="1:15" x14ac:dyDescent="0.25">
      <c r="A569" t="s">
        <v>1275</v>
      </c>
      <c r="B569" t="s">
        <v>100</v>
      </c>
      <c r="C569" t="s">
        <v>621</v>
      </c>
      <c r="D569" t="s">
        <v>618</v>
      </c>
      <c r="E569" t="s">
        <v>622</v>
      </c>
      <c r="F569" s="213" t="s">
        <v>56</v>
      </c>
      <c r="G569" t="s">
        <v>66</v>
      </c>
      <c r="H569" t="s">
        <v>84</v>
      </c>
      <c r="I569" t="s">
        <v>623</v>
      </c>
      <c r="J569" t="s">
        <v>56</v>
      </c>
      <c r="K569" t="s">
        <v>11</v>
      </c>
      <c r="L569" t="s">
        <v>101</v>
      </c>
      <c r="M569" t="s">
        <v>100</v>
      </c>
      <c r="N569" t="s">
        <v>7</v>
      </c>
      <c r="O569" t="s">
        <v>1158</v>
      </c>
    </row>
    <row r="570" spans="1:15" x14ac:dyDescent="0.25">
      <c r="A570" t="s">
        <v>1276</v>
      </c>
      <c r="B570" t="s">
        <v>100</v>
      </c>
      <c r="C570" t="s">
        <v>621</v>
      </c>
      <c r="D570" t="s">
        <v>618</v>
      </c>
      <c r="E570" t="s">
        <v>622</v>
      </c>
      <c r="F570" s="213" t="s">
        <v>56</v>
      </c>
      <c r="G570" t="s">
        <v>66</v>
      </c>
      <c r="H570" t="s">
        <v>84</v>
      </c>
      <c r="I570" t="s">
        <v>623</v>
      </c>
      <c r="J570" t="s">
        <v>56</v>
      </c>
      <c r="K570" t="s">
        <v>7</v>
      </c>
      <c r="L570" t="s">
        <v>38</v>
      </c>
      <c r="M570" t="s">
        <v>100</v>
      </c>
      <c r="N570" t="s">
        <v>77</v>
      </c>
      <c r="O570" t="s">
        <v>623</v>
      </c>
    </row>
    <row r="571" spans="1:15" x14ac:dyDescent="0.25">
      <c r="A571" t="s">
        <v>1277</v>
      </c>
      <c r="B571" t="s">
        <v>100</v>
      </c>
      <c r="C571" t="s">
        <v>621</v>
      </c>
      <c r="D571" t="s">
        <v>618</v>
      </c>
      <c r="E571" t="s">
        <v>622</v>
      </c>
      <c r="F571" s="213" t="s">
        <v>56</v>
      </c>
      <c r="G571" t="s">
        <v>66</v>
      </c>
      <c r="H571" t="s">
        <v>84</v>
      </c>
      <c r="I571" t="s">
        <v>623</v>
      </c>
      <c r="J571" t="s">
        <v>56</v>
      </c>
      <c r="K571" t="s">
        <v>9</v>
      </c>
      <c r="L571" t="s">
        <v>23</v>
      </c>
      <c r="M571" t="s">
        <v>100</v>
      </c>
      <c r="N571" t="s">
        <v>100</v>
      </c>
      <c r="O571" t="s">
        <v>1278</v>
      </c>
    </row>
    <row r="572" spans="1:15" x14ac:dyDescent="0.25">
      <c r="A572" t="s">
        <v>1279</v>
      </c>
      <c r="B572" t="s">
        <v>100</v>
      </c>
      <c r="C572" t="s">
        <v>621</v>
      </c>
      <c r="D572" t="s">
        <v>618</v>
      </c>
      <c r="E572" t="s">
        <v>622</v>
      </c>
      <c r="F572" s="213" t="s">
        <v>56</v>
      </c>
      <c r="G572" t="s">
        <v>66</v>
      </c>
      <c r="H572" t="s">
        <v>84</v>
      </c>
      <c r="I572" t="s">
        <v>623</v>
      </c>
      <c r="J572" t="s">
        <v>56</v>
      </c>
      <c r="K572" t="s">
        <v>9</v>
      </c>
      <c r="L572" t="s">
        <v>418</v>
      </c>
      <c r="M572" t="s">
        <v>0</v>
      </c>
      <c r="N572" t="s">
        <v>19</v>
      </c>
      <c r="O572" t="s">
        <v>1032</v>
      </c>
    </row>
    <row r="573" spans="1:15" x14ac:dyDescent="0.25">
      <c r="A573" t="s">
        <v>1280</v>
      </c>
      <c r="B573" t="s">
        <v>100</v>
      </c>
      <c r="C573" t="s">
        <v>621</v>
      </c>
      <c r="D573" t="s">
        <v>618</v>
      </c>
      <c r="E573" t="s">
        <v>622</v>
      </c>
      <c r="F573" s="213" t="s">
        <v>56</v>
      </c>
      <c r="G573" t="s">
        <v>66</v>
      </c>
      <c r="H573" t="s">
        <v>84</v>
      </c>
      <c r="I573" t="s">
        <v>623</v>
      </c>
      <c r="J573" t="s">
        <v>56</v>
      </c>
      <c r="K573" t="s">
        <v>3</v>
      </c>
      <c r="L573" t="s">
        <v>626</v>
      </c>
      <c r="M573" t="s">
        <v>0</v>
      </c>
      <c r="N573" t="s">
        <v>23</v>
      </c>
      <c r="O573" t="s">
        <v>812</v>
      </c>
    </row>
    <row r="574" spans="1:15" x14ac:dyDescent="0.25">
      <c r="A574" t="s">
        <v>1281</v>
      </c>
      <c r="B574" t="s">
        <v>100</v>
      </c>
      <c r="C574" t="s">
        <v>621</v>
      </c>
      <c r="D574" t="s">
        <v>618</v>
      </c>
      <c r="E574" t="s">
        <v>622</v>
      </c>
      <c r="F574" s="213" t="s">
        <v>56</v>
      </c>
      <c r="G574" t="s">
        <v>66</v>
      </c>
      <c r="H574" t="s">
        <v>84</v>
      </c>
      <c r="I574" t="s">
        <v>623</v>
      </c>
      <c r="J574" t="s">
        <v>56</v>
      </c>
      <c r="K574" t="s">
        <v>1</v>
      </c>
      <c r="L574" t="s">
        <v>630</v>
      </c>
      <c r="M574" t="s">
        <v>0</v>
      </c>
      <c r="N574" t="s">
        <v>11</v>
      </c>
      <c r="O574" t="s">
        <v>1131</v>
      </c>
    </row>
    <row r="575" spans="1:15" x14ac:dyDescent="0.25">
      <c r="A575" t="s">
        <v>1282</v>
      </c>
      <c r="B575" t="s">
        <v>100</v>
      </c>
      <c r="C575" t="s">
        <v>621</v>
      </c>
      <c r="D575" t="s">
        <v>618</v>
      </c>
      <c r="E575" t="s">
        <v>622</v>
      </c>
      <c r="F575" s="213" t="s">
        <v>56</v>
      </c>
      <c r="G575" t="s">
        <v>66</v>
      </c>
      <c r="H575" t="s">
        <v>84</v>
      </c>
      <c r="I575" t="s">
        <v>623</v>
      </c>
      <c r="J575" t="s">
        <v>56</v>
      </c>
      <c r="K575" t="s">
        <v>3</v>
      </c>
      <c r="L575" t="s">
        <v>626</v>
      </c>
      <c r="M575" t="s">
        <v>100</v>
      </c>
      <c r="N575" t="s">
        <v>32</v>
      </c>
      <c r="O575" t="s">
        <v>640</v>
      </c>
    </row>
    <row r="576" spans="1:15" x14ac:dyDescent="0.25">
      <c r="A576" t="s">
        <v>1283</v>
      </c>
      <c r="B576" t="s">
        <v>100</v>
      </c>
      <c r="C576" t="s">
        <v>621</v>
      </c>
      <c r="D576" t="s">
        <v>618</v>
      </c>
      <c r="E576" t="s">
        <v>622</v>
      </c>
      <c r="F576" s="213" t="s">
        <v>56</v>
      </c>
      <c r="G576" t="s">
        <v>66</v>
      </c>
      <c r="H576" t="s">
        <v>84</v>
      </c>
      <c r="I576" t="s">
        <v>623</v>
      </c>
      <c r="J576" t="s">
        <v>56</v>
      </c>
      <c r="K576" t="s">
        <v>1</v>
      </c>
      <c r="L576" t="s">
        <v>630</v>
      </c>
      <c r="M576" t="s">
        <v>100</v>
      </c>
      <c r="N576" t="s">
        <v>36</v>
      </c>
      <c r="O576" t="s">
        <v>677</v>
      </c>
    </row>
    <row r="577" spans="1:15" x14ac:dyDescent="0.25">
      <c r="A577" t="s">
        <v>1284</v>
      </c>
      <c r="B577" t="s">
        <v>100</v>
      </c>
      <c r="C577" t="s">
        <v>621</v>
      </c>
      <c r="D577" t="s">
        <v>618</v>
      </c>
      <c r="E577" t="s">
        <v>622</v>
      </c>
      <c r="F577" s="213" t="s">
        <v>56</v>
      </c>
      <c r="G577" t="s">
        <v>66</v>
      </c>
      <c r="H577" t="s">
        <v>84</v>
      </c>
      <c r="I577" t="s">
        <v>623</v>
      </c>
      <c r="J577" t="s">
        <v>56</v>
      </c>
      <c r="K577" t="s">
        <v>100</v>
      </c>
      <c r="L577" t="s">
        <v>632</v>
      </c>
      <c r="M577" t="s">
        <v>100</v>
      </c>
      <c r="N577" t="s">
        <v>24</v>
      </c>
      <c r="O577" t="s">
        <v>634</v>
      </c>
    </row>
    <row r="578" spans="1:15" x14ac:dyDescent="0.25">
      <c r="A578" t="s">
        <v>1285</v>
      </c>
      <c r="B578" t="s">
        <v>100</v>
      </c>
      <c r="C578" t="s">
        <v>621</v>
      </c>
      <c r="D578" t="s">
        <v>618</v>
      </c>
      <c r="E578" t="s">
        <v>622</v>
      </c>
      <c r="F578" s="213" t="s">
        <v>56</v>
      </c>
      <c r="G578" t="s">
        <v>66</v>
      </c>
      <c r="H578" t="s">
        <v>84</v>
      </c>
      <c r="I578" t="s">
        <v>623</v>
      </c>
      <c r="J578" t="s">
        <v>56</v>
      </c>
      <c r="K578" t="s">
        <v>6</v>
      </c>
      <c r="L578" t="s">
        <v>1077</v>
      </c>
      <c r="M578" t="s">
        <v>100</v>
      </c>
      <c r="N578" t="s">
        <v>28</v>
      </c>
      <c r="O578" t="s">
        <v>964</v>
      </c>
    </row>
    <row r="579" spans="1:15" x14ac:dyDescent="0.25">
      <c r="A579" t="s">
        <v>1286</v>
      </c>
      <c r="B579" t="s">
        <v>100</v>
      </c>
      <c r="C579" t="s">
        <v>621</v>
      </c>
      <c r="D579" t="s">
        <v>618</v>
      </c>
      <c r="E579" t="s">
        <v>622</v>
      </c>
      <c r="F579" s="213" t="s">
        <v>56</v>
      </c>
      <c r="G579" t="s">
        <v>66</v>
      </c>
      <c r="H579" t="s">
        <v>84</v>
      </c>
      <c r="I579" t="s">
        <v>623</v>
      </c>
      <c r="J579" t="s">
        <v>56</v>
      </c>
      <c r="K579" t="s">
        <v>8</v>
      </c>
      <c r="L579" t="s">
        <v>1287</v>
      </c>
      <c r="M579" t="s">
        <v>100</v>
      </c>
      <c r="N579" t="s">
        <v>93</v>
      </c>
      <c r="O579" t="s">
        <v>42</v>
      </c>
    </row>
    <row r="580" spans="1:15" x14ac:dyDescent="0.25">
      <c r="A580" t="s">
        <v>1288</v>
      </c>
      <c r="B580" t="s">
        <v>100</v>
      </c>
      <c r="C580" t="s">
        <v>621</v>
      </c>
      <c r="D580" t="s">
        <v>618</v>
      </c>
      <c r="E580" t="s">
        <v>622</v>
      </c>
      <c r="F580" s="213" t="s">
        <v>56</v>
      </c>
      <c r="G580" t="s">
        <v>66</v>
      </c>
      <c r="H580" t="s">
        <v>84</v>
      </c>
      <c r="I580" t="s">
        <v>623</v>
      </c>
      <c r="J580" t="s">
        <v>56</v>
      </c>
      <c r="K580" t="s">
        <v>5</v>
      </c>
      <c r="L580" t="s">
        <v>42</v>
      </c>
      <c r="M580" t="s">
        <v>100</v>
      </c>
      <c r="N580" t="s">
        <v>80</v>
      </c>
      <c r="O580" t="s">
        <v>625</v>
      </c>
    </row>
    <row r="581" spans="1:15" x14ac:dyDescent="0.25">
      <c r="A581" t="s">
        <v>1289</v>
      </c>
      <c r="B581" t="s">
        <v>100</v>
      </c>
      <c r="C581" t="s">
        <v>621</v>
      </c>
      <c r="D581" t="s">
        <v>618</v>
      </c>
      <c r="E581" t="s">
        <v>622</v>
      </c>
      <c r="F581" s="213" t="s">
        <v>56</v>
      </c>
      <c r="G581" t="s">
        <v>66</v>
      </c>
      <c r="H581" t="s">
        <v>84</v>
      </c>
      <c r="I581" t="s">
        <v>623</v>
      </c>
      <c r="J581" t="s">
        <v>56</v>
      </c>
      <c r="K581" t="s">
        <v>7</v>
      </c>
      <c r="L581" t="s">
        <v>23</v>
      </c>
      <c r="M581" t="s">
        <v>100</v>
      </c>
      <c r="N581" t="s">
        <v>40</v>
      </c>
      <c r="O581" t="s">
        <v>875</v>
      </c>
    </row>
    <row r="582" spans="1:15" x14ac:dyDescent="0.25">
      <c r="A582" t="s">
        <v>1290</v>
      </c>
      <c r="B582" t="s">
        <v>100</v>
      </c>
      <c r="C582" t="s">
        <v>621</v>
      </c>
      <c r="D582" t="s">
        <v>618</v>
      </c>
      <c r="E582" t="s">
        <v>622</v>
      </c>
      <c r="F582" s="213" t="s">
        <v>56</v>
      </c>
      <c r="G582" t="s">
        <v>66</v>
      </c>
      <c r="H582" t="s">
        <v>84</v>
      </c>
      <c r="I582" t="s">
        <v>623</v>
      </c>
      <c r="J582" t="s">
        <v>56</v>
      </c>
      <c r="K582" t="s">
        <v>5</v>
      </c>
      <c r="L582" t="s">
        <v>654</v>
      </c>
      <c r="M582" t="s">
        <v>0</v>
      </c>
      <c r="N582" t="s">
        <v>10</v>
      </c>
      <c r="O582" t="s">
        <v>1291</v>
      </c>
    </row>
    <row r="583" spans="1:15" x14ac:dyDescent="0.25">
      <c r="A583" t="s">
        <v>1292</v>
      </c>
      <c r="B583" t="s">
        <v>100</v>
      </c>
      <c r="C583" t="s">
        <v>621</v>
      </c>
      <c r="D583" t="s">
        <v>618</v>
      </c>
      <c r="E583" t="s">
        <v>622</v>
      </c>
      <c r="F583" s="213" t="s">
        <v>56</v>
      </c>
      <c r="G583" t="s">
        <v>66</v>
      </c>
      <c r="H583" t="s">
        <v>84</v>
      </c>
      <c r="I583" t="s">
        <v>623</v>
      </c>
      <c r="J583" t="s">
        <v>56</v>
      </c>
      <c r="K583" t="s">
        <v>1</v>
      </c>
      <c r="L583" t="s">
        <v>628</v>
      </c>
      <c r="M583" t="s">
        <v>0</v>
      </c>
      <c r="N583" t="s">
        <v>74</v>
      </c>
      <c r="O583" t="s">
        <v>888</v>
      </c>
    </row>
    <row r="584" spans="1:15" x14ac:dyDescent="0.25">
      <c r="A584" t="s">
        <v>1293</v>
      </c>
      <c r="B584" t="s">
        <v>100</v>
      </c>
      <c r="C584" t="s">
        <v>621</v>
      </c>
      <c r="D584" t="s">
        <v>618</v>
      </c>
      <c r="E584" t="s">
        <v>622</v>
      </c>
      <c r="F584" s="213" t="s">
        <v>56</v>
      </c>
      <c r="G584" t="s">
        <v>66</v>
      </c>
      <c r="H584" t="s">
        <v>84</v>
      </c>
      <c r="I584" t="s">
        <v>623</v>
      </c>
      <c r="J584" t="s">
        <v>56</v>
      </c>
      <c r="K584" t="s">
        <v>100</v>
      </c>
      <c r="L584" t="s">
        <v>625</v>
      </c>
      <c r="M584" t="s">
        <v>0</v>
      </c>
      <c r="N584" t="s">
        <v>2</v>
      </c>
      <c r="O584" t="s">
        <v>1294</v>
      </c>
    </row>
    <row r="585" spans="1:15" x14ac:dyDescent="0.25">
      <c r="A585" t="s">
        <v>1295</v>
      </c>
      <c r="B585" t="s">
        <v>100</v>
      </c>
      <c r="C585" t="s">
        <v>621</v>
      </c>
      <c r="D585" t="s">
        <v>618</v>
      </c>
      <c r="E585" t="s">
        <v>622</v>
      </c>
      <c r="F585" s="213" t="s">
        <v>56</v>
      </c>
      <c r="G585" t="s">
        <v>66</v>
      </c>
      <c r="H585" t="s">
        <v>84</v>
      </c>
      <c r="I585" t="s">
        <v>623</v>
      </c>
      <c r="J585" t="s">
        <v>56</v>
      </c>
      <c r="K585" t="s">
        <v>5</v>
      </c>
      <c r="L585" t="s">
        <v>878</v>
      </c>
      <c r="M585" t="s">
        <v>0</v>
      </c>
      <c r="N585" t="s">
        <v>81</v>
      </c>
      <c r="O585" t="s">
        <v>665</v>
      </c>
    </row>
    <row r="586" spans="1:15" x14ac:dyDescent="0.25">
      <c r="A586" t="s">
        <v>1296</v>
      </c>
      <c r="B586" t="s">
        <v>100</v>
      </c>
      <c r="C586" t="s">
        <v>621</v>
      </c>
      <c r="D586" t="s">
        <v>618</v>
      </c>
      <c r="E586" t="s">
        <v>622</v>
      </c>
      <c r="F586" s="213" t="s">
        <v>56</v>
      </c>
      <c r="G586" t="s">
        <v>66</v>
      </c>
      <c r="H586" t="s">
        <v>84</v>
      </c>
      <c r="I586" t="s">
        <v>623</v>
      </c>
      <c r="J586" t="s">
        <v>56</v>
      </c>
      <c r="K586" t="s">
        <v>7</v>
      </c>
      <c r="L586" t="s">
        <v>101</v>
      </c>
      <c r="M586" t="s">
        <v>0</v>
      </c>
      <c r="N586" t="s">
        <v>57</v>
      </c>
      <c r="O586" t="s">
        <v>735</v>
      </c>
    </row>
    <row r="587" spans="1:15" x14ac:dyDescent="0.25">
      <c r="A587" t="s">
        <v>1297</v>
      </c>
      <c r="B587" t="s">
        <v>100</v>
      </c>
      <c r="C587" t="s">
        <v>621</v>
      </c>
      <c r="D587" t="s">
        <v>618</v>
      </c>
      <c r="E587" t="s">
        <v>622</v>
      </c>
      <c r="F587" s="213" t="s">
        <v>56</v>
      </c>
      <c r="G587" t="s">
        <v>66</v>
      </c>
      <c r="H587" t="s">
        <v>84</v>
      </c>
      <c r="I587" t="s">
        <v>623</v>
      </c>
      <c r="J587" t="s">
        <v>56</v>
      </c>
      <c r="K587" t="s">
        <v>5</v>
      </c>
      <c r="L587" t="s">
        <v>25</v>
      </c>
      <c r="M587" t="s">
        <v>0</v>
      </c>
      <c r="N587" t="s">
        <v>70</v>
      </c>
      <c r="O587" t="s">
        <v>685</v>
      </c>
    </row>
    <row r="588" spans="1:15" x14ac:dyDescent="0.25">
      <c r="A588" t="s">
        <v>1298</v>
      </c>
      <c r="B588" t="s">
        <v>100</v>
      </c>
      <c r="C588" t="s">
        <v>621</v>
      </c>
      <c r="D588" t="s">
        <v>618</v>
      </c>
      <c r="E588" t="s">
        <v>622</v>
      </c>
      <c r="F588" s="213" t="s">
        <v>56</v>
      </c>
      <c r="G588" t="s">
        <v>66</v>
      </c>
      <c r="H588" t="s">
        <v>84</v>
      </c>
      <c r="I588" t="s">
        <v>623</v>
      </c>
      <c r="J588" t="s">
        <v>56</v>
      </c>
      <c r="K588" t="s">
        <v>4</v>
      </c>
      <c r="L588" t="s">
        <v>626</v>
      </c>
      <c r="M588" t="s">
        <v>100</v>
      </c>
      <c r="N588" t="s">
        <v>31</v>
      </c>
      <c r="O588" t="s">
        <v>701</v>
      </c>
    </row>
    <row r="589" spans="1:15" x14ac:dyDescent="0.25">
      <c r="A589" t="s">
        <v>1299</v>
      </c>
      <c r="B589" t="s">
        <v>100</v>
      </c>
      <c r="C589" t="s">
        <v>621</v>
      </c>
      <c r="D589" t="s">
        <v>618</v>
      </c>
      <c r="E589" t="s">
        <v>622</v>
      </c>
      <c r="F589" s="213" t="s">
        <v>56</v>
      </c>
      <c r="G589" t="s">
        <v>66</v>
      </c>
      <c r="H589" t="s">
        <v>84</v>
      </c>
      <c r="I589" t="s">
        <v>623</v>
      </c>
      <c r="J589" t="s">
        <v>56</v>
      </c>
      <c r="K589" t="s">
        <v>1</v>
      </c>
      <c r="L589" t="s">
        <v>665</v>
      </c>
      <c r="M589" t="s">
        <v>100</v>
      </c>
      <c r="N589" t="s">
        <v>25</v>
      </c>
      <c r="O589" t="s">
        <v>1082</v>
      </c>
    </row>
    <row r="590" spans="1:15" x14ac:dyDescent="0.25">
      <c r="A590" t="s">
        <v>1300</v>
      </c>
      <c r="B590" t="s">
        <v>100</v>
      </c>
      <c r="C590" t="s">
        <v>621</v>
      </c>
      <c r="D590" t="s">
        <v>618</v>
      </c>
      <c r="E590" t="s">
        <v>622</v>
      </c>
      <c r="F590" s="213" t="s">
        <v>56</v>
      </c>
      <c r="G590" t="s">
        <v>66</v>
      </c>
      <c r="H590" t="s">
        <v>84</v>
      </c>
      <c r="I590" t="s">
        <v>623</v>
      </c>
      <c r="J590" t="s">
        <v>56</v>
      </c>
      <c r="K590" t="s">
        <v>100</v>
      </c>
      <c r="L590" t="s">
        <v>642</v>
      </c>
      <c r="M590" t="s">
        <v>100</v>
      </c>
      <c r="N590" t="s">
        <v>29</v>
      </c>
      <c r="O590" t="s">
        <v>1035</v>
      </c>
    </row>
    <row r="591" spans="1:15" x14ac:dyDescent="0.25">
      <c r="A591" t="s">
        <v>1301</v>
      </c>
      <c r="B591" t="s">
        <v>100</v>
      </c>
      <c r="C591" t="s">
        <v>621</v>
      </c>
      <c r="D591" t="s">
        <v>618</v>
      </c>
      <c r="E591" t="s">
        <v>622</v>
      </c>
      <c r="F591" s="213" t="s">
        <v>56</v>
      </c>
      <c r="G591" t="s">
        <v>66</v>
      </c>
      <c r="H591" t="s">
        <v>84</v>
      </c>
      <c r="I591" t="s">
        <v>623</v>
      </c>
      <c r="J591" t="s">
        <v>56</v>
      </c>
      <c r="K591" t="s">
        <v>6</v>
      </c>
      <c r="L591" t="s">
        <v>652</v>
      </c>
      <c r="M591" t="s">
        <v>100</v>
      </c>
      <c r="N591" t="s">
        <v>43</v>
      </c>
      <c r="O591" t="s">
        <v>781</v>
      </c>
    </row>
    <row r="592" spans="1:15" x14ac:dyDescent="0.25">
      <c r="A592" t="s">
        <v>1302</v>
      </c>
      <c r="B592" t="s">
        <v>100</v>
      </c>
      <c r="C592" t="s">
        <v>621</v>
      </c>
      <c r="D592" t="s">
        <v>618</v>
      </c>
      <c r="E592" t="s">
        <v>622</v>
      </c>
      <c r="F592" s="213" t="s">
        <v>56</v>
      </c>
      <c r="G592" t="s">
        <v>66</v>
      </c>
      <c r="H592" t="s">
        <v>84</v>
      </c>
      <c r="I592" t="s">
        <v>623</v>
      </c>
      <c r="J592" t="s">
        <v>56</v>
      </c>
      <c r="K592" t="s">
        <v>8</v>
      </c>
      <c r="L592" t="s">
        <v>1251</v>
      </c>
      <c r="M592" t="s">
        <v>100</v>
      </c>
      <c r="N592" t="s">
        <v>88</v>
      </c>
      <c r="O592" t="s">
        <v>100</v>
      </c>
    </row>
    <row r="593" spans="1:15" x14ac:dyDescent="0.25">
      <c r="A593" t="s">
        <v>1303</v>
      </c>
      <c r="B593" t="s">
        <v>100</v>
      </c>
      <c r="C593" t="s">
        <v>621</v>
      </c>
      <c r="D593" t="s">
        <v>618</v>
      </c>
      <c r="E593" t="s">
        <v>622</v>
      </c>
      <c r="F593" s="213" t="s">
        <v>56</v>
      </c>
      <c r="G593" t="s">
        <v>66</v>
      </c>
      <c r="H593" t="s">
        <v>84</v>
      </c>
      <c r="I593" t="s">
        <v>623</v>
      </c>
      <c r="J593" t="s">
        <v>56</v>
      </c>
      <c r="K593" t="s">
        <v>10</v>
      </c>
      <c r="L593" t="s">
        <v>101</v>
      </c>
      <c r="M593" t="s">
        <v>100</v>
      </c>
      <c r="N593" t="s">
        <v>41</v>
      </c>
      <c r="O593" t="s">
        <v>969</v>
      </c>
    </row>
    <row r="594" spans="1:15" x14ac:dyDescent="0.25">
      <c r="A594" t="s">
        <v>1304</v>
      </c>
      <c r="B594" t="s">
        <v>100</v>
      </c>
      <c r="C594" t="s">
        <v>621</v>
      </c>
      <c r="D594" t="s">
        <v>618</v>
      </c>
      <c r="E594" t="s">
        <v>622</v>
      </c>
      <c r="F594" s="213" t="s">
        <v>56</v>
      </c>
      <c r="G594" t="s">
        <v>66</v>
      </c>
      <c r="H594" t="s">
        <v>84</v>
      </c>
      <c r="I594" t="s">
        <v>623</v>
      </c>
      <c r="J594" t="s">
        <v>56</v>
      </c>
      <c r="K594" t="s">
        <v>6</v>
      </c>
      <c r="L594" t="s">
        <v>40</v>
      </c>
      <c r="M594" t="s">
        <v>100</v>
      </c>
      <c r="N594" t="s">
        <v>5</v>
      </c>
      <c r="O594" t="s">
        <v>1224</v>
      </c>
    </row>
    <row r="595" spans="1:15" x14ac:dyDescent="0.25">
      <c r="A595" t="s">
        <v>1305</v>
      </c>
      <c r="B595" t="s">
        <v>100</v>
      </c>
      <c r="C595" t="s">
        <v>621</v>
      </c>
      <c r="D595" t="s">
        <v>618</v>
      </c>
      <c r="E595" t="s">
        <v>622</v>
      </c>
      <c r="F595" s="213" t="s">
        <v>56</v>
      </c>
      <c r="G595" t="s">
        <v>66</v>
      </c>
      <c r="H595" t="s">
        <v>84</v>
      </c>
      <c r="I595" t="s">
        <v>623</v>
      </c>
      <c r="J595" t="s">
        <v>56</v>
      </c>
      <c r="K595" t="s">
        <v>8</v>
      </c>
      <c r="L595" t="s">
        <v>23</v>
      </c>
      <c r="M595" t="s">
        <v>100</v>
      </c>
      <c r="N595" t="s">
        <v>9</v>
      </c>
      <c r="O595" t="s">
        <v>1291</v>
      </c>
    </row>
    <row r="596" spans="1:15" x14ac:dyDescent="0.25">
      <c r="A596" t="s">
        <v>1306</v>
      </c>
      <c r="B596" t="s">
        <v>100</v>
      </c>
      <c r="C596" t="s">
        <v>621</v>
      </c>
      <c r="D596" t="s">
        <v>618</v>
      </c>
      <c r="E596" t="s">
        <v>622</v>
      </c>
      <c r="F596" s="213" t="s">
        <v>56</v>
      </c>
      <c r="G596" t="s">
        <v>66</v>
      </c>
      <c r="H596" t="s">
        <v>84</v>
      </c>
      <c r="I596" t="s">
        <v>623</v>
      </c>
      <c r="J596" t="s">
        <v>56</v>
      </c>
      <c r="K596" t="s">
        <v>6</v>
      </c>
      <c r="L596" t="s">
        <v>654</v>
      </c>
      <c r="M596" t="s">
        <v>0</v>
      </c>
      <c r="N596" t="s">
        <v>3</v>
      </c>
      <c r="O596" t="s">
        <v>1307</v>
      </c>
    </row>
    <row r="597" spans="1:15" x14ac:dyDescent="0.25">
      <c r="A597" t="s">
        <v>1308</v>
      </c>
      <c r="B597" t="s">
        <v>100</v>
      </c>
      <c r="C597" t="s">
        <v>621</v>
      </c>
      <c r="D597" t="s">
        <v>618</v>
      </c>
      <c r="E597" t="s">
        <v>622</v>
      </c>
      <c r="F597" s="213" t="s">
        <v>56</v>
      </c>
      <c r="G597" t="s">
        <v>66</v>
      </c>
      <c r="H597" t="s">
        <v>84</v>
      </c>
      <c r="I597" t="s">
        <v>623</v>
      </c>
      <c r="J597" t="s">
        <v>56</v>
      </c>
      <c r="K597" t="s">
        <v>2</v>
      </c>
      <c r="L597" t="s">
        <v>626</v>
      </c>
      <c r="M597" t="s">
        <v>0</v>
      </c>
      <c r="N597" t="s">
        <v>88</v>
      </c>
      <c r="O597" t="s">
        <v>418</v>
      </c>
    </row>
    <row r="598" spans="1:15" x14ac:dyDescent="0.25">
      <c r="A598" t="s">
        <v>1309</v>
      </c>
      <c r="B598" t="s">
        <v>100</v>
      </c>
      <c r="C598" t="s">
        <v>621</v>
      </c>
      <c r="D598" t="s">
        <v>618</v>
      </c>
      <c r="E598" t="s">
        <v>622</v>
      </c>
      <c r="F598" s="213" t="s">
        <v>56</v>
      </c>
      <c r="G598" t="s">
        <v>66</v>
      </c>
      <c r="H598" t="s">
        <v>84</v>
      </c>
      <c r="I598" t="s">
        <v>623</v>
      </c>
      <c r="J598" t="s">
        <v>56</v>
      </c>
      <c r="K598" t="s">
        <v>0</v>
      </c>
      <c r="L598" t="s">
        <v>665</v>
      </c>
      <c r="M598" t="s">
        <v>0</v>
      </c>
      <c r="N598" t="s">
        <v>21</v>
      </c>
      <c r="O598" t="s">
        <v>636</v>
      </c>
    </row>
    <row r="599" spans="1:15" x14ac:dyDescent="0.25">
      <c r="A599" t="s">
        <v>1310</v>
      </c>
      <c r="B599" t="s">
        <v>100</v>
      </c>
      <c r="C599" t="s">
        <v>621</v>
      </c>
      <c r="D599" t="s">
        <v>618</v>
      </c>
      <c r="E599" t="s">
        <v>622</v>
      </c>
      <c r="F599" s="213" t="s">
        <v>56</v>
      </c>
      <c r="G599" t="s">
        <v>66</v>
      </c>
      <c r="H599" t="s">
        <v>84</v>
      </c>
      <c r="I599" t="s">
        <v>623</v>
      </c>
      <c r="J599" t="s">
        <v>56</v>
      </c>
      <c r="K599" t="s">
        <v>4</v>
      </c>
      <c r="L599" t="s">
        <v>827</v>
      </c>
      <c r="M599" t="s">
        <v>0</v>
      </c>
      <c r="N599" t="s">
        <v>54</v>
      </c>
      <c r="O599" t="s">
        <v>741</v>
      </c>
    </row>
    <row r="600" spans="1:15" x14ac:dyDescent="0.25">
      <c r="A600" t="s">
        <v>1311</v>
      </c>
      <c r="B600" t="s">
        <v>100</v>
      </c>
      <c r="C600" t="s">
        <v>621</v>
      </c>
      <c r="D600" t="s">
        <v>618</v>
      </c>
      <c r="E600" t="s">
        <v>622</v>
      </c>
      <c r="F600" s="213" t="s">
        <v>56</v>
      </c>
      <c r="G600" t="s">
        <v>66</v>
      </c>
      <c r="H600" t="s">
        <v>84</v>
      </c>
      <c r="I600" t="s">
        <v>623</v>
      </c>
      <c r="J600" t="s">
        <v>56</v>
      </c>
      <c r="K600" t="s">
        <v>2</v>
      </c>
      <c r="L600" t="s">
        <v>626</v>
      </c>
      <c r="M600" t="s">
        <v>100</v>
      </c>
      <c r="N600" t="s">
        <v>68</v>
      </c>
      <c r="O600" t="s">
        <v>645</v>
      </c>
    </row>
    <row r="601" spans="1:15" x14ac:dyDescent="0.25">
      <c r="A601" t="s">
        <v>1312</v>
      </c>
      <c r="B601" t="s">
        <v>100</v>
      </c>
      <c r="C601" t="s">
        <v>621</v>
      </c>
      <c r="D601" t="s">
        <v>618</v>
      </c>
      <c r="E601" t="s">
        <v>622</v>
      </c>
      <c r="F601" s="213" t="s">
        <v>56</v>
      </c>
      <c r="G601" t="s">
        <v>66</v>
      </c>
      <c r="H601" t="s">
        <v>84</v>
      </c>
      <c r="I601" t="s">
        <v>623</v>
      </c>
      <c r="J601" t="s">
        <v>56</v>
      </c>
      <c r="K601" t="s">
        <v>0</v>
      </c>
      <c r="L601" t="s">
        <v>665</v>
      </c>
      <c r="M601" t="s">
        <v>100</v>
      </c>
      <c r="N601" t="s">
        <v>34</v>
      </c>
      <c r="O601" t="s">
        <v>701</v>
      </c>
    </row>
    <row r="602" spans="1:15" x14ac:dyDescent="0.25">
      <c r="A602" t="s">
        <v>1313</v>
      </c>
      <c r="B602" t="s">
        <v>100</v>
      </c>
      <c r="C602" t="s">
        <v>621</v>
      </c>
      <c r="D602" t="s">
        <v>618</v>
      </c>
      <c r="E602" t="s">
        <v>622</v>
      </c>
      <c r="F602" s="213" t="s">
        <v>56</v>
      </c>
      <c r="G602" t="s">
        <v>66</v>
      </c>
      <c r="H602" t="s">
        <v>84</v>
      </c>
      <c r="I602" t="s">
        <v>623</v>
      </c>
      <c r="J602" t="s">
        <v>56</v>
      </c>
      <c r="K602" t="s">
        <v>4</v>
      </c>
      <c r="L602" t="s">
        <v>827</v>
      </c>
      <c r="M602" t="s">
        <v>100</v>
      </c>
      <c r="N602" t="s">
        <v>52</v>
      </c>
      <c r="O602" t="s">
        <v>647</v>
      </c>
    </row>
    <row r="603" spans="1:15" x14ac:dyDescent="0.25">
      <c r="A603" t="s">
        <v>1314</v>
      </c>
      <c r="B603" t="s">
        <v>100</v>
      </c>
      <c r="C603" t="s">
        <v>621</v>
      </c>
      <c r="D603" t="s">
        <v>618</v>
      </c>
      <c r="E603" t="s">
        <v>622</v>
      </c>
      <c r="F603" s="213" t="s">
        <v>56</v>
      </c>
      <c r="G603" t="s">
        <v>66</v>
      </c>
      <c r="H603" t="s">
        <v>84</v>
      </c>
      <c r="I603" t="s">
        <v>623</v>
      </c>
      <c r="J603" t="s">
        <v>56</v>
      </c>
      <c r="K603" t="s">
        <v>6</v>
      </c>
      <c r="L603" t="s">
        <v>786</v>
      </c>
      <c r="M603" t="s">
        <v>100</v>
      </c>
      <c r="N603" t="s">
        <v>94</v>
      </c>
      <c r="O603" t="s">
        <v>46</v>
      </c>
    </row>
    <row r="604" spans="1:15" x14ac:dyDescent="0.25">
      <c r="A604" t="s">
        <v>1315</v>
      </c>
      <c r="B604" t="s">
        <v>100</v>
      </c>
      <c r="C604" t="s">
        <v>621</v>
      </c>
      <c r="D604" t="s">
        <v>618</v>
      </c>
      <c r="E604" t="s">
        <v>622</v>
      </c>
      <c r="F604" s="213" t="s">
        <v>56</v>
      </c>
      <c r="G604" t="s">
        <v>66</v>
      </c>
      <c r="H604" t="s">
        <v>84</v>
      </c>
      <c r="I604" t="s">
        <v>623</v>
      </c>
      <c r="J604" t="s">
        <v>56</v>
      </c>
      <c r="K604" t="s">
        <v>8</v>
      </c>
      <c r="L604" t="s">
        <v>101</v>
      </c>
      <c r="M604" t="s">
        <v>100</v>
      </c>
      <c r="N604" t="s">
        <v>92</v>
      </c>
      <c r="O604" t="s">
        <v>24</v>
      </c>
    </row>
    <row r="605" spans="1:15" x14ac:dyDescent="0.25">
      <c r="A605" t="s">
        <v>1316</v>
      </c>
      <c r="B605" t="s">
        <v>100</v>
      </c>
      <c r="C605" t="s">
        <v>621</v>
      </c>
      <c r="D605" t="s">
        <v>618</v>
      </c>
      <c r="E605" t="s">
        <v>622</v>
      </c>
      <c r="F605" s="213" t="s">
        <v>56</v>
      </c>
      <c r="G605" t="s">
        <v>66</v>
      </c>
      <c r="H605" t="s">
        <v>84</v>
      </c>
      <c r="I605" t="s">
        <v>623</v>
      </c>
      <c r="J605" t="s">
        <v>56</v>
      </c>
      <c r="K605" t="s">
        <v>5</v>
      </c>
      <c r="L605" t="s">
        <v>35</v>
      </c>
      <c r="M605" t="s">
        <v>100</v>
      </c>
      <c r="N605" t="s">
        <v>76</v>
      </c>
      <c r="O605" t="s">
        <v>643</v>
      </c>
    </row>
    <row r="606" spans="1:15" x14ac:dyDescent="0.25">
      <c r="A606" t="s">
        <v>1317</v>
      </c>
      <c r="B606" t="s">
        <v>100</v>
      </c>
      <c r="C606" t="s">
        <v>621</v>
      </c>
      <c r="D606" t="s">
        <v>618</v>
      </c>
      <c r="E606" t="s">
        <v>622</v>
      </c>
      <c r="F606" s="213" t="s">
        <v>56</v>
      </c>
      <c r="G606" t="s">
        <v>66</v>
      </c>
      <c r="H606" t="s">
        <v>84</v>
      </c>
      <c r="I606" t="s">
        <v>623</v>
      </c>
      <c r="J606" t="s">
        <v>56</v>
      </c>
      <c r="K606" t="s">
        <v>7</v>
      </c>
      <c r="L606" t="s">
        <v>13</v>
      </c>
      <c r="M606" t="s">
        <v>100</v>
      </c>
      <c r="N606" t="s">
        <v>66</v>
      </c>
      <c r="O606" t="s">
        <v>809</v>
      </c>
    </row>
    <row r="607" spans="1:15" x14ac:dyDescent="0.25">
      <c r="A607" t="s">
        <v>1318</v>
      </c>
      <c r="B607" t="s">
        <v>100</v>
      </c>
      <c r="C607" t="s">
        <v>621</v>
      </c>
      <c r="D607" t="s">
        <v>618</v>
      </c>
      <c r="E607" t="s">
        <v>622</v>
      </c>
      <c r="F607" s="213" t="s">
        <v>56</v>
      </c>
      <c r="G607" t="s">
        <v>66</v>
      </c>
      <c r="H607" t="s">
        <v>84</v>
      </c>
      <c r="I607" t="s">
        <v>623</v>
      </c>
      <c r="J607" t="s">
        <v>56</v>
      </c>
      <c r="K607" t="s">
        <v>4</v>
      </c>
      <c r="L607" t="s">
        <v>654</v>
      </c>
      <c r="M607" t="s">
        <v>0</v>
      </c>
      <c r="N607" t="s">
        <v>45</v>
      </c>
      <c r="O607" t="s">
        <v>672</v>
      </c>
    </row>
    <row r="608" spans="1:15" x14ac:dyDescent="0.25">
      <c r="A608" t="s">
        <v>1319</v>
      </c>
      <c r="B608" t="s">
        <v>100</v>
      </c>
      <c r="C608" t="s">
        <v>621</v>
      </c>
      <c r="D608" t="s">
        <v>618</v>
      </c>
      <c r="E608" t="s">
        <v>622</v>
      </c>
      <c r="F608" s="213" t="s">
        <v>56</v>
      </c>
      <c r="G608" t="s">
        <v>66</v>
      </c>
      <c r="H608" t="s">
        <v>84</v>
      </c>
      <c r="I608" t="s">
        <v>623</v>
      </c>
      <c r="J608" t="s">
        <v>56</v>
      </c>
      <c r="K608" t="s">
        <v>1</v>
      </c>
      <c r="L608" t="s">
        <v>626</v>
      </c>
      <c r="M608" t="s">
        <v>0</v>
      </c>
      <c r="N608" t="s">
        <v>86</v>
      </c>
      <c r="O608" t="s">
        <v>628</v>
      </c>
    </row>
    <row r="609" spans="1:15" x14ac:dyDescent="0.25">
      <c r="A609" t="s">
        <v>1320</v>
      </c>
      <c r="B609" t="s">
        <v>100</v>
      </c>
      <c r="C609" t="s">
        <v>621</v>
      </c>
      <c r="D609" t="s">
        <v>618</v>
      </c>
      <c r="E609" t="s">
        <v>622</v>
      </c>
      <c r="F609" s="213" t="s">
        <v>56</v>
      </c>
      <c r="G609" t="s">
        <v>66</v>
      </c>
      <c r="H609" t="s">
        <v>84</v>
      </c>
      <c r="I609" t="s">
        <v>623</v>
      </c>
      <c r="J609" t="s">
        <v>56</v>
      </c>
      <c r="K609" t="s">
        <v>100</v>
      </c>
      <c r="L609" t="s">
        <v>665</v>
      </c>
      <c r="M609" t="s">
        <v>0</v>
      </c>
      <c r="N609" t="s">
        <v>69</v>
      </c>
      <c r="O609" t="s">
        <v>656</v>
      </c>
    </row>
    <row r="610" spans="1:15" x14ac:dyDescent="0.25">
      <c r="A610" t="s">
        <v>1321</v>
      </c>
      <c r="B610" t="s">
        <v>100</v>
      </c>
      <c r="C610" t="s">
        <v>621</v>
      </c>
      <c r="D610" t="s">
        <v>618</v>
      </c>
      <c r="E610" t="s">
        <v>622</v>
      </c>
      <c r="F610" s="213" t="s">
        <v>56</v>
      </c>
      <c r="G610" t="s">
        <v>66</v>
      </c>
      <c r="H610" t="s">
        <v>84</v>
      </c>
      <c r="I610" t="s">
        <v>623</v>
      </c>
      <c r="J610" t="s">
        <v>56</v>
      </c>
      <c r="K610" t="s">
        <v>4</v>
      </c>
      <c r="L610" t="s">
        <v>1322</v>
      </c>
      <c r="M610" t="s">
        <v>0</v>
      </c>
      <c r="N610" t="s">
        <v>91</v>
      </c>
      <c r="O610" t="s">
        <v>718</v>
      </c>
    </row>
    <row r="611" spans="1:15" x14ac:dyDescent="0.25">
      <c r="A611" t="s">
        <v>1323</v>
      </c>
      <c r="B611" t="s">
        <v>100</v>
      </c>
      <c r="C611" t="s">
        <v>621</v>
      </c>
      <c r="D611" t="s">
        <v>618</v>
      </c>
      <c r="E611" t="s">
        <v>622</v>
      </c>
      <c r="F611" s="213" t="s">
        <v>56</v>
      </c>
      <c r="G611" t="s">
        <v>66</v>
      </c>
      <c r="H611" t="s">
        <v>84</v>
      </c>
      <c r="I611" t="s">
        <v>623</v>
      </c>
      <c r="J611" t="s">
        <v>56</v>
      </c>
      <c r="K611" t="s">
        <v>6</v>
      </c>
      <c r="L611" t="s">
        <v>101</v>
      </c>
      <c r="M611" t="s">
        <v>0</v>
      </c>
      <c r="N611" t="s">
        <v>14</v>
      </c>
      <c r="O611" t="s">
        <v>1131</v>
      </c>
    </row>
    <row r="612" spans="1:15" x14ac:dyDescent="0.25">
      <c r="A612" t="s">
        <v>1324</v>
      </c>
      <c r="B612" t="s">
        <v>100</v>
      </c>
      <c r="C612" t="s">
        <v>621</v>
      </c>
      <c r="D612" t="s">
        <v>618</v>
      </c>
      <c r="E612" t="s">
        <v>622</v>
      </c>
      <c r="F612" s="213" t="s">
        <v>56</v>
      </c>
      <c r="G612" t="s">
        <v>66</v>
      </c>
      <c r="H612" t="s">
        <v>84</v>
      </c>
      <c r="I612" t="s">
        <v>623</v>
      </c>
      <c r="J612" t="s">
        <v>56</v>
      </c>
      <c r="K612" t="s">
        <v>4</v>
      </c>
      <c r="L612" t="s">
        <v>28</v>
      </c>
      <c r="M612" t="s">
        <v>0</v>
      </c>
      <c r="N612" t="s">
        <v>65</v>
      </c>
      <c r="O612" t="s">
        <v>814</v>
      </c>
    </row>
    <row r="613" spans="1:15" x14ac:dyDescent="0.25">
      <c r="A613" t="s">
        <v>1325</v>
      </c>
      <c r="B613" t="s">
        <v>100</v>
      </c>
      <c r="C613" t="s">
        <v>621</v>
      </c>
      <c r="D613" t="s">
        <v>618</v>
      </c>
      <c r="E613" t="s">
        <v>622</v>
      </c>
      <c r="F613" s="213" t="s">
        <v>56</v>
      </c>
      <c r="G613" t="s">
        <v>66</v>
      </c>
      <c r="H613" t="s">
        <v>84</v>
      </c>
      <c r="I613" t="s">
        <v>623</v>
      </c>
      <c r="J613" t="s">
        <v>56</v>
      </c>
      <c r="K613" t="s">
        <v>1</v>
      </c>
      <c r="L613" t="s">
        <v>628</v>
      </c>
      <c r="M613" t="s">
        <v>100</v>
      </c>
      <c r="N613" t="s">
        <v>35</v>
      </c>
      <c r="O613" t="s">
        <v>701</v>
      </c>
    </row>
    <row r="614" spans="1:15" x14ac:dyDescent="0.25">
      <c r="A614" t="s">
        <v>1326</v>
      </c>
      <c r="B614" t="s">
        <v>100</v>
      </c>
      <c r="C614" t="s">
        <v>621</v>
      </c>
      <c r="D614" t="s">
        <v>618</v>
      </c>
      <c r="E614" t="s">
        <v>622</v>
      </c>
      <c r="F614" s="213" t="s">
        <v>56</v>
      </c>
      <c r="G614" t="s">
        <v>66</v>
      </c>
      <c r="H614" t="s">
        <v>84</v>
      </c>
      <c r="I614" t="s">
        <v>623</v>
      </c>
      <c r="J614" t="s">
        <v>56</v>
      </c>
      <c r="K614" t="s">
        <v>100</v>
      </c>
      <c r="L614" t="s">
        <v>625</v>
      </c>
      <c r="M614" t="s">
        <v>100</v>
      </c>
      <c r="N614" t="s">
        <v>55</v>
      </c>
      <c r="O614" t="s">
        <v>765</v>
      </c>
    </row>
    <row r="615" spans="1:15" x14ac:dyDescent="0.25">
      <c r="A615" t="s">
        <v>1327</v>
      </c>
      <c r="B615" t="s">
        <v>100</v>
      </c>
      <c r="C615" t="s">
        <v>621</v>
      </c>
      <c r="D615" t="s">
        <v>618</v>
      </c>
      <c r="E615" t="s">
        <v>622</v>
      </c>
      <c r="F615" s="213" t="s">
        <v>56</v>
      </c>
      <c r="G615" t="s">
        <v>66</v>
      </c>
      <c r="H615" t="s">
        <v>84</v>
      </c>
      <c r="I615" t="s">
        <v>623</v>
      </c>
      <c r="J615" t="s">
        <v>56</v>
      </c>
      <c r="K615" t="s">
        <v>5</v>
      </c>
      <c r="L615" t="s">
        <v>878</v>
      </c>
      <c r="M615" t="s">
        <v>100</v>
      </c>
      <c r="N615" t="s">
        <v>27</v>
      </c>
      <c r="O615" t="s">
        <v>634</v>
      </c>
    </row>
    <row r="616" spans="1:15" x14ac:dyDescent="0.25">
      <c r="A616" t="s">
        <v>1328</v>
      </c>
      <c r="B616" t="s">
        <v>100</v>
      </c>
      <c r="C616" t="s">
        <v>621</v>
      </c>
      <c r="D616" t="s">
        <v>618</v>
      </c>
      <c r="E616" t="s">
        <v>622</v>
      </c>
      <c r="F616" s="213" t="s">
        <v>56</v>
      </c>
      <c r="G616" t="s">
        <v>66</v>
      </c>
      <c r="H616" t="s">
        <v>84</v>
      </c>
      <c r="I616" t="s">
        <v>623</v>
      </c>
      <c r="J616" t="s">
        <v>56</v>
      </c>
      <c r="K616" t="s">
        <v>7</v>
      </c>
      <c r="L616" t="s">
        <v>101</v>
      </c>
      <c r="M616" t="s">
        <v>100</v>
      </c>
      <c r="N616" t="s">
        <v>47</v>
      </c>
      <c r="O616" t="s">
        <v>672</v>
      </c>
    </row>
    <row r="617" spans="1:15" x14ac:dyDescent="0.25">
      <c r="A617" t="s">
        <v>1329</v>
      </c>
      <c r="B617" t="s">
        <v>100</v>
      </c>
      <c r="C617" t="s">
        <v>621</v>
      </c>
      <c r="D617" t="s">
        <v>618</v>
      </c>
      <c r="E617" t="s">
        <v>622</v>
      </c>
      <c r="F617" s="213" t="s">
        <v>56</v>
      </c>
      <c r="G617" t="s">
        <v>66</v>
      </c>
      <c r="H617" t="s">
        <v>84</v>
      </c>
      <c r="I617" t="s">
        <v>623</v>
      </c>
      <c r="J617" t="s">
        <v>56</v>
      </c>
      <c r="K617" t="s">
        <v>5</v>
      </c>
      <c r="L617" t="s">
        <v>25</v>
      </c>
      <c r="M617" t="s">
        <v>100</v>
      </c>
      <c r="N617" t="s">
        <v>79</v>
      </c>
      <c r="O617" t="s">
        <v>642</v>
      </c>
    </row>
    <row r="618" spans="1:15" x14ac:dyDescent="0.25">
      <c r="A618" t="s">
        <v>1330</v>
      </c>
      <c r="B618" t="s">
        <v>100</v>
      </c>
      <c r="C618" t="s">
        <v>621</v>
      </c>
      <c r="D618" t="s">
        <v>618</v>
      </c>
      <c r="E618" t="s">
        <v>622</v>
      </c>
      <c r="F618" s="213" t="s">
        <v>56</v>
      </c>
      <c r="G618" t="s">
        <v>66</v>
      </c>
      <c r="H618" t="s">
        <v>84</v>
      </c>
      <c r="I618" t="s">
        <v>623</v>
      </c>
      <c r="J618" t="s">
        <v>56</v>
      </c>
      <c r="K618" t="s">
        <v>3</v>
      </c>
      <c r="L618" t="s">
        <v>654</v>
      </c>
      <c r="M618" t="s">
        <v>0</v>
      </c>
      <c r="N618" t="s">
        <v>39</v>
      </c>
      <c r="O618" t="s">
        <v>677</v>
      </c>
    </row>
    <row r="619" spans="1:15" x14ac:dyDescent="0.25">
      <c r="A619" t="s">
        <v>1331</v>
      </c>
      <c r="B619" t="s">
        <v>100</v>
      </c>
      <c r="C619" t="s">
        <v>621</v>
      </c>
      <c r="D619" t="s">
        <v>618</v>
      </c>
      <c r="E619" t="s">
        <v>622</v>
      </c>
      <c r="F619" s="213" t="s">
        <v>56</v>
      </c>
      <c r="G619" t="s">
        <v>66</v>
      </c>
      <c r="H619" t="s">
        <v>84</v>
      </c>
      <c r="I619" t="s">
        <v>623</v>
      </c>
      <c r="J619" t="s">
        <v>56</v>
      </c>
      <c r="K619" t="s">
        <v>0</v>
      </c>
      <c r="L619" t="s">
        <v>628</v>
      </c>
      <c r="M619" t="s">
        <v>0</v>
      </c>
      <c r="N619" t="s">
        <v>61</v>
      </c>
      <c r="O619" t="s">
        <v>749</v>
      </c>
    </row>
    <row r="620" spans="1:15" x14ac:dyDescent="0.25">
      <c r="A620" t="s">
        <v>1332</v>
      </c>
      <c r="B620" t="s">
        <v>100</v>
      </c>
      <c r="C620" t="s">
        <v>621</v>
      </c>
      <c r="D620" t="s">
        <v>618</v>
      </c>
      <c r="E620" t="s">
        <v>622</v>
      </c>
      <c r="F620" s="213" t="s">
        <v>56</v>
      </c>
      <c r="G620" t="s">
        <v>66</v>
      </c>
      <c r="H620" t="s">
        <v>84</v>
      </c>
      <c r="I620" t="s">
        <v>623</v>
      </c>
      <c r="J620" t="s">
        <v>56</v>
      </c>
      <c r="K620" t="s">
        <v>2</v>
      </c>
      <c r="L620" t="s">
        <v>807</v>
      </c>
      <c r="M620" t="s">
        <v>0</v>
      </c>
      <c r="N620" t="s">
        <v>53</v>
      </c>
      <c r="O620" t="s">
        <v>647</v>
      </c>
    </row>
    <row r="621" spans="1:15" x14ac:dyDescent="0.25">
      <c r="A621" t="s">
        <v>1333</v>
      </c>
      <c r="B621" t="s">
        <v>100</v>
      </c>
      <c r="C621" t="s">
        <v>621</v>
      </c>
      <c r="D621" t="s">
        <v>618</v>
      </c>
      <c r="E621" t="s">
        <v>622</v>
      </c>
      <c r="F621" s="213" t="s">
        <v>56</v>
      </c>
      <c r="G621" t="s">
        <v>66</v>
      </c>
      <c r="H621" t="s">
        <v>84</v>
      </c>
      <c r="I621" t="s">
        <v>623</v>
      </c>
      <c r="J621" t="s">
        <v>56</v>
      </c>
      <c r="K621" t="s">
        <v>4</v>
      </c>
      <c r="L621" t="s">
        <v>1287</v>
      </c>
      <c r="M621" t="s">
        <v>0</v>
      </c>
      <c r="N621" t="s">
        <v>22</v>
      </c>
      <c r="O621" t="s">
        <v>1213</v>
      </c>
    </row>
    <row r="622" spans="1:15" x14ac:dyDescent="0.25">
      <c r="A622" t="s">
        <v>1334</v>
      </c>
      <c r="B622" t="s">
        <v>100</v>
      </c>
      <c r="C622" t="s">
        <v>621</v>
      </c>
      <c r="D622" t="s">
        <v>618</v>
      </c>
      <c r="E622" t="s">
        <v>622</v>
      </c>
      <c r="F622" s="213" t="s">
        <v>56</v>
      </c>
      <c r="G622" t="s">
        <v>66</v>
      </c>
      <c r="H622" t="s">
        <v>84</v>
      </c>
      <c r="I622" t="s">
        <v>623</v>
      </c>
      <c r="J622" t="s">
        <v>56</v>
      </c>
      <c r="K622" t="s">
        <v>2</v>
      </c>
      <c r="L622" t="s">
        <v>48</v>
      </c>
      <c r="M622" t="s">
        <v>0</v>
      </c>
      <c r="N622" t="s">
        <v>78</v>
      </c>
      <c r="O622" t="s">
        <v>629</v>
      </c>
    </row>
    <row r="623" spans="1:15" x14ac:dyDescent="0.25">
      <c r="A623" t="s">
        <v>1335</v>
      </c>
      <c r="B623" t="s">
        <v>100</v>
      </c>
      <c r="C623" t="s">
        <v>621</v>
      </c>
      <c r="D623" t="s">
        <v>618</v>
      </c>
      <c r="E623" t="s">
        <v>622</v>
      </c>
      <c r="F623" s="213" t="s">
        <v>56</v>
      </c>
      <c r="G623" t="s">
        <v>66</v>
      </c>
      <c r="H623" t="s">
        <v>84</v>
      </c>
      <c r="I623" t="s">
        <v>623</v>
      </c>
      <c r="J623" t="s">
        <v>56</v>
      </c>
      <c r="K623" t="s">
        <v>4</v>
      </c>
      <c r="L623" t="s">
        <v>14</v>
      </c>
      <c r="M623" t="s">
        <v>0</v>
      </c>
      <c r="N623" t="s">
        <v>17</v>
      </c>
      <c r="O623" t="s">
        <v>1080</v>
      </c>
    </row>
    <row r="624" spans="1:15" x14ac:dyDescent="0.25">
      <c r="A624" t="s">
        <v>1336</v>
      </c>
      <c r="B624" t="s">
        <v>100</v>
      </c>
      <c r="C624" t="s">
        <v>621</v>
      </c>
      <c r="D624" t="s">
        <v>618</v>
      </c>
      <c r="E624" t="s">
        <v>622</v>
      </c>
      <c r="F624" s="213" t="s">
        <v>56</v>
      </c>
      <c r="G624" t="s">
        <v>66</v>
      </c>
      <c r="H624" t="s">
        <v>84</v>
      </c>
      <c r="I624" t="s">
        <v>623</v>
      </c>
      <c r="J624" t="s">
        <v>56</v>
      </c>
      <c r="K624" t="s">
        <v>1</v>
      </c>
      <c r="L624" t="s">
        <v>654</v>
      </c>
      <c r="M624" t="s">
        <v>1</v>
      </c>
      <c r="N624" t="s">
        <v>70</v>
      </c>
      <c r="O624" t="s">
        <v>656</v>
      </c>
    </row>
    <row r="625" spans="1:15" x14ac:dyDescent="0.25">
      <c r="A625" t="s">
        <v>1337</v>
      </c>
      <c r="B625" t="s">
        <v>100</v>
      </c>
      <c r="C625" t="s">
        <v>621</v>
      </c>
      <c r="D625" t="s">
        <v>618</v>
      </c>
      <c r="E625" t="s">
        <v>622</v>
      </c>
      <c r="F625" s="213" t="s">
        <v>56</v>
      </c>
      <c r="G625" t="s">
        <v>66</v>
      </c>
      <c r="H625" t="s">
        <v>84</v>
      </c>
      <c r="I625" t="s">
        <v>623</v>
      </c>
      <c r="J625" t="s">
        <v>56</v>
      </c>
      <c r="K625" t="s">
        <v>1</v>
      </c>
      <c r="L625" t="s">
        <v>626</v>
      </c>
      <c r="M625" t="s">
        <v>100</v>
      </c>
      <c r="N625" t="s">
        <v>31</v>
      </c>
      <c r="O625" t="s">
        <v>633</v>
      </c>
    </row>
    <row r="626" spans="1:15" x14ac:dyDescent="0.25">
      <c r="A626" t="s">
        <v>1338</v>
      </c>
      <c r="B626" t="s">
        <v>100</v>
      </c>
      <c r="C626" t="s">
        <v>621</v>
      </c>
      <c r="D626" t="s">
        <v>618</v>
      </c>
      <c r="E626" t="s">
        <v>622</v>
      </c>
      <c r="F626" s="213" t="s">
        <v>56</v>
      </c>
      <c r="G626" t="s">
        <v>66</v>
      </c>
      <c r="H626" t="s">
        <v>84</v>
      </c>
      <c r="I626" t="s">
        <v>623</v>
      </c>
      <c r="J626" t="s">
        <v>56</v>
      </c>
      <c r="K626" t="s">
        <v>100</v>
      </c>
      <c r="L626" t="s">
        <v>665</v>
      </c>
      <c r="M626" t="s">
        <v>100</v>
      </c>
      <c r="N626" t="s">
        <v>63</v>
      </c>
      <c r="O626" t="s">
        <v>693</v>
      </c>
    </row>
    <row r="627" spans="1:15" x14ac:dyDescent="0.25">
      <c r="A627" t="s">
        <v>1339</v>
      </c>
      <c r="B627" t="s">
        <v>100</v>
      </c>
      <c r="C627" t="s">
        <v>621</v>
      </c>
      <c r="D627" t="s">
        <v>618</v>
      </c>
      <c r="E627" t="s">
        <v>622</v>
      </c>
      <c r="F627" s="213" t="s">
        <v>56</v>
      </c>
      <c r="G627" t="s">
        <v>66</v>
      </c>
      <c r="H627" t="s">
        <v>84</v>
      </c>
      <c r="I627" t="s">
        <v>623</v>
      </c>
      <c r="J627" t="s">
        <v>56</v>
      </c>
      <c r="K627" t="s">
        <v>4</v>
      </c>
      <c r="L627" t="s">
        <v>1322</v>
      </c>
      <c r="M627" t="s">
        <v>100</v>
      </c>
      <c r="N627" t="s">
        <v>29</v>
      </c>
      <c r="O627" t="s">
        <v>812</v>
      </c>
    </row>
    <row r="628" spans="1:15" x14ac:dyDescent="0.25">
      <c r="A628" t="s">
        <v>1340</v>
      </c>
      <c r="B628" t="s">
        <v>100</v>
      </c>
      <c r="C628" t="s">
        <v>621</v>
      </c>
      <c r="D628" t="s">
        <v>618</v>
      </c>
      <c r="E628" t="s">
        <v>622</v>
      </c>
      <c r="F628" s="213" t="s">
        <v>56</v>
      </c>
      <c r="G628" t="s">
        <v>66</v>
      </c>
      <c r="H628" t="s">
        <v>84</v>
      </c>
      <c r="I628" t="s">
        <v>623</v>
      </c>
      <c r="J628" t="s">
        <v>56</v>
      </c>
      <c r="K628" t="s">
        <v>6</v>
      </c>
      <c r="L628" t="s">
        <v>101</v>
      </c>
      <c r="M628" t="s">
        <v>100</v>
      </c>
      <c r="N628" t="s">
        <v>43</v>
      </c>
      <c r="O628" t="s">
        <v>761</v>
      </c>
    </row>
    <row r="629" spans="1:15" x14ac:dyDescent="0.25">
      <c r="A629" t="s">
        <v>1341</v>
      </c>
      <c r="B629" t="s">
        <v>100</v>
      </c>
      <c r="C629" t="s">
        <v>621</v>
      </c>
      <c r="D629" t="s">
        <v>618</v>
      </c>
      <c r="E629" t="s">
        <v>622</v>
      </c>
      <c r="F629" s="213" t="s">
        <v>56</v>
      </c>
      <c r="G629" t="s">
        <v>66</v>
      </c>
      <c r="H629" t="s">
        <v>84</v>
      </c>
      <c r="I629" t="s">
        <v>623</v>
      </c>
      <c r="J629" t="s">
        <v>56</v>
      </c>
      <c r="K629" t="s">
        <v>4</v>
      </c>
      <c r="L629" t="s">
        <v>28</v>
      </c>
      <c r="M629" t="s">
        <v>100</v>
      </c>
      <c r="N629" t="s">
        <v>47</v>
      </c>
      <c r="O629" t="s">
        <v>969</v>
      </c>
    </row>
    <row r="630" spans="1:15" x14ac:dyDescent="0.25">
      <c r="A630" t="s">
        <v>1342</v>
      </c>
      <c r="B630" t="s">
        <v>100</v>
      </c>
      <c r="C630" t="s">
        <v>621</v>
      </c>
      <c r="D630" t="s">
        <v>618</v>
      </c>
      <c r="E630" t="s">
        <v>622</v>
      </c>
      <c r="F630" s="213" t="s">
        <v>56</v>
      </c>
      <c r="G630" t="s">
        <v>66</v>
      </c>
      <c r="H630" t="s">
        <v>84</v>
      </c>
      <c r="I630" t="s">
        <v>623</v>
      </c>
      <c r="J630" t="s">
        <v>56</v>
      </c>
      <c r="K630" t="s">
        <v>2</v>
      </c>
      <c r="L630" t="s">
        <v>654</v>
      </c>
      <c r="M630" t="s">
        <v>0</v>
      </c>
      <c r="N630" t="s">
        <v>41</v>
      </c>
      <c r="O630" t="s">
        <v>712</v>
      </c>
    </row>
    <row r="631" spans="1:15" x14ac:dyDescent="0.25">
      <c r="A631" t="s">
        <v>1343</v>
      </c>
      <c r="B631" t="s">
        <v>100</v>
      </c>
      <c r="C631" t="s">
        <v>621</v>
      </c>
      <c r="D631" t="s">
        <v>618</v>
      </c>
      <c r="E631" t="s">
        <v>622</v>
      </c>
      <c r="F631" s="213" t="s">
        <v>56</v>
      </c>
      <c r="G631" t="s">
        <v>66</v>
      </c>
      <c r="H631" t="s">
        <v>84</v>
      </c>
      <c r="I631" t="s">
        <v>623</v>
      </c>
      <c r="J631" t="s">
        <v>56</v>
      </c>
      <c r="K631" t="s">
        <v>100</v>
      </c>
      <c r="L631" t="s">
        <v>714</v>
      </c>
      <c r="M631" t="s">
        <v>0</v>
      </c>
      <c r="N631" t="s">
        <v>7</v>
      </c>
      <c r="O631" t="s">
        <v>1344</v>
      </c>
    </row>
    <row r="632" spans="1:15" x14ac:dyDescent="0.25">
      <c r="A632" t="s">
        <v>1345</v>
      </c>
      <c r="B632" t="s">
        <v>100</v>
      </c>
      <c r="C632" t="s">
        <v>621</v>
      </c>
      <c r="D632" t="s">
        <v>618</v>
      </c>
      <c r="E632" t="s">
        <v>622</v>
      </c>
      <c r="F632" s="213" t="s">
        <v>56</v>
      </c>
      <c r="G632" t="s">
        <v>66</v>
      </c>
      <c r="H632" t="s">
        <v>84</v>
      </c>
      <c r="I632" t="s">
        <v>623</v>
      </c>
      <c r="J632" t="s">
        <v>56</v>
      </c>
      <c r="K632" t="s">
        <v>3</v>
      </c>
      <c r="L632" t="s">
        <v>1346</v>
      </c>
      <c r="M632" t="s">
        <v>0</v>
      </c>
      <c r="N632" t="s">
        <v>77</v>
      </c>
      <c r="O632" t="s">
        <v>888</v>
      </c>
    </row>
    <row r="633" spans="1:15" x14ac:dyDescent="0.25">
      <c r="A633" t="s">
        <v>1347</v>
      </c>
      <c r="B633" t="s">
        <v>100</v>
      </c>
      <c r="C633" t="s">
        <v>621</v>
      </c>
      <c r="D633" t="s">
        <v>618</v>
      </c>
      <c r="E633" t="s">
        <v>622</v>
      </c>
      <c r="F633" s="213" t="s">
        <v>56</v>
      </c>
      <c r="G633" t="s">
        <v>66</v>
      </c>
      <c r="H633" t="s">
        <v>84</v>
      </c>
      <c r="I633" t="s">
        <v>623</v>
      </c>
      <c r="J633" t="s">
        <v>56</v>
      </c>
      <c r="K633" t="s">
        <v>2</v>
      </c>
      <c r="L633" t="s">
        <v>36</v>
      </c>
      <c r="M633" t="s">
        <v>0</v>
      </c>
      <c r="N633" t="s">
        <v>100</v>
      </c>
      <c r="O633" t="s">
        <v>1348</v>
      </c>
    </row>
    <row r="634" spans="1:15" x14ac:dyDescent="0.25">
      <c r="A634" t="s">
        <v>1349</v>
      </c>
      <c r="B634" t="s">
        <v>100</v>
      </c>
      <c r="C634" t="s">
        <v>621</v>
      </c>
      <c r="D634" t="s">
        <v>618</v>
      </c>
      <c r="E634" t="s">
        <v>622</v>
      </c>
      <c r="F634" s="213" t="s">
        <v>56</v>
      </c>
      <c r="G634" t="s">
        <v>66</v>
      </c>
      <c r="H634" t="s">
        <v>84</v>
      </c>
      <c r="I634" t="s">
        <v>623</v>
      </c>
      <c r="J634" t="s">
        <v>56</v>
      </c>
      <c r="K634" t="s">
        <v>0</v>
      </c>
      <c r="L634" t="s">
        <v>654</v>
      </c>
      <c r="M634" t="s">
        <v>1</v>
      </c>
      <c r="N634" t="s">
        <v>19</v>
      </c>
      <c r="O634" t="s">
        <v>1080</v>
      </c>
    </row>
    <row r="635" spans="1:15" x14ac:dyDescent="0.25">
      <c r="A635" t="s">
        <v>1350</v>
      </c>
      <c r="B635" t="s">
        <v>100</v>
      </c>
      <c r="C635" t="s">
        <v>621</v>
      </c>
      <c r="D635" t="s">
        <v>618</v>
      </c>
      <c r="E635" t="s">
        <v>622</v>
      </c>
      <c r="F635" s="213" t="s">
        <v>56</v>
      </c>
      <c r="G635" t="s">
        <v>66</v>
      </c>
      <c r="H635" t="s">
        <v>84</v>
      </c>
      <c r="I635" t="s">
        <v>623</v>
      </c>
      <c r="J635" t="s">
        <v>56</v>
      </c>
      <c r="K635" t="s">
        <v>1</v>
      </c>
      <c r="L635" t="s">
        <v>1172</v>
      </c>
      <c r="M635" t="s">
        <v>1</v>
      </c>
      <c r="N635" t="s">
        <v>23</v>
      </c>
      <c r="O635" t="s">
        <v>1213</v>
      </c>
    </row>
    <row r="636" spans="1:15" x14ac:dyDescent="0.25">
      <c r="A636" t="s">
        <v>1351</v>
      </c>
      <c r="B636" t="s">
        <v>100</v>
      </c>
      <c r="C636" t="s">
        <v>621</v>
      </c>
      <c r="D636" t="s">
        <v>618</v>
      </c>
      <c r="E636" t="s">
        <v>622</v>
      </c>
      <c r="F636" s="213" t="s">
        <v>56</v>
      </c>
      <c r="G636" t="s">
        <v>66</v>
      </c>
      <c r="H636" t="s">
        <v>84</v>
      </c>
      <c r="I636" t="s">
        <v>623</v>
      </c>
      <c r="J636" t="s">
        <v>56</v>
      </c>
      <c r="K636" t="s">
        <v>1</v>
      </c>
      <c r="L636" t="s">
        <v>21</v>
      </c>
      <c r="M636" t="s">
        <v>1</v>
      </c>
      <c r="N636" t="s">
        <v>11</v>
      </c>
      <c r="O636" t="s">
        <v>1352</v>
      </c>
    </row>
    <row r="637" spans="1:15" x14ac:dyDescent="0.25">
      <c r="A637" t="s">
        <v>1353</v>
      </c>
      <c r="B637" t="s">
        <v>100</v>
      </c>
      <c r="C637" t="s">
        <v>621</v>
      </c>
      <c r="D637" t="s">
        <v>618</v>
      </c>
      <c r="E637" t="s">
        <v>622</v>
      </c>
      <c r="F637" s="213" t="s">
        <v>56</v>
      </c>
      <c r="G637" t="s">
        <v>66</v>
      </c>
      <c r="H637" t="s">
        <v>84</v>
      </c>
      <c r="I637" t="s">
        <v>623</v>
      </c>
      <c r="J637" t="s">
        <v>56</v>
      </c>
      <c r="K637" t="s">
        <v>0</v>
      </c>
      <c r="L637" t="s">
        <v>628</v>
      </c>
      <c r="M637" t="s">
        <v>100</v>
      </c>
      <c r="N637" t="s">
        <v>67</v>
      </c>
      <c r="O637" t="s">
        <v>674</v>
      </c>
    </row>
    <row r="638" spans="1:15" x14ac:dyDescent="0.25">
      <c r="A638" t="s">
        <v>1354</v>
      </c>
      <c r="B638" t="s">
        <v>100</v>
      </c>
      <c r="C638" t="s">
        <v>621</v>
      </c>
      <c r="D638" t="s">
        <v>618</v>
      </c>
      <c r="E638" t="s">
        <v>622</v>
      </c>
      <c r="F638" s="213" t="s">
        <v>56</v>
      </c>
      <c r="G638" t="s">
        <v>66</v>
      </c>
      <c r="H638" t="s">
        <v>84</v>
      </c>
      <c r="I638" t="s">
        <v>623</v>
      </c>
      <c r="J638" t="s">
        <v>56</v>
      </c>
      <c r="K638" t="s">
        <v>2</v>
      </c>
      <c r="L638" t="s">
        <v>807</v>
      </c>
      <c r="M638" t="s">
        <v>100</v>
      </c>
      <c r="N638" t="s">
        <v>75</v>
      </c>
      <c r="O638" t="s">
        <v>685</v>
      </c>
    </row>
    <row r="639" spans="1:15" x14ac:dyDescent="0.25">
      <c r="A639" t="s">
        <v>1355</v>
      </c>
      <c r="B639" t="s">
        <v>100</v>
      </c>
      <c r="C639" t="s">
        <v>621</v>
      </c>
      <c r="D639" t="s">
        <v>618</v>
      </c>
      <c r="E639" t="s">
        <v>622</v>
      </c>
      <c r="F639" s="213" t="s">
        <v>56</v>
      </c>
      <c r="G639" t="s">
        <v>66</v>
      </c>
      <c r="H639" t="s">
        <v>84</v>
      </c>
      <c r="I639" t="s">
        <v>623</v>
      </c>
      <c r="J639" t="s">
        <v>56</v>
      </c>
      <c r="K639" t="s">
        <v>4</v>
      </c>
      <c r="L639" t="s">
        <v>1287</v>
      </c>
      <c r="M639" t="s">
        <v>100</v>
      </c>
      <c r="N639" t="s">
        <v>51</v>
      </c>
      <c r="O639" t="s">
        <v>975</v>
      </c>
    </row>
    <row r="640" spans="1:15" x14ac:dyDescent="0.25">
      <c r="A640" t="s">
        <v>1356</v>
      </c>
      <c r="B640" t="s">
        <v>100</v>
      </c>
      <c r="C640" t="s">
        <v>621</v>
      </c>
      <c r="D640" t="s">
        <v>618</v>
      </c>
      <c r="E640" t="s">
        <v>622</v>
      </c>
      <c r="F640" s="213" t="s">
        <v>56</v>
      </c>
      <c r="G640" t="s">
        <v>66</v>
      </c>
      <c r="H640" t="s">
        <v>84</v>
      </c>
      <c r="I640" t="s">
        <v>623</v>
      </c>
      <c r="J640" t="s">
        <v>56</v>
      </c>
      <c r="K640" t="s">
        <v>2</v>
      </c>
      <c r="L640" t="s">
        <v>48</v>
      </c>
      <c r="M640" t="s">
        <v>100</v>
      </c>
      <c r="N640" t="s">
        <v>59</v>
      </c>
      <c r="O640" t="s">
        <v>825</v>
      </c>
    </row>
    <row r="641" spans="1:15" x14ac:dyDescent="0.25">
      <c r="A641" t="s">
        <v>1357</v>
      </c>
      <c r="B641" t="s">
        <v>100</v>
      </c>
      <c r="C641" t="s">
        <v>621</v>
      </c>
      <c r="D641" t="s">
        <v>618</v>
      </c>
      <c r="E641" t="s">
        <v>622</v>
      </c>
      <c r="F641" s="213" t="s">
        <v>56</v>
      </c>
      <c r="G641" t="s">
        <v>66</v>
      </c>
      <c r="H641" t="s">
        <v>84</v>
      </c>
      <c r="I641" t="s">
        <v>623</v>
      </c>
      <c r="J641" t="s">
        <v>56</v>
      </c>
      <c r="K641" t="s">
        <v>4</v>
      </c>
      <c r="L641" t="s">
        <v>14</v>
      </c>
      <c r="M641" t="s">
        <v>100</v>
      </c>
      <c r="N641" t="s">
        <v>96</v>
      </c>
      <c r="O641" t="s">
        <v>48</v>
      </c>
    </row>
    <row r="642" spans="1:15" x14ac:dyDescent="0.25">
      <c r="A642" t="s">
        <v>1358</v>
      </c>
      <c r="B642" t="s">
        <v>100</v>
      </c>
      <c r="C642" t="s">
        <v>621</v>
      </c>
      <c r="D642" t="s">
        <v>618</v>
      </c>
      <c r="E642" t="s">
        <v>622</v>
      </c>
      <c r="F642" s="213" t="s">
        <v>56</v>
      </c>
      <c r="G642" t="s">
        <v>66</v>
      </c>
      <c r="H642" t="s">
        <v>84</v>
      </c>
      <c r="I642" t="s">
        <v>623</v>
      </c>
      <c r="J642" t="s">
        <v>56</v>
      </c>
      <c r="K642" t="s">
        <v>1</v>
      </c>
      <c r="L642" t="s">
        <v>654</v>
      </c>
      <c r="M642" t="s">
        <v>0</v>
      </c>
      <c r="N642" t="s">
        <v>39</v>
      </c>
      <c r="O642" t="s">
        <v>770</v>
      </c>
    </row>
    <row r="643" spans="1:15" x14ac:dyDescent="0.25">
      <c r="A643" t="s">
        <v>1359</v>
      </c>
      <c r="B643" t="s">
        <v>100</v>
      </c>
      <c r="C643" t="s">
        <v>621</v>
      </c>
      <c r="D643" t="s">
        <v>618</v>
      </c>
      <c r="E643" t="s">
        <v>622</v>
      </c>
      <c r="F643" s="213" t="s">
        <v>56</v>
      </c>
      <c r="G643" t="s">
        <v>66</v>
      </c>
      <c r="H643" t="s">
        <v>84</v>
      </c>
      <c r="I643" t="s">
        <v>623</v>
      </c>
      <c r="J643" t="s">
        <v>56</v>
      </c>
      <c r="K643" t="s">
        <v>100</v>
      </c>
      <c r="L643" t="s">
        <v>628</v>
      </c>
      <c r="M643" t="s">
        <v>0</v>
      </c>
      <c r="N643" t="s">
        <v>84</v>
      </c>
      <c r="O643" t="s">
        <v>625</v>
      </c>
    </row>
    <row r="644" spans="1:15" x14ac:dyDescent="0.25">
      <c r="A644" t="s">
        <v>1360</v>
      </c>
      <c r="B644" t="s">
        <v>100</v>
      </c>
      <c r="C644" t="s">
        <v>621</v>
      </c>
      <c r="D644" t="s">
        <v>618</v>
      </c>
      <c r="E644" t="s">
        <v>622</v>
      </c>
      <c r="F644" s="213" t="s">
        <v>56</v>
      </c>
      <c r="G644" t="s">
        <v>66</v>
      </c>
      <c r="H644" t="s">
        <v>84</v>
      </c>
      <c r="I644" t="s">
        <v>623</v>
      </c>
      <c r="J644" t="s">
        <v>56</v>
      </c>
      <c r="K644" t="s">
        <v>2</v>
      </c>
      <c r="L644" t="s">
        <v>720</v>
      </c>
      <c r="M644" t="s">
        <v>0</v>
      </c>
      <c r="N644" t="s">
        <v>61</v>
      </c>
      <c r="O644" t="s">
        <v>627</v>
      </c>
    </row>
    <row r="645" spans="1:15" x14ac:dyDescent="0.25">
      <c r="A645" t="s">
        <v>1361</v>
      </c>
      <c r="B645" t="s">
        <v>100</v>
      </c>
      <c r="C645" t="s">
        <v>621</v>
      </c>
      <c r="D645" t="s">
        <v>618</v>
      </c>
      <c r="E645" t="s">
        <v>622</v>
      </c>
      <c r="F645" s="213" t="s">
        <v>56</v>
      </c>
      <c r="G645" t="s">
        <v>66</v>
      </c>
      <c r="H645" t="s">
        <v>84</v>
      </c>
      <c r="I645" t="s">
        <v>623</v>
      </c>
      <c r="J645" t="s">
        <v>56</v>
      </c>
      <c r="K645" t="s">
        <v>1</v>
      </c>
      <c r="L645" t="s">
        <v>44</v>
      </c>
      <c r="M645" t="s">
        <v>0</v>
      </c>
      <c r="N645" t="s">
        <v>53</v>
      </c>
      <c r="O645" t="s">
        <v>667</v>
      </c>
    </row>
    <row r="646" spans="1:15" x14ac:dyDescent="0.25">
      <c r="A646" t="s">
        <v>1362</v>
      </c>
      <c r="B646" t="s">
        <v>100</v>
      </c>
      <c r="C646" t="s">
        <v>621</v>
      </c>
      <c r="D646" t="s">
        <v>618</v>
      </c>
      <c r="E646" t="s">
        <v>622</v>
      </c>
      <c r="F646" s="213" t="s">
        <v>56</v>
      </c>
      <c r="G646" t="s">
        <v>66</v>
      </c>
      <c r="H646" t="s">
        <v>84</v>
      </c>
      <c r="I646" t="s">
        <v>623</v>
      </c>
      <c r="J646" t="s">
        <v>56</v>
      </c>
      <c r="K646" t="s">
        <v>100</v>
      </c>
      <c r="L646" t="s">
        <v>654</v>
      </c>
      <c r="M646" t="s">
        <v>3</v>
      </c>
      <c r="N646" t="s">
        <v>22</v>
      </c>
      <c r="O646" t="s">
        <v>1044</v>
      </c>
    </row>
    <row r="647" spans="1:15" x14ac:dyDescent="0.25">
      <c r="A647" t="s">
        <v>1363</v>
      </c>
      <c r="B647" t="s">
        <v>100</v>
      </c>
      <c r="C647" t="s">
        <v>621</v>
      </c>
      <c r="D647" t="s">
        <v>618</v>
      </c>
      <c r="E647" t="s">
        <v>622</v>
      </c>
      <c r="F647" s="213" t="s">
        <v>56</v>
      </c>
      <c r="G647" t="s">
        <v>66</v>
      </c>
      <c r="H647" t="s">
        <v>84</v>
      </c>
      <c r="I647" t="s">
        <v>623</v>
      </c>
      <c r="J647" t="s">
        <v>56</v>
      </c>
      <c r="K647" t="s">
        <v>2</v>
      </c>
      <c r="L647" t="s">
        <v>654</v>
      </c>
      <c r="M647" t="s">
        <v>100</v>
      </c>
      <c r="N647" t="s">
        <v>67</v>
      </c>
      <c r="O647" t="s">
        <v>644</v>
      </c>
    </row>
    <row r="648" spans="1:15" x14ac:dyDescent="0.25">
      <c r="A648" t="s">
        <v>1364</v>
      </c>
      <c r="B648" t="s">
        <v>100</v>
      </c>
      <c r="C648" t="s">
        <v>621</v>
      </c>
      <c r="D648" t="s">
        <v>618</v>
      </c>
      <c r="E648" t="s">
        <v>622</v>
      </c>
      <c r="F648" s="213" t="s">
        <v>56</v>
      </c>
      <c r="G648" t="s">
        <v>66</v>
      </c>
      <c r="H648" t="s">
        <v>84</v>
      </c>
      <c r="I648" t="s">
        <v>623</v>
      </c>
      <c r="J648" t="s">
        <v>56</v>
      </c>
      <c r="K648" t="s">
        <v>100</v>
      </c>
      <c r="L648" t="s">
        <v>714</v>
      </c>
      <c r="M648" t="s">
        <v>100</v>
      </c>
      <c r="N648" t="s">
        <v>75</v>
      </c>
      <c r="O648" t="s">
        <v>637</v>
      </c>
    </row>
    <row r="649" spans="1:15" x14ac:dyDescent="0.25">
      <c r="A649" t="s">
        <v>1365</v>
      </c>
      <c r="B649" t="s">
        <v>100</v>
      </c>
      <c r="C649" t="s">
        <v>621</v>
      </c>
      <c r="D649" t="s">
        <v>618</v>
      </c>
      <c r="E649" t="s">
        <v>622</v>
      </c>
      <c r="F649" s="213" t="s">
        <v>56</v>
      </c>
      <c r="G649" t="s">
        <v>66</v>
      </c>
      <c r="H649" t="s">
        <v>84</v>
      </c>
      <c r="I649" t="s">
        <v>623</v>
      </c>
      <c r="J649" t="s">
        <v>56</v>
      </c>
      <c r="K649" t="s">
        <v>3</v>
      </c>
      <c r="L649" t="s">
        <v>1346</v>
      </c>
      <c r="M649" t="s">
        <v>100</v>
      </c>
      <c r="N649" t="s">
        <v>51</v>
      </c>
      <c r="O649" t="s">
        <v>672</v>
      </c>
    </row>
    <row r="650" spans="1:15" x14ac:dyDescent="0.25">
      <c r="A650" t="s">
        <v>1366</v>
      </c>
      <c r="B650" t="s">
        <v>100</v>
      </c>
      <c r="C650" t="s">
        <v>621</v>
      </c>
      <c r="D650" t="s">
        <v>618</v>
      </c>
      <c r="E650" t="s">
        <v>622</v>
      </c>
      <c r="F650" s="213" t="s">
        <v>56</v>
      </c>
      <c r="G650" t="s">
        <v>66</v>
      </c>
      <c r="H650" t="s">
        <v>84</v>
      </c>
      <c r="I650" t="s">
        <v>623</v>
      </c>
      <c r="J650" t="s">
        <v>56</v>
      </c>
      <c r="K650" t="s">
        <v>2</v>
      </c>
      <c r="L650" t="s">
        <v>36</v>
      </c>
      <c r="M650" t="s">
        <v>100</v>
      </c>
      <c r="N650" t="s">
        <v>59</v>
      </c>
      <c r="O650" t="s">
        <v>765</v>
      </c>
    </row>
    <row r="651" spans="1:15" x14ac:dyDescent="0.25">
      <c r="A651" t="s">
        <v>1367</v>
      </c>
      <c r="B651" t="s">
        <v>100</v>
      </c>
      <c r="C651" t="s">
        <v>621</v>
      </c>
      <c r="D651" t="s">
        <v>618</v>
      </c>
      <c r="E651" t="s">
        <v>622</v>
      </c>
      <c r="F651" s="213" t="s">
        <v>56</v>
      </c>
      <c r="G651" t="s">
        <v>66</v>
      </c>
      <c r="H651" t="s">
        <v>84</v>
      </c>
      <c r="I651" t="s">
        <v>623</v>
      </c>
      <c r="J651" t="s">
        <v>56</v>
      </c>
      <c r="K651" t="s">
        <v>100</v>
      </c>
      <c r="L651" t="s">
        <v>654</v>
      </c>
      <c r="M651" t="s">
        <v>2</v>
      </c>
      <c r="N651" t="s">
        <v>96</v>
      </c>
      <c r="O651" t="s">
        <v>36</v>
      </c>
    </row>
    <row r="652" spans="1:15" x14ac:dyDescent="0.25">
      <c r="A652" t="s">
        <v>1368</v>
      </c>
      <c r="B652" t="s">
        <v>100</v>
      </c>
      <c r="C652" t="s">
        <v>621</v>
      </c>
      <c r="D652" t="s">
        <v>618</v>
      </c>
      <c r="E652" t="s">
        <v>622</v>
      </c>
      <c r="F652" s="213" t="s">
        <v>56</v>
      </c>
      <c r="G652" t="s">
        <v>66</v>
      </c>
      <c r="H652" t="s">
        <v>84</v>
      </c>
      <c r="I652" t="s">
        <v>623</v>
      </c>
      <c r="J652" t="s">
        <v>56</v>
      </c>
      <c r="K652" t="s">
        <v>1</v>
      </c>
      <c r="L652" t="s">
        <v>654</v>
      </c>
      <c r="M652" t="s">
        <v>100</v>
      </c>
      <c r="N652" t="s">
        <v>67</v>
      </c>
      <c r="O652" t="s">
        <v>693</v>
      </c>
    </row>
    <row r="653" spans="1:15" x14ac:dyDescent="0.25">
      <c r="A653" t="s">
        <v>1369</v>
      </c>
      <c r="B653" t="s">
        <v>100</v>
      </c>
      <c r="C653" t="s">
        <v>621</v>
      </c>
      <c r="D653" t="s">
        <v>618</v>
      </c>
      <c r="E653" t="s">
        <v>622</v>
      </c>
      <c r="F653" s="213" t="s">
        <v>56</v>
      </c>
      <c r="G653" t="s">
        <v>66</v>
      </c>
      <c r="H653" t="s">
        <v>84</v>
      </c>
      <c r="I653" t="s">
        <v>623</v>
      </c>
      <c r="J653" t="s">
        <v>56</v>
      </c>
      <c r="K653" t="s">
        <v>100</v>
      </c>
      <c r="L653" t="s">
        <v>628</v>
      </c>
      <c r="M653" t="s">
        <v>100</v>
      </c>
      <c r="N653" t="s">
        <v>75</v>
      </c>
      <c r="O653" t="s">
        <v>656</v>
      </c>
    </row>
    <row r="654" spans="1:15" x14ac:dyDescent="0.25">
      <c r="A654" t="s">
        <v>1370</v>
      </c>
      <c r="B654" t="s">
        <v>100</v>
      </c>
      <c r="C654" t="s">
        <v>621</v>
      </c>
      <c r="D654" t="s">
        <v>618</v>
      </c>
      <c r="E654" t="s">
        <v>622</v>
      </c>
      <c r="F654" s="213" t="s">
        <v>56</v>
      </c>
      <c r="G654" t="s">
        <v>66</v>
      </c>
      <c r="H654" t="s">
        <v>84</v>
      </c>
      <c r="I654" t="s">
        <v>623</v>
      </c>
      <c r="J654" t="s">
        <v>56</v>
      </c>
      <c r="K654" t="s">
        <v>2</v>
      </c>
      <c r="L654" t="s">
        <v>720</v>
      </c>
      <c r="M654" t="s">
        <v>100</v>
      </c>
      <c r="N654" t="s">
        <v>51</v>
      </c>
      <c r="O654" t="s">
        <v>969</v>
      </c>
    </row>
    <row r="655" spans="1:15" x14ac:dyDescent="0.25">
      <c r="A655" t="s">
        <v>1371</v>
      </c>
      <c r="B655" t="s">
        <v>100</v>
      </c>
      <c r="C655" t="s">
        <v>621</v>
      </c>
      <c r="D655" t="s">
        <v>618</v>
      </c>
      <c r="E655" t="s">
        <v>622</v>
      </c>
      <c r="F655" s="213" t="s">
        <v>56</v>
      </c>
      <c r="G655" t="s">
        <v>66</v>
      </c>
      <c r="H655" t="s">
        <v>84</v>
      </c>
      <c r="I655" t="s">
        <v>623</v>
      </c>
      <c r="J655" t="s">
        <v>56</v>
      </c>
      <c r="K655" t="s">
        <v>1</v>
      </c>
      <c r="L655" t="s">
        <v>44</v>
      </c>
      <c r="M655" t="s">
        <v>100</v>
      </c>
      <c r="N655" t="s">
        <v>59</v>
      </c>
      <c r="O655" t="s">
        <v>789</v>
      </c>
    </row>
    <row r="656" spans="1:15" x14ac:dyDescent="0.25">
      <c r="A656" t="s">
        <v>1372</v>
      </c>
      <c r="B656" t="s">
        <v>100</v>
      </c>
      <c r="C656" t="s">
        <v>621</v>
      </c>
      <c r="D656" t="s">
        <v>618</v>
      </c>
      <c r="E656" t="s">
        <v>622</v>
      </c>
      <c r="F656" s="213" t="s">
        <v>56</v>
      </c>
      <c r="G656" t="s">
        <v>66</v>
      </c>
      <c r="H656" t="s">
        <v>84</v>
      </c>
      <c r="I656" t="s">
        <v>623</v>
      </c>
      <c r="J656" t="s">
        <v>56</v>
      </c>
      <c r="K656" t="s">
        <v>100</v>
      </c>
      <c r="L656" t="s">
        <v>654</v>
      </c>
      <c r="M656" t="s">
        <v>1</v>
      </c>
      <c r="N656" t="s">
        <v>97</v>
      </c>
      <c r="O656" t="s">
        <v>682</v>
      </c>
    </row>
    <row r="657" spans="1:15" x14ac:dyDescent="0.25">
      <c r="A657" t="s">
        <v>1373</v>
      </c>
      <c r="B657" t="s">
        <v>100</v>
      </c>
      <c r="C657" t="s">
        <v>621</v>
      </c>
      <c r="D657" t="s">
        <v>618</v>
      </c>
      <c r="E657" t="s">
        <v>622</v>
      </c>
      <c r="F657" s="213" t="s">
        <v>56</v>
      </c>
      <c r="G657" t="s">
        <v>66</v>
      </c>
      <c r="H657" t="s">
        <v>84</v>
      </c>
      <c r="I657" t="s">
        <v>623</v>
      </c>
      <c r="J657" t="s">
        <v>56</v>
      </c>
      <c r="K657" t="s">
        <v>0</v>
      </c>
      <c r="L657" t="s">
        <v>654</v>
      </c>
      <c r="M657" t="s">
        <v>100</v>
      </c>
      <c r="N657" t="s">
        <v>67</v>
      </c>
      <c r="O657" t="s">
        <v>749</v>
      </c>
    </row>
    <row r="658" spans="1:15" x14ac:dyDescent="0.25">
      <c r="A658" t="s">
        <v>1374</v>
      </c>
      <c r="B658" t="s">
        <v>100</v>
      </c>
      <c r="C658" t="s">
        <v>621</v>
      </c>
      <c r="D658" t="s">
        <v>618</v>
      </c>
      <c r="E658" t="s">
        <v>622</v>
      </c>
      <c r="F658" s="213" t="s">
        <v>56</v>
      </c>
      <c r="G658" t="s">
        <v>66</v>
      </c>
      <c r="H658" t="s">
        <v>84</v>
      </c>
      <c r="I658" t="s">
        <v>623</v>
      </c>
      <c r="J658" t="s">
        <v>56</v>
      </c>
      <c r="K658" t="s">
        <v>1</v>
      </c>
      <c r="L658" t="s">
        <v>1172</v>
      </c>
      <c r="M658" t="s">
        <v>100</v>
      </c>
      <c r="N658" t="s">
        <v>75</v>
      </c>
      <c r="O658" t="s">
        <v>645</v>
      </c>
    </row>
    <row r="659" spans="1:15" x14ac:dyDescent="0.25">
      <c r="A659" t="s">
        <v>1375</v>
      </c>
      <c r="B659" t="s">
        <v>100</v>
      </c>
      <c r="C659" t="s">
        <v>621</v>
      </c>
      <c r="D659" t="s">
        <v>618</v>
      </c>
      <c r="E659" t="s">
        <v>622</v>
      </c>
      <c r="F659" s="213" t="s">
        <v>56</v>
      </c>
      <c r="G659" t="s">
        <v>66</v>
      </c>
      <c r="H659" t="s">
        <v>84</v>
      </c>
      <c r="I659" t="s">
        <v>623</v>
      </c>
      <c r="J659" t="s">
        <v>56</v>
      </c>
      <c r="K659" t="s">
        <v>1</v>
      </c>
      <c r="L659" t="s">
        <v>21</v>
      </c>
      <c r="M659" t="s">
        <v>100</v>
      </c>
      <c r="N659" t="s">
        <v>51</v>
      </c>
      <c r="O659" t="s">
        <v>638</v>
      </c>
    </row>
    <row r="660" spans="1:15" x14ac:dyDescent="0.25">
      <c r="A660" t="s">
        <v>1376</v>
      </c>
      <c r="B660" t="s">
        <v>100</v>
      </c>
      <c r="C660" t="s">
        <v>621</v>
      </c>
      <c r="D660" t="s">
        <v>618</v>
      </c>
      <c r="E660" t="s">
        <v>622</v>
      </c>
      <c r="F660" s="213" t="s">
        <v>56</v>
      </c>
      <c r="G660" t="s">
        <v>66</v>
      </c>
      <c r="H660" t="s">
        <v>84</v>
      </c>
      <c r="I660" t="s">
        <v>623</v>
      </c>
      <c r="J660" t="s">
        <v>56</v>
      </c>
      <c r="K660" t="s">
        <v>29</v>
      </c>
      <c r="L660" t="s">
        <v>624</v>
      </c>
      <c r="M660" t="s">
        <v>1377</v>
      </c>
      <c r="N660" t="s">
        <v>10</v>
      </c>
      <c r="O660" t="s">
        <v>101</v>
      </c>
    </row>
    <row r="661" spans="1:15" x14ac:dyDescent="0.25">
      <c r="A661" t="s">
        <v>1378</v>
      </c>
      <c r="B661" t="s">
        <v>100</v>
      </c>
      <c r="C661" t="s">
        <v>621</v>
      </c>
      <c r="D661" t="s">
        <v>618</v>
      </c>
      <c r="E661" t="s">
        <v>622</v>
      </c>
      <c r="F661" s="213" t="s">
        <v>56</v>
      </c>
      <c r="G661" t="s">
        <v>66</v>
      </c>
      <c r="H661" t="s">
        <v>84</v>
      </c>
      <c r="I661" t="s">
        <v>623</v>
      </c>
      <c r="J661" t="s">
        <v>56</v>
      </c>
      <c r="K661" t="s">
        <v>27</v>
      </c>
      <c r="L661" t="s">
        <v>626</v>
      </c>
      <c r="M661" t="s">
        <v>1377</v>
      </c>
      <c r="N661" t="s">
        <v>7</v>
      </c>
      <c r="O661" t="s">
        <v>31</v>
      </c>
    </row>
    <row r="662" spans="1:15" x14ac:dyDescent="0.25">
      <c r="A662" t="s">
        <v>1379</v>
      </c>
      <c r="B662" t="s">
        <v>100</v>
      </c>
      <c r="C662" t="s">
        <v>621</v>
      </c>
      <c r="D662" t="s">
        <v>618</v>
      </c>
      <c r="E662" t="s">
        <v>622</v>
      </c>
      <c r="F662" s="213" t="s">
        <v>56</v>
      </c>
      <c r="G662" t="s">
        <v>66</v>
      </c>
      <c r="H662" t="s">
        <v>84</v>
      </c>
      <c r="I662" t="s">
        <v>623</v>
      </c>
      <c r="J662" t="s">
        <v>56</v>
      </c>
      <c r="K662" t="s">
        <v>25</v>
      </c>
      <c r="L662" t="s">
        <v>628</v>
      </c>
      <c r="M662" t="s">
        <v>1377</v>
      </c>
      <c r="N662" t="s">
        <v>6</v>
      </c>
      <c r="O662" t="s">
        <v>40</v>
      </c>
    </row>
    <row r="663" spans="1:15" x14ac:dyDescent="0.25">
      <c r="A663" t="s">
        <v>1380</v>
      </c>
      <c r="B663" t="s">
        <v>100</v>
      </c>
      <c r="C663" t="s">
        <v>621</v>
      </c>
      <c r="D663" t="s">
        <v>618</v>
      </c>
      <c r="E663" t="s">
        <v>622</v>
      </c>
      <c r="F663" s="213" t="s">
        <v>56</v>
      </c>
      <c r="G663" t="s">
        <v>66</v>
      </c>
      <c r="H663" t="s">
        <v>84</v>
      </c>
      <c r="I663" t="s">
        <v>623</v>
      </c>
      <c r="J663" t="s">
        <v>56</v>
      </c>
      <c r="K663" t="s">
        <v>27</v>
      </c>
      <c r="L663" t="s">
        <v>626</v>
      </c>
      <c r="M663" t="s">
        <v>38</v>
      </c>
      <c r="N663" t="s">
        <v>1381</v>
      </c>
      <c r="O663" t="s">
        <v>1181</v>
      </c>
    </row>
    <row r="664" spans="1:15" x14ac:dyDescent="0.25">
      <c r="A664" t="s">
        <v>1382</v>
      </c>
      <c r="B664" t="s">
        <v>100</v>
      </c>
      <c r="C664" t="s">
        <v>621</v>
      </c>
      <c r="D664" t="s">
        <v>618</v>
      </c>
      <c r="E664" t="s">
        <v>622</v>
      </c>
      <c r="F664" s="213" t="s">
        <v>56</v>
      </c>
      <c r="G664" t="s">
        <v>66</v>
      </c>
      <c r="H664" t="s">
        <v>84</v>
      </c>
      <c r="I664" t="s">
        <v>623</v>
      </c>
      <c r="J664" t="s">
        <v>56</v>
      </c>
      <c r="K664" t="s">
        <v>25</v>
      </c>
      <c r="L664" t="s">
        <v>628</v>
      </c>
      <c r="M664" t="s">
        <v>38</v>
      </c>
      <c r="N664" t="s">
        <v>644</v>
      </c>
      <c r="O664" t="s">
        <v>818</v>
      </c>
    </row>
    <row r="665" spans="1:15" x14ac:dyDescent="0.25">
      <c r="A665" t="s">
        <v>1383</v>
      </c>
      <c r="B665" t="s">
        <v>100</v>
      </c>
      <c r="C665" t="s">
        <v>621</v>
      </c>
      <c r="D665" t="s">
        <v>618</v>
      </c>
      <c r="E665" t="s">
        <v>622</v>
      </c>
      <c r="F665" s="213" t="s">
        <v>56</v>
      </c>
      <c r="G665" t="s">
        <v>66</v>
      </c>
      <c r="H665" t="s">
        <v>84</v>
      </c>
      <c r="I665" t="s">
        <v>623</v>
      </c>
      <c r="J665" t="s">
        <v>56</v>
      </c>
      <c r="K665" t="s">
        <v>22</v>
      </c>
      <c r="L665" t="s">
        <v>630</v>
      </c>
      <c r="M665" t="s">
        <v>38</v>
      </c>
      <c r="N665" t="s">
        <v>624</v>
      </c>
      <c r="O665" t="s">
        <v>1181</v>
      </c>
    </row>
    <row r="666" spans="1:15" x14ac:dyDescent="0.25">
      <c r="A666" t="s">
        <v>1384</v>
      </c>
      <c r="B666" t="s">
        <v>100</v>
      </c>
      <c r="C666" t="s">
        <v>621</v>
      </c>
      <c r="D666" t="s">
        <v>618</v>
      </c>
      <c r="E666" t="s">
        <v>622</v>
      </c>
      <c r="F666" s="213" t="s">
        <v>56</v>
      </c>
      <c r="G666" t="s">
        <v>66</v>
      </c>
      <c r="H666" t="s">
        <v>84</v>
      </c>
      <c r="I666" t="s">
        <v>623</v>
      </c>
      <c r="J666" t="s">
        <v>56</v>
      </c>
      <c r="K666" t="s">
        <v>19</v>
      </c>
      <c r="L666" t="s">
        <v>625</v>
      </c>
      <c r="M666" t="s">
        <v>38</v>
      </c>
      <c r="N666" t="s">
        <v>1385</v>
      </c>
      <c r="O666" t="s">
        <v>1181</v>
      </c>
    </row>
    <row r="667" spans="1:15" x14ac:dyDescent="0.25">
      <c r="A667" t="s">
        <v>1386</v>
      </c>
      <c r="B667" t="s">
        <v>100</v>
      </c>
      <c r="C667" t="s">
        <v>621</v>
      </c>
      <c r="D667" t="s">
        <v>618</v>
      </c>
      <c r="E667" t="s">
        <v>622</v>
      </c>
      <c r="F667" s="213" t="s">
        <v>56</v>
      </c>
      <c r="G667" t="s">
        <v>66</v>
      </c>
      <c r="H667" t="s">
        <v>84</v>
      </c>
      <c r="I667" t="s">
        <v>623</v>
      </c>
      <c r="J667" t="s">
        <v>56</v>
      </c>
      <c r="K667" t="s">
        <v>15</v>
      </c>
      <c r="L667" t="s">
        <v>632</v>
      </c>
      <c r="M667" t="s">
        <v>38</v>
      </c>
      <c r="N667" t="s">
        <v>969</v>
      </c>
      <c r="O667" t="s">
        <v>1287</v>
      </c>
    </row>
    <row r="668" spans="1:15" x14ac:dyDescent="0.25">
      <c r="A668" t="s">
        <v>1387</v>
      </c>
      <c r="B668" t="s">
        <v>100</v>
      </c>
      <c r="C668" t="s">
        <v>621</v>
      </c>
      <c r="D668" t="s">
        <v>618</v>
      </c>
      <c r="E668" t="s">
        <v>622</v>
      </c>
      <c r="F668" s="213" t="s">
        <v>56</v>
      </c>
      <c r="G668" t="s">
        <v>66</v>
      </c>
      <c r="H668" t="s">
        <v>84</v>
      </c>
      <c r="I668" t="s">
        <v>623</v>
      </c>
      <c r="J668" t="s">
        <v>56</v>
      </c>
      <c r="K668" t="s">
        <v>12</v>
      </c>
      <c r="L668" t="s">
        <v>629</v>
      </c>
      <c r="M668" t="s">
        <v>38</v>
      </c>
      <c r="N668" t="s">
        <v>827</v>
      </c>
      <c r="O668" t="s">
        <v>718</v>
      </c>
    </row>
    <row r="669" spans="1:15" x14ac:dyDescent="0.25">
      <c r="A669" t="s">
        <v>1388</v>
      </c>
      <c r="B669" t="s">
        <v>100</v>
      </c>
      <c r="C669" t="s">
        <v>621</v>
      </c>
      <c r="D669" t="s">
        <v>618</v>
      </c>
      <c r="E669" t="s">
        <v>622</v>
      </c>
      <c r="F669" s="213" t="s">
        <v>56</v>
      </c>
      <c r="G669" t="s">
        <v>66</v>
      </c>
      <c r="H669" t="s">
        <v>84</v>
      </c>
      <c r="I669" t="s">
        <v>623</v>
      </c>
      <c r="J669" t="s">
        <v>56</v>
      </c>
      <c r="K669" t="s">
        <v>10</v>
      </c>
      <c r="L669" t="s">
        <v>635</v>
      </c>
      <c r="M669" t="s">
        <v>38</v>
      </c>
      <c r="N669" t="s">
        <v>741</v>
      </c>
      <c r="O669" t="s">
        <v>720</v>
      </c>
    </row>
    <row r="670" spans="1:15" x14ac:dyDescent="0.25">
      <c r="A670" t="s">
        <v>1389</v>
      </c>
      <c r="B670" t="s">
        <v>100</v>
      </c>
      <c r="C670" t="s">
        <v>621</v>
      </c>
      <c r="D670" t="s">
        <v>618</v>
      </c>
      <c r="E670" t="s">
        <v>622</v>
      </c>
      <c r="F670" s="213" t="s">
        <v>56</v>
      </c>
      <c r="G670" t="s">
        <v>66</v>
      </c>
      <c r="H670" t="s">
        <v>84</v>
      </c>
      <c r="I670" t="s">
        <v>623</v>
      </c>
      <c r="J670" t="s">
        <v>56</v>
      </c>
      <c r="K670" t="s">
        <v>8</v>
      </c>
      <c r="L670" t="s">
        <v>637</v>
      </c>
      <c r="M670" t="s">
        <v>38</v>
      </c>
      <c r="N670" t="s">
        <v>716</v>
      </c>
      <c r="O670" t="s">
        <v>1390</v>
      </c>
    </row>
    <row r="671" spans="1:15" x14ac:dyDescent="0.25">
      <c r="A671" t="s">
        <v>1391</v>
      </c>
      <c r="B671" t="s">
        <v>100</v>
      </c>
      <c r="C671" t="s">
        <v>621</v>
      </c>
      <c r="D671" t="s">
        <v>618</v>
      </c>
      <c r="E671" t="s">
        <v>622</v>
      </c>
      <c r="F671" s="213" t="s">
        <v>56</v>
      </c>
      <c r="G671" t="s">
        <v>66</v>
      </c>
      <c r="H671" t="s">
        <v>84</v>
      </c>
      <c r="I671" t="s">
        <v>623</v>
      </c>
      <c r="J671" t="s">
        <v>56</v>
      </c>
      <c r="K671" t="s">
        <v>6</v>
      </c>
      <c r="L671" t="s">
        <v>639</v>
      </c>
      <c r="M671" t="s">
        <v>38</v>
      </c>
      <c r="N671" t="s">
        <v>1392</v>
      </c>
      <c r="O671" t="s">
        <v>818</v>
      </c>
    </row>
    <row r="672" spans="1:15" x14ac:dyDescent="0.25">
      <c r="A672" t="s">
        <v>1393</v>
      </c>
      <c r="B672" t="s">
        <v>100</v>
      </c>
      <c r="C672" t="s">
        <v>621</v>
      </c>
      <c r="D672" t="s">
        <v>618</v>
      </c>
      <c r="E672" t="s">
        <v>622</v>
      </c>
      <c r="F672" s="213" t="s">
        <v>56</v>
      </c>
      <c r="G672" t="s">
        <v>66</v>
      </c>
      <c r="H672" t="s">
        <v>84</v>
      </c>
      <c r="I672" t="s">
        <v>623</v>
      </c>
      <c r="J672" t="s">
        <v>56</v>
      </c>
      <c r="K672" t="s">
        <v>4</v>
      </c>
      <c r="L672" t="s">
        <v>662</v>
      </c>
      <c r="M672" t="s">
        <v>38</v>
      </c>
      <c r="N672" t="s">
        <v>1394</v>
      </c>
      <c r="O672" t="s">
        <v>818</v>
      </c>
    </row>
    <row r="673" spans="1:15" x14ac:dyDescent="0.25">
      <c r="A673" t="s">
        <v>1395</v>
      </c>
      <c r="B673" t="s">
        <v>100</v>
      </c>
      <c r="C673" t="s">
        <v>621</v>
      </c>
      <c r="D673" t="s">
        <v>618</v>
      </c>
      <c r="E673" t="s">
        <v>622</v>
      </c>
      <c r="F673" s="213" t="s">
        <v>56</v>
      </c>
      <c r="G673" t="s">
        <v>66</v>
      </c>
      <c r="H673" t="s">
        <v>84</v>
      </c>
      <c r="I673" t="s">
        <v>623</v>
      </c>
      <c r="J673" t="s">
        <v>56</v>
      </c>
      <c r="K673" t="s">
        <v>2</v>
      </c>
      <c r="L673" t="s">
        <v>749</v>
      </c>
      <c r="M673" t="s">
        <v>38</v>
      </c>
      <c r="N673" t="s">
        <v>1237</v>
      </c>
      <c r="O673" t="s">
        <v>1223</v>
      </c>
    </row>
    <row r="674" spans="1:15" x14ac:dyDescent="0.25">
      <c r="A674" t="s">
        <v>1396</v>
      </c>
      <c r="B674" t="s">
        <v>100</v>
      </c>
      <c r="C674" t="s">
        <v>621</v>
      </c>
      <c r="D674" t="s">
        <v>618</v>
      </c>
      <c r="E674" t="s">
        <v>622</v>
      </c>
      <c r="F674" s="213" t="s">
        <v>56</v>
      </c>
      <c r="G674" t="s">
        <v>66</v>
      </c>
      <c r="H674" t="s">
        <v>84</v>
      </c>
      <c r="I674" t="s">
        <v>623</v>
      </c>
      <c r="J674" t="s">
        <v>56</v>
      </c>
      <c r="K674" t="s">
        <v>24</v>
      </c>
      <c r="L674" t="s">
        <v>807</v>
      </c>
      <c r="M674" t="s">
        <v>38</v>
      </c>
      <c r="N674" t="s">
        <v>1397</v>
      </c>
      <c r="O674" t="s">
        <v>1181</v>
      </c>
    </row>
    <row r="675" spans="1:15" x14ac:dyDescent="0.25">
      <c r="A675" t="s">
        <v>1398</v>
      </c>
      <c r="B675" t="s">
        <v>100</v>
      </c>
      <c r="C675" t="s">
        <v>621</v>
      </c>
      <c r="D675" t="s">
        <v>618</v>
      </c>
      <c r="E675" t="s">
        <v>622</v>
      </c>
      <c r="F675" s="213" t="s">
        <v>56</v>
      </c>
      <c r="G675" t="s">
        <v>66</v>
      </c>
      <c r="H675" t="s">
        <v>84</v>
      </c>
      <c r="I675" t="s">
        <v>623</v>
      </c>
      <c r="J675" t="s">
        <v>56</v>
      </c>
      <c r="K675" t="s">
        <v>25</v>
      </c>
      <c r="L675" t="s">
        <v>827</v>
      </c>
      <c r="M675" t="s">
        <v>38</v>
      </c>
      <c r="N675" t="s">
        <v>1239</v>
      </c>
      <c r="O675" t="s">
        <v>1181</v>
      </c>
    </row>
    <row r="676" spans="1:15" x14ac:dyDescent="0.25">
      <c r="A676" t="s">
        <v>1399</v>
      </c>
      <c r="B676" t="s">
        <v>100</v>
      </c>
      <c r="C676" t="s">
        <v>621</v>
      </c>
      <c r="D676" t="s">
        <v>618</v>
      </c>
      <c r="E676" t="s">
        <v>622</v>
      </c>
      <c r="F676" s="213" t="s">
        <v>56</v>
      </c>
      <c r="G676" t="s">
        <v>66</v>
      </c>
      <c r="H676" t="s">
        <v>84</v>
      </c>
      <c r="I676" t="s">
        <v>623</v>
      </c>
      <c r="J676" t="s">
        <v>56</v>
      </c>
      <c r="K676" t="s">
        <v>26</v>
      </c>
      <c r="L676" t="s">
        <v>729</v>
      </c>
      <c r="M676" t="s">
        <v>38</v>
      </c>
      <c r="N676" t="s">
        <v>685</v>
      </c>
      <c r="O676" t="s">
        <v>1181</v>
      </c>
    </row>
    <row r="677" spans="1:15" x14ac:dyDescent="0.25">
      <c r="A677" t="s">
        <v>1400</v>
      </c>
      <c r="B677" t="s">
        <v>100</v>
      </c>
      <c r="C677" t="s">
        <v>621</v>
      </c>
      <c r="D677" t="s">
        <v>618</v>
      </c>
      <c r="E677" t="s">
        <v>622</v>
      </c>
      <c r="F677" s="213" t="s">
        <v>56</v>
      </c>
      <c r="G677" t="s">
        <v>66</v>
      </c>
      <c r="H677" t="s">
        <v>84</v>
      </c>
      <c r="I677" t="s">
        <v>623</v>
      </c>
      <c r="J677" t="s">
        <v>56</v>
      </c>
      <c r="K677" t="s">
        <v>28</v>
      </c>
      <c r="L677" t="s">
        <v>698</v>
      </c>
      <c r="M677" t="s">
        <v>38</v>
      </c>
      <c r="N677" t="s">
        <v>632</v>
      </c>
      <c r="O677" t="s">
        <v>1181</v>
      </c>
    </row>
    <row r="678" spans="1:15" x14ac:dyDescent="0.25">
      <c r="A678" t="s">
        <v>1401</v>
      </c>
      <c r="B678" t="s">
        <v>100</v>
      </c>
      <c r="C678" t="s">
        <v>621</v>
      </c>
      <c r="D678" t="s">
        <v>618</v>
      </c>
      <c r="E678" t="s">
        <v>622</v>
      </c>
      <c r="F678" s="213" t="s">
        <v>56</v>
      </c>
      <c r="G678" t="s">
        <v>66</v>
      </c>
      <c r="H678" t="s">
        <v>84</v>
      </c>
      <c r="I678" t="s">
        <v>623</v>
      </c>
      <c r="J678" t="s">
        <v>56</v>
      </c>
      <c r="K678" t="s">
        <v>30</v>
      </c>
      <c r="L678" t="s">
        <v>631</v>
      </c>
      <c r="M678" t="s">
        <v>38</v>
      </c>
      <c r="N678" t="s">
        <v>967</v>
      </c>
      <c r="O678" t="s">
        <v>1390</v>
      </c>
    </row>
    <row r="679" spans="1:15" x14ac:dyDescent="0.25">
      <c r="A679" t="s">
        <v>1402</v>
      </c>
      <c r="B679" t="s">
        <v>100</v>
      </c>
      <c r="C679" t="s">
        <v>621</v>
      </c>
      <c r="D679" t="s">
        <v>618</v>
      </c>
      <c r="E679" t="s">
        <v>622</v>
      </c>
      <c r="F679" s="213" t="s">
        <v>56</v>
      </c>
      <c r="G679" t="s">
        <v>66</v>
      </c>
      <c r="H679" t="s">
        <v>84</v>
      </c>
      <c r="I679" t="s">
        <v>623</v>
      </c>
      <c r="J679" t="s">
        <v>56</v>
      </c>
      <c r="K679" t="s">
        <v>32</v>
      </c>
      <c r="L679" t="s">
        <v>101</v>
      </c>
      <c r="M679" t="s">
        <v>38</v>
      </c>
      <c r="N679" t="s">
        <v>656</v>
      </c>
      <c r="O679" t="s">
        <v>1181</v>
      </c>
    </row>
    <row r="680" spans="1:15" x14ac:dyDescent="0.25">
      <c r="A680" t="s">
        <v>1403</v>
      </c>
      <c r="B680" t="s">
        <v>100</v>
      </c>
      <c r="C680" t="s">
        <v>621</v>
      </c>
      <c r="D680" t="s">
        <v>618</v>
      </c>
      <c r="E680" t="s">
        <v>622</v>
      </c>
      <c r="F680" s="213" t="s">
        <v>56</v>
      </c>
      <c r="G680" t="s">
        <v>66</v>
      </c>
      <c r="H680" t="s">
        <v>84</v>
      </c>
      <c r="I680" t="s">
        <v>623</v>
      </c>
      <c r="J680" t="s">
        <v>56</v>
      </c>
      <c r="K680" t="s">
        <v>25</v>
      </c>
      <c r="L680" t="s">
        <v>46</v>
      </c>
      <c r="M680" t="s">
        <v>38</v>
      </c>
      <c r="N680" t="s">
        <v>94</v>
      </c>
      <c r="O680" t="s">
        <v>693</v>
      </c>
    </row>
    <row r="681" spans="1:15" x14ac:dyDescent="0.25">
      <c r="A681" t="s">
        <v>1404</v>
      </c>
      <c r="B681" t="s">
        <v>100</v>
      </c>
      <c r="C681" t="s">
        <v>621</v>
      </c>
      <c r="D681" t="s">
        <v>618</v>
      </c>
      <c r="E681" t="s">
        <v>622</v>
      </c>
      <c r="F681" s="213" t="s">
        <v>56</v>
      </c>
      <c r="G681" t="s">
        <v>66</v>
      </c>
      <c r="H681" t="s">
        <v>84</v>
      </c>
      <c r="I681" t="s">
        <v>623</v>
      </c>
      <c r="J681" t="s">
        <v>56</v>
      </c>
      <c r="K681" t="s">
        <v>28</v>
      </c>
      <c r="L681" t="s">
        <v>39</v>
      </c>
      <c r="M681" t="s">
        <v>38</v>
      </c>
      <c r="N681" t="s">
        <v>22</v>
      </c>
      <c r="O681" t="s">
        <v>1405</v>
      </c>
    </row>
    <row r="682" spans="1:15" x14ac:dyDescent="0.25">
      <c r="A682" t="s">
        <v>1406</v>
      </c>
      <c r="B682" t="s">
        <v>100</v>
      </c>
      <c r="C682" t="s">
        <v>621</v>
      </c>
      <c r="D682" t="s">
        <v>618</v>
      </c>
      <c r="E682" t="s">
        <v>622</v>
      </c>
      <c r="F682" s="213" t="s">
        <v>56</v>
      </c>
      <c r="G682" t="s">
        <v>66</v>
      </c>
      <c r="H682" t="s">
        <v>84</v>
      </c>
      <c r="I682" t="s">
        <v>623</v>
      </c>
      <c r="J682" t="s">
        <v>56</v>
      </c>
      <c r="K682" t="s">
        <v>30</v>
      </c>
      <c r="L682" t="s">
        <v>35</v>
      </c>
      <c r="M682" t="s">
        <v>38</v>
      </c>
      <c r="N682" t="s">
        <v>36</v>
      </c>
      <c r="O682" t="s">
        <v>1294</v>
      </c>
    </row>
    <row r="683" spans="1:15" x14ac:dyDescent="0.25">
      <c r="A683" t="s">
        <v>1407</v>
      </c>
      <c r="B683" t="s">
        <v>100</v>
      </c>
      <c r="C683" t="s">
        <v>621</v>
      </c>
      <c r="D683" t="s">
        <v>618</v>
      </c>
      <c r="E683" t="s">
        <v>622</v>
      </c>
      <c r="F683" s="213" t="s">
        <v>56</v>
      </c>
      <c r="G683" t="s">
        <v>66</v>
      </c>
      <c r="H683" t="s">
        <v>84</v>
      </c>
      <c r="I683" t="s">
        <v>623</v>
      </c>
      <c r="J683" t="s">
        <v>56</v>
      </c>
      <c r="K683" t="s">
        <v>29</v>
      </c>
      <c r="L683" t="s">
        <v>626</v>
      </c>
      <c r="M683" t="s">
        <v>35</v>
      </c>
      <c r="N683" t="s">
        <v>1322</v>
      </c>
      <c r="O683" t="s">
        <v>1223</v>
      </c>
    </row>
    <row r="684" spans="1:15" x14ac:dyDescent="0.25">
      <c r="A684" t="s">
        <v>1408</v>
      </c>
      <c r="B684" t="s">
        <v>100</v>
      </c>
      <c r="C684" t="s">
        <v>621</v>
      </c>
      <c r="D684" t="s">
        <v>618</v>
      </c>
      <c r="E684" t="s">
        <v>622</v>
      </c>
      <c r="F684" s="213" t="s">
        <v>56</v>
      </c>
      <c r="G684" t="s">
        <v>66</v>
      </c>
      <c r="H684" t="s">
        <v>84</v>
      </c>
      <c r="I684" t="s">
        <v>623</v>
      </c>
      <c r="J684" t="s">
        <v>56</v>
      </c>
      <c r="K684" t="s">
        <v>32</v>
      </c>
      <c r="L684" t="s">
        <v>654</v>
      </c>
      <c r="M684" t="s">
        <v>35</v>
      </c>
      <c r="N684" t="s">
        <v>20</v>
      </c>
      <c r="O684" t="s">
        <v>419</v>
      </c>
    </row>
    <row r="685" spans="1:15" x14ac:dyDescent="0.25">
      <c r="A685" t="s">
        <v>1409</v>
      </c>
      <c r="B685" t="s">
        <v>100</v>
      </c>
      <c r="C685" t="s">
        <v>621</v>
      </c>
      <c r="D685" t="s">
        <v>618</v>
      </c>
      <c r="E685" t="s">
        <v>622</v>
      </c>
      <c r="F685" s="213" t="s">
        <v>56</v>
      </c>
      <c r="G685" t="s">
        <v>66</v>
      </c>
      <c r="H685" t="s">
        <v>84</v>
      </c>
      <c r="I685" t="s">
        <v>623</v>
      </c>
      <c r="J685" t="s">
        <v>56</v>
      </c>
      <c r="K685" t="s">
        <v>26</v>
      </c>
      <c r="L685" t="s">
        <v>714</v>
      </c>
      <c r="M685" t="s">
        <v>35</v>
      </c>
      <c r="N685" t="s">
        <v>1410</v>
      </c>
      <c r="O685" t="s">
        <v>625</v>
      </c>
    </row>
    <row r="686" spans="1:15" x14ac:dyDescent="0.25">
      <c r="A686" t="s">
        <v>1411</v>
      </c>
      <c r="B686" t="s">
        <v>100</v>
      </c>
      <c r="C686" t="s">
        <v>621</v>
      </c>
      <c r="D686" t="s">
        <v>618</v>
      </c>
      <c r="E686" t="s">
        <v>622</v>
      </c>
      <c r="F686" s="213" t="s">
        <v>56</v>
      </c>
      <c r="G686" t="s">
        <v>66</v>
      </c>
      <c r="H686" t="s">
        <v>84</v>
      </c>
      <c r="I686" t="s">
        <v>623</v>
      </c>
      <c r="J686" t="s">
        <v>56</v>
      </c>
      <c r="K686" t="s">
        <v>24</v>
      </c>
      <c r="L686" t="s">
        <v>630</v>
      </c>
      <c r="M686" t="s">
        <v>35</v>
      </c>
      <c r="N686" t="s">
        <v>79</v>
      </c>
      <c r="O686" t="s">
        <v>875</v>
      </c>
    </row>
    <row r="687" spans="1:15" x14ac:dyDescent="0.25">
      <c r="A687" t="s">
        <v>1412</v>
      </c>
      <c r="B687" t="s">
        <v>100</v>
      </c>
      <c r="C687" t="s">
        <v>621</v>
      </c>
      <c r="D687" t="s">
        <v>618</v>
      </c>
      <c r="E687" t="s">
        <v>622</v>
      </c>
      <c r="F687" s="213" t="s">
        <v>56</v>
      </c>
      <c r="G687" t="s">
        <v>66</v>
      </c>
      <c r="H687" t="s">
        <v>84</v>
      </c>
      <c r="I687" t="s">
        <v>623</v>
      </c>
      <c r="J687" t="s">
        <v>56</v>
      </c>
      <c r="K687" t="s">
        <v>21</v>
      </c>
      <c r="L687" t="s">
        <v>625</v>
      </c>
      <c r="M687" t="s">
        <v>35</v>
      </c>
      <c r="N687" t="s">
        <v>720</v>
      </c>
      <c r="O687" t="s">
        <v>726</v>
      </c>
    </row>
    <row r="688" spans="1:15" x14ac:dyDescent="0.25">
      <c r="A688" t="s">
        <v>1413</v>
      </c>
      <c r="B688" t="s">
        <v>100</v>
      </c>
      <c r="C688" t="s">
        <v>621</v>
      </c>
      <c r="D688" t="s">
        <v>618</v>
      </c>
      <c r="E688" t="s">
        <v>622</v>
      </c>
      <c r="F688" s="213" t="s">
        <v>56</v>
      </c>
      <c r="G688" t="s">
        <v>66</v>
      </c>
      <c r="H688" t="s">
        <v>84</v>
      </c>
      <c r="I688" t="s">
        <v>623</v>
      </c>
      <c r="J688" t="s">
        <v>56</v>
      </c>
      <c r="K688" t="s">
        <v>18</v>
      </c>
      <c r="L688" t="s">
        <v>632</v>
      </c>
      <c r="M688" t="s">
        <v>35</v>
      </c>
      <c r="N688" t="s">
        <v>739</v>
      </c>
      <c r="O688" t="s">
        <v>1287</v>
      </c>
    </row>
    <row r="689" spans="1:15" x14ac:dyDescent="0.25">
      <c r="A689" t="s">
        <v>1414</v>
      </c>
      <c r="B689" t="s">
        <v>100</v>
      </c>
      <c r="C689" t="s">
        <v>621</v>
      </c>
      <c r="D689" t="s">
        <v>618</v>
      </c>
      <c r="E689" t="s">
        <v>622</v>
      </c>
      <c r="F689" s="213" t="s">
        <v>56</v>
      </c>
      <c r="G689" t="s">
        <v>66</v>
      </c>
      <c r="H689" t="s">
        <v>84</v>
      </c>
      <c r="I689" t="s">
        <v>623</v>
      </c>
      <c r="J689" t="s">
        <v>56</v>
      </c>
      <c r="K689" t="s">
        <v>16</v>
      </c>
      <c r="L689" t="s">
        <v>642</v>
      </c>
      <c r="M689" t="s">
        <v>35</v>
      </c>
      <c r="N689" t="s">
        <v>64</v>
      </c>
      <c r="O689" t="s">
        <v>967</v>
      </c>
    </row>
    <row r="690" spans="1:15" x14ac:dyDescent="0.25">
      <c r="A690" t="s">
        <v>1415</v>
      </c>
      <c r="B690" t="s">
        <v>100</v>
      </c>
      <c r="C690" t="s">
        <v>621</v>
      </c>
      <c r="D690" t="s">
        <v>618</v>
      </c>
      <c r="E690" t="s">
        <v>622</v>
      </c>
      <c r="F690" s="213" t="s">
        <v>56</v>
      </c>
      <c r="G690" t="s">
        <v>66</v>
      </c>
      <c r="H690" t="s">
        <v>84</v>
      </c>
      <c r="I690" t="s">
        <v>623</v>
      </c>
      <c r="J690" t="s">
        <v>56</v>
      </c>
      <c r="K690" t="s">
        <v>13</v>
      </c>
      <c r="L690" t="s">
        <v>643</v>
      </c>
      <c r="M690" t="s">
        <v>35</v>
      </c>
      <c r="N690" t="s">
        <v>1077</v>
      </c>
      <c r="O690" t="s">
        <v>720</v>
      </c>
    </row>
    <row r="691" spans="1:15" x14ac:dyDescent="0.25">
      <c r="A691" t="s">
        <v>1416</v>
      </c>
      <c r="B691" t="s">
        <v>100</v>
      </c>
      <c r="C691" t="s">
        <v>621</v>
      </c>
      <c r="D691" t="s">
        <v>618</v>
      </c>
      <c r="E691" t="s">
        <v>622</v>
      </c>
      <c r="F691" s="213" t="s">
        <v>56</v>
      </c>
      <c r="G691" t="s">
        <v>66</v>
      </c>
      <c r="H691" t="s">
        <v>84</v>
      </c>
      <c r="I691" t="s">
        <v>623</v>
      </c>
      <c r="J691" t="s">
        <v>56</v>
      </c>
      <c r="K691" t="s">
        <v>11</v>
      </c>
      <c r="L691" t="s">
        <v>635</v>
      </c>
      <c r="M691" t="s">
        <v>35</v>
      </c>
      <c r="N691" t="s">
        <v>70</v>
      </c>
      <c r="O691" t="s">
        <v>1035</v>
      </c>
    </row>
    <row r="692" spans="1:15" x14ac:dyDescent="0.25">
      <c r="A692" t="s">
        <v>1417</v>
      </c>
      <c r="B692" t="s">
        <v>100</v>
      </c>
      <c r="C692" t="s">
        <v>621</v>
      </c>
      <c r="D692" t="s">
        <v>618</v>
      </c>
      <c r="E692" t="s">
        <v>622</v>
      </c>
      <c r="F692" s="213" t="s">
        <v>56</v>
      </c>
      <c r="G692" t="s">
        <v>66</v>
      </c>
      <c r="H692" t="s">
        <v>84</v>
      </c>
      <c r="I692" t="s">
        <v>623</v>
      </c>
      <c r="J692" t="s">
        <v>56</v>
      </c>
      <c r="K692" t="s">
        <v>9</v>
      </c>
      <c r="L692" t="s">
        <v>637</v>
      </c>
      <c r="M692" t="s">
        <v>35</v>
      </c>
      <c r="N692" t="s">
        <v>1287</v>
      </c>
      <c r="O692" t="s">
        <v>739</v>
      </c>
    </row>
    <row r="693" spans="1:15" x14ac:dyDescent="0.25">
      <c r="A693" t="s">
        <v>1418</v>
      </c>
      <c r="B693" t="s">
        <v>100</v>
      </c>
      <c r="C693" t="s">
        <v>621</v>
      </c>
      <c r="D693" t="s">
        <v>618</v>
      </c>
      <c r="E693" t="s">
        <v>622</v>
      </c>
      <c r="F693" s="213" t="s">
        <v>56</v>
      </c>
      <c r="G693" t="s">
        <v>66</v>
      </c>
      <c r="H693" t="s">
        <v>84</v>
      </c>
      <c r="I693" t="s">
        <v>623</v>
      </c>
      <c r="J693" t="s">
        <v>56</v>
      </c>
      <c r="K693" t="s">
        <v>7</v>
      </c>
      <c r="L693" t="s">
        <v>809</v>
      </c>
      <c r="M693" t="s">
        <v>35</v>
      </c>
      <c r="N693" t="s">
        <v>88</v>
      </c>
      <c r="O693" t="s">
        <v>789</v>
      </c>
    </row>
    <row r="694" spans="1:15" x14ac:dyDescent="0.25">
      <c r="A694" t="s">
        <v>1419</v>
      </c>
      <c r="B694" t="s">
        <v>100</v>
      </c>
      <c r="C694" t="s">
        <v>621</v>
      </c>
      <c r="D694" t="s">
        <v>618</v>
      </c>
      <c r="E694" t="s">
        <v>622</v>
      </c>
      <c r="F694" s="213" t="s">
        <v>56</v>
      </c>
      <c r="G694" t="s">
        <v>66</v>
      </c>
      <c r="H694" t="s">
        <v>84</v>
      </c>
      <c r="I694" t="s">
        <v>623</v>
      </c>
      <c r="J694" t="s">
        <v>56</v>
      </c>
      <c r="K694" t="s">
        <v>5</v>
      </c>
      <c r="L694" t="s">
        <v>662</v>
      </c>
      <c r="M694" t="s">
        <v>35</v>
      </c>
      <c r="N694" t="s">
        <v>40</v>
      </c>
      <c r="O694" t="s">
        <v>1239</v>
      </c>
    </row>
    <row r="695" spans="1:15" x14ac:dyDescent="0.25">
      <c r="A695" t="s">
        <v>1420</v>
      </c>
      <c r="B695" t="s">
        <v>100</v>
      </c>
      <c r="C695" t="s">
        <v>621</v>
      </c>
      <c r="D695" t="s">
        <v>618</v>
      </c>
      <c r="E695" t="s">
        <v>622</v>
      </c>
      <c r="F695" s="213" t="s">
        <v>56</v>
      </c>
      <c r="G695" t="s">
        <v>66</v>
      </c>
      <c r="H695" t="s">
        <v>84</v>
      </c>
      <c r="I695" t="s">
        <v>623</v>
      </c>
      <c r="J695" t="s">
        <v>56</v>
      </c>
      <c r="K695" t="s">
        <v>3</v>
      </c>
      <c r="L695" t="s">
        <v>749</v>
      </c>
      <c r="M695" t="s">
        <v>35</v>
      </c>
      <c r="N695" t="s">
        <v>652</v>
      </c>
      <c r="O695" t="s">
        <v>1346</v>
      </c>
    </row>
    <row r="696" spans="1:15" x14ac:dyDescent="0.25">
      <c r="A696" t="s">
        <v>1421</v>
      </c>
      <c r="B696" t="s">
        <v>100</v>
      </c>
      <c r="C696" t="s">
        <v>621</v>
      </c>
      <c r="D696" t="s">
        <v>618</v>
      </c>
      <c r="E696" t="s">
        <v>622</v>
      </c>
      <c r="F696" s="213" t="s">
        <v>56</v>
      </c>
      <c r="G696" t="s">
        <v>66</v>
      </c>
      <c r="H696" t="s">
        <v>84</v>
      </c>
      <c r="I696" t="s">
        <v>623</v>
      </c>
      <c r="J696" t="s">
        <v>56</v>
      </c>
      <c r="K696" t="s">
        <v>26</v>
      </c>
      <c r="L696" t="s">
        <v>807</v>
      </c>
      <c r="M696" t="s">
        <v>35</v>
      </c>
      <c r="N696" t="s">
        <v>729</v>
      </c>
      <c r="O696" t="s">
        <v>1287</v>
      </c>
    </row>
    <row r="697" spans="1:15" x14ac:dyDescent="0.25">
      <c r="A697" t="s">
        <v>1422</v>
      </c>
      <c r="B697" t="s">
        <v>100</v>
      </c>
      <c r="C697" t="s">
        <v>621</v>
      </c>
      <c r="D697" t="s">
        <v>618</v>
      </c>
      <c r="E697" t="s">
        <v>622</v>
      </c>
      <c r="F697" s="213" t="s">
        <v>56</v>
      </c>
      <c r="G697" t="s">
        <v>66</v>
      </c>
      <c r="H697" t="s">
        <v>84</v>
      </c>
      <c r="I697" t="s">
        <v>623</v>
      </c>
      <c r="J697" t="s">
        <v>56</v>
      </c>
      <c r="K697" t="s">
        <v>27</v>
      </c>
      <c r="L697" t="s">
        <v>626</v>
      </c>
      <c r="M697" t="s">
        <v>37</v>
      </c>
      <c r="N697" t="s">
        <v>1423</v>
      </c>
      <c r="O697" t="s">
        <v>1172</v>
      </c>
    </row>
    <row r="698" spans="1:15" x14ac:dyDescent="0.25">
      <c r="A698" t="s">
        <v>1424</v>
      </c>
      <c r="B698" t="s">
        <v>100</v>
      </c>
      <c r="C698" t="s">
        <v>621</v>
      </c>
      <c r="D698" t="s">
        <v>618</v>
      </c>
      <c r="E698" t="s">
        <v>622</v>
      </c>
      <c r="F698" s="213" t="s">
        <v>56</v>
      </c>
      <c r="G698" t="s">
        <v>66</v>
      </c>
      <c r="H698" t="s">
        <v>84</v>
      </c>
      <c r="I698" t="s">
        <v>623</v>
      </c>
      <c r="J698" t="s">
        <v>56</v>
      </c>
      <c r="K698" t="s">
        <v>25</v>
      </c>
      <c r="L698" t="s">
        <v>628</v>
      </c>
      <c r="M698" t="s">
        <v>37</v>
      </c>
      <c r="N698" t="s">
        <v>1425</v>
      </c>
      <c r="O698" t="s">
        <v>1172</v>
      </c>
    </row>
    <row r="699" spans="1:15" x14ac:dyDescent="0.25">
      <c r="A699" t="s">
        <v>1426</v>
      </c>
      <c r="B699" t="s">
        <v>100</v>
      </c>
      <c r="C699" t="s">
        <v>621</v>
      </c>
      <c r="D699" t="s">
        <v>618</v>
      </c>
      <c r="E699" t="s">
        <v>622</v>
      </c>
      <c r="F699" s="213" t="s">
        <v>56</v>
      </c>
      <c r="G699" t="s">
        <v>66</v>
      </c>
      <c r="H699" t="s">
        <v>84</v>
      </c>
      <c r="I699" t="s">
        <v>623</v>
      </c>
      <c r="J699" t="s">
        <v>56</v>
      </c>
      <c r="K699" t="s">
        <v>22</v>
      </c>
      <c r="L699" t="s">
        <v>630</v>
      </c>
      <c r="M699" t="s">
        <v>37</v>
      </c>
      <c r="N699" t="s">
        <v>644</v>
      </c>
      <c r="O699" t="s">
        <v>1181</v>
      </c>
    </row>
    <row r="700" spans="1:15" x14ac:dyDescent="0.25">
      <c r="A700" t="s">
        <v>1427</v>
      </c>
      <c r="B700" t="s">
        <v>100</v>
      </c>
      <c r="C700" t="s">
        <v>621</v>
      </c>
      <c r="D700" t="s">
        <v>618</v>
      </c>
      <c r="E700" t="s">
        <v>622</v>
      </c>
      <c r="F700" s="213" t="s">
        <v>56</v>
      </c>
      <c r="G700" t="s">
        <v>66</v>
      </c>
      <c r="H700" t="s">
        <v>84</v>
      </c>
      <c r="I700" t="s">
        <v>623</v>
      </c>
      <c r="J700" t="s">
        <v>56</v>
      </c>
      <c r="K700" t="s">
        <v>19</v>
      </c>
      <c r="L700" t="s">
        <v>625</v>
      </c>
      <c r="M700" t="s">
        <v>37</v>
      </c>
      <c r="N700" t="s">
        <v>1428</v>
      </c>
      <c r="O700" t="s">
        <v>1172</v>
      </c>
    </row>
    <row r="701" spans="1:15" x14ac:dyDescent="0.25">
      <c r="A701" t="s">
        <v>1429</v>
      </c>
      <c r="B701" t="s">
        <v>100</v>
      </c>
      <c r="C701" t="s">
        <v>621</v>
      </c>
      <c r="D701" t="s">
        <v>618</v>
      </c>
      <c r="E701" t="s">
        <v>622</v>
      </c>
      <c r="F701" s="213" t="s">
        <v>56</v>
      </c>
      <c r="G701" t="s">
        <v>66</v>
      </c>
      <c r="H701" t="s">
        <v>84</v>
      </c>
      <c r="I701" t="s">
        <v>623</v>
      </c>
      <c r="J701" t="s">
        <v>56</v>
      </c>
      <c r="K701" t="s">
        <v>15</v>
      </c>
      <c r="L701" t="s">
        <v>632</v>
      </c>
      <c r="M701" t="s">
        <v>37</v>
      </c>
      <c r="N701" t="s">
        <v>1430</v>
      </c>
      <c r="O701" t="s">
        <v>1172</v>
      </c>
    </row>
    <row r="702" spans="1:15" x14ac:dyDescent="0.25">
      <c r="A702" t="s">
        <v>1431</v>
      </c>
      <c r="B702" t="s">
        <v>100</v>
      </c>
      <c r="C702" t="s">
        <v>621</v>
      </c>
      <c r="D702" t="s">
        <v>618</v>
      </c>
      <c r="E702" t="s">
        <v>622</v>
      </c>
      <c r="F702" s="213" t="s">
        <v>56</v>
      </c>
      <c r="G702" t="s">
        <v>66</v>
      </c>
      <c r="H702" t="s">
        <v>84</v>
      </c>
      <c r="I702" t="s">
        <v>623</v>
      </c>
      <c r="J702" t="s">
        <v>56</v>
      </c>
      <c r="K702" t="s">
        <v>12</v>
      </c>
      <c r="L702" t="s">
        <v>629</v>
      </c>
      <c r="M702" t="s">
        <v>37</v>
      </c>
      <c r="N702" t="s">
        <v>755</v>
      </c>
      <c r="O702" t="s">
        <v>720</v>
      </c>
    </row>
    <row r="703" spans="1:15" x14ac:dyDescent="0.25">
      <c r="A703" t="s">
        <v>1432</v>
      </c>
      <c r="B703" t="s">
        <v>100</v>
      </c>
      <c r="C703" t="s">
        <v>621</v>
      </c>
      <c r="D703" t="s">
        <v>618</v>
      </c>
      <c r="E703" t="s">
        <v>622</v>
      </c>
      <c r="F703" s="213" t="s">
        <v>56</v>
      </c>
      <c r="G703" t="s">
        <v>66</v>
      </c>
      <c r="H703" t="s">
        <v>84</v>
      </c>
      <c r="I703" t="s">
        <v>623</v>
      </c>
      <c r="J703" t="s">
        <v>56</v>
      </c>
      <c r="K703" t="s">
        <v>10</v>
      </c>
      <c r="L703" t="s">
        <v>635</v>
      </c>
      <c r="M703" t="s">
        <v>37</v>
      </c>
      <c r="N703" t="s">
        <v>1433</v>
      </c>
      <c r="O703" t="s">
        <v>1390</v>
      </c>
    </row>
    <row r="704" spans="1:15" x14ac:dyDescent="0.25">
      <c r="A704" t="s">
        <v>1434</v>
      </c>
      <c r="B704" t="s">
        <v>100</v>
      </c>
      <c r="C704" t="s">
        <v>621</v>
      </c>
      <c r="D704" t="s">
        <v>618</v>
      </c>
      <c r="E704" t="s">
        <v>622</v>
      </c>
      <c r="F704" s="213" t="s">
        <v>56</v>
      </c>
      <c r="G704" t="s">
        <v>66</v>
      </c>
      <c r="H704" t="s">
        <v>84</v>
      </c>
      <c r="I704" t="s">
        <v>623</v>
      </c>
      <c r="J704" t="s">
        <v>56</v>
      </c>
      <c r="K704" t="s">
        <v>8</v>
      </c>
      <c r="L704" t="s">
        <v>637</v>
      </c>
      <c r="M704" t="s">
        <v>37</v>
      </c>
      <c r="N704" t="s">
        <v>1435</v>
      </c>
      <c r="O704" t="s">
        <v>818</v>
      </c>
    </row>
    <row r="705" spans="1:15" x14ac:dyDescent="0.25">
      <c r="A705" t="s">
        <v>1436</v>
      </c>
      <c r="B705" t="s">
        <v>100</v>
      </c>
      <c r="C705" t="s">
        <v>621</v>
      </c>
      <c r="D705" t="s">
        <v>618</v>
      </c>
      <c r="E705" t="s">
        <v>622</v>
      </c>
      <c r="F705" s="213" t="s">
        <v>56</v>
      </c>
      <c r="G705" t="s">
        <v>66</v>
      </c>
      <c r="H705" t="s">
        <v>84</v>
      </c>
      <c r="I705" t="s">
        <v>623</v>
      </c>
      <c r="J705" t="s">
        <v>56</v>
      </c>
      <c r="K705" t="s">
        <v>6</v>
      </c>
      <c r="L705" t="s">
        <v>639</v>
      </c>
      <c r="M705" t="s">
        <v>37</v>
      </c>
      <c r="N705" t="s">
        <v>741</v>
      </c>
      <c r="O705" t="s">
        <v>1223</v>
      </c>
    </row>
    <row r="706" spans="1:15" x14ac:dyDescent="0.25">
      <c r="A706" t="s">
        <v>1437</v>
      </c>
      <c r="B706" t="s">
        <v>100</v>
      </c>
      <c r="C706" t="s">
        <v>621</v>
      </c>
      <c r="D706" t="s">
        <v>618</v>
      </c>
      <c r="E706" t="s">
        <v>622</v>
      </c>
      <c r="F706" s="213" t="s">
        <v>56</v>
      </c>
      <c r="G706" t="s">
        <v>66</v>
      </c>
      <c r="H706" t="s">
        <v>84</v>
      </c>
      <c r="I706" t="s">
        <v>623</v>
      </c>
      <c r="J706" t="s">
        <v>56</v>
      </c>
      <c r="K706" t="s">
        <v>4</v>
      </c>
      <c r="L706" t="s">
        <v>662</v>
      </c>
      <c r="M706" t="s">
        <v>37</v>
      </c>
      <c r="N706" t="s">
        <v>1394</v>
      </c>
      <c r="O706" t="s">
        <v>1181</v>
      </c>
    </row>
    <row r="707" spans="1:15" x14ac:dyDescent="0.25">
      <c r="A707" t="s">
        <v>1438</v>
      </c>
      <c r="B707" t="s">
        <v>100</v>
      </c>
      <c r="C707" t="s">
        <v>621</v>
      </c>
      <c r="D707" t="s">
        <v>618</v>
      </c>
      <c r="E707" t="s">
        <v>622</v>
      </c>
      <c r="F707" s="213" t="s">
        <v>56</v>
      </c>
      <c r="G707" t="s">
        <v>66</v>
      </c>
      <c r="H707" t="s">
        <v>84</v>
      </c>
      <c r="I707" t="s">
        <v>623</v>
      </c>
      <c r="J707" t="s">
        <v>56</v>
      </c>
      <c r="K707" t="s">
        <v>2</v>
      </c>
      <c r="L707" t="s">
        <v>749</v>
      </c>
      <c r="M707" t="s">
        <v>37</v>
      </c>
      <c r="N707" t="s">
        <v>1183</v>
      </c>
      <c r="O707" t="s">
        <v>1223</v>
      </c>
    </row>
    <row r="708" spans="1:15" x14ac:dyDescent="0.25">
      <c r="A708" t="s">
        <v>1439</v>
      </c>
      <c r="B708" t="s">
        <v>100</v>
      </c>
      <c r="C708" t="s">
        <v>621</v>
      </c>
      <c r="D708" t="s">
        <v>618</v>
      </c>
      <c r="E708" t="s">
        <v>622</v>
      </c>
      <c r="F708" s="213" t="s">
        <v>56</v>
      </c>
      <c r="G708" t="s">
        <v>66</v>
      </c>
      <c r="H708" t="s">
        <v>84</v>
      </c>
      <c r="I708" t="s">
        <v>623</v>
      </c>
      <c r="J708" t="s">
        <v>56</v>
      </c>
      <c r="K708" t="s">
        <v>24</v>
      </c>
      <c r="L708" t="s">
        <v>807</v>
      </c>
      <c r="M708" t="s">
        <v>37</v>
      </c>
      <c r="N708" t="s">
        <v>1294</v>
      </c>
      <c r="O708" t="s">
        <v>1172</v>
      </c>
    </row>
    <row r="709" spans="1:15" x14ac:dyDescent="0.25">
      <c r="A709" t="s">
        <v>1440</v>
      </c>
      <c r="B709" t="s">
        <v>100</v>
      </c>
      <c r="C709" t="s">
        <v>621</v>
      </c>
      <c r="D709" t="s">
        <v>618</v>
      </c>
      <c r="E709" t="s">
        <v>622</v>
      </c>
      <c r="F709" s="213" t="s">
        <v>56</v>
      </c>
      <c r="G709" t="s">
        <v>66</v>
      </c>
      <c r="H709" t="s">
        <v>84</v>
      </c>
      <c r="I709" t="s">
        <v>623</v>
      </c>
      <c r="J709" t="s">
        <v>56</v>
      </c>
      <c r="K709" t="s">
        <v>25</v>
      </c>
      <c r="L709" t="s">
        <v>827</v>
      </c>
      <c r="M709" t="s">
        <v>37</v>
      </c>
      <c r="N709" t="s">
        <v>1224</v>
      </c>
      <c r="O709" t="s">
        <v>1172</v>
      </c>
    </row>
    <row r="710" spans="1:15" x14ac:dyDescent="0.25">
      <c r="A710" t="s">
        <v>1441</v>
      </c>
      <c r="B710" t="s">
        <v>100</v>
      </c>
      <c r="C710" t="s">
        <v>621</v>
      </c>
      <c r="D710" t="s">
        <v>618</v>
      </c>
      <c r="E710" t="s">
        <v>622</v>
      </c>
      <c r="F710" s="213" t="s">
        <v>56</v>
      </c>
      <c r="G710" t="s">
        <v>66</v>
      </c>
      <c r="H710" t="s">
        <v>84</v>
      </c>
      <c r="I710" t="s">
        <v>623</v>
      </c>
      <c r="J710" t="s">
        <v>56</v>
      </c>
      <c r="K710" t="s">
        <v>26</v>
      </c>
      <c r="L710" t="s">
        <v>729</v>
      </c>
      <c r="M710" t="s">
        <v>37</v>
      </c>
      <c r="N710" t="s">
        <v>685</v>
      </c>
      <c r="O710" t="s">
        <v>1172</v>
      </c>
    </row>
    <row r="711" spans="1:15" x14ac:dyDescent="0.25">
      <c r="A711" t="s">
        <v>1442</v>
      </c>
      <c r="B711" t="s">
        <v>100</v>
      </c>
      <c r="C711" t="s">
        <v>621</v>
      </c>
      <c r="D711" t="s">
        <v>618</v>
      </c>
      <c r="E711" t="s">
        <v>622</v>
      </c>
      <c r="F711" s="213" t="s">
        <v>56</v>
      </c>
      <c r="G711" t="s">
        <v>66</v>
      </c>
      <c r="H711" t="s">
        <v>84</v>
      </c>
      <c r="I711" t="s">
        <v>623</v>
      </c>
      <c r="J711" t="s">
        <v>56</v>
      </c>
      <c r="K711" t="s">
        <v>28</v>
      </c>
      <c r="L711" t="s">
        <v>698</v>
      </c>
      <c r="M711" t="s">
        <v>37</v>
      </c>
      <c r="N711" t="s">
        <v>632</v>
      </c>
      <c r="O711" t="s">
        <v>1172</v>
      </c>
    </row>
    <row r="712" spans="1:15" x14ac:dyDescent="0.25">
      <c r="A712" t="s">
        <v>1443</v>
      </c>
      <c r="B712" t="s">
        <v>100</v>
      </c>
      <c r="C712" t="s">
        <v>621</v>
      </c>
      <c r="D712" t="s">
        <v>618</v>
      </c>
      <c r="E712" t="s">
        <v>622</v>
      </c>
      <c r="F712" s="213" t="s">
        <v>56</v>
      </c>
      <c r="G712" t="s">
        <v>66</v>
      </c>
      <c r="H712" t="s">
        <v>84</v>
      </c>
      <c r="I712" t="s">
        <v>623</v>
      </c>
      <c r="J712" t="s">
        <v>56</v>
      </c>
      <c r="K712" t="s">
        <v>30</v>
      </c>
      <c r="L712" t="s">
        <v>631</v>
      </c>
      <c r="M712" t="s">
        <v>37</v>
      </c>
      <c r="N712" t="s">
        <v>1082</v>
      </c>
      <c r="O712" t="s">
        <v>1390</v>
      </c>
    </row>
    <row r="713" spans="1:15" x14ac:dyDescent="0.25">
      <c r="A713" t="s">
        <v>1444</v>
      </c>
      <c r="B713" t="s">
        <v>100</v>
      </c>
      <c r="C713" t="s">
        <v>621</v>
      </c>
      <c r="D713" t="s">
        <v>618</v>
      </c>
      <c r="E713" t="s">
        <v>622</v>
      </c>
      <c r="F713" s="213" t="s">
        <v>56</v>
      </c>
      <c r="G713" t="s">
        <v>66</v>
      </c>
      <c r="H713" t="s">
        <v>84</v>
      </c>
      <c r="I713" t="s">
        <v>623</v>
      </c>
      <c r="J713" t="s">
        <v>56</v>
      </c>
      <c r="K713" t="s">
        <v>32</v>
      </c>
      <c r="L713" t="s">
        <v>101</v>
      </c>
      <c r="M713" t="s">
        <v>37</v>
      </c>
      <c r="N713" t="s">
        <v>1035</v>
      </c>
      <c r="O713" t="s">
        <v>1346</v>
      </c>
    </row>
    <row r="714" spans="1:15" x14ac:dyDescent="0.25">
      <c r="A714" t="s">
        <v>1445</v>
      </c>
      <c r="B714" t="s">
        <v>100</v>
      </c>
      <c r="C714" t="s">
        <v>621</v>
      </c>
      <c r="D714" t="s">
        <v>618</v>
      </c>
      <c r="E714" t="s">
        <v>622</v>
      </c>
      <c r="F714" s="213" t="s">
        <v>56</v>
      </c>
      <c r="G714" t="s">
        <v>66</v>
      </c>
      <c r="H714" t="s">
        <v>84</v>
      </c>
      <c r="I714" t="s">
        <v>623</v>
      </c>
      <c r="J714" t="s">
        <v>56</v>
      </c>
      <c r="K714" t="s">
        <v>25</v>
      </c>
      <c r="L714" t="s">
        <v>46</v>
      </c>
      <c r="M714" t="s">
        <v>37</v>
      </c>
      <c r="N714" t="s">
        <v>793</v>
      </c>
      <c r="O714" t="s">
        <v>1287</v>
      </c>
    </row>
    <row r="715" spans="1:15" x14ac:dyDescent="0.25">
      <c r="A715" t="s">
        <v>1446</v>
      </c>
      <c r="B715" t="s">
        <v>100</v>
      </c>
      <c r="C715" t="s">
        <v>621</v>
      </c>
      <c r="D715" t="s">
        <v>618</v>
      </c>
      <c r="E715" t="s">
        <v>622</v>
      </c>
      <c r="F715" s="213" t="s">
        <v>56</v>
      </c>
      <c r="G715" t="s">
        <v>66</v>
      </c>
      <c r="H715" t="s">
        <v>84</v>
      </c>
      <c r="I715" t="s">
        <v>623</v>
      </c>
      <c r="J715" t="s">
        <v>56</v>
      </c>
      <c r="K715" t="s">
        <v>28</v>
      </c>
      <c r="L715" t="s">
        <v>39</v>
      </c>
      <c r="M715" t="s">
        <v>37</v>
      </c>
      <c r="N715" t="s">
        <v>30</v>
      </c>
      <c r="O715" t="s">
        <v>1348</v>
      </c>
    </row>
    <row r="716" spans="1:15" x14ac:dyDescent="0.25">
      <c r="A716" t="s">
        <v>1447</v>
      </c>
      <c r="B716" t="s">
        <v>100</v>
      </c>
      <c r="C716" t="s">
        <v>621</v>
      </c>
      <c r="D716" t="s">
        <v>618</v>
      </c>
      <c r="E716" t="s">
        <v>622</v>
      </c>
      <c r="F716" s="213" t="s">
        <v>56</v>
      </c>
      <c r="G716" t="s">
        <v>66</v>
      </c>
      <c r="H716" t="s">
        <v>84</v>
      </c>
      <c r="I716" t="s">
        <v>623</v>
      </c>
      <c r="J716" t="s">
        <v>56</v>
      </c>
      <c r="K716" t="s">
        <v>30</v>
      </c>
      <c r="L716" t="s">
        <v>35</v>
      </c>
      <c r="M716" t="s">
        <v>37</v>
      </c>
      <c r="N716" t="s">
        <v>87</v>
      </c>
      <c r="O716" t="s">
        <v>755</v>
      </c>
    </row>
    <row r="717" spans="1:15" x14ac:dyDescent="0.25">
      <c r="A717" t="s">
        <v>1448</v>
      </c>
      <c r="B717" t="s">
        <v>100</v>
      </c>
      <c r="C717" t="s">
        <v>621</v>
      </c>
      <c r="D717" t="s">
        <v>618</v>
      </c>
      <c r="E717" t="s">
        <v>622</v>
      </c>
      <c r="F717" s="213" t="s">
        <v>56</v>
      </c>
      <c r="G717" t="s">
        <v>66</v>
      </c>
      <c r="H717" t="s">
        <v>84</v>
      </c>
      <c r="I717" t="s">
        <v>623</v>
      </c>
      <c r="J717" t="s">
        <v>56</v>
      </c>
      <c r="K717" t="s">
        <v>30</v>
      </c>
      <c r="L717" t="s">
        <v>624</v>
      </c>
      <c r="M717" t="s">
        <v>35</v>
      </c>
      <c r="N717" t="s">
        <v>39</v>
      </c>
      <c r="O717" t="s">
        <v>1307</v>
      </c>
    </row>
    <row r="718" spans="1:15" x14ac:dyDescent="0.25">
      <c r="A718" t="s">
        <v>1449</v>
      </c>
      <c r="B718" t="s">
        <v>100</v>
      </c>
      <c r="C718" t="s">
        <v>621</v>
      </c>
      <c r="D718" t="s">
        <v>618</v>
      </c>
      <c r="E718" t="s">
        <v>622</v>
      </c>
      <c r="F718" s="213" t="s">
        <v>56</v>
      </c>
      <c r="G718" t="s">
        <v>66</v>
      </c>
      <c r="H718" t="s">
        <v>84</v>
      </c>
      <c r="I718" t="s">
        <v>623</v>
      </c>
      <c r="J718" t="s">
        <v>56</v>
      </c>
      <c r="K718" t="s">
        <v>31</v>
      </c>
      <c r="L718" t="s">
        <v>654</v>
      </c>
      <c r="M718" t="s">
        <v>35</v>
      </c>
      <c r="N718" t="s">
        <v>68</v>
      </c>
      <c r="O718" t="s">
        <v>1082</v>
      </c>
    </row>
    <row r="719" spans="1:15" x14ac:dyDescent="0.25">
      <c r="A719" t="s">
        <v>1450</v>
      </c>
      <c r="B719" t="s">
        <v>100</v>
      </c>
      <c r="C719" t="s">
        <v>621</v>
      </c>
      <c r="D719" t="s">
        <v>618</v>
      </c>
      <c r="E719" t="s">
        <v>622</v>
      </c>
      <c r="F719" s="213" t="s">
        <v>56</v>
      </c>
      <c r="G719" t="s">
        <v>66</v>
      </c>
      <c r="H719" t="s">
        <v>84</v>
      </c>
      <c r="I719" t="s">
        <v>623</v>
      </c>
      <c r="J719" t="s">
        <v>56</v>
      </c>
      <c r="K719" t="s">
        <v>33</v>
      </c>
      <c r="L719" t="s">
        <v>418</v>
      </c>
      <c r="M719" t="s">
        <v>35</v>
      </c>
      <c r="N719" t="s">
        <v>1451</v>
      </c>
      <c r="O719" t="s">
        <v>625</v>
      </c>
    </row>
    <row r="720" spans="1:15" x14ac:dyDescent="0.25">
      <c r="A720" t="s">
        <v>1452</v>
      </c>
      <c r="B720" t="s">
        <v>100</v>
      </c>
      <c r="C720" t="s">
        <v>621</v>
      </c>
      <c r="D720" t="s">
        <v>618</v>
      </c>
      <c r="E720" t="s">
        <v>622</v>
      </c>
      <c r="F720" s="213" t="s">
        <v>56</v>
      </c>
      <c r="G720" t="s">
        <v>66</v>
      </c>
      <c r="H720" t="s">
        <v>84</v>
      </c>
      <c r="I720" t="s">
        <v>623</v>
      </c>
      <c r="J720" t="s">
        <v>56</v>
      </c>
      <c r="K720" t="s">
        <v>23</v>
      </c>
      <c r="L720" t="s">
        <v>630</v>
      </c>
      <c r="M720" t="s">
        <v>35</v>
      </c>
      <c r="N720" t="s">
        <v>1453</v>
      </c>
      <c r="O720" t="s">
        <v>685</v>
      </c>
    </row>
    <row r="721" spans="1:15" x14ac:dyDescent="0.25">
      <c r="A721" t="s">
        <v>1454</v>
      </c>
      <c r="B721" t="s">
        <v>100</v>
      </c>
      <c r="C721" t="s">
        <v>621</v>
      </c>
      <c r="D721" t="s">
        <v>618</v>
      </c>
      <c r="E721" t="s">
        <v>622</v>
      </c>
      <c r="F721" s="213" t="s">
        <v>56</v>
      </c>
      <c r="G721" t="s">
        <v>66</v>
      </c>
      <c r="H721" t="s">
        <v>84</v>
      </c>
      <c r="I721" t="s">
        <v>623</v>
      </c>
      <c r="J721" t="s">
        <v>56</v>
      </c>
      <c r="K721" t="s">
        <v>20</v>
      </c>
      <c r="L721" t="s">
        <v>625</v>
      </c>
      <c r="M721" t="s">
        <v>35</v>
      </c>
      <c r="N721" t="s">
        <v>1223</v>
      </c>
      <c r="O721" t="s">
        <v>726</v>
      </c>
    </row>
    <row r="722" spans="1:15" x14ac:dyDescent="0.25">
      <c r="A722" t="s">
        <v>1455</v>
      </c>
      <c r="B722" t="s">
        <v>100</v>
      </c>
      <c r="C722" t="s">
        <v>621</v>
      </c>
      <c r="D722" t="s">
        <v>618</v>
      </c>
      <c r="E722" t="s">
        <v>622</v>
      </c>
      <c r="F722" s="213" t="s">
        <v>56</v>
      </c>
      <c r="G722" t="s">
        <v>66</v>
      </c>
      <c r="H722" t="s">
        <v>84</v>
      </c>
      <c r="I722" t="s">
        <v>623</v>
      </c>
      <c r="J722" t="s">
        <v>56</v>
      </c>
      <c r="K722" t="s">
        <v>16</v>
      </c>
      <c r="L722" t="s">
        <v>632</v>
      </c>
      <c r="M722" t="s">
        <v>35</v>
      </c>
      <c r="N722" t="s">
        <v>86</v>
      </c>
      <c r="O722" t="s">
        <v>667</v>
      </c>
    </row>
    <row r="723" spans="1:15" x14ac:dyDescent="0.25">
      <c r="A723" t="s">
        <v>1456</v>
      </c>
      <c r="B723" t="s">
        <v>100</v>
      </c>
      <c r="C723" t="s">
        <v>621</v>
      </c>
      <c r="D723" t="s">
        <v>618</v>
      </c>
      <c r="E723" t="s">
        <v>622</v>
      </c>
      <c r="F723" s="213" t="s">
        <v>56</v>
      </c>
      <c r="G723" t="s">
        <v>66</v>
      </c>
      <c r="H723" t="s">
        <v>84</v>
      </c>
      <c r="I723" t="s">
        <v>623</v>
      </c>
      <c r="J723" t="s">
        <v>56</v>
      </c>
      <c r="K723" t="s">
        <v>13</v>
      </c>
      <c r="L723" t="s">
        <v>629</v>
      </c>
      <c r="M723" t="s">
        <v>35</v>
      </c>
      <c r="N723" t="s">
        <v>64</v>
      </c>
      <c r="O723" t="s">
        <v>1055</v>
      </c>
    </row>
    <row r="724" spans="1:15" x14ac:dyDescent="0.25">
      <c r="A724" t="s">
        <v>1457</v>
      </c>
      <c r="B724" t="s">
        <v>100</v>
      </c>
      <c r="C724" t="s">
        <v>621</v>
      </c>
      <c r="D724" t="s">
        <v>618</v>
      </c>
      <c r="E724" t="s">
        <v>622</v>
      </c>
      <c r="F724" s="213" t="s">
        <v>56</v>
      </c>
      <c r="G724" t="s">
        <v>66</v>
      </c>
      <c r="H724" t="s">
        <v>84</v>
      </c>
      <c r="I724" t="s">
        <v>623</v>
      </c>
      <c r="J724" t="s">
        <v>56</v>
      </c>
      <c r="K724" t="s">
        <v>10</v>
      </c>
      <c r="L724" t="s">
        <v>695</v>
      </c>
      <c r="M724" t="s">
        <v>35</v>
      </c>
      <c r="N724" t="s">
        <v>878</v>
      </c>
      <c r="O724" t="s">
        <v>1181</v>
      </c>
    </row>
    <row r="725" spans="1:15" x14ac:dyDescent="0.25">
      <c r="A725" t="s">
        <v>1458</v>
      </c>
      <c r="B725" t="s">
        <v>100</v>
      </c>
      <c r="C725" t="s">
        <v>621</v>
      </c>
      <c r="D725" t="s">
        <v>618</v>
      </c>
      <c r="E725" t="s">
        <v>622</v>
      </c>
      <c r="F725" s="213" t="s">
        <v>56</v>
      </c>
      <c r="G725" t="s">
        <v>66</v>
      </c>
      <c r="H725" t="s">
        <v>84</v>
      </c>
      <c r="I725" t="s">
        <v>623</v>
      </c>
      <c r="J725" t="s">
        <v>56</v>
      </c>
      <c r="K725" t="s">
        <v>8</v>
      </c>
      <c r="L725" t="s">
        <v>656</v>
      </c>
      <c r="M725" t="s">
        <v>35</v>
      </c>
      <c r="N725" t="s">
        <v>74</v>
      </c>
      <c r="O725" t="s">
        <v>793</v>
      </c>
    </row>
    <row r="726" spans="1:15" x14ac:dyDescent="0.25">
      <c r="A726" t="s">
        <v>1459</v>
      </c>
      <c r="B726" t="s">
        <v>100</v>
      </c>
      <c r="C726" t="s">
        <v>621</v>
      </c>
      <c r="D726" t="s">
        <v>618</v>
      </c>
      <c r="E726" t="s">
        <v>622</v>
      </c>
      <c r="F726" s="213" t="s">
        <v>56</v>
      </c>
      <c r="G726" t="s">
        <v>66</v>
      </c>
      <c r="H726" t="s">
        <v>84</v>
      </c>
      <c r="I726" t="s">
        <v>623</v>
      </c>
      <c r="J726" t="s">
        <v>56</v>
      </c>
      <c r="K726" t="s">
        <v>6</v>
      </c>
      <c r="L726" t="s">
        <v>809</v>
      </c>
      <c r="M726" t="s">
        <v>35</v>
      </c>
      <c r="N726" t="s">
        <v>818</v>
      </c>
      <c r="O726" t="s">
        <v>654</v>
      </c>
    </row>
    <row r="727" spans="1:15" x14ac:dyDescent="0.25">
      <c r="A727" t="s">
        <v>1460</v>
      </c>
      <c r="B727" t="s">
        <v>100</v>
      </c>
      <c r="C727" t="s">
        <v>621</v>
      </c>
      <c r="D727" t="s">
        <v>618</v>
      </c>
      <c r="E727" t="s">
        <v>622</v>
      </c>
      <c r="F727" s="213" t="s">
        <v>56</v>
      </c>
      <c r="G727" t="s">
        <v>66</v>
      </c>
      <c r="H727" t="s">
        <v>84</v>
      </c>
      <c r="I727" t="s">
        <v>623</v>
      </c>
      <c r="J727" t="s">
        <v>56</v>
      </c>
      <c r="K727" t="s">
        <v>4</v>
      </c>
      <c r="L727" t="s">
        <v>644</v>
      </c>
      <c r="M727" t="s">
        <v>35</v>
      </c>
      <c r="N727" t="s">
        <v>48</v>
      </c>
      <c r="O727" t="s">
        <v>1291</v>
      </c>
    </row>
    <row r="728" spans="1:15" x14ac:dyDescent="0.25">
      <c r="A728" t="s">
        <v>1461</v>
      </c>
      <c r="B728" t="s">
        <v>100</v>
      </c>
      <c r="C728" t="s">
        <v>621</v>
      </c>
      <c r="D728" t="s">
        <v>618</v>
      </c>
      <c r="E728" t="s">
        <v>622</v>
      </c>
      <c r="F728" s="213" t="s">
        <v>56</v>
      </c>
      <c r="G728" t="s">
        <v>66</v>
      </c>
      <c r="H728" t="s">
        <v>84</v>
      </c>
      <c r="I728" t="s">
        <v>623</v>
      </c>
      <c r="J728" t="s">
        <v>56</v>
      </c>
      <c r="K728" t="s">
        <v>2</v>
      </c>
      <c r="L728" t="s">
        <v>735</v>
      </c>
      <c r="M728" t="s">
        <v>35</v>
      </c>
      <c r="N728" t="s">
        <v>47</v>
      </c>
      <c r="O728" t="s">
        <v>1158</v>
      </c>
    </row>
    <row r="729" spans="1:15" x14ac:dyDescent="0.25">
      <c r="A729" t="s">
        <v>1462</v>
      </c>
      <c r="B729" t="s">
        <v>100</v>
      </c>
      <c r="C729" t="s">
        <v>621</v>
      </c>
      <c r="D729" t="s">
        <v>618</v>
      </c>
      <c r="E729" t="s">
        <v>622</v>
      </c>
      <c r="F729" s="213" t="s">
        <v>56</v>
      </c>
      <c r="G729" t="s">
        <v>66</v>
      </c>
      <c r="H729" t="s">
        <v>84</v>
      </c>
      <c r="I729" t="s">
        <v>623</v>
      </c>
      <c r="J729" t="s">
        <v>56</v>
      </c>
      <c r="K729" t="s">
        <v>1</v>
      </c>
      <c r="L729" t="s">
        <v>741</v>
      </c>
      <c r="M729" t="s">
        <v>35</v>
      </c>
      <c r="N729" t="s">
        <v>84</v>
      </c>
      <c r="O729" t="s">
        <v>781</v>
      </c>
    </row>
    <row r="730" spans="1:15" x14ac:dyDescent="0.25">
      <c r="A730" t="s">
        <v>1463</v>
      </c>
      <c r="B730" t="s">
        <v>100</v>
      </c>
      <c r="C730" t="s">
        <v>621</v>
      </c>
      <c r="D730" t="s">
        <v>618</v>
      </c>
      <c r="E730" t="s">
        <v>622</v>
      </c>
      <c r="F730" s="213" t="s">
        <v>56</v>
      </c>
      <c r="G730" t="s">
        <v>66</v>
      </c>
      <c r="H730" t="s">
        <v>84</v>
      </c>
      <c r="I730" t="s">
        <v>623</v>
      </c>
      <c r="J730" t="s">
        <v>56</v>
      </c>
      <c r="K730" t="s">
        <v>0</v>
      </c>
      <c r="L730" t="s">
        <v>825</v>
      </c>
      <c r="M730" t="s">
        <v>35</v>
      </c>
      <c r="N730" t="s">
        <v>58</v>
      </c>
      <c r="O730" t="s">
        <v>1044</v>
      </c>
    </row>
    <row r="731" spans="1:15" x14ac:dyDescent="0.25">
      <c r="A731" t="s">
        <v>1464</v>
      </c>
      <c r="B731" t="s">
        <v>100</v>
      </c>
      <c r="C731" t="s">
        <v>621</v>
      </c>
      <c r="D731" t="s">
        <v>618</v>
      </c>
      <c r="E731" t="s">
        <v>622</v>
      </c>
      <c r="F731" s="213" t="s">
        <v>56</v>
      </c>
      <c r="G731" t="s">
        <v>66</v>
      </c>
      <c r="H731" t="s">
        <v>84</v>
      </c>
      <c r="I731" t="s">
        <v>623</v>
      </c>
      <c r="J731" t="s">
        <v>56</v>
      </c>
      <c r="K731" t="s">
        <v>28</v>
      </c>
      <c r="L731" t="s">
        <v>900</v>
      </c>
      <c r="M731" t="s">
        <v>35</v>
      </c>
      <c r="N731" t="s">
        <v>900</v>
      </c>
      <c r="O731" t="s">
        <v>1346</v>
      </c>
    </row>
    <row r="732" spans="1:15" x14ac:dyDescent="0.25">
      <c r="A732" t="s">
        <v>1465</v>
      </c>
      <c r="B732" t="s">
        <v>100</v>
      </c>
      <c r="C732" t="s">
        <v>621</v>
      </c>
      <c r="D732" t="s">
        <v>618</v>
      </c>
      <c r="E732" t="s">
        <v>622</v>
      </c>
      <c r="F732" s="213" t="s">
        <v>56</v>
      </c>
      <c r="G732" t="s">
        <v>66</v>
      </c>
      <c r="H732" t="s">
        <v>84</v>
      </c>
      <c r="I732" t="s">
        <v>623</v>
      </c>
      <c r="J732" t="s">
        <v>56</v>
      </c>
      <c r="K732" t="s">
        <v>27</v>
      </c>
      <c r="L732" t="s">
        <v>626</v>
      </c>
      <c r="M732" t="s">
        <v>1466</v>
      </c>
      <c r="N732" t="s">
        <v>6</v>
      </c>
      <c r="O732" t="s">
        <v>46</v>
      </c>
    </row>
    <row r="733" spans="1:15" x14ac:dyDescent="0.25">
      <c r="A733" t="s">
        <v>1467</v>
      </c>
      <c r="B733" t="s">
        <v>100</v>
      </c>
      <c r="C733" t="s">
        <v>621</v>
      </c>
      <c r="D733" t="s">
        <v>618</v>
      </c>
      <c r="E733" t="s">
        <v>622</v>
      </c>
      <c r="F733" s="213" t="s">
        <v>56</v>
      </c>
      <c r="G733" t="s">
        <v>66</v>
      </c>
      <c r="H733" t="s">
        <v>84</v>
      </c>
      <c r="I733" t="s">
        <v>623</v>
      </c>
      <c r="J733" t="s">
        <v>56</v>
      </c>
      <c r="K733" t="s">
        <v>25</v>
      </c>
      <c r="L733" t="s">
        <v>628</v>
      </c>
      <c r="M733" t="s">
        <v>1466</v>
      </c>
      <c r="N733" t="s">
        <v>100</v>
      </c>
      <c r="O733" t="s">
        <v>629</v>
      </c>
    </row>
    <row r="734" spans="1:15" x14ac:dyDescent="0.25">
      <c r="A734" t="s">
        <v>1468</v>
      </c>
      <c r="B734" t="s">
        <v>100</v>
      </c>
      <c r="C734" t="s">
        <v>621</v>
      </c>
      <c r="D734" t="s">
        <v>618</v>
      </c>
      <c r="E734" t="s">
        <v>622</v>
      </c>
      <c r="F734" s="213" t="s">
        <v>56</v>
      </c>
      <c r="G734" t="s">
        <v>66</v>
      </c>
      <c r="H734" t="s">
        <v>84</v>
      </c>
      <c r="I734" t="s">
        <v>623</v>
      </c>
      <c r="J734" t="s">
        <v>56</v>
      </c>
      <c r="K734" t="s">
        <v>27</v>
      </c>
      <c r="L734" t="s">
        <v>626</v>
      </c>
      <c r="M734" t="s">
        <v>827</v>
      </c>
      <c r="N734" t="s">
        <v>5</v>
      </c>
      <c r="O734" t="s">
        <v>714</v>
      </c>
    </row>
    <row r="735" spans="1:15" x14ac:dyDescent="0.25">
      <c r="A735" t="s">
        <v>1469</v>
      </c>
      <c r="B735" t="s">
        <v>100</v>
      </c>
      <c r="C735" t="s">
        <v>621</v>
      </c>
      <c r="D735" t="s">
        <v>618</v>
      </c>
      <c r="E735" t="s">
        <v>622</v>
      </c>
      <c r="F735" s="213" t="s">
        <v>56</v>
      </c>
      <c r="G735" t="s">
        <v>66</v>
      </c>
      <c r="H735" t="s">
        <v>84</v>
      </c>
      <c r="I735" t="s">
        <v>623</v>
      </c>
      <c r="J735" t="s">
        <v>56</v>
      </c>
      <c r="K735" t="s">
        <v>25</v>
      </c>
      <c r="L735" t="s">
        <v>628</v>
      </c>
      <c r="M735" t="s">
        <v>827</v>
      </c>
      <c r="N735" t="s">
        <v>10</v>
      </c>
      <c r="O735" t="s">
        <v>624</v>
      </c>
    </row>
    <row r="736" spans="1:15" x14ac:dyDescent="0.25">
      <c r="A736" t="s">
        <v>1470</v>
      </c>
      <c r="B736" t="s">
        <v>100</v>
      </c>
      <c r="C736" t="s">
        <v>621</v>
      </c>
      <c r="D736" t="s">
        <v>618</v>
      </c>
      <c r="E736" t="s">
        <v>622</v>
      </c>
      <c r="F736" s="213" t="s">
        <v>56</v>
      </c>
      <c r="G736" t="s">
        <v>66</v>
      </c>
      <c r="H736" t="s">
        <v>84</v>
      </c>
      <c r="I736" t="s">
        <v>623</v>
      </c>
      <c r="J736" t="s">
        <v>56</v>
      </c>
      <c r="K736" t="s">
        <v>22</v>
      </c>
      <c r="L736" t="s">
        <v>630</v>
      </c>
      <c r="M736" t="s">
        <v>827</v>
      </c>
      <c r="N736" t="s">
        <v>3</v>
      </c>
      <c r="O736" t="s">
        <v>625</v>
      </c>
    </row>
    <row r="737" spans="1:15" x14ac:dyDescent="0.25">
      <c r="A737" t="s">
        <v>1471</v>
      </c>
      <c r="B737" t="s">
        <v>100</v>
      </c>
      <c r="C737" t="s">
        <v>621</v>
      </c>
      <c r="D737" t="s">
        <v>618</v>
      </c>
      <c r="E737" t="s">
        <v>622</v>
      </c>
      <c r="F737" s="213" t="s">
        <v>56</v>
      </c>
      <c r="G737" t="s">
        <v>66</v>
      </c>
      <c r="H737" t="s">
        <v>84</v>
      </c>
      <c r="I737" t="s">
        <v>623</v>
      </c>
      <c r="J737" t="s">
        <v>56</v>
      </c>
      <c r="K737" t="s">
        <v>27</v>
      </c>
      <c r="L737" t="s">
        <v>626</v>
      </c>
      <c r="M737" t="s">
        <v>41</v>
      </c>
      <c r="N737" t="s">
        <v>693</v>
      </c>
      <c r="O737" t="s">
        <v>1390</v>
      </c>
    </row>
    <row r="738" spans="1:15" x14ac:dyDescent="0.25">
      <c r="A738" t="s">
        <v>1472</v>
      </c>
      <c r="B738" t="s">
        <v>100</v>
      </c>
      <c r="C738" t="s">
        <v>621</v>
      </c>
      <c r="D738" t="s">
        <v>618</v>
      </c>
      <c r="E738" t="s">
        <v>622</v>
      </c>
      <c r="F738" s="213" t="s">
        <v>56</v>
      </c>
      <c r="G738" t="s">
        <v>66</v>
      </c>
      <c r="H738" t="s">
        <v>84</v>
      </c>
      <c r="I738" t="s">
        <v>623</v>
      </c>
      <c r="J738" t="s">
        <v>56</v>
      </c>
      <c r="K738" t="s">
        <v>25</v>
      </c>
      <c r="L738" t="s">
        <v>628</v>
      </c>
      <c r="M738" t="s">
        <v>41</v>
      </c>
      <c r="N738" t="s">
        <v>1473</v>
      </c>
      <c r="O738" t="s">
        <v>720</v>
      </c>
    </row>
    <row r="739" spans="1:15" x14ac:dyDescent="0.25">
      <c r="A739" t="s">
        <v>1474</v>
      </c>
      <c r="B739" t="s">
        <v>100</v>
      </c>
      <c r="C739" t="s">
        <v>621</v>
      </c>
      <c r="D739" t="s">
        <v>618</v>
      </c>
      <c r="E739" t="s">
        <v>622</v>
      </c>
      <c r="F739" s="213" t="s">
        <v>56</v>
      </c>
      <c r="G739" t="s">
        <v>66</v>
      </c>
      <c r="H739" t="s">
        <v>84</v>
      </c>
      <c r="I739" t="s">
        <v>623</v>
      </c>
      <c r="J739" t="s">
        <v>56</v>
      </c>
      <c r="K739" t="s">
        <v>22</v>
      </c>
      <c r="L739" t="s">
        <v>630</v>
      </c>
      <c r="M739" t="s">
        <v>41</v>
      </c>
      <c r="N739" t="s">
        <v>1385</v>
      </c>
      <c r="O739" t="s">
        <v>1223</v>
      </c>
    </row>
    <row r="740" spans="1:15" x14ac:dyDescent="0.25">
      <c r="A740" t="s">
        <v>1475</v>
      </c>
      <c r="B740" t="s">
        <v>100</v>
      </c>
      <c r="C740" t="s">
        <v>621</v>
      </c>
      <c r="D740" t="s">
        <v>618</v>
      </c>
      <c r="E740" t="s">
        <v>622</v>
      </c>
      <c r="F740" s="213" t="s">
        <v>56</v>
      </c>
      <c r="G740" t="s">
        <v>66</v>
      </c>
      <c r="H740" t="s">
        <v>84</v>
      </c>
      <c r="I740" t="s">
        <v>623</v>
      </c>
      <c r="J740" t="s">
        <v>56</v>
      </c>
      <c r="K740" t="s">
        <v>19</v>
      </c>
      <c r="L740" t="s">
        <v>625</v>
      </c>
      <c r="M740" t="s">
        <v>41</v>
      </c>
      <c r="N740" t="s">
        <v>630</v>
      </c>
      <c r="O740" t="s">
        <v>1223</v>
      </c>
    </row>
    <row r="741" spans="1:15" x14ac:dyDescent="0.25">
      <c r="A741" t="s">
        <v>1476</v>
      </c>
      <c r="B741" t="s">
        <v>100</v>
      </c>
      <c r="C741" t="s">
        <v>621</v>
      </c>
      <c r="D741" t="s">
        <v>618</v>
      </c>
      <c r="E741" t="s">
        <v>622</v>
      </c>
      <c r="F741" s="213" t="s">
        <v>56</v>
      </c>
      <c r="G741" t="s">
        <v>66</v>
      </c>
      <c r="H741" t="s">
        <v>84</v>
      </c>
      <c r="I741" t="s">
        <v>623</v>
      </c>
      <c r="J741" t="s">
        <v>56</v>
      </c>
      <c r="K741" t="s">
        <v>15</v>
      </c>
      <c r="L741" t="s">
        <v>632</v>
      </c>
      <c r="M741" t="s">
        <v>41</v>
      </c>
      <c r="N741" t="s">
        <v>1477</v>
      </c>
      <c r="O741" t="s">
        <v>1287</v>
      </c>
    </row>
    <row r="742" spans="1:15" x14ac:dyDescent="0.25">
      <c r="A742" t="s">
        <v>1478</v>
      </c>
      <c r="B742" t="s">
        <v>100</v>
      </c>
      <c r="C742" t="s">
        <v>621</v>
      </c>
      <c r="D742" t="s">
        <v>618</v>
      </c>
      <c r="E742" t="s">
        <v>622</v>
      </c>
      <c r="F742" s="213" t="s">
        <v>56</v>
      </c>
      <c r="G742" t="s">
        <v>66</v>
      </c>
      <c r="H742" t="s">
        <v>84</v>
      </c>
      <c r="I742" t="s">
        <v>623</v>
      </c>
      <c r="J742" t="s">
        <v>56</v>
      </c>
      <c r="K742" t="s">
        <v>12</v>
      </c>
      <c r="L742" t="s">
        <v>629</v>
      </c>
      <c r="M742" t="s">
        <v>41</v>
      </c>
      <c r="N742" t="s">
        <v>975</v>
      </c>
      <c r="O742" t="s">
        <v>718</v>
      </c>
    </row>
    <row r="743" spans="1:15" x14ac:dyDescent="0.25">
      <c r="A743" t="s">
        <v>1479</v>
      </c>
      <c r="B743" t="s">
        <v>100</v>
      </c>
      <c r="C743" t="s">
        <v>621</v>
      </c>
      <c r="D743" t="s">
        <v>618</v>
      </c>
      <c r="E743" t="s">
        <v>622</v>
      </c>
      <c r="F743" s="213" t="s">
        <v>56</v>
      </c>
      <c r="G743" t="s">
        <v>66</v>
      </c>
      <c r="H743" t="s">
        <v>84</v>
      </c>
      <c r="I743" t="s">
        <v>623</v>
      </c>
      <c r="J743" t="s">
        <v>56</v>
      </c>
      <c r="K743" t="s">
        <v>10</v>
      </c>
      <c r="L743" t="s">
        <v>635</v>
      </c>
      <c r="M743" t="s">
        <v>41</v>
      </c>
      <c r="N743" t="s">
        <v>781</v>
      </c>
      <c r="O743" t="s">
        <v>718</v>
      </c>
    </row>
    <row r="744" spans="1:15" x14ac:dyDescent="0.25">
      <c r="A744" t="s">
        <v>1480</v>
      </c>
      <c r="B744" t="s">
        <v>100</v>
      </c>
      <c r="C744" t="s">
        <v>621</v>
      </c>
      <c r="D744" t="s">
        <v>618</v>
      </c>
      <c r="E744" t="s">
        <v>622</v>
      </c>
      <c r="F744" s="213" t="s">
        <v>56</v>
      </c>
      <c r="G744" t="s">
        <v>66</v>
      </c>
      <c r="H744" t="s">
        <v>84</v>
      </c>
      <c r="I744" t="s">
        <v>623</v>
      </c>
      <c r="J744" t="s">
        <v>56</v>
      </c>
      <c r="K744" t="s">
        <v>8</v>
      </c>
      <c r="L744" t="s">
        <v>637</v>
      </c>
      <c r="M744" t="s">
        <v>41</v>
      </c>
      <c r="N744" t="s">
        <v>1481</v>
      </c>
      <c r="O744" t="s">
        <v>1390</v>
      </c>
    </row>
    <row r="745" spans="1:15" x14ac:dyDescent="0.25">
      <c r="A745" t="s">
        <v>1482</v>
      </c>
      <c r="B745" t="s">
        <v>100</v>
      </c>
      <c r="C745" t="s">
        <v>621</v>
      </c>
      <c r="D745" t="s">
        <v>618</v>
      </c>
      <c r="E745" t="s">
        <v>622</v>
      </c>
      <c r="F745" s="213" t="s">
        <v>56</v>
      </c>
      <c r="G745" t="s">
        <v>66</v>
      </c>
      <c r="H745" t="s">
        <v>84</v>
      </c>
      <c r="I745" t="s">
        <v>623</v>
      </c>
      <c r="J745" t="s">
        <v>56</v>
      </c>
      <c r="K745" t="s">
        <v>6</v>
      </c>
      <c r="L745" t="s">
        <v>639</v>
      </c>
      <c r="M745" t="s">
        <v>41</v>
      </c>
      <c r="N745" t="s">
        <v>755</v>
      </c>
      <c r="O745" t="s">
        <v>1287</v>
      </c>
    </row>
    <row r="746" spans="1:15" x14ac:dyDescent="0.25">
      <c r="A746" t="s">
        <v>1483</v>
      </c>
      <c r="B746" t="s">
        <v>100</v>
      </c>
      <c r="C746" t="s">
        <v>621</v>
      </c>
      <c r="D746" t="s">
        <v>618</v>
      </c>
      <c r="E746" t="s">
        <v>622</v>
      </c>
      <c r="F746" s="213" t="s">
        <v>56</v>
      </c>
      <c r="G746" t="s">
        <v>66</v>
      </c>
      <c r="H746" t="s">
        <v>84</v>
      </c>
      <c r="I746" t="s">
        <v>623</v>
      </c>
      <c r="J746" t="s">
        <v>56</v>
      </c>
      <c r="K746" t="s">
        <v>4</v>
      </c>
      <c r="L746" t="s">
        <v>662</v>
      </c>
      <c r="M746" t="s">
        <v>41</v>
      </c>
      <c r="N746" t="s">
        <v>1405</v>
      </c>
      <c r="O746" t="s">
        <v>1223</v>
      </c>
    </row>
    <row r="747" spans="1:15" x14ac:dyDescent="0.25">
      <c r="A747" t="s">
        <v>1484</v>
      </c>
      <c r="B747" t="s">
        <v>100</v>
      </c>
      <c r="C747" t="s">
        <v>621</v>
      </c>
      <c r="D747" t="s">
        <v>618</v>
      </c>
      <c r="E747" t="s">
        <v>622</v>
      </c>
      <c r="F747" s="213" t="s">
        <v>56</v>
      </c>
      <c r="G747" t="s">
        <v>66</v>
      </c>
      <c r="H747" t="s">
        <v>84</v>
      </c>
      <c r="I747" t="s">
        <v>623</v>
      </c>
      <c r="J747" t="s">
        <v>56</v>
      </c>
      <c r="K747" t="s">
        <v>2</v>
      </c>
      <c r="L747" t="s">
        <v>749</v>
      </c>
      <c r="M747" t="s">
        <v>41</v>
      </c>
      <c r="N747" t="s">
        <v>1094</v>
      </c>
      <c r="O747" t="s">
        <v>1390</v>
      </c>
    </row>
    <row r="748" spans="1:15" x14ac:dyDescent="0.25">
      <c r="A748" t="s">
        <v>1485</v>
      </c>
      <c r="B748" t="s">
        <v>100</v>
      </c>
      <c r="C748" t="s">
        <v>621</v>
      </c>
      <c r="D748" t="s">
        <v>618</v>
      </c>
      <c r="E748" t="s">
        <v>622</v>
      </c>
      <c r="F748" s="213" t="s">
        <v>56</v>
      </c>
      <c r="G748" t="s">
        <v>66</v>
      </c>
      <c r="H748" t="s">
        <v>84</v>
      </c>
      <c r="I748" t="s">
        <v>623</v>
      </c>
      <c r="J748" t="s">
        <v>56</v>
      </c>
      <c r="K748" t="s">
        <v>24</v>
      </c>
      <c r="L748" t="s">
        <v>807</v>
      </c>
      <c r="M748" t="s">
        <v>41</v>
      </c>
      <c r="N748" t="s">
        <v>1348</v>
      </c>
      <c r="O748" t="s">
        <v>1223</v>
      </c>
    </row>
    <row r="749" spans="1:15" x14ac:dyDescent="0.25">
      <c r="A749" t="s">
        <v>1486</v>
      </c>
      <c r="B749" t="s">
        <v>100</v>
      </c>
      <c r="C749" t="s">
        <v>621</v>
      </c>
      <c r="D749" t="s">
        <v>618</v>
      </c>
      <c r="E749" t="s">
        <v>622</v>
      </c>
      <c r="F749" s="213" t="s">
        <v>56</v>
      </c>
      <c r="G749" t="s">
        <v>66</v>
      </c>
      <c r="H749" t="s">
        <v>84</v>
      </c>
      <c r="I749" t="s">
        <v>623</v>
      </c>
      <c r="J749" t="s">
        <v>56</v>
      </c>
      <c r="K749" t="s">
        <v>25</v>
      </c>
      <c r="L749" t="s">
        <v>827</v>
      </c>
      <c r="M749" t="s">
        <v>41</v>
      </c>
      <c r="N749" t="s">
        <v>1209</v>
      </c>
      <c r="O749" t="s">
        <v>1223</v>
      </c>
    </row>
    <row r="750" spans="1:15" x14ac:dyDescent="0.25">
      <c r="A750" t="s">
        <v>1487</v>
      </c>
      <c r="B750" t="s">
        <v>100</v>
      </c>
      <c r="C750" t="s">
        <v>621</v>
      </c>
      <c r="D750" t="s">
        <v>618</v>
      </c>
      <c r="E750" t="s">
        <v>622</v>
      </c>
      <c r="F750" s="213" t="s">
        <v>56</v>
      </c>
      <c r="G750" t="s">
        <v>66</v>
      </c>
      <c r="H750" t="s">
        <v>84</v>
      </c>
      <c r="I750" t="s">
        <v>623</v>
      </c>
      <c r="J750" t="s">
        <v>56</v>
      </c>
      <c r="K750" t="s">
        <v>26</v>
      </c>
      <c r="L750" t="s">
        <v>729</v>
      </c>
      <c r="M750" t="s">
        <v>41</v>
      </c>
      <c r="N750" t="s">
        <v>888</v>
      </c>
      <c r="O750" t="s">
        <v>1223</v>
      </c>
    </row>
    <row r="751" spans="1:15" x14ac:dyDescent="0.25">
      <c r="A751" t="s">
        <v>1488</v>
      </c>
      <c r="B751" t="s">
        <v>100</v>
      </c>
      <c r="C751" t="s">
        <v>621</v>
      </c>
      <c r="D751" t="s">
        <v>618</v>
      </c>
      <c r="E751" t="s">
        <v>622</v>
      </c>
      <c r="F751" s="213" t="s">
        <v>56</v>
      </c>
      <c r="G751" t="s">
        <v>66</v>
      </c>
      <c r="H751" t="s">
        <v>84</v>
      </c>
      <c r="I751" t="s">
        <v>623</v>
      </c>
      <c r="J751" t="s">
        <v>56</v>
      </c>
      <c r="K751" t="s">
        <v>28</v>
      </c>
      <c r="L751" t="s">
        <v>698</v>
      </c>
      <c r="M751" t="s">
        <v>41</v>
      </c>
      <c r="N751" t="s">
        <v>418</v>
      </c>
      <c r="O751" t="s">
        <v>1223</v>
      </c>
    </row>
    <row r="752" spans="1:15" x14ac:dyDescent="0.25">
      <c r="A752" t="s">
        <v>1489</v>
      </c>
      <c r="B752" t="s">
        <v>100</v>
      </c>
      <c r="C752" t="s">
        <v>621</v>
      </c>
      <c r="D752" t="s">
        <v>618</v>
      </c>
      <c r="E752" t="s">
        <v>622</v>
      </c>
      <c r="F752" s="213" t="s">
        <v>56</v>
      </c>
      <c r="G752" t="s">
        <v>66</v>
      </c>
      <c r="H752" t="s">
        <v>84</v>
      </c>
      <c r="I752" t="s">
        <v>623</v>
      </c>
      <c r="J752" t="s">
        <v>56</v>
      </c>
      <c r="K752" t="s">
        <v>30</v>
      </c>
      <c r="L752" t="s">
        <v>631</v>
      </c>
      <c r="M752" t="s">
        <v>41</v>
      </c>
      <c r="N752" t="s">
        <v>964</v>
      </c>
      <c r="O752" t="s">
        <v>718</v>
      </c>
    </row>
    <row r="753" spans="1:15" x14ac:dyDescent="0.25">
      <c r="A753" t="s">
        <v>1490</v>
      </c>
      <c r="B753" t="s">
        <v>100</v>
      </c>
      <c r="C753" t="s">
        <v>621</v>
      </c>
      <c r="D753" t="s">
        <v>618</v>
      </c>
      <c r="E753" t="s">
        <v>622</v>
      </c>
      <c r="F753" s="213" t="s">
        <v>56</v>
      </c>
      <c r="G753" t="s">
        <v>66</v>
      </c>
      <c r="H753" t="s">
        <v>84</v>
      </c>
      <c r="I753" t="s">
        <v>623</v>
      </c>
      <c r="J753" t="s">
        <v>56</v>
      </c>
      <c r="K753" t="s">
        <v>32</v>
      </c>
      <c r="L753" t="s">
        <v>101</v>
      </c>
      <c r="M753" t="s">
        <v>41</v>
      </c>
      <c r="N753" t="s">
        <v>662</v>
      </c>
      <c r="O753" t="s">
        <v>720</v>
      </c>
    </row>
    <row r="754" spans="1:15" x14ac:dyDescent="0.25">
      <c r="A754" t="s">
        <v>1491</v>
      </c>
      <c r="B754" t="s">
        <v>100</v>
      </c>
      <c r="C754" t="s">
        <v>621</v>
      </c>
      <c r="D754" t="s">
        <v>618</v>
      </c>
      <c r="E754" t="s">
        <v>622</v>
      </c>
      <c r="F754" s="213" t="s">
        <v>56</v>
      </c>
      <c r="G754" t="s">
        <v>66</v>
      </c>
      <c r="H754" t="s">
        <v>84</v>
      </c>
      <c r="I754" t="s">
        <v>623</v>
      </c>
      <c r="J754" t="s">
        <v>56</v>
      </c>
      <c r="K754" t="s">
        <v>25</v>
      </c>
      <c r="L754" t="s">
        <v>46</v>
      </c>
      <c r="M754" t="s">
        <v>41</v>
      </c>
      <c r="N754" t="s">
        <v>705</v>
      </c>
      <c r="O754" t="s">
        <v>1492</v>
      </c>
    </row>
    <row r="755" spans="1:15" x14ac:dyDescent="0.25">
      <c r="A755" t="s">
        <v>1493</v>
      </c>
      <c r="B755" t="s">
        <v>100</v>
      </c>
      <c r="C755" t="s">
        <v>621</v>
      </c>
      <c r="D755" t="s">
        <v>618</v>
      </c>
      <c r="E755" t="s">
        <v>622</v>
      </c>
      <c r="F755" s="213" t="s">
        <v>56</v>
      </c>
      <c r="G755" t="s">
        <v>66</v>
      </c>
      <c r="H755" t="s">
        <v>84</v>
      </c>
      <c r="I755" t="s">
        <v>623</v>
      </c>
      <c r="J755" t="s">
        <v>56</v>
      </c>
      <c r="K755" t="s">
        <v>28</v>
      </c>
      <c r="L755" t="s">
        <v>39</v>
      </c>
      <c r="M755" t="s">
        <v>41</v>
      </c>
      <c r="N755" t="s">
        <v>30</v>
      </c>
      <c r="O755" t="s">
        <v>1494</v>
      </c>
    </row>
    <row r="756" spans="1:15" x14ac:dyDescent="0.25">
      <c r="A756" t="s">
        <v>1495</v>
      </c>
      <c r="B756" t="s">
        <v>100</v>
      </c>
      <c r="C756" t="s">
        <v>621</v>
      </c>
      <c r="D756" t="s">
        <v>618</v>
      </c>
      <c r="E756" t="s">
        <v>622</v>
      </c>
      <c r="F756" s="213" t="s">
        <v>56</v>
      </c>
      <c r="G756" t="s">
        <v>66</v>
      </c>
      <c r="H756" t="s">
        <v>84</v>
      </c>
      <c r="I756" t="s">
        <v>623</v>
      </c>
      <c r="J756" t="s">
        <v>56</v>
      </c>
      <c r="K756" t="s">
        <v>30</v>
      </c>
      <c r="L756" t="s">
        <v>35</v>
      </c>
      <c r="M756" t="s">
        <v>41</v>
      </c>
      <c r="N756" t="s">
        <v>87</v>
      </c>
      <c r="O756" t="s">
        <v>765</v>
      </c>
    </row>
    <row r="757" spans="1:15" x14ac:dyDescent="0.25">
      <c r="A757" t="s">
        <v>1496</v>
      </c>
      <c r="B757" t="s">
        <v>100</v>
      </c>
      <c r="C757" t="s">
        <v>621</v>
      </c>
      <c r="D757" t="s">
        <v>618</v>
      </c>
      <c r="E757" t="s">
        <v>622</v>
      </c>
      <c r="F757" s="213" t="s">
        <v>56</v>
      </c>
      <c r="G757" t="s">
        <v>66</v>
      </c>
      <c r="H757" t="s">
        <v>84</v>
      </c>
      <c r="I757" t="s">
        <v>623</v>
      </c>
      <c r="J757" t="s">
        <v>56</v>
      </c>
      <c r="K757" t="s">
        <v>29</v>
      </c>
      <c r="L757" t="s">
        <v>626</v>
      </c>
      <c r="M757" t="s">
        <v>38</v>
      </c>
      <c r="N757" t="s">
        <v>729</v>
      </c>
      <c r="O757" t="s">
        <v>1497</v>
      </c>
    </row>
    <row r="758" spans="1:15" x14ac:dyDescent="0.25">
      <c r="A758" t="s">
        <v>1498</v>
      </c>
      <c r="B758" t="s">
        <v>100</v>
      </c>
      <c r="C758" t="s">
        <v>621</v>
      </c>
      <c r="D758" t="s">
        <v>618</v>
      </c>
      <c r="E758" t="s">
        <v>622</v>
      </c>
      <c r="F758" s="213" t="s">
        <v>56</v>
      </c>
      <c r="G758" t="s">
        <v>66</v>
      </c>
      <c r="H758" t="s">
        <v>84</v>
      </c>
      <c r="I758" t="s">
        <v>623</v>
      </c>
      <c r="J758" t="s">
        <v>56</v>
      </c>
      <c r="K758" t="s">
        <v>32</v>
      </c>
      <c r="L758" t="s">
        <v>654</v>
      </c>
      <c r="M758" t="s">
        <v>38</v>
      </c>
      <c r="N758" t="s">
        <v>66</v>
      </c>
      <c r="O758" t="s">
        <v>964</v>
      </c>
    </row>
    <row r="759" spans="1:15" x14ac:dyDescent="0.25">
      <c r="A759" t="s">
        <v>1499</v>
      </c>
      <c r="B759" t="s">
        <v>100</v>
      </c>
      <c r="C759" t="s">
        <v>621</v>
      </c>
      <c r="D759" t="s">
        <v>618</v>
      </c>
      <c r="E759" t="s">
        <v>622</v>
      </c>
      <c r="F759" s="213" t="s">
        <v>56</v>
      </c>
      <c r="G759" t="s">
        <v>66</v>
      </c>
      <c r="H759" t="s">
        <v>84</v>
      </c>
      <c r="I759" t="s">
        <v>623</v>
      </c>
      <c r="J759" t="s">
        <v>56</v>
      </c>
      <c r="K759" t="s">
        <v>26</v>
      </c>
      <c r="L759" t="s">
        <v>714</v>
      </c>
      <c r="M759" t="s">
        <v>38</v>
      </c>
      <c r="N759" t="s">
        <v>818</v>
      </c>
      <c r="O759" t="s">
        <v>1223</v>
      </c>
    </row>
    <row r="760" spans="1:15" x14ac:dyDescent="0.25">
      <c r="A760" t="s">
        <v>1500</v>
      </c>
      <c r="B760" t="s">
        <v>100</v>
      </c>
      <c r="C760" t="s">
        <v>621</v>
      </c>
      <c r="D760" t="s">
        <v>618</v>
      </c>
      <c r="E760" t="s">
        <v>622</v>
      </c>
      <c r="F760" s="213" t="s">
        <v>56</v>
      </c>
      <c r="G760" t="s">
        <v>66</v>
      </c>
      <c r="H760" t="s">
        <v>84</v>
      </c>
      <c r="I760" t="s">
        <v>623</v>
      </c>
      <c r="J760" t="s">
        <v>56</v>
      </c>
      <c r="K760" t="s">
        <v>24</v>
      </c>
      <c r="L760" t="s">
        <v>630</v>
      </c>
      <c r="M760" t="s">
        <v>38</v>
      </c>
      <c r="N760" t="s">
        <v>96</v>
      </c>
      <c r="O760" t="s">
        <v>814</v>
      </c>
    </row>
    <row r="761" spans="1:15" x14ac:dyDescent="0.25">
      <c r="A761" t="s">
        <v>1501</v>
      </c>
      <c r="B761" t="s">
        <v>100</v>
      </c>
      <c r="C761" t="s">
        <v>621</v>
      </c>
      <c r="D761" t="s">
        <v>618</v>
      </c>
      <c r="E761" t="s">
        <v>622</v>
      </c>
      <c r="F761" s="213" t="s">
        <v>56</v>
      </c>
      <c r="G761" t="s">
        <v>66</v>
      </c>
      <c r="H761" t="s">
        <v>84</v>
      </c>
      <c r="I761" t="s">
        <v>623</v>
      </c>
      <c r="J761" t="s">
        <v>56</v>
      </c>
      <c r="K761" t="s">
        <v>21</v>
      </c>
      <c r="L761" t="s">
        <v>625</v>
      </c>
      <c r="M761" t="s">
        <v>38</v>
      </c>
      <c r="N761" t="s">
        <v>1172</v>
      </c>
      <c r="O761" t="s">
        <v>720</v>
      </c>
    </row>
    <row r="762" spans="1:15" x14ac:dyDescent="0.25">
      <c r="A762" t="s">
        <v>1502</v>
      </c>
      <c r="B762" t="s">
        <v>100</v>
      </c>
      <c r="C762" t="s">
        <v>621</v>
      </c>
      <c r="D762" t="s">
        <v>618</v>
      </c>
      <c r="E762" t="s">
        <v>622</v>
      </c>
      <c r="F762" s="213" t="s">
        <v>56</v>
      </c>
      <c r="G762" t="s">
        <v>66</v>
      </c>
      <c r="H762" t="s">
        <v>84</v>
      </c>
      <c r="I762" t="s">
        <v>623</v>
      </c>
      <c r="J762" t="s">
        <v>56</v>
      </c>
      <c r="K762" t="s">
        <v>18</v>
      </c>
      <c r="L762" t="s">
        <v>632</v>
      </c>
      <c r="M762" t="s">
        <v>38</v>
      </c>
      <c r="N762" t="s">
        <v>1503</v>
      </c>
      <c r="O762" t="s">
        <v>714</v>
      </c>
    </row>
    <row r="763" spans="1:15" x14ac:dyDescent="0.25">
      <c r="A763" t="s">
        <v>1504</v>
      </c>
      <c r="B763" t="s">
        <v>100</v>
      </c>
      <c r="C763" t="s">
        <v>621</v>
      </c>
      <c r="D763" t="s">
        <v>618</v>
      </c>
      <c r="E763" t="s">
        <v>622</v>
      </c>
      <c r="F763" s="213" t="s">
        <v>56</v>
      </c>
      <c r="G763" t="s">
        <v>66</v>
      </c>
      <c r="H763" t="s">
        <v>84</v>
      </c>
      <c r="I763" t="s">
        <v>623</v>
      </c>
      <c r="J763" t="s">
        <v>56</v>
      </c>
      <c r="K763" t="s">
        <v>16</v>
      </c>
      <c r="L763" t="s">
        <v>642</v>
      </c>
      <c r="M763" t="s">
        <v>38</v>
      </c>
      <c r="N763" t="s">
        <v>1505</v>
      </c>
      <c r="O763" t="s">
        <v>1497</v>
      </c>
    </row>
    <row r="764" spans="1:15" x14ac:dyDescent="0.25">
      <c r="A764" t="s">
        <v>1506</v>
      </c>
      <c r="B764" t="s">
        <v>100</v>
      </c>
      <c r="C764" t="s">
        <v>621</v>
      </c>
      <c r="D764" t="s">
        <v>618</v>
      </c>
      <c r="E764" t="s">
        <v>622</v>
      </c>
      <c r="F764" s="213" t="s">
        <v>56</v>
      </c>
      <c r="G764" t="s">
        <v>66</v>
      </c>
      <c r="H764" t="s">
        <v>84</v>
      </c>
      <c r="I764" t="s">
        <v>623</v>
      </c>
      <c r="J764" t="s">
        <v>56</v>
      </c>
      <c r="K764" t="s">
        <v>13</v>
      </c>
      <c r="L764" t="s">
        <v>643</v>
      </c>
      <c r="M764" t="s">
        <v>38</v>
      </c>
      <c r="N764" t="s">
        <v>1251</v>
      </c>
      <c r="O764" t="s">
        <v>720</v>
      </c>
    </row>
    <row r="765" spans="1:15" x14ac:dyDescent="0.25">
      <c r="A765" t="s">
        <v>1507</v>
      </c>
      <c r="B765" t="s">
        <v>100</v>
      </c>
      <c r="C765" t="s">
        <v>621</v>
      </c>
      <c r="D765" t="s">
        <v>618</v>
      </c>
      <c r="E765" t="s">
        <v>622</v>
      </c>
      <c r="F765" s="213" t="s">
        <v>56</v>
      </c>
      <c r="G765" t="s">
        <v>66</v>
      </c>
      <c r="H765" t="s">
        <v>84</v>
      </c>
      <c r="I765" t="s">
        <v>623</v>
      </c>
      <c r="J765" t="s">
        <v>56</v>
      </c>
      <c r="K765" t="s">
        <v>11</v>
      </c>
      <c r="L765" t="s">
        <v>635</v>
      </c>
      <c r="M765" t="s">
        <v>38</v>
      </c>
      <c r="N765" t="s">
        <v>72</v>
      </c>
      <c r="O765" t="s">
        <v>770</v>
      </c>
    </row>
    <row r="766" spans="1:15" x14ac:dyDescent="0.25">
      <c r="A766" t="s">
        <v>1508</v>
      </c>
      <c r="B766" t="s">
        <v>100</v>
      </c>
      <c r="C766" t="s">
        <v>621</v>
      </c>
      <c r="D766" t="s">
        <v>618</v>
      </c>
      <c r="E766" t="s">
        <v>622</v>
      </c>
      <c r="F766" s="213" t="s">
        <v>56</v>
      </c>
      <c r="G766" t="s">
        <v>66</v>
      </c>
      <c r="H766" t="s">
        <v>84</v>
      </c>
      <c r="I766" t="s">
        <v>623</v>
      </c>
      <c r="J766" t="s">
        <v>56</v>
      </c>
      <c r="K766" t="s">
        <v>9</v>
      </c>
      <c r="L766" t="s">
        <v>637</v>
      </c>
      <c r="M766" t="s">
        <v>38</v>
      </c>
      <c r="N766" t="s">
        <v>638</v>
      </c>
      <c r="O766" t="s">
        <v>1497</v>
      </c>
    </row>
    <row r="767" spans="1:15" x14ac:dyDescent="0.25">
      <c r="A767" t="s">
        <v>1509</v>
      </c>
      <c r="B767" t="s">
        <v>100</v>
      </c>
      <c r="C767" t="s">
        <v>621</v>
      </c>
      <c r="D767" t="s">
        <v>618</v>
      </c>
      <c r="E767" t="s">
        <v>622</v>
      </c>
      <c r="F767" s="213" t="s">
        <v>56</v>
      </c>
      <c r="G767" t="s">
        <v>66</v>
      </c>
      <c r="H767" t="s">
        <v>84</v>
      </c>
      <c r="I767" t="s">
        <v>623</v>
      </c>
      <c r="J767" t="s">
        <v>56</v>
      </c>
      <c r="K767" t="s">
        <v>7</v>
      </c>
      <c r="L767" t="s">
        <v>809</v>
      </c>
      <c r="M767" t="s">
        <v>38</v>
      </c>
      <c r="N767" t="s">
        <v>1510</v>
      </c>
      <c r="O767" t="s">
        <v>1497</v>
      </c>
    </row>
    <row r="768" spans="1:15" x14ac:dyDescent="0.25">
      <c r="A768" t="s">
        <v>1511</v>
      </c>
      <c r="B768" t="s">
        <v>100</v>
      </c>
      <c r="C768" t="s">
        <v>621</v>
      </c>
      <c r="D768" t="s">
        <v>618</v>
      </c>
      <c r="E768" t="s">
        <v>622</v>
      </c>
      <c r="F768" s="213" t="s">
        <v>56</v>
      </c>
      <c r="G768" t="s">
        <v>66</v>
      </c>
      <c r="H768" t="s">
        <v>84</v>
      </c>
      <c r="I768" t="s">
        <v>623</v>
      </c>
      <c r="J768" t="s">
        <v>56</v>
      </c>
      <c r="K768" t="s">
        <v>5</v>
      </c>
      <c r="L768" t="s">
        <v>662</v>
      </c>
      <c r="M768" t="s">
        <v>38</v>
      </c>
      <c r="N768" t="s">
        <v>90</v>
      </c>
      <c r="O768" t="s">
        <v>627</v>
      </c>
    </row>
    <row r="769" spans="1:15" x14ac:dyDescent="0.25">
      <c r="A769" t="s">
        <v>1512</v>
      </c>
      <c r="B769" t="s">
        <v>100</v>
      </c>
      <c r="C769" t="s">
        <v>621</v>
      </c>
      <c r="D769" t="s">
        <v>618</v>
      </c>
      <c r="E769" t="s">
        <v>622</v>
      </c>
      <c r="F769" s="213" t="s">
        <v>56</v>
      </c>
      <c r="G769" t="s">
        <v>66</v>
      </c>
      <c r="H769" t="s">
        <v>84</v>
      </c>
      <c r="I769" t="s">
        <v>623</v>
      </c>
      <c r="J769" t="s">
        <v>56</v>
      </c>
      <c r="K769" t="s">
        <v>3</v>
      </c>
      <c r="L769" t="s">
        <v>749</v>
      </c>
      <c r="M769" t="s">
        <v>38</v>
      </c>
      <c r="N769" t="s">
        <v>44</v>
      </c>
      <c r="O769" t="s">
        <v>1291</v>
      </c>
    </row>
    <row r="770" spans="1:15" x14ac:dyDescent="0.25">
      <c r="A770" t="s">
        <v>1513</v>
      </c>
      <c r="B770" t="s">
        <v>100</v>
      </c>
      <c r="C770" t="s">
        <v>621</v>
      </c>
      <c r="D770" t="s">
        <v>618</v>
      </c>
      <c r="E770" t="s">
        <v>622</v>
      </c>
      <c r="F770" s="213" t="s">
        <v>56</v>
      </c>
      <c r="G770" t="s">
        <v>66</v>
      </c>
      <c r="H770" t="s">
        <v>84</v>
      </c>
      <c r="I770" t="s">
        <v>623</v>
      </c>
      <c r="J770" t="s">
        <v>56</v>
      </c>
      <c r="K770" t="s">
        <v>26</v>
      </c>
      <c r="L770" t="s">
        <v>807</v>
      </c>
      <c r="M770" t="s">
        <v>38</v>
      </c>
      <c r="N770" t="s">
        <v>1514</v>
      </c>
      <c r="O770" t="s">
        <v>1390</v>
      </c>
    </row>
    <row r="771" spans="1:15" x14ac:dyDescent="0.25">
      <c r="A771" t="s">
        <v>1515</v>
      </c>
      <c r="B771" t="s">
        <v>100</v>
      </c>
      <c r="C771" t="s">
        <v>621</v>
      </c>
      <c r="D771" t="s">
        <v>618</v>
      </c>
      <c r="E771" t="s">
        <v>622</v>
      </c>
      <c r="F771" s="213" t="s">
        <v>56</v>
      </c>
      <c r="G771" t="s">
        <v>66</v>
      </c>
      <c r="H771" t="s">
        <v>84</v>
      </c>
      <c r="I771" t="s">
        <v>623</v>
      </c>
      <c r="J771" t="s">
        <v>56</v>
      </c>
      <c r="K771" t="s">
        <v>1</v>
      </c>
      <c r="L771" t="s">
        <v>825</v>
      </c>
      <c r="M771" t="s">
        <v>38</v>
      </c>
      <c r="N771" t="s">
        <v>52</v>
      </c>
      <c r="O771" t="s">
        <v>1108</v>
      </c>
    </row>
    <row r="772" spans="1:15" x14ac:dyDescent="0.25">
      <c r="A772" t="s">
        <v>1516</v>
      </c>
      <c r="B772" t="s">
        <v>100</v>
      </c>
      <c r="C772" t="s">
        <v>621</v>
      </c>
      <c r="D772" t="s">
        <v>618</v>
      </c>
      <c r="E772" t="s">
        <v>622</v>
      </c>
      <c r="F772" s="213" t="s">
        <v>56</v>
      </c>
      <c r="G772" t="s">
        <v>66</v>
      </c>
      <c r="H772" t="s">
        <v>84</v>
      </c>
      <c r="I772" t="s">
        <v>623</v>
      </c>
      <c r="J772" t="s">
        <v>56</v>
      </c>
      <c r="K772" t="s">
        <v>27</v>
      </c>
      <c r="L772" t="s">
        <v>626</v>
      </c>
      <c r="M772" t="s">
        <v>39</v>
      </c>
      <c r="N772" t="s">
        <v>1517</v>
      </c>
      <c r="O772" t="s">
        <v>818</v>
      </c>
    </row>
    <row r="773" spans="1:15" x14ac:dyDescent="0.25">
      <c r="A773" t="s">
        <v>1518</v>
      </c>
      <c r="B773" t="s">
        <v>100</v>
      </c>
      <c r="C773" t="s">
        <v>621</v>
      </c>
      <c r="D773" t="s">
        <v>618</v>
      </c>
      <c r="E773" t="s">
        <v>622</v>
      </c>
      <c r="F773" s="213" t="s">
        <v>56</v>
      </c>
      <c r="G773" t="s">
        <v>66</v>
      </c>
      <c r="H773" t="s">
        <v>84</v>
      </c>
      <c r="I773" t="s">
        <v>623</v>
      </c>
      <c r="J773" t="s">
        <v>56</v>
      </c>
      <c r="K773" t="s">
        <v>25</v>
      </c>
      <c r="L773" t="s">
        <v>628</v>
      </c>
      <c r="M773" t="s">
        <v>39</v>
      </c>
      <c r="N773" t="s">
        <v>674</v>
      </c>
      <c r="O773" t="s">
        <v>1223</v>
      </c>
    </row>
    <row r="774" spans="1:15" x14ac:dyDescent="0.25">
      <c r="A774" t="s">
        <v>1519</v>
      </c>
      <c r="B774" t="s">
        <v>100</v>
      </c>
      <c r="C774" t="s">
        <v>621</v>
      </c>
      <c r="D774" t="s">
        <v>618</v>
      </c>
      <c r="E774" t="s">
        <v>622</v>
      </c>
      <c r="F774" s="213" t="s">
        <v>56</v>
      </c>
      <c r="G774" t="s">
        <v>66</v>
      </c>
      <c r="H774" t="s">
        <v>84</v>
      </c>
      <c r="I774" t="s">
        <v>623</v>
      </c>
      <c r="J774" t="s">
        <v>56</v>
      </c>
      <c r="K774" t="s">
        <v>22</v>
      </c>
      <c r="L774" t="s">
        <v>630</v>
      </c>
      <c r="M774" t="s">
        <v>39</v>
      </c>
      <c r="N774" t="s">
        <v>626</v>
      </c>
      <c r="O774" t="s">
        <v>818</v>
      </c>
    </row>
    <row r="775" spans="1:15" x14ac:dyDescent="0.25">
      <c r="A775" t="s">
        <v>1520</v>
      </c>
      <c r="B775" t="s">
        <v>100</v>
      </c>
      <c r="C775" t="s">
        <v>621</v>
      </c>
      <c r="D775" t="s">
        <v>618</v>
      </c>
      <c r="E775" t="s">
        <v>622</v>
      </c>
      <c r="F775" s="213" t="s">
        <v>56</v>
      </c>
      <c r="G775" t="s">
        <v>66</v>
      </c>
      <c r="H775" t="s">
        <v>84</v>
      </c>
      <c r="I775" t="s">
        <v>623</v>
      </c>
      <c r="J775" t="s">
        <v>56</v>
      </c>
      <c r="K775" t="s">
        <v>19</v>
      </c>
      <c r="L775" t="s">
        <v>625</v>
      </c>
      <c r="M775" t="s">
        <v>39</v>
      </c>
      <c r="N775" t="s">
        <v>644</v>
      </c>
      <c r="O775" t="s">
        <v>720</v>
      </c>
    </row>
    <row r="776" spans="1:15" x14ac:dyDescent="0.25">
      <c r="A776" t="s">
        <v>1521</v>
      </c>
      <c r="B776" t="s">
        <v>100</v>
      </c>
      <c r="C776" t="s">
        <v>621</v>
      </c>
      <c r="D776" t="s">
        <v>618</v>
      </c>
      <c r="E776" t="s">
        <v>622</v>
      </c>
      <c r="F776" s="213" t="s">
        <v>56</v>
      </c>
      <c r="G776" t="s">
        <v>66</v>
      </c>
      <c r="H776" t="s">
        <v>84</v>
      </c>
      <c r="I776" t="s">
        <v>623</v>
      </c>
      <c r="J776" t="s">
        <v>56</v>
      </c>
      <c r="K776" t="s">
        <v>15</v>
      </c>
      <c r="L776" t="s">
        <v>632</v>
      </c>
      <c r="M776" t="s">
        <v>39</v>
      </c>
      <c r="N776" t="s">
        <v>716</v>
      </c>
      <c r="O776" t="s">
        <v>1346</v>
      </c>
    </row>
    <row r="777" spans="1:15" x14ac:dyDescent="0.25">
      <c r="A777" t="s">
        <v>1522</v>
      </c>
      <c r="B777" t="s">
        <v>100</v>
      </c>
      <c r="C777" t="s">
        <v>621</v>
      </c>
      <c r="D777" t="s">
        <v>618</v>
      </c>
      <c r="E777" t="s">
        <v>622</v>
      </c>
      <c r="F777" s="213" t="s">
        <v>56</v>
      </c>
      <c r="G777" t="s">
        <v>66</v>
      </c>
      <c r="H777" t="s">
        <v>84</v>
      </c>
      <c r="I777" t="s">
        <v>623</v>
      </c>
      <c r="J777" t="s">
        <v>56</v>
      </c>
      <c r="K777" t="s">
        <v>12</v>
      </c>
      <c r="L777" t="s">
        <v>629</v>
      </c>
      <c r="M777" t="s">
        <v>39</v>
      </c>
      <c r="N777" t="s">
        <v>975</v>
      </c>
      <c r="O777" t="s">
        <v>1287</v>
      </c>
    </row>
    <row r="778" spans="1:15" x14ac:dyDescent="0.25">
      <c r="A778" t="s">
        <v>1523</v>
      </c>
      <c r="B778" t="s">
        <v>100</v>
      </c>
      <c r="C778" t="s">
        <v>621</v>
      </c>
      <c r="D778" t="s">
        <v>618</v>
      </c>
      <c r="E778" t="s">
        <v>622</v>
      </c>
      <c r="F778" s="213" t="s">
        <v>56</v>
      </c>
      <c r="G778" t="s">
        <v>66</v>
      </c>
      <c r="H778" t="s">
        <v>84</v>
      </c>
      <c r="I778" t="s">
        <v>623</v>
      </c>
      <c r="J778" t="s">
        <v>56</v>
      </c>
      <c r="K778" t="s">
        <v>10</v>
      </c>
      <c r="L778" t="s">
        <v>635</v>
      </c>
      <c r="M778" t="s">
        <v>39</v>
      </c>
      <c r="N778" t="s">
        <v>1524</v>
      </c>
      <c r="O778" t="s">
        <v>720</v>
      </c>
    </row>
    <row r="779" spans="1:15" x14ac:dyDescent="0.25">
      <c r="A779" t="s">
        <v>1525</v>
      </c>
      <c r="B779" t="s">
        <v>100</v>
      </c>
      <c r="C779" t="s">
        <v>621</v>
      </c>
      <c r="D779" t="s">
        <v>618</v>
      </c>
      <c r="E779" t="s">
        <v>622</v>
      </c>
      <c r="F779" s="213" t="s">
        <v>56</v>
      </c>
      <c r="G779" t="s">
        <v>66</v>
      </c>
      <c r="H779" t="s">
        <v>84</v>
      </c>
      <c r="I779" t="s">
        <v>623</v>
      </c>
      <c r="J779" t="s">
        <v>56</v>
      </c>
      <c r="K779" t="s">
        <v>8</v>
      </c>
      <c r="L779" t="s">
        <v>637</v>
      </c>
      <c r="M779" t="s">
        <v>39</v>
      </c>
      <c r="N779" t="s">
        <v>1526</v>
      </c>
      <c r="O779" t="s">
        <v>1390</v>
      </c>
    </row>
    <row r="780" spans="1:15" x14ac:dyDescent="0.25">
      <c r="A780" t="s">
        <v>1527</v>
      </c>
      <c r="B780" t="s">
        <v>100</v>
      </c>
      <c r="C780" t="s">
        <v>621</v>
      </c>
      <c r="D780" t="s">
        <v>618</v>
      </c>
      <c r="E780" t="s">
        <v>622</v>
      </c>
      <c r="F780" s="213" t="s">
        <v>56</v>
      </c>
      <c r="G780" t="s">
        <v>66</v>
      </c>
      <c r="H780" t="s">
        <v>84</v>
      </c>
      <c r="I780" t="s">
        <v>623</v>
      </c>
      <c r="J780" t="s">
        <v>56</v>
      </c>
      <c r="K780" t="s">
        <v>6</v>
      </c>
      <c r="L780" t="s">
        <v>639</v>
      </c>
      <c r="M780" t="s">
        <v>39</v>
      </c>
      <c r="N780" t="s">
        <v>1131</v>
      </c>
      <c r="O780" t="s">
        <v>1223</v>
      </c>
    </row>
    <row r="781" spans="1:15" x14ac:dyDescent="0.25">
      <c r="A781" t="s">
        <v>1528</v>
      </c>
      <c r="B781" t="s">
        <v>100</v>
      </c>
      <c r="C781" t="s">
        <v>621</v>
      </c>
      <c r="D781" t="s">
        <v>618</v>
      </c>
      <c r="E781" t="s">
        <v>622</v>
      </c>
      <c r="F781" s="213" t="s">
        <v>56</v>
      </c>
      <c r="G781" t="s">
        <v>66</v>
      </c>
      <c r="H781" t="s">
        <v>84</v>
      </c>
      <c r="I781" t="s">
        <v>623</v>
      </c>
      <c r="J781" t="s">
        <v>56</v>
      </c>
      <c r="K781" t="s">
        <v>4</v>
      </c>
      <c r="L781" t="s">
        <v>662</v>
      </c>
      <c r="M781" t="s">
        <v>39</v>
      </c>
      <c r="N781" t="s">
        <v>1213</v>
      </c>
      <c r="O781" t="s">
        <v>1390</v>
      </c>
    </row>
    <row r="782" spans="1:15" x14ac:dyDescent="0.25">
      <c r="A782" t="s">
        <v>1529</v>
      </c>
      <c r="B782" t="s">
        <v>100</v>
      </c>
      <c r="C782" t="s">
        <v>621</v>
      </c>
      <c r="D782" t="s">
        <v>618</v>
      </c>
      <c r="E782" t="s">
        <v>622</v>
      </c>
      <c r="F782" s="213" t="s">
        <v>56</v>
      </c>
      <c r="G782" t="s">
        <v>66</v>
      </c>
      <c r="H782" t="s">
        <v>84</v>
      </c>
      <c r="I782" t="s">
        <v>623</v>
      </c>
      <c r="J782" t="s">
        <v>56</v>
      </c>
      <c r="K782" t="s">
        <v>2</v>
      </c>
      <c r="L782" t="s">
        <v>749</v>
      </c>
      <c r="M782" t="s">
        <v>39</v>
      </c>
      <c r="N782" t="s">
        <v>1294</v>
      </c>
      <c r="O782" t="s">
        <v>818</v>
      </c>
    </row>
    <row r="783" spans="1:15" x14ac:dyDescent="0.25">
      <c r="A783" t="s">
        <v>1530</v>
      </c>
      <c r="B783" t="s">
        <v>100</v>
      </c>
      <c r="C783" t="s">
        <v>621</v>
      </c>
      <c r="D783" t="s">
        <v>618</v>
      </c>
      <c r="E783" t="s">
        <v>622</v>
      </c>
      <c r="F783" s="213" t="s">
        <v>56</v>
      </c>
      <c r="G783" t="s">
        <v>66</v>
      </c>
      <c r="H783" t="s">
        <v>84</v>
      </c>
      <c r="I783" t="s">
        <v>623</v>
      </c>
      <c r="J783" t="s">
        <v>56</v>
      </c>
      <c r="K783" t="s">
        <v>24</v>
      </c>
      <c r="L783" t="s">
        <v>807</v>
      </c>
      <c r="M783" t="s">
        <v>39</v>
      </c>
      <c r="N783" t="s">
        <v>1405</v>
      </c>
      <c r="O783" t="s">
        <v>818</v>
      </c>
    </row>
    <row r="784" spans="1:15" x14ac:dyDescent="0.25">
      <c r="A784" t="s">
        <v>1531</v>
      </c>
      <c r="B784" t="s">
        <v>100</v>
      </c>
      <c r="C784" t="s">
        <v>621</v>
      </c>
      <c r="D784" t="s">
        <v>618</v>
      </c>
      <c r="E784" t="s">
        <v>622</v>
      </c>
      <c r="F784" s="213" t="s">
        <v>56</v>
      </c>
      <c r="G784" t="s">
        <v>66</v>
      </c>
      <c r="H784" t="s">
        <v>84</v>
      </c>
      <c r="I784" t="s">
        <v>623</v>
      </c>
      <c r="J784" t="s">
        <v>56</v>
      </c>
      <c r="K784" t="s">
        <v>25</v>
      </c>
      <c r="L784" t="s">
        <v>827</v>
      </c>
      <c r="M784" t="s">
        <v>39</v>
      </c>
      <c r="N784" t="s">
        <v>642</v>
      </c>
      <c r="O784" t="s">
        <v>818</v>
      </c>
    </row>
    <row r="785" spans="1:15" x14ac:dyDescent="0.25">
      <c r="A785" t="s">
        <v>1532</v>
      </c>
      <c r="B785" t="s">
        <v>100</v>
      </c>
      <c r="C785" t="s">
        <v>621</v>
      </c>
      <c r="D785" t="s">
        <v>618</v>
      </c>
      <c r="E785" t="s">
        <v>622</v>
      </c>
      <c r="F785" s="213" t="s">
        <v>56</v>
      </c>
      <c r="G785" t="s">
        <v>66</v>
      </c>
      <c r="H785" t="s">
        <v>84</v>
      </c>
      <c r="I785" t="s">
        <v>623</v>
      </c>
      <c r="J785" t="s">
        <v>56</v>
      </c>
      <c r="K785" t="s">
        <v>26</v>
      </c>
      <c r="L785" t="s">
        <v>729</v>
      </c>
      <c r="M785" t="s">
        <v>39</v>
      </c>
      <c r="N785" t="s">
        <v>654</v>
      </c>
      <c r="O785" t="s">
        <v>818</v>
      </c>
    </row>
    <row r="786" spans="1:15" x14ac:dyDescent="0.25">
      <c r="A786" t="s">
        <v>1533</v>
      </c>
      <c r="B786" t="s">
        <v>100</v>
      </c>
      <c r="C786" t="s">
        <v>621</v>
      </c>
      <c r="D786" t="s">
        <v>618</v>
      </c>
      <c r="E786" t="s">
        <v>622</v>
      </c>
      <c r="F786" s="213" t="s">
        <v>56</v>
      </c>
      <c r="G786" t="s">
        <v>66</v>
      </c>
      <c r="H786" t="s">
        <v>84</v>
      </c>
      <c r="I786" t="s">
        <v>623</v>
      </c>
      <c r="J786" t="s">
        <v>56</v>
      </c>
      <c r="K786" t="s">
        <v>28</v>
      </c>
      <c r="L786" t="s">
        <v>698</v>
      </c>
      <c r="M786" t="s">
        <v>39</v>
      </c>
      <c r="N786" t="s">
        <v>633</v>
      </c>
      <c r="O786" t="s">
        <v>1287</v>
      </c>
    </row>
    <row r="787" spans="1:15" x14ac:dyDescent="0.25">
      <c r="A787" t="s">
        <v>1534</v>
      </c>
      <c r="B787" t="s">
        <v>100</v>
      </c>
      <c r="C787" t="s">
        <v>621</v>
      </c>
      <c r="D787" t="s">
        <v>618</v>
      </c>
      <c r="E787" t="s">
        <v>622</v>
      </c>
      <c r="F787" s="213" t="s">
        <v>56</v>
      </c>
      <c r="G787" t="s">
        <v>66</v>
      </c>
      <c r="H787" t="s">
        <v>84</v>
      </c>
      <c r="I787" t="s">
        <v>623</v>
      </c>
      <c r="J787" t="s">
        <v>56</v>
      </c>
      <c r="K787" t="s">
        <v>30</v>
      </c>
      <c r="L787" t="s">
        <v>631</v>
      </c>
      <c r="M787" t="s">
        <v>39</v>
      </c>
      <c r="N787" t="s">
        <v>1231</v>
      </c>
      <c r="O787" t="s">
        <v>718</v>
      </c>
    </row>
    <row r="788" spans="1:15" x14ac:dyDescent="0.25">
      <c r="A788" t="s">
        <v>1535</v>
      </c>
      <c r="B788" t="s">
        <v>100</v>
      </c>
      <c r="C788" t="s">
        <v>621</v>
      </c>
      <c r="D788" t="s">
        <v>618</v>
      </c>
      <c r="E788" t="s">
        <v>622</v>
      </c>
      <c r="F788" s="213" t="s">
        <v>56</v>
      </c>
      <c r="G788" t="s">
        <v>66</v>
      </c>
      <c r="H788" t="s">
        <v>84</v>
      </c>
      <c r="I788" t="s">
        <v>623</v>
      </c>
      <c r="J788" t="s">
        <v>56</v>
      </c>
      <c r="K788" t="s">
        <v>32</v>
      </c>
      <c r="L788" t="s">
        <v>101</v>
      </c>
      <c r="M788" t="s">
        <v>39</v>
      </c>
      <c r="N788" t="s">
        <v>96</v>
      </c>
      <c r="O788" t="s">
        <v>674</v>
      </c>
    </row>
    <row r="789" spans="1:15" x14ac:dyDescent="0.25">
      <c r="A789" t="s">
        <v>1536</v>
      </c>
      <c r="B789" t="s">
        <v>100</v>
      </c>
      <c r="C789" t="s">
        <v>621</v>
      </c>
      <c r="D789" t="s">
        <v>618</v>
      </c>
      <c r="E789" t="s">
        <v>622</v>
      </c>
      <c r="F789" s="213" t="s">
        <v>56</v>
      </c>
      <c r="G789" t="s">
        <v>66</v>
      </c>
      <c r="H789" t="s">
        <v>84</v>
      </c>
      <c r="I789" t="s">
        <v>623</v>
      </c>
      <c r="J789" t="s">
        <v>56</v>
      </c>
      <c r="K789" t="s">
        <v>25</v>
      </c>
      <c r="L789" t="s">
        <v>46</v>
      </c>
      <c r="M789" t="s">
        <v>39</v>
      </c>
      <c r="N789" t="s">
        <v>82</v>
      </c>
      <c r="O789" t="s">
        <v>781</v>
      </c>
    </row>
    <row r="790" spans="1:15" x14ac:dyDescent="0.25">
      <c r="A790" t="s">
        <v>1537</v>
      </c>
      <c r="B790" t="s">
        <v>100</v>
      </c>
      <c r="C790" t="s">
        <v>621</v>
      </c>
      <c r="D790" t="s">
        <v>618</v>
      </c>
      <c r="E790" t="s">
        <v>622</v>
      </c>
      <c r="F790" s="213" t="s">
        <v>56</v>
      </c>
      <c r="G790" t="s">
        <v>66</v>
      </c>
      <c r="H790" t="s">
        <v>84</v>
      </c>
      <c r="I790" t="s">
        <v>623</v>
      </c>
      <c r="J790" t="s">
        <v>56</v>
      </c>
      <c r="K790" t="s">
        <v>28</v>
      </c>
      <c r="L790" t="s">
        <v>39</v>
      </c>
      <c r="M790" t="s">
        <v>39</v>
      </c>
      <c r="N790" t="s">
        <v>31</v>
      </c>
      <c r="O790" t="s">
        <v>1494</v>
      </c>
    </row>
    <row r="791" spans="1:15" x14ac:dyDescent="0.25">
      <c r="A791" t="s">
        <v>1538</v>
      </c>
      <c r="B791" t="s">
        <v>100</v>
      </c>
      <c r="C791" t="s">
        <v>621</v>
      </c>
      <c r="D791" t="s">
        <v>618</v>
      </c>
      <c r="E791" t="s">
        <v>622</v>
      </c>
      <c r="F791" s="213" t="s">
        <v>56</v>
      </c>
      <c r="G791" t="s">
        <v>66</v>
      </c>
      <c r="H791" t="s">
        <v>84</v>
      </c>
      <c r="I791" t="s">
        <v>623</v>
      </c>
      <c r="J791" t="s">
        <v>56</v>
      </c>
      <c r="K791" t="s">
        <v>30</v>
      </c>
      <c r="L791" t="s">
        <v>35</v>
      </c>
      <c r="M791" t="s">
        <v>39</v>
      </c>
      <c r="N791" t="s">
        <v>1346</v>
      </c>
      <c r="O791" t="s">
        <v>624</v>
      </c>
    </row>
    <row r="792" spans="1:15" x14ac:dyDescent="0.25">
      <c r="A792" t="s">
        <v>1539</v>
      </c>
      <c r="B792" t="s">
        <v>100</v>
      </c>
      <c r="C792" t="s">
        <v>621</v>
      </c>
      <c r="D792" t="s">
        <v>618</v>
      </c>
      <c r="E792" t="s">
        <v>622</v>
      </c>
      <c r="F792" s="213" t="s">
        <v>56</v>
      </c>
      <c r="G792" t="s">
        <v>66</v>
      </c>
      <c r="H792" t="s">
        <v>84</v>
      </c>
      <c r="I792" t="s">
        <v>623</v>
      </c>
      <c r="J792" t="s">
        <v>56</v>
      </c>
      <c r="K792" t="s">
        <v>29</v>
      </c>
      <c r="L792" t="s">
        <v>626</v>
      </c>
      <c r="M792" t="s">
        <v>37</v>
      </c>
      <c r="N792" t="s">
        <v>1251</v>
      </c>
      <c r="O792" t="s">
        <v>1223</v>
      </c>
    </row>
    <row r="793" spans="1:15" x14ac:dyDescent="0.25">
      <c r="A793" t="s">
        <v>1540</v>
      </c>
      <c r="B793" t="s">
        <v>100</v>
      </c>
      <c r="C793" t="s">
        <v>621</v>
      </c>
      <c r="D793" t="s">
        <v>618</v>
      </c>
      <c r="E793" t="s">
        <v>622</v>
      </c>
      <c r="F793" s="213" t="s">
        <v>56</v>
      </c>
      <c r="G793" t="s">
        <v>66</v>
      </c>
      <c r="H793" t="s">
        <v>84</v>
      </c>
      <c r="I793" t="s">
        <v>623</v>
      </c>
      <c r="J793" t="s">
        <v>56</v>
      </c>
      <c r="K793" t="s">
        <v>32</v>
      </c>
      <c r="L793" t="s">
        <v>654</v>
      </c>
      <c r="M793" t="s">
        <v>37</v>
      </c>
      <c r="N793" t="s">
        <v>1410</v>
      </c>
      <c r="O793" t="s">
        <v>665</v>
      </c>
    </row>
    <row r="794" spans="1:15" x14ac:dyDescent="0.25">
      <c r="A794" t="s">
        <v>1541</v>
      </c>
      <c r="B794" t="s">
        <v>100</v>
      </c>
      <c r="C794" t="s">
        <v>621</v>
      </c>
      <c r="D794" t="s">
        <v>618</v>
      </c>
      <c r="E794" t="s">
        <v>622</v>
      </c>
      <c r="F794" s="213" t="s">
        <v>56</v>
      </c>
      <c r="G794" t="s">
        <v>66</v>
      </c>
      <c r="H794" t="s">
        <v>84</v>
      </c>
      <c r="I794" t="s">
        <v>623</v>
      </c>
      <c r="J794" t="s">
        <v>56</v>
      </c>
      <c r="K794" t="s">
        <v>26</v>
      </c>
      <c r="L794" t="s">
        <v>714</v>
      </c>
      <c r="M794" t="s">
        <v>37</v>
      </c>
      <c r="N794" t="s">
        <v>1542</v>
      </c>
      <c r="O794" t="s">
        <v>695</v>
      </c>
    </row>
    <row r="795" spans="1:15" x14ac:dyDescent="0.25">
      <c r="A795" t="s">
        <v>1543</v>
      </c>
      <c r="B795" t="s">
        <v>100</v>
      </c>
      <c r="C795" t="s">
        <v>621</v>
      </c>
      <c r="D795" t="s">
        <v>618</v>
      </c>
      <c r="E795" t="s">
        <v>622</v>
      </c>
      <c r="F795" s="213" t="s">
        <v>56</v>
      </c>
      <c r="G795" t="s">
        <v>66</v>
      </c>
      <c r="H795" t="s">
        <v>84</v>
      </c>
      <c r="I795" t="s">
        <v>623</v>
      </c>
      <c r="J795" t="s">
        <v>56</v>
      </c>
      <c r="K795" t="s">
        <v>24</v>
      </c>
      <c r="L795" t="s">
        <v>630</v>
      </c>
      <c r="M795" t="s">
        <v>37</v>
      </c>
      <c r="N795" t="s">
        <v>1497</v>
      </c>
      <c r="O795" t="s">
        <v>628</v>
      </c>
    </row>
    <row r="796" spans="1:15" x14ac:dyDescent="0.25">
      <c r="A796" t="s">
        <v>1544</v>
      </c>
      <c r="B796" t="s">
        <v>100</v>
      </c>
      <c r="C796" t="s">
        <v>621</v>
      </c>
      <c r="D796" t="s">
        <v>618</v>
      </c>
      <c r="E796" t="s">
        <v>622</v>
      </c>
      <c r="F796" s="213" t="s">
        <v>56</v>
      </c>
      <c r="G796" t="s">
        <v>66</v>
      </c>
      <c r="H796" t="s">
        <v>84</v>
      </c>
      <c r="I796" t="s">
        <v>623</v>
      </c>
      <c r="J796" t="s">
        <v>56</v>
      </c>
      <c r="K796" t="s">
        <v>21</v>
      </c>
      <c r="L796" t="s">
        <v>625</v>
      </c>
      <c r="M796" t="s">
        <v>37</v>
      </c>
      <c r="N796" t="s">
        <v>718</v>
      </c>
      <c r="O796" t="s">
        <v>900</v>
      </c>
    </row>
    <row r="797" spans="1:15" x14ac:dyDescent="0.25">
      <c r="A797" t="s">
        <v>1545</v>
      </c>
      <c r="B797" t="s">
        <v>100</v>
      </c>
      <c r="C797" t="s">
        <v>621</v>
      </c>
      <c r="D797" t="s">
        <v>618</v>
      </c>
      <c r="E797" t="s">
        <v>622</v>
      </c>
      <c r="F797" s="213" t="s">
        <v>56</v>
      </c>
      <c r="G797" t="s">
        <v>66</v>
      </c>
      <c r="H797" t="s">
        <v>84</v>
      </c>
      <c r="I797" t="s">
        <v>623</v>
      </c>
      <c r="J797" t="s">
        <v>56</v>
      </c>
      <c r="K797" t="s">
        <v>18</v>
      </c>
      <c r="L797" t="s">
        <v>632</v>
      </c>
      <c r="M797" t="s">
        <v>37</v>
      </c>
      <c r="N797" t="s">
        <v>682</v>
      </c>
      <c r="O797" t="s">
        <v>718</v>
      </c>
    </row>
    <row r="798" spans="1:15" x14ac:dyDescent="0.25">
      <c r="A798" t="s">
        <v>1546</v>
      </c>
      <c r="B798" t="s">
        <v>100</v>
      </c>
      <c r="C798" t="s">
        <v>621</v>
      </c>
      <c r="D798" t="s">
        <v>618</v>
      </c>
      <c r="E798" t="s">
        <v>622</v>
      </c>
      <c r="F798" s="213" t="s">
        <v>56</v>
      </c>
      <c r="G798" t="s">
        <v>66</v>
      </c>
      <c r="H798" t="s">
        <v>84</v>
      </c>
      <c r="I798" t="s">
        <v>623</v>
      </c>
      <c r="J798" t="s">
        <v>56</v>
      </c>
      <c r="K798" t="s">
        <v>16</v>
      </c>
      <c r="L798" t="s">
        <v>642</v>
      </c>
      <c r="M798" t="s">
        <v>37</v>
      </c>
      <c r="N798" t="s">
        <v>786</v>
      </c>
      <c r="O798" t="s">
        <v>1223</v>
      </c>
    </row>
    <row r="799" spans="1:15" x14ac:dyDescent="0.25">
      <c r="A799" t="s">
        <v>1547</v>
      </c>
      <c r="B799" t="s">
        <v>100</v>
      </c>
      <c r="C799" t="s">
        <v>621</v>
      </c>
      <c r="D799" t="s">
        <v>618</v>
      </c>
      <c r="E799" t="s">
        <v>622</v>
      </c>
      <c r="F799" s="213" t="s">
        <v>56</v>
      </c>
      <c r="G799" t="s">
        <v>66</v>
      </c>
      <c r="H799" t="s">
        <v>84</v>
      </c>
      <c r="I799" t="s">
        <v>623</v>
      </c>
      <c r="J799" t="s">
        <v>56</v>
      </c>
      <c r="K799" t="s">
        <v>13</v>
      </c>
      <c r="L799" t="s">
        <v>643</v>
      </c>
      <c r="M799" t="s">
        <v>37</v>
      </c>
      <c r="N799" t="s">
        <v>1433</v>
      </c>
      <c r="O799" t="s">
        <v>1287</v>
      </c>
    </row>
    <row r="800" spans="1:15" x14ac:dyDescent="0.25">
      <c r="A800" t="s">
        <v>1548</v>
      </c>
      <c r="B800" t="s">
        <v>100</v>
      </c>
      <c r="C800" t="s">
        <v>621</v>
      </c>
      <c r="D800" t="s">
        <v>618</v>
      </c>
      <c r="E800" t="s">
        <v>622</v>
      </c>
      <c r="F800" s="213" t="s">
        <v>56</v>
      </c>
      <c r="G800" t="s">
        <v>66</v>
      </c>
      <c r="H800" t="s">
        <v>84</v>
      </c>
      <c r="I800" t="s">
        <v>623</v>
      </c>
      <c r="J800" t="s">
        <v>56</v>
      </c>
      <c r="K800" t="s">
        <v>11</v>
      </c>
      <c r="L800" t="s">
        <v>635</v>
      </c>
      <c r="M800" t="s">
        <v>37</v>
      </c>
      <c r="N800" t="s">
        <v>793</v>
      </c>
      <c r="O800" t="s">
        <v>1497</v>
      </c>
    </row>
    <row r="801" spans="1:15" x14ac:dyDescent="0.25">
      <c r="A801" t="s">
        <v>1549</v>
      </c>
      <c r="B801" t="s">
        <v>100</v>
      </c>
      <c r="C801" t="s">
        <v>621</v>
      </c>
      <c r="D801" t="s">
        <v>618</v>
      </c>
      <c r="E801" t="s">
        <v>622</v>
      </c>
      <c r="F801" s="213" t="s">
        <v>56</v>
      </c>
      <c r="G801" t="s">
        <v>66</v>
      </c>
      <c r="H801" t="s">
        <v>84</v>
      </c>
      <c r="I801" t="s">
        <v>623</v>
      </c>
      <c r="J801" t="s">
        <v>56</v>
      </c>
      <c r="K801" t="s">
        <v>9</v>
      </c>
      <c r="L801" t="s">
        <v>637</v>
      </c>
      <c r="M801" t="s">
        <v>37</v>
      </c>
      <c r="N801" t="s">
        <v>49</v>
      </c>
      <c r="O801" t="s">
        <v>1131</v>
      </c>
    </row>
    <row r="802" spans="1:15" x14ac:dyDescent="0.25">
      <c r="A802" t="s">
        <v>1550</v>
      </c>
      <c r="B802" t="s">
        <v>100</v>
      </c>
      <c r="C802" t="s">
        <v>621</v>
      </c>
      <c r="D802" t="s">
        <v>618</v>
      </c>
      <c r="E802" t="s">
        <v>622</v>
      </c>
      <c r="F802" s="213" t="s">
        <v>56</v>
      </c>
      <c r="G802" t="s">
        <v>66</v>
      </c>
      <c r="H802" t="s">
        <v>84</v>
      </c>
      <c r="I802" t="s">
        <v>623</v>
      </c>
      <c r="J802" t="s">
        <v>56</v>
      </c>
      <c r="K802" t="s">
        <v>7</v>
      </c>
      <c r="L802" t="s">
        <v>809</v>
      </c>
      <c r="M802" t="s">
        <v>37</v>
      </c>
      <c r="N802" t="s">
        <v>45</v>
      </c>
      <c r="O802" t="s">
        <v>1291</v>
      </c>
    </row>
    <row r="803" spans="1:15" x14ac:dyDescent="0.25">
      <c r="A803" t="s">
        <v>1551</v>
      </c>
      <c r="B803" t="s">
        <v>100</v>
      </c>
      <c r="C803" t="s">
        <v>621</v>
      </c>
      <c r="D803" t="s">
        <v>618</v>
      </c>
      <c r="E803" t="s">
        <v>622</v>
      </c>
      <c r="F803" s="213" t="s">
        <v>56</v>
      </c>
      <c r="G803" t="s">
        <v>66</v>
      </c>
      <c r="H803" t="s">
        <v>84</v>
      </c>
      <c r="I803" t="s">
        <v>623</v>
      </c>
      <c r="J803" t="s">
        <v>56</v>
      </c>
      <c r="K803" t="s">
        <v>5</v>
      </c>
      <c r="L803" t="s">
        <v>662</v>
      </c>
      <c r="M803" t="s">
        <v>37</v>
      </c>
      <c r="N803" t="s">
        <v>57</v>
      </c>
      <c r="O803" t="s">
        <v>1143</v>
      </c>
    </row>
    <row r="804" spans="1:15" x14ac:dyDescent="0.25">
      <c r="A804" t="s">
        <v>1552</v>
      </c>
      <c r="B804" t="s">
        <v>100</v>
      </c>
      <c r="C804" t="s">
        <v>621</v>
      </c>
      <c r="D804" t="s">
        <v>618</v>
      </c>
      <c r="E804" t="s">
        <v>622</v>
      </c>
      <c r="F804" s="213" t="s">
        <v>56</v>
      </c>
      <c r="G804" t="s">
        <v>66</v>
      </c>
      <c r="H804" t="s">
        <v>84</v>
      </c>
      <c r="I804" t="s">
        <v>623</v>
      </c>
      <c r="J804" t="s">
        <v>56</v>
      </c>
      <c r="K804" t="s">
        <v>3</v>
      </c>
      <c r="L804" t="s">
        <v>749</v>
      </c>
      <c r="M804" t="s">
        <v>37</v>
      </c>
      <c r="N804" t="s">
        <v>650</v>
      </c>
      <c r="O804" t="s">
        <v>1287</v>
      </c>
    </row>
    <row r="805" spans="1:15" x14ac:dyDescent="0.25">
      <c r="A805" t="s">
        <v>1553</v>
      </c>
      <c r="B805" t="s">
        <v>100</v>
      </c>
      <c r="C805" t="s">
        <v>621</v>
      </c>
      <c r="D805" t="s">
        <v>618</v>
      </c>
      <c r="E805" t="s">
        <v>622</v>
      </c>
      <c r="F805" s="213" t="s">
        <v>56</v>
      </c>
      <c r="G805" t="s">
        <v>66</v>
      </c>
      <c r="H805" t="s">
        <v>84</v>
      </c>
      <c r="I805" t="s">
        <v>623</v>
      </c>
      <c r="J805" t="s">
        <v>56</v>
      </c>
      <c r="K805" t="s">
        <v>27</v>
      </c>
      <c r="L805" t="s">
        <v>626</v>
      </c>
      <c r="M805" t="s">
        <v>1477</v>
      </c>
      <c r="N805" t="s">
        <v>100</v>
      </c>
      <c r="O805" t="s">
        <v>628</v>
      </c>
    </row>
    <row r="806" spans="1:15" x14ac:dyDescent="0.25">
      <c r="A806" t="s">
        <v>1554</v>
      </c>
      <c r="B806" t="s">
        <v>100</v>
      </c>
      <c r="C806" t="s">
        <v>621</v>
      </c>
      <c r="D806" t="s">
        <v>618</v>
      </c>
      <c r="E806" t="s">
        <v>622</v>
      </c>
      <c r="F806" s="213" t="s">
        <v>56</v>
      </c>
      <c r="G806" t="s">
        <v>66</v>
      </c>
      <c r="H806" t="s">
        <v>84</v>
      </c>
      <c r="I806" t="s">
        <v>623</v>
      </c>
      <c r="J806" t="s">
        <v>56</v>
      </c>
      <c r="K806" t="s">
        <v>27</v>
      </c>
      <c r="L806" t="s">
        <v>626</v>
      </c>
      <c r="M806" t="s">
        <v>33</v>
      </c>
      <c r="N806" t="s">
        <v>665</v>
      </c>
      <c r="O806" t="s">
        <v>786</v>
      </c>
    </row>
    <row r="807" spans="1:15" x14ac:dyDescent="0.25">
      <c r="A807" t="s">
        <v>1555</v>
      </c>
      <c r="B807" t="s">
        <v>100</v>
      </c>
      <c r="C807" t="s">
        <v>621</v>
      </c>
      <c r="D807" t="s">
        <v>618</v>
      </c>
      <c r="E807" t="s">
        <v>622</v>
      </c>
      <c r="F807" s="213" t="s">
        <v>56</v>
      </c>
      <c r="G807" t="s">
        <v>66</v>
      </c>
      <c r="H807" t="s">
        <v>84</v>
      </c>
      <c r="I807" t="s">
        <v>623</v>
      </c>
      <c r="J807" t="s">
        <v>56</v>
      </c>
      <c r="K807" t="s">
        <v>25</v>
      </c>
      <c r="L807" t="s">
        <v>628</v>
      </c>
      <c r="M807" t="s">
        <v>33</v>
      </c>
      <c r="N807" t="s">
        <v>1556</v>
      </c>
      <c r="O807" t="s">
        <v>786</v>
      </c>
    </row>
    <row r="808" spans="1:15" x14ac:dyDescent="0.25">
      <c r="A808" t="s">
        <v>1557</v>
      </c>
      <c r="B808" t="s">
        <v>100</v>
      </c>
      <c r="C808" t="s">
        <v>621</v>
      </c>
      <c r="D808" t="s">
        <v>618</v>
      </c>
      <c r="E808" t="s">
        <v>622</v>
      </c>
      <c r="F808" s="213" t="s">
        <v>56</v>
      </c>
      <c r="G808" t="s">
        <v>66</v>
      </c>
      <c r="H808" t="s">
        <v>84</v>
      </c>
      <c r="I808" t="s">
        <v>623</v>
      </c>
      <c r="J808" t="s">
        <v>56</v>
      </c>
      <c r="K808" t="s">
        <v>22</v>
      </c>
      <c r="L808" t="s">
        <v>630</v>
      </c>
      <c r="M808" t="s">
        <v>33</v>
      </c>
      <c r="N808" t="s">
        <v>1558</v>
      </c>
      <c r="O808" t="s">
        <v>786</v>
      </c>
    </row>
    <row r="809" spans="1:15" x14ac:dyDescent="0.25">
      <c r="A809" t="s">
        <v>1559</v>
      </c>
      <c r="B809" t="s">
        <v>100</v>
      </c>
      <c r="C809" t="s">
        <v>621</v>
      </c>
      <c r="D809" t="s">
        <v>618</v>
      </c>
      <c r="E809" t="s">
        <v>622</v>
      </c>
      <c r="F809" s="213" t="s">
        <v>56</v>
      </c>
      <c r="G809" t="s">
        <v>66</v>
      </c>
      <c r="H809" t="s">
        <v>84</v>
      </c>
      <c r="I809" t="s">
        <v>623</v>
      </c>
      <c r="J809" t="s">
        <v>56</v>
      </c>
      <c r="K809" t="s">
        <v>19</v>
      </c>
      <c r="L809" t="s">
        <v>625</v>
      </c>
      <c r="M809" t="s">
        <v>33</v>
      </c>
      <c r="N809" t="s">
        <v>624</v>
      </c>
      <c r="O809" t="s">
        <v>786</v>
      </c>
    </row>
    <row r="810" spans="1:15" x14ac:dyDescent="0.25">
      <c r="A810" t="s">
        <v>1560</v>
      </c>
      <c r="B810" t="s">
        <v>100</v>
      </c>
      <c r="C810" t="s">
        <v>621</v>
      </c>
      <c r="D810" t="s">
        <v>618</v>
      </c>
      <c r="E810" t="s">
        <v>622</v>
      </c>
      <c r="F810" s="213" t="s">
        <v>56</v>
      </c>
      <c r="G810" t="s">
        <v>66</v>
      </c>
      <c r="H810" t="s">
        <v>84</v>
      </c>
      <c r="I810" t="s">
        <v>623</v>
      </c>
      <c r="J810" t="s">
        <v>56</v>
      </c>
      <c r="K810" t="s">
        <v>15</v>
      </c>
      <c r="L810" t="s">
        <v>632</v>
      </c>
      <c r="M810" t="s">
        <v>33</v>
      </c>
      <c r="N810" t="s">
        <v>1517</v>
      </c>
      <c r="O810" t="s">
        <v>786</v>
      </c>
    </row>
    <row r="811" spans="1:15" x14ac:dyDescent="0.25">
      <c r="A811" t="s">
        <v>1561</v>
      </c>
      <c r="B811" t="s">
        <v>100</v>
      </c>
      <c r="C811" t="s">
        <v>621</v>
      </c>
      <c r="D811" t="s">
        <v>618</v>
      </c>
      <c r="E811" t="s">
        <v>622</v>
      </c>
      <c r="F811" s="213" t="s">
        <v>56</v>
      </c>
      <c r="G811" t="s">
        <v>66</v>
      </c>
      <c r="H811" t="s">
        <v>84</v>
      </c>
      <c r="I811" t="s">
        <v>623</v>
      </c>
      <c r="J811" t="s">
        <v>56</v>
      </c>
      <c r="K811" t="s">
        <v>12</v>
      </c>
      <c r="L811" t="s">
        <v>629</v>
      </c>
      <c r="M811" t="s">
        <v>33</v>
      </c>
      <c r="N811" t="s">
        <v>716</v>
      </c>
      <c r="O811" t="s">
        <v>1181</v>
      </c>
    </row>
    <row r="812" spans="1:15" x14ac:dyDescent="0.25">
      <c r="A812" t="s">
        <v>1562</v>
      </c>
      <c r="B812" t="s">
        <v>100</v>
      </c>
      <c r="C812" t="s">
        <v>621</v>
      </c>
      <c r="D812" t="s">
        <v>618</v>
      </c>
      <c r="E812" t="s">
        <v>622</v>
      </c>
      <c r="F812" s="213" t="s">
        <v>56</v>
      </c>
      <c r="G812" t="s">
        <v>66</v>
      </c>
      <c r="H812" t="s">
        <v>84</v>
      </c>
      <c r="I812" t="s">
        <v>623</v>
      </c>
      <c r="J812" t="s">
        <v>56</v>
      </c>
      <c r="K812" t="s">
        <v>10</v>
      </c>
      <c r="L812" t="s">
        <v>635</v>
      </c>
      <c r="M812" t="s">
        <v>33</v>
      </c>
      <c r="N812" t="s">
        <v>640</v>
      </c>
      <c r="O812" t="s">
        <v>720</v>
      </c>
    </row>
    <row r="813" spans="1:15" x14ac:dyDescent="0.25">
      <c r="A813" t="s">
        <v>1563</v>
      </c>
      <c r="B813" t="s">
        <v>100</v>
      </c>
      <c r="C813" t="s">
        <v>621</v>
      </c>
      <c r="D813" t="s">
        <v>618</v>
      </c>
      <c r="E813" t="s">
        <v>622</v>
      </c>
      <c r="F813" s="213" t="s">
        <v>56</v>
      </c>
      <c r="G813" t="s">
        <v>66</v>
      </c>
      <c r="H813" t="s">
        <v>84</v>
      </c>
      <c r="I813" t="s">
        <v>623</v>
      </c>
      <c r="J813" t="s">
        <v>56</v>
      </c>
      <c r="K813" t="s">
        <v>8</v>
      </c>
      <c r="L813" t="s">
        <v>637</v>
      </c>
      <c r="M813" t="s">
        <v>33</v>
      </c>
      <c r="N813" t="s">
        <v>1526</v>
      </c>
      <c r="O813" t="s">
        <v>1564</v>
      </c>
    </row>
    <row r="814" spans="1:15" x14ac:dyDescent="0.25">
      <c r="A814" t="s">
        <v>1565</v>
      </c>
      <c r="B814" t="s">
        <v>100</v>
      </c>
      <c r="C814" t="s">
        <v>621</v>
      </c>
      <c r="D814" t="s">
        <v>618</v>
      </c>
      <c r="E814" t="s">
        <v>622</v>
      </c>
      <c r="F814" s="213" t="s">
        <v>56</v>
      </c>
      <c r="G814" t="s">
        <v>66</v>
      </c>
      <c r="H814" t="s">
        <v>84</v>
      </c>
      <c r="I814" t="s">
        <v>623</v>
      </c>
      <c r="J814" t="s">
        <v>56</v>
      </c>
      <c r="K814" t="s">
        <v>6</v>
      </c>
      <c r="L814" t="s">
        <v>639</v>
      </c>
      <c r="M814" t="s">
        <v>33</v>
      </c>
      <c r="N814" t="s">
        <v>1566</v>
      </c>
      <c r="O814" t="s">
        <v>1172</v>
      </c>
    </row>
    <row r="815" spans="1:15" x14ac:dyDescent="0.25">
      <c r="A815" t="s">
        <v>1567</v>
      </c>
      <c r="B815" t="s">
        <v>100</v>
      </c>
      <c r="C815" t="s">
        <v>621</v>
      </c>
      <c r="D815" t="s">
        <v>618</v>
      </c>
      <c r="E815" t="s">
        <v>622</v>
      </c>
      <c r="F815" s="213" t="s">
        <v>56</v>
      </c>
      <c r="G815" t="s">
        <v>66</v>
      </c>
      <c r="H815" t="s">
        <v>84</v>
      </c>
      <c r="I815" t="s">
        <v>623</v>
      </c>
      <c r="J815" t="s">
        <v>56</v>
      </c>
      <c r="K815" t="s">
        <v>4</v>
      </c>
      <c r="L815" t="s">
        <v>662</v>
      </c>
      <c r="M815" t="s">
        <v>33</v>
      </c>
      <c r="N815" t="s">
        <v>1394</v>
      </c>
      <c r="O815" t="s">
        <v>786</v>
      </c>
    </row>
    <row r="816" spans="1:15" x14ac:dyDescent="0.25">
      <c r="A816" t="s">
        <v>1568</v>
      </c>
      <c r="B816" t="s">
        <v>100</v>
      </c>
      <c r="C816" t="s">
        <v>621</v>
      </c>
      <c r="D816" t="s">
        <v>618</v>
      </c>
      <c r="E816" t="s">
        <v>622</v>
      </c>
      <c r="F816" s="213" t="s">
        <v>56</v>
      </c>
      <c r="G816" t="s">
        <v>66</v>
      </c>
      <c r="H816" t="s">
        <v>84</v>
      </c>
      <c r="I816" t="s">
        <v>623</v>
      </c>
      <c r="J816" t="s">
        <v>56</v>
      </c>
      <c r="K816" t="s">
        <v>2</v>
      </c>
      <c r="L816" t="s">
        <v>749</v>
      </c>
      <c r="M816" t="s">
        <v>33</v>
      </c>
      <c r="N816" t="s">
        <v>1044</v>
      </c>
      <c r="O816" t="s">
        <v>1564</v>
      </c>
    </row>
    <row r="817" spans="1:15" x14ac:dyDescent="0.25">
      <c r="A817" t="s">
        <v>1569</v>
      </c>
      <c r="B817" t="s">
        <v>100</v>
      </c>
      <c r="C817" t="s">
        <v>621</v>
      </c>
      <c r="D817" t="s">
        <v>618</v>
      </c>
      <c r="E817" t="s">
        <v>622</v>
      </c>
      <c r="F817" s="213" t="s">
        <v>56</v>
      </c>
      <c r="G817" t="s">
        <v>66</v>
      </c>
      <c r="H817" t="s">
        <v>84</v>
      </c>
      <c r="I817" t="s">
        <v>623</v>
      </c>
      <c r="J817" t="s">
        <v>56</v>
      </c>
      <c r="K817" t="s">
        <v>24</v>
      </c>
      <c r="L817" t="s">
        <v>807</v>
      </c>
      <c r="M817" t="s">
        <v>33</v>
      </c>
      <c r="N817" t="s">
        <v>1278</v>
      </c>
      <c r="O817" t="s">
        <v>786</v>
      </c>
    </row>
    <row r="818" spans="1:15" x14ac:dyDescent="0.25">
      <c r="A818" t="s">
        <v>1570</v>
      </c>
      <c r="B818" t="s">
        <v>100</v>
      </c>
      <c r="C818" t="s">
        <v>621</v>
      </c>
      <c r="D818" t="s">
        <v>618</v>
      </c>
      <c r="E818" t="s">
        <v>622</v>
      </c>
      <c r="F818" s="213" t="s">
        <v>56</v>
      </c>
      <c r="G818" t="s">
        <v>66</v>
      </c>
      <c r="H818" t="s">
        <v>84</v>
      </c>
      <c r="I818" t="s">
        <v>623</v>
      </c>
      <c r="J818" t="s">
        <v>56</v>
      </c>
      <c r="K818" t="s">
        <v>25</v>
      </c>
      <c r="L818" t="s">
        <v>827</v>
      </c>
      <c r="M818" t="s">
        <v>33</v>
      </c>
      <c r="N818" t="s">
        <v>1294</v>
      </c>
      <c r="O818" t="s">
        <v>786</v>
      </c>
    </row>
    <row r="819" spans="1:15" x14ac:dyDescent="0.25">
      <c r="A819" t="s">
        <v>1571</v>
      </c>
      <c r="B819" t="s">
        <v>100</v>
      </c>
      <c r="C819" t="s">
        <v>621</v>
      </c>
      <c r="D819" t="s">
        <v>618</v>
      </c>
      <c r="E819" t="s">
        <v>622</v>
      </c>
      <c r="F819" s="213" t="s">
        <v>56</v>
      </c>
      <c r="G819" t="s">
        <v>66</v>
      </c>
      <c r="H819" t="s">
        <v>84</v>
      </c>
      <c r="I819" t="s">
        <v>623</v>
      </c>
      <c r="J819" t="s">
        <v>56</v>
      </c>
      <c r="K819" t="s">
        <v>26</v>
      </c>
      <c r="L819" t="s">
        <v>729</v>
      </c>
      <c r="M819" t="s">
        <v>33</v>
      </c>
      <c r="N819" t="s">
        <v>1344</v>
      </c>
      <c r="O819" t="s">
        <v>786</v>
      </c>
    </row>
    <row r="820" spans="1:15" x14ac:dyDescent="0.25">
      <c r="A820" t="s">
        <v>1572</v>
      </c>
      <c r="B820" t="s">
        <v>100</v>
      </c>
      <c r="C820" t="s">
        <v>621</v>
      </c>
      <c r="D820" t="s">
        <v>618</v>
      </c>
      <c r="E820" t="s">
        <v>622</v>
      </c>
      <c r="F820" s="213" t="s">
        <v>56</v>
      </c>
      <c r="G820" t="s">
        <v>66</v>
      </c>
      <c r="H820" t="s">
        <v>84</v>
      </c>
      <c r="I820" t="s">
        <v>623</v>
      </c>
      <c r="J820" t="s">
        <v>56</v>
      </c>
      <c r="K820" t="s">
        <v>28</v>
      </c>
      <c r="L820" t="s">
        <v>698</v>
      </c>
      <c r="M820" t="s">
        <v>33</v>
      </c>
      <c r="N820" t="s">
        <v>685</v>
      </c>
      <c r="O820" t="s">
        <v>786</v>
      </c>
    </row>
    <row r="821" spans="1:15" x14ac:dyDescent="0.25">
      <c r="A821" t="s">
        <v>1573</v>
      </c>
      <c r="B821" t="s">
        <v>100</v>
      </c>
      <c r="C821" t="s">
        <v>621</v>
      </c>
      <c r="D821" t="s">
        <v>618</v>
      </c>
      <c r="E821" t="s">
        <v>622</v>
      </c>
      <c r="F821" s="213" t="s">
        <v>56</v>
      </c>
      <c r="G821" t="s">
        <v>66</v>
      </c>
      <c r="H821" t="s">
        <v>84</v>
      </c>
      <c r="I821" t="s">
        <v>623</v>
      </c>
      <c r="J821" t="s">
        <v>56</v>
      </c>
      <c r="K821" t="s">
        <v>30</v>
      </c>
      <c r="L821" t="s">
        <v>631</v>
      </c>
      <c r="M821" t="s">
        <v>33</v>
      </c>
      <c r="N821" t="s">
        <v>1574</v>
      </c>
      <c r="O821" t="s">
        <v>786</v>
      </c>
    </row>
    <row r="822" spans="1:15" x14ac:dyDescent="0.25">
      <c r="A822" t="s">
        <v>1575</v>
      </c>
      <c r="B822" t="s">
        <v>100</v>
      </c>
      <c r="C822" t="s">
        <v>621</v>
      </c>
      <c r="D822" t="s">
        <v>618</v>
      </c>
      <c r="E822" t="s">
        <v>622</v>
      </c>
      <c r="F822" s="213" t="s">
        <v>56</v>
      </c>
      <c r="G822" t="s">
        <v>66</v>
      </c>
      <c r="H822" t="s">
        <v>84</v>
      </c>
      <c r="I822" t="s">
        <v>623</v>
      </c>
      <c r="J822" t="s">
        <v>56</v>
      </c>
      <c r="K822" t="s">
        <v>32</v>
      </c>
      <c r="L822" t="s">
        <v>101</v>
      </c>
      <c r="M822" t="s">
        <v>33</v>
      </c>
      <c r="N822" t="s">
        <v>967</v>
      </c>
      <c r="O822" t="s">
        <v>1181</v>
      </c>
    </row>
    <row r="823" spans="1:15" x14ac:dyDescent="0.25">
      <c r="A823" t="s">
        <v>1576</v>
      </c>
      <c r="B823" t="s">
        <v>100</v>
      </c>
      <c r="C823" t="s">
        <v>621</v>
      </c>
      <c r="D823" t="s">
        <v>618</v>
      </c>
      <c r="E823" t="s">
        <v>622</v>
      </c>
      <c r="F823" s="213" t="s">
        <v>56</v>
      </c>
      <c r="G823" t="s">
        <v>66</v>
      </c>
      <c r="H823" t="s">
        <v>84</v>
      </c>
      <c r="I823" t="s">
        <v>623</v>
      </c>
      <c r="J823" t="s">
        <v>56</v>
      </c>
      <c r="K823" t="s">
        <v>25</v>
      </c>
      <c r="L823" t="s">
        <v>46</v>
      </c>
      <c r="M823" t="s">
        <v>33</v>
      </c>
      <c r="N823" t="s">
        <v>638</v>
      </c>
      <c r="O823" t="s">
        <v>1223</v>
      </c>
    </row>
    <row r="824" spans="1:15" x14ac:dyDescent="0.25">
      <c r="A824" t="s">
        <v>1577</v>
      </c>
      <c r="B824" t="s">
        <v>100</v>
      </c>
      <c r="C824" t="s">
        <v>621</v>
      </c>
      <c r="D824" t="s">
        <v>618</v>
      </c>
      <c r="E824" t="s">
        <v>622</v>
      </c>
      <c r="F824" s="213" t="s">
        <v>56</v>
      </c>
      <c r="G824" t="s">
        <v>66</v>
      </c>
      <c r="H824" t="s">
        <v>84</v>
      </c>
      <c r="I824" t="s">
        <v>623</v>
      </c>
      <c r="J824" t="s">
        <v>56</v>
      </c>
      <c r="K824" t="s">
        <v>28</v>
      </c>
      <c r="L824" t="s">
        <v>39</v>
      </c>
      <c r="M824" t="s">
        <v>33</v>
      </c>
      <c r="N824" t="s">
        <v>680</v>
      </c>
      <c r="O824" t="s">
        <v>1172</v>
      </c>
    </row>
    <row r="825" spans="1:15" x14ac:dyDescent="0.25">
      <c r="A825" t="s">
        <v>1578</v>
      </c>
      <c r="B825" t="s">
        <v>100</v>
      </c>
      <c r="C825" t="s">
        <v>621</v>
      </c>
      <c r="D825" t="s">
        <v>618</v>
      </c>
      <c r="E825" t="s">
        <v>622</v>
      </c>
      <c r="F825" s="213" t="s">
        <v>56</v>
      </c>
      <c r="G825" t="s">
        <v>66</v>
      </c>
      <c r="H825" t="s">
        <v>84</v>
      </c>
      <c r="I825" t="s">
        <v>623</v>
      </c>
      <c r="J825" t="s">
        <v>56</v>
      </c>
      <c r="K825" t="s">
        <v>30</v>
      </c>
      <c r="L825" t="s">
        <v>35</v>
      </c>
      <c r="M825" t="s">
        <v>33</v>
      </c>
      <c r="N825" t="s">
        <v>40</v>
      </c>
      <c r="O825" t="s">
        <v>1294</v>
      </c>
    </row>
    <row r="826" spans="1:15" x14ac:dyDescent="0.25">
      <c r="A826" t="s">
        <v>1579</v>
      </c>
      <c r="B826" t="s">
        <v>100</v>
      </c>
      <c r="C826" t="s">
        <v>621</v>
      </c>
      <c r="D826" t="s">
        <v>618</v>
      </c>
      <c r="E826" t="s">
        <v>622</v>
      </c>
      <c r="F826" s="213" t="s">
        <v>56</v>
      </c>
      <c r="G826" t="s">
        <v>66</v>
      </c>
      <c r="H826" t="s">
        <v>84</v>
      </c>
      <c r="I826" t="s">
        <v>623</v>
      </c>
      <c r="J826" t="s">
        <v>56</v>
      </c>
      <c r="K826" t="s">
        <v>30</v>
      </c>
      <c r="L826" t="s">
        <v>624</v>
      </c>
      <c r="M826" t="s">
        <v>32</v>
      </c>
      <c r="N826" t="s">
        <v>72</v>
      </c>
      <c r="O826" t="s">
        <v>633</v>
      </c>
    </row>
    <row r="827" spans="1:15" x14ac:dyDescent="0.25">
      <c r="A827" t="s">
        <v>1580</v>
      </c>
      <c r="B827" t="s">
        <v>100</v>
      </c>
      <c r="C827" t="s">
        <v>621</v>
      </c>
      <c r="D827" t="s">
        <v>618</v>
      </c>
      <c r="E827" t="s">
        <v>622</v>
      </c>
      <c r="F827" s="213" t="s">
        <v>56</v>
      </c>
      <c r="G827" t="s">
        <v>66</v>
      </c>
      <c r="H827" t="s">
        <v>84</v>
      </c>
      <c r="I827" t="s">
        <v>623</v>
      </c>
      <c r="J827" t="s">
        <v>56</v>
      </c>
      <c r="K827" t="s">
        <v>31</v>
      </c>
      <c r="L827" t="s">
        <v>654</v>
      </c>
      <c r="M827" t="s">
        <v>32</v>
      </c>
      <c r="N827" t="s">
        <v>31</v>
      </c>
      <c r="O827" t="s">
        <v>1581</v>
      </c>
    </row>
    <row r="828" spans="1:15" x14ac:dyDescent="0.25">
      <c r="A828" t="s">
        <v>1582</v>
      </c>
      <c r="B828" t="s">
        <v>100</v>
      </c>
      <c r="C828" t="s">
        <v>621</v>
      </c>
      <c r="D828" t="s">
        <v>618</v>
      </c>
      <c r="E828" t="s">
        <v>622</v>
      </c>
      <c r="F828" s="213" t="s">
        <v>56</v>
      </c>
      <c r="G828" t="s">
        <v>66</v>
      </c>
      <c r="H828" t="s">
        <v>84</v>
      </c>
      <c r="I828" t="s">
        <v>623</v>
      </c>
      <c r="J828" t="s">
        <v>56</v>
      </c>
      <c r="K828" t="s">
        <v>33</v>
      </c>
      <c r="L828" t="s">
        <v>418</v>
      </c>
      <c r="M828" t="s">
        <v>32</v>
      </c>
      <c r="N828" t="s">
        <v>1077</v>
      </c>
      <c r="O828" t="s">
        <v>1172</v>
      </c>
    </row>
    <row r="829" spans="1:15" x14ac:dyDescent="0.25">
      <c r="A829" t="s">
        <v>1583</v>
      </c>
      <c r="B829" t="s">
        <v>100</v>
      </c>
      <c r="C829" t="s">
        <v>621</v>
      </c>
      <c r="D829" t="s">
        <v>618</v>
      </c>
      <c r="E829" t="s">
        <v>622</v>
      </c>
      <c r="F829" s="213" t="s">
        <v>56</v>
      </c>
      <c r="G829" t="s">
        <v>66</v>
      </c>
      <c r="H829" t="s">
        <v>84</v>
      </c>
      <c r="I829" t="s">
        <v>623</v>
      </c>
      <c r="J829" t="s">
        <v>56</v>
      </c>
      <c r="K829" t="s">
        <v>23</v>
      </c>
      <c r="L829" t="s">
        <v>630</v>
      </c>
      <c r="M829" t="s">
        <v>32</v>
      </c>
      <c r="N829" t="s">
        <v>1584</v>
      </c>
      <c r="O829" t="s">
        <v>814</v>
      </c>
    </row>
    <row r="830" spans="1:15" x14ac:dyDescent="0.25">
      <c r="A830" t="s">
        <v>1585</v>
      </c>
      <c r="B830" t="s">
        <v>100</v>
      </c>
      <c r="C830" t="s">
        <v>621</v>
      </c>
      <c r="D830" t="s">
        <v>618</v>
      </c>
      <c r="E830" t="s">
        <v>622</v>
      </c>
      <c r="F830" s="213" t="s">
        <v>56</v>
      </c>
      <c r="G830" t="s">
        <v>66</v>
      </c>
      <c r="H830" t="s">
        <v>84</v>
      </c>
      <c r="I830" t="s">
        <v>623</v>
      </c>
      <c r="J830" t="s">
        <v>56</v>
      </c>
      <c r="K830" t="s">
        <v>20</v>
      </c>
      <c r="L830" t="s">
        <v>625</v>
      </c>
      <c r="M830" t="s">
        <v>32</v>
      </c>
      <c r="N830" t="s">
        <v>1451</v>
      </c>
      <c r="O830" t="s">
        <v>642</v>
      </c>
    </row>
    <row r="831" spans="1:15" x14ac:dyDescent="0.25">
      <c r="A831" t="s">
        <v>1586</v>
      </c>
      <c r="B831" t="s">
        <v>100</v>
      </c>
      <c r="C831" t="s">
        <v>621</v>
      </c>
      <c r="D831" t="s">
        <v>618</v>
      </c>
      <c r="E831" t="s">
        <v>622</v>
      </c>
      <c r="F831" s="213" t="s">
        <v>56</v>
      </c>
      <c r="G831" t="s">
        <v>66</v>
      </c>
      <c r="H831" t="s">
        <v>84</v>
      </c>
      <c r="I831" t="s">
        <v>623</v>
      </c>
      <c r="J831" t="s">
        <v>56</v>
      </c>
      <c r="K831" t="s">
        <v>16</v>
      </c>
      <c r="L831" t="s">
        <v>632</v>
      </c>
      <c r="M831" t="s">
        <v>32</v>
      </c>
      <c r="N831" t="s">
        <v>36</v>
      </c>
      <c r="O831" t="s">
        <v>1494</v>
      </c>
    </row>
    <row r="832" spans="1:15" x14ac:dyDescent="0.25">
      <c r="A832" t="s">
        <v>1587</v>
      </c>
      <c r="B832" t="s">
        <v>100</v>
      </c>
      <c r="C832" t="s">
        <v>621</v>
      </c>
      <c r="D832" t="s">
        <v>618</v>
      </c>
      <c r="E832" t="s">
        <v>622</v>
      </c>
      <c r="F832" s="213" t="s">
        <v>56</v>
      </c>
      <c r="G832" t="s">
        <v>66</v>
      </c>
      <c r="H832" t="s">
        <v>84</v>
      </c>
      <c r="I832" t="s">
        <v>623</v>
      </c>
      <c r="J832" t="s">
        <v>56</v>
      </c>
      <c r="K832" t="s">
        <v>13</v>
      </c>
      <c r="L832" t="s">
        <v>629</v>
      </c>
      <c r="M832" t="s">
        <v>32</v>
      </c>
      <c r="N832" t="s">
        <v>1497</v>
      </c>
      <c r="O832" t="s">
        <v>665</v>
      </c>
    </row>
    <row r="833" spans="1:15" x14ac:dyDescent="0.25">
      <c r="A833" t="s">
        <v>1588</v>
      </c>
      <c r="B833" t="s">
        <v>100</v>
      </c>
      <c r="C833" t="s">
        <v>621</v>
      </c>
      <c r="D833" t="s">
        <v>618</v>
      </c>
      <c r="E833" t="s">
        <v>622</v>
      </c>
      <c r="F833" s="213" t="s">
        <v>56</v>
      </c>
      <c r="G833" t="s">
        <v>66</v>
      </c>
      <c r="H833" t="s">
        <v>84</v>
      </c>
      <c r="I833" t="s">
        <v>623</v>
      </c>
      <c r="J833" t="s">
        <v>56</v>
      </c>
      <c r="K833" t="s">
        <v>10</v>
      </c>
      <c r="L833" t="s">
        <v>695</v>
      </c>
      <c r="M833" t="s">
        <v>32</v>
      </c>
      <c r="N833" t="s">
        <v>875</v>
      </c>
      <c r="O833" t="s">
        <v>720</v>
      </c>
    </row>
    <row r="834" spans="1:15" x14ac:dyDescent="0.25">
      <c r="A834" t="s">
        <v>1589</v>
      </c>
      <c r="B834" t="s">
        <v>100</v>
      </c>
      <c r="C834" t="s">
        <v>621</v>
      </c>
      <c r="D834" t="s">
        <v>618</v>
      </c>
      <c r="E834" t="s">
        <v>622</v>
      </c>
      <c r="F834" s="213" t="s">
        <v>56</v>
      </c>
      <c r="G834" t="s">
        <v>66</v>
      </c>
      <c r="H834" t="s">
        <v>84</v>
      </c>
      <c r="I834" t="s">
        <v>623</v>
      </c>
      <c r="J834" t="s">
        <v>56</v>
      </c>
      <c r="K834" t="s">
        <v>8</v>
      </c>
      <c r="L834" t="s">
        <v>656</v>
      </c>
      <c r="M834" t="s">
        <v>32</v>
      </c>
      <c r="N834" t="s">
        <v>807</v>
      </c>
      <c r="O834" t="s">
        <v>1390</v>
      </c>
    </row>
    <row r="835" spans="1:15" x14ac:dyDescent="0.25">
      <c r="A835" t="s">
        <v>1590</v>
      </c>
      <c r="B835" t="s">
        <v>100</v>
      </c>
      <c r="C835" t="s">
        <v>621</v>
      </c>
      <c r="D835" t="s">
        <v>618</v>
      </c>
      <c r="E835" t="s">
        <v>622</v>
      </c>
      <c r="F835" s="213" t="s">
        <v>56</v>
      </c>
      <c r="G835" t="s">
        <v>66</v>
      </c>
      <c r="H835" t="s">
        <v>84</v>
      </c>
      <c r="I835" t="s">
        <v>623</v>
      </c>
      <c r="J835" t="s">
        <v>56</v>
      </c>
      <c r="K835" t="s">
        <v>6</v>
      </c>
      <c r="L835" t="s">
        <v>809</v>
      </c>
      <c r="M835" t="s">
        <v>32</v>
      </c>
      <c r="N835" t="s">
        <v>770</v>
      </c>
      <c r="O835" t="s">
        <v>1390</v>
      </c>
    </row>
    <row r="836" spans="1:15" x14ac:dyDescent="0.25">
      <c r="A836" t="s">
        <v>1591</v>
      </c>
      <c r="B836" t="s">
        <v>100</v>
      </c>
      <c r="C836" t="s">
        <v>621</v>
      </c>
      <c r="D836" t="s">
        <v>618</v>
      </c>
      <c r="E836" t="s">
        <v>622</v>
      </c>
      <c r="F836" s="213" t="s">
        <v>56</v>
      </c>
      <c r="G836" t="s">
        <v>66</v>
      </c>
      <c r="H836" t="s">
        <v>84</v>
      </c>
      <c r="I836" t="s">
        <v>623</v>
      </c>
      <c r="J836" t="s">
        <v>56</v>
      </c>
      <c r="K836" t="s">
        <v>4</v>
      </c>
      <c r="L836" t="s">
        <v>644</v>
      </c>
      <c r="M836" t="s">
        <v>32</v>
      </c>
      <c r="N836" t="s">
        <v>818</v>
      </c>
      <c r="O836" t="s">
        <v>626</v>
      </c>
    </row>
    <row r="837" spans="1:15" x14ac:dyDescent="0.25">
      <c r="A837" t="s">
        <v>1592</v>
      </c>
      <c r="B837" t="s">
        <v>100</v>
      </c>
      <c r="C837" t="s">
        <v>621</v>
      </c>
      <c r="D837" t="s">
        <v>618</v>
      </c>
      <c r="E837" t="s">
        <v>622</v>
      </c>
      <c r="F837" s="213" t="s">
        <v>56</v>
      </c>
      <c r="G837" t="s">
        <v>66</v>
      </c>
      <c r="H837" t="s">
        <v>84</v>
      </c>
      <c r="I837" t="s">
        <v>623</v>
      </c>
      <c r="J837" t="s">
        <v>56</v>
      </c>
      <c r="K837" t="s">
        <v>2</v>
      </c>
      <c r="L837" t="s">
        <v>735</v>
      </c>
      <c r="M837" t="s">
        <v>32</v>
      </c>
      <c r="N837" t="s">
        <v>43</v>
      </c>
      <c r="O837" t="s">
        <v>1307</v>
      </c>
    </row>
    <row r="838" spans="1:15" x14ac:dyDescent="0.25">
      <c r="A838" t="s">
        <v>1593</v>
      </c>
      <c r="B838" t="s">
        <v>100</v>
      </c>
      <c r="C838" t="s">
        <v>621</v>
      </c>
      <c r="D838" t="s">
        <v>618</v>
      </c>
      <c r="E838" t="s">
        <v>622</v>
      </c>
      <c r="F838" s="213" t="s">
        <v>56</v>
      </c>
      <c r="G838" t="s">
        <v>66</v>
      </c>
      <c r="H838" t="s">
        <v>84</v>
      </c>
      <c r="I838" t="s">
        <v>623</v>
      </c>
      <c r="J838" t="s">
        <v>56</v>
      </c>
      <c r="K838" t="s">
        <v>1</v>
      </c>
      <c r="L838" t="s">
        <v>741</v>
      </c>
      <c r="M838" t="s">
        <v>32</v>
      </c>
      <c r="N838" t="s">
        <v>827</v>
      </c>
      <c r="O838" t="s">
        <v>720</v>
      </c>
    </row>
    <row r="839" spans="1:15" x14ac:dyDescent="0.25">
      <c r="A839" t="s">
        <v>1594</v>
      </c>
      <c r="B839" t="s">
        <v>100</v>
      </c>
      <c r="C839" t="s">
        <v>621</v>
      </c>
      <c r="D839" t="s">
        <v>618</v>
      </c>
      <c r="E839" t="s">
        <v>622</v>
      </c>
      <c r="F839" s="213" t="s">
        <v>56</v>
      </c>
      <c r="G839" t="s">
        <v>66</v>
      </c>
      <c r="H839" t="s">
        <v>84</v>
      </c>
      <c r="I839" t="s">
        <v>623</v>
      </c>
      <c r="J839" t="s">
        <v>56</v>
      </c>
      <c r="K839" t="s">
        <v>0</v>
      </c>
      <c r="L839" t="s">
        <v>825</v>
      </c>
      <c r="M839" t="s">
        <v>32</v>
      </c>
      <c r="N839" t="s">
        <v>53</v>
      </c>
      <c r="O839" t="s">
        <v>1392</v>
      </c>
    </row>
    <row r="840" spans="1:15" x14ac:dyDescent="0.25">
      <c r="A840" t="s">
        <v>1595</v>
      </c>
      <c r="B840" t="s">
        <v>100</v>
      </c>
      <c r="C840" t="s">
        <v>621</v>
      </c>
      <c r="D840" t="s">
        <v>618</v>
      </c>
      <c r="E840" t="s">
        <v>622</v>
      </c>
      <c r="F840" s="213" t="s">
        <v>56</v>
      </c>
      <c r="G840" t="s">
        <v>66</v>
      </c>
      <c r="H840" t="s">
        <v>84</v>
      </c>
      <c r="I840" t="s">
        <v>623</v>
      </c>
      <c r="J840" t="s">
        <v>56</v>
      </c>
      <c r="K840" t="s">
        <v>28</v>
      </c>
      <c r="L840" t="s">
        <v>900</v>
      </c>
      <c r="M840" t="s">
        <v>32</v>
      </c>
      <c r="N840" t="s">
        <v>95</v>
      </c>
      <c r="O840" t="s">
        <v>627</v>
      </c>
    </row>
    <row r="841" spans="1:15" x14ac:dyDescent="0.25">
      <c r="A841" t="s">
        <v>1596</v>
      </c>
      <c r="B841" t="s">
        <v>100</v>
      </c>
      <c r="C841" t="s">
        <v>621</v>
      </c>
      <c r="D841" t="s">
        <v>618</v>
      </c>
      <c r="E841" t="s">
        <v>622</v>
      </c>
      <c r="F841" s="213" t="s">
        <v>56</v>
      </c>
      <c r="G841" t="s">
        <v>66</v>
      </c>
      <c r="H841" t="s">
        <v>84</v>
      </c>
      <c r="I841" t="s">
        <v>623</v>
      </c>
      <c r="J841" t="s">
        <v>56</v>
      </c>
      <c r="K841" t="s">
        <v>27</v>
      </c>
      <c r="L841" t="s">
        <v>626</v>
      </c>
      <c r="M841" t="s">
        <v>34</v>
      </c>
      <c r="N841" t="s">
        <v>1597</v>
      </c>
      <c r="O841" t="s">
        <v>1251</v>
      </c>
    </row>
    <row r="842" spans="1:15" x14ac:dyDescent="0.25">
      <c r="A842" t="s">
        <v>1598</v>
      </c>
      <c r="B842" t="s">
        <v>100</v>
      </c>
      <c r="C842" t="s">
        <v>621</v>
      </c>
      <c r="D842" t="s">
        <v>618</v>
      </c>
      <c r="E842" t="s">
        <v>622</v>
      </c>
      <c r="F842" s="213" t="s">
        <v>56</v>
      </c>
      <c r="G842" t="s">
        <v>66</v>
      </c>
      <c r="H842" t="s">
        <v>84</v>
      </c>
      <c r="I842" t="s">
        <v>623</v>
      </c>
      <c r="J842" t="s">
        <v>56</v>
      </c>
      <c r="K842" t="s">
        <v>25</v>
      </c>
      <c r="L842" t="s">
        <v>628</v>
      </c>
      <c r="M842" t="s">
        <v>34</v>
      </c>
      <c r="N842" t="s">
        <v>693</v>
      </c>
      <c r="O842" t="s">
        <v>1564</v>
      </c>
    </row>
    <row r="843" spans="1:15" x14ac:dyDescent="0.25">
      <c r="A843" t="s">
        <v>1599</v>
      </c>
      <c r="B843" t="s">
        <v>100</v>
      </c>
      <c r="C843" t="s">
        <v>621</v>
      </c>
      <c r="D843" t="s">
        <v>618</v>
      </c>
      <c r="E843" t="s">
        <v>622</v>
      </c>
      <c r="F843" s="213" t="s">
        <v>56</v>
      </c>
      <c r="G843" t="s">
        <v>66</v>
      </c>
      <c r="H843" t="s">
        <v>84</v>
      </c>
      <c r="I843" t="s">
        <v>623</v>
      </c>
      <c r="J843" t="s">
        <v>56</v>
      </c>
      <c r="K843" t="s">
        <v>22</v>
      </c>
      <c r="L843" t="s">
        <v>630</v>
      </c>
      <c r="M843" t="s">
        <v>34</v>
      </c>
      <c r="N843" t="s">
        <v>624</v>
      </c>
      <c r="O843" t="s">
        <v>1251</v>
      </c>
    </row>
    <row r="844" spans="1:15" x14ac:dyDescent="0.25">
      <c r="A844" t="s">
        <v>1600</v>
      </c>
      <c r="B844" t="s">
        <v>100</v>
      </c>
      <c r="C844" t="s">
        <v>621</v>
      </c>
      <c r="D844" t="s">
        <v>618</v>
      </c>
      <c r="E844" t="s">
        <v>622</v>
      </c>
      <c r="F844" s="213" t="s">
        <v>56</v>
      </c>
      <c r="G844" t="s">
        <v>66</v>
      </c>
      <c r="H844" t="s">
        <v>84</v>
      </c>
      <c r="I844" t="s">
        <v>623</v>
      </c>
      <c r="J844" t="s">
        <v>56</v>
      </c>
      <c r="K844" t="s">
        <v>19</v>
      </c>
      <c r="L844" t="s">
        <v>625</v>
      </c>
      <c r="M844" t="s">
        <v>34</v>
      </c>
      <c r="N844" t="s">
        <v>625</v>
      </c>
      <c r="O844" t="s">
        <v>1251</v>
      </c>
    </row>
    <row r="845" spans="1:15" x14ac:dyDescent="0.25">
      <c r="A845" t="s">
        <v>1601</v>
      </c>
      <c r="B845" t="s">
        <v>100</v>
      </c>
      <c r="C845" t="s">
        <v>621</v>
      </c>
      <c r="D845" t="s">
        <v>618</v>
      </c>
      <c r="E845" t="s">
        <v>622</v>
      </c>
      <c r="F845" s="213" t="s">
        <v>56</v>
      </c>
      <c r="G845" t="s">
        <v>66</v>
      </c>
      <c r="H845" t="s">
        <v>84</v>
      </c>
      <c r="I845" t="s">
        <v>623</v>
      </c>
      <c r="J845" t="s">
        <v>56</v>
      </c>
      <c r="K845" t="s">
        <v>15</v>
      </c>
      <c r="L845" t="s">
        <v>632</v>
      </c>
      <c r="M845" t="s">
        <v>34</v>
      </c>
      <c r="N845" t="s">
        <v>628</v>
      </c>
      <c r="O845" t="s">
        <v>1251</v>
      </c>
    </row>
    <row r="846" spans="1:15" x14ac:dyDescent="0.25">
      <c r="A846" t="s">
        <v>1602</v>
      </c>
      <c r="B846" t="s">
        <v>100</v>
      </c>
      <c r="C846" t="s">
        <v>621</v>
      </c>
      <c r="D846" t="s">
        <v>618</v>
      </c>
      <c r="E846" t="s">
        <v>622</v>
      </c>
      <c r="F846" s="213" t="s">
        <v>56</v>
      </c>
      <c r="G846" t="s">
        <v>66</v>
      </c>
      <c r="H846" t="s">
        <v>84</v>
      </c>
      <c r="I846" t="s">
        <v>623</v>
      </c>
      <c r="J846" t="s">
        <v>56</v>
      </c>
      <c r="K846" t="s">
        <v>12</v>
      </c>
      <c r="L846" t="s">
        <v>629</v>
      </c>
      <c r="M846" t="s">
        <v>34</v>
      </c>
      <c r="N846" t="s">
        <v>1566</v>
      </c>
      <c r="O846" t="s">
        <v>818</v>
      </c>
    </row>
    <row r="847" spans="1:15" x14ac:dyDescent="0.25">
      <c r="A847" t="s">
        <v>1603</v>
      </c>
      <c r="B847" t="s">
        <v>100</v>
      </c>
      <c r="C847" t="s">
        <v>621</v>
      </c>
      <c r="D847" t="s">
        <v>618</v>
      </c>
      <c r="E847" t="s">
        <v>622</v>
      </c>
      <c r="F847" s="213" t="s">
        <v>56</v>
      </c>
      <c r="G847" t="s">
        <v>66</v>
      </c>
      <c r="H847" t="s">
        <v>84</v>
      </c>
      <c r="I847" t="s">
        <v>623</v>
      </c>
      <c r="J847" t="s">
        <v>56</v>
      </c>
      <c r="K847" t="s">
        <v>10</v>
      </c>
      <c r="L847" t="s">
        <v>635</v>
      </c>
      <c r="M847" t="s">
        <v>34</v>
      </c>
      <c r="N847" t="s">
        <v>1604</v>
      </c>
      <c r="O847" t="s">
        <v>1223</v>
      </c>
    </row>
    <row r="848" spans="1:15" x14ac:dyDescent="0.25">
      <c r="A848" t="s">
        <v>1605</v>
      </c>
      <c r="B848" t="s">
        <v>100</v>
      </c>
      <c r="C848" t="s">
        <v>621</v>
      </c>
      <c r="D848" t="s">
        <v>618</v>
      </c>
      <c r="E848" t="s">
        <v>622</v>
      </c>
      <c r="F848" s="213" t="s">
        <v>56</v>
      </c>
      <c r="G848" t="s">
        <v>66</v>
      </c>
      <c r="H848" t="s">
        <v>84</v>
      </c>
      <c r="I848" t="s">
        <v>623</v>
      </c>
      <c r="J848" t="s">
        <v>56</v>
      </c>
      <c r="K848" t="s">
        <v>8</v>
      </c>
      <c r="L848" t="s">
        <v>637</v>
      </c>
      <c r="M848" t="s">
        <v>34</v>
      </c>
      <c r="N848" t="s">
        <v>667</v>
      </c>
      <c r="O848" t="s">
        <v>818</v>
      </c>
    </row>
    <row r="849" spans="1:15" x14ac:dyDescent="0.25">
      <c r="A849" t="s">
        <v>1606</v>
      </c>
      <c r="B849" t="s">
        <v>100</v>
      </c>
      <c r="C849" t="s">
        <v>621</v>
      </c>
      <c r="D849" t="s">
        <v>618</v>
      </c>
      <c r="E849" t="s">
        <v>622</v>
      </c>
      <c r="F849" s="213" t="s">
        <v>56</v>
      </c>
      <c r="G849" t="s">
        <v>66</v>
      </c>
      <c r="H849" t="s">
        <v>84</v>
      </c>
      <c r="I849" t="s">
        <v>623</v>
      </c>
      <c r="J849" t="s">
        <v>56</v>
      </c>
      <c r="K849" t="s">
        <v>6</v>
      </c>
      <c r="L849" t="s">
        <v>639</v>
      </c>
      <c r="M849" t="s">
        <v>34</v>
      </c>
      <c r="N849" t="s">
        <v>765</v>
      </c>
      <c r="O849" t="s">
        <v>1181</v>
      </c>
    </row>
    <row r="850" spans="1:15" x14ac:dyDescent="0.25">
      <c r="A850" t="s">
        <v>1607</v>
      </c>
      <c r="B850" t="s">
        <v>100</v>
      </c>
      <c r="C850" t="s">
        <v>621</v>
      </c>
      <c r="D850" t="s">
        <v>618</v>
      </c>
      <c r="E850" t="s">
        <v>622</v>
      </c>
      <c r="F850" s="213" t="s">
        <v>56</v>
      </c>
      <c r="G850" t="s">
        <v>66</v>
      </c>
      <c r="H850" t="s">
        <v>84</v>
      </c>
      <c r="I850" t="s">
        <v>623</v>
      </c>
      <c r="J850" t="s">
        <v>56</v>
      </c>
      <c r="K850" t="s">
        <v>4</v>
      </c>
      <c r="L850" t="s">
        <v>662</v>
      </c>
      <c r="M850" t="s">
        <v>34</v>
      </c>
      <c r="N850" t="s">
        <v>1158</v>
      </c>
      <c r="O850" t="s">
        <v>1251</v>
      </c>
    </row>
    <row r="851" spans="1:15" x14ac:dyDescent="0.25">
      <c r="A851" t="s">
        <v>1608</v>
      </c>
      <c r="B851" t="s">
        <v>100</v>
      </c>
      <c r="C851" t="s">
        <v>621</v>
      </c>
      <c r="D851" t="s">
        <v>618</v>
      </c>
      <c r="E851" t="s">
        <v>622</v>
      </c>
      <c r="F851" s="213" t="s">
        <v>56</v>
      </c>
      <c r="G851" t="s">
        <v>66</v>
      </c>
      <c r="H851" t="s">
        <v>84</v>
      </c>
      <c r="I851" t="s">
        <v>623</v>
      </c>
      <c r="J851" t="s">
        <v>56</v>
      </c>
      <c r="K851" t="s">
        <v>2</v>
      </c>
      <c r="L851" t="s">
        <v>749</v>
      </c>
      <c r="M851" t="s">
        <v>34</v>
      </c>
      <c r="N851" t="s">
        <v>1032</v>
      </c>
      <c r="O851" t="s">
        <v>1181</v>
      </c>
    </row>
    <row r="852" spans="1:15" x14ac:dyDescent="0.25">
      <c r="A852" t="s">
        <v>1609</v>
      </c>
      <c r="B852" t="s">
        <v>100</v>
      </c>
      <c r="C852" t="s">
        <v>621</v>
      </c>
      <c r="D852" t="s">
        <v>618</v>
      </c>
      <c r="E852" t="s">
        <v>622</v>
      </c>
      <c r="F852" s="213" t="s">
        <v>56</v>
      </c>
      <c r="G852" t="s">
        <v>66</v>
      </c>
      <c r="H852" t="s">
        <v>84</v>
      </c>
      <c r="I852" t="s">
        <v>623</v>
      </c>
      <c r="J852" t="s">
        <v>56</v>
      </c>
      <c r="K852" t="s">
        <v>24</v>
      </c>
      <c r="L852" t="s">
        <v>807</v>
      </c>
      <c r="M852" t="s">
        <v>34</v>
      </c>
      <c r="N852" t="s">
        <v>1294</v>
      </c>
      <c r="O852" t="s">
        <v>1251</v>
      </c>
    </row>
    <row r="853" spans="1:15" x14ac:dyDescent="0.25">
      <c r="A853" t="s">
        <v>1610</v>
      </c>
      <c r="B853" t="s">
        <v>100</v>
      </c>
      <c r="C853" t="s">
        <v>621</v>
      </c>
      <c r="D853" t="s">
        <v>618</v>
      </c>
      <c r="E853" t="s">
        <v>622</v>
      </c>
      <c r="F853" s="213" t="s">
        <v>56</v>
      </c>
      <c r="G853" t="s">
        <v>66</v>
      </c>
      <c r="H853" t="s">
        <v>84</v>
      </c>
      <c r="I853" t="s">
        <v>623</v>
      </c>
      <c r="J853" t="s">
        <v>56</v>
      </c>
      <c r="K853" t="s">
        <v>25</v>
      </c>
      <c r="L853" t="s">
        <v>827</v>
      </c>
      <c r="M853" t="s">
        <v>34</v>
      </c>
      <c r="N853" t="s">
        <v>1352</v>
      </c>
      <c r="O853" t="s">
        <v>1251</v>
      </c>
    </row>
    <row r="854" spans="1:15" x14ac:dyDescent="0.25">
      <c r="A854" t="s">
        <v>1611</v>
      </c>
      <c r="B854" t="s">
        <v>100</v>
      </c>
      <c r="C854" t="s">
        <v>621</v>
      </c>
      <c r="D854" t="s">
        <v>618</v>
      </c>
      <c r="E854" t="s">
        <v>622</v>
      </c>
      <c r="F854" s="213" t="s">
        <v>56</v>
      </c>
      <c r="G854" t="s">
        <v>66</v>
      </c>
      <c r="H854" t="s">
        <v>84</v>
      </c>
      <c r="I854" t="s">
        <v>623</v>
      </c>
      <c r="J854" t="s">
        <v>56</v>
      </c>
      <c r="K854" t="s">
        <v>26</v>
      </c>
      <c r="L854" t="s">
        <v>729</v>
      </c>
      <c r="M854" t="s">
        <v>34</v>
      </c>
      <c r="N854" t="s">
        <v>635</v>
      </c>
      <c r="O854" t="s">
        <v>1251</v>
      </c>
    </row>
    <row r="855" spans="1:15" x14ac:dyDescent="0.25">
      <c r="A855" t="s">
        <v>1612</v>
      </c>
      <c r="B855" t="s">
        <v>100</v>
      </c>
      <c r="C855" t="s">
        <v>621</v>
      </c>
      <c r="D855" t="s">
        <v>618</v>
      </c>
      <c r="E855" t="s">
        <v>622</v>
      </c>
      <c r="F855" s="213" t="s">
        <v>56</v>
      </c>
      <c r="G855" t="s">
        <v>66</v>
      </c>
      <c r="H855" t="s">
        <v>84</v>
      </c>
      <c r="I855" t="s">
        <v>623</v>
      </c>
      <c r="J855" t="s">
        <v>56</v>
      </c>
      <c r="K855" t="s">
        <v>28</v>
      </c>
      <c r="L855" t="s">
        <v>698</v>
      </c>
      <c r="M855" t="s">
        <v>34</v>
      </c>
      <c r="N855" t="s">
        <v>418</v>
      </c>
      <c r="O855" t="s">
        <v>1251</v>
      </c>
    </row>
    <row r="856" spans="1:15" x14ac:dyDescent="0.25">
      <c r="A856" t="s">
        <v>1613</v>
      </c>
      <c r="B856" t="s">
        <v>100</v>
      </c>
      <c r="C856" t="s">
        <v>621</v>
      </c>
      <c r="D856" t="s">
        <v>618</v>
      </c>
      <c r="E856" t="s">
        <v>622</v>
      </c>
      <c r="F856" s="213" t="s">
        <v>56</v>
      </c>
      <c r="G856" t="s">
        <v>66</v>
      </c>
      <c r="H856" t="s">
        <v>84</v>
      </c>
      <c r="I856" t="s">
        <v>623</v>
      </c>
      <c r="J856" t="s">
        <v>56</v>
      </c>
      <c r="K856" t="s">
        <v>30</v>
      </c>
      <c r="L856" t="s">
        <v>631</v>
      </c>
      <c r="M856" t="s">
        <v>34</v>
      </c>
      <c r="N856" t="s">
        <v>1082</v>
      </c>
      <c r="O856" t="s">
        <v>1223</v>
      </c>
    </row>
    <row r="857" spans="1:15" x14ac:dyDescent="0.25">
      <c r="A857" t="s">
        <v>1614</v>
      </c>
      <c r="B857" t="s">
        <v>100</v>
      </c>
      <c r="C857" t="s">
        <v>621</v>
      </c>
      <c r="D857" t="s">
        <v>618</v>
      </c>
      <c r="E857" t="s">
        <v>622</v>
      </c>
      <c r="F857" s="213" t="s">
        <v>56</v>
      </c>
      <c r="G857" t="s">
        <v>66</v>
      </c>
      <c r="H857" t="s">
        <v>84</v>
      </c>
      <c r="I857" t="s">
        <v>623</v>
      </c>
      <c r="J857" t="s">
        <v>56</v>
      </c>
      <c r="K857" t="s">
        <v>32</v>
      </c>
      <c r="L857" t="s">
        <v>101</v>
      </c>
      <c r="M857" t="s">
        <v>34</v>
      </c>
      <c r="N857" t="s">
        <v>662</v>
      </c>
      <c r="O857" t="s">
        <v>1251</v>
      </c>
    </row>
    <row r="858" spans="1:15" x14ac:dyDescent="0.25">
      <c r="A858" t="s">
        <v>1615</v>
      </c>
      <c r="B858" t="s">
        <v>100</v>
      </c>
      <c r="C858" t="s">
        <v>621</v>
      </c>
      <c r="D858" t="s">
        <v>618</v>
      </c>
      <c r="E858" t="s">
        <v>622</v>
      </c>
      <c r="F858" s="213" t="s">
        <v>56</v>
      </c>
      <c r="G858" t="s">
        <v>66</v>
      </c>
      <c r="H858" t="s">
        <v>84</v>
      </c>
      <c r="I858" t="s">
        <v>623</v>
      </c>
      <c r="J858" t="s">
        <v>56</v>
      </c>
      <c r="K858" t="s">
        <v>25</v>
      </c>
      <c r="L858" t="s">
        <v>46</v>
      </c>
      <c r="M858" t="s">
        <v>34</v>
      </c>
      <c r="N858" t="s">
        <v>1616</v>
      </c>
      <c r="O858" t="s">
        <v>720</v>
      </c>
    </row>
    <row r="859" spans="1:15" x14ac:dyDescent="0.25">
      <c r="A859" t="s">
        <v>1617</v>
      </c>
      <c r="B859" t="s">
        <v>100</v>
      </c>
      <c r="C859" t="s">
        <v>621</v>
      </c>
      <c r="D859" t="s">
        <v>618</v>
      </c>
      <c r="E859" t="s">
        <v>622</v>
      </c>
      <c r="F859" s="213" t="s">
        <v>56</v>
      </c>
      <c r="G859" t="s">
        <v>66</v>
      </c>
      <c r="H859" t="s">
        <v>84</v>
      </c>
      <c r="I859" t="s">
        <v>623</v>
      </c>
      <c r="J859" t="s">
        <v>56</v>
      </c>
      <c r="K859" t="s">
        <v>28</v>
      </c>
      <c r="L859" t="s">
        <v>39</v>
      </c>
      <c r="M859" t="s">
        <v>34</v>
      </c>
      <c r="N859" t="s">
        <v>30</v>
      </c>
      <c r="O859" t="s">
        <v>1581</v>
      </c>
    </row>
    <row r="860" spans="1:15" x14ac:dyDescent="0.25">
      <c r="A860" t="s">
        <v>1618</v>
      </c>
      <c r="B860" t="s">
        <v>100</v>
      </c>
      <c r="C860" t="s">
        <v>621</v>
      </c>
      <c r="D860" t="s">
        <v>618</v>
      </c>
      <c r="E860" t="s">
        <v>622</v>
      </c>
      <c r="F860" s="213" t="s">
        <v>56</v>
      </c>
      <c r="G860" t="s">
        <v>66</v>
      </c>
      <c r="H860" t="s">
        <v>84</v>
      </c>
      <c r="I860" t="s">
        <v>623</v>
      </c>
      <c r="J860" t="s">
        <v>56</v>
      </c>
      <c r="K860" t="s">
        <v>30</v>
      </c>
      <c r="L860" t="s">
        <v>35</v>
      </c>
      <c r="M860" t="s">
        <v>34</v>
      </c>
      <c r="N860" t="s">
        <v>24</v>
      </c>
      <c r="O860" t="s">
        <v>1619</v>
      </c>
    </row>
    <row r="861" spans="1:15" x14ac:dyDescent="0.25">
      <c r="A861" t="s">
        <v>1620</v>
      </c>
      <c r="B861" t="s">
        <v>100</v>
      </c>
      <c r="C861" t="s">
        <v>621</v>
      </c>
      <c r="D861" t="s">
        <v>618</v>
      </c>
      <c r="E861" t="s">
        <v>622</v>
      </c>
      <c r="F861" s="213" t="s">
        <v>56</v>
      </c>
      <c r="G861" t="s">
        <v>66</v>
      </c>
      <c r="H861" t="s">
        <v>84</v>
      </c>
      <c r="I861" t="s">
        <v>623</v>
      </c>
      <c r="J861" t="s">
        <v>56</v>
      </c>
      <c r="K861" t="s">
        <v>28</v>
      </c>
      <c r="L861" t="s">
        <v>624</v>
      </c>
      <c r="M861" t="s">
        <v>35</v>
      </c>
      <c r="N861" t="s">
        <v>40</v>
      </c>
      <c r="O861" t="s">
        <v>1621</v>
      </c>
    </row>
    <row r="862" spans="1:15" x14ac:dyDescent="0.25">
      <c r="A862" t="s">
        <v>1622</v>
      </c>
      <c r="B862" t="s">
        <v>100</v>
      </c>
      <c r="C862" t="s">
        <v>621</v>
      </c>
      <c r="D862" t="s">
        <v>618</v>
      </c>
      <c r="E862" t="s">
        <v>622</v>
      </c>
      <c r="F862" s="213" t="s">
        <v>56</v>
      </c>
      <c r="G862" t="s">
        <v>66</v>
      </c>
      <c r="H862" t="s">
        <v>84</v>
      </c>
      <c r="I862" t="s">
        <v>623</v>
      </c>
      <c r="J862" t="s">
        <v>56</v>
      </c>
      <c r="K862" t="s">
        <v>31</v>
      </c>
      <c r="L862" t="s">
        <v>418</v>
      </c>
      <c r="M862" t="s">
        <v>35</v>
      </c>
      <c r="N862" t="s">
        <v>1514</v>
      </c>
      <c r="O862" t="s">
        <v>1564</v>
      </c>
    </row>
    <row r="863" spans="1:15" x14ac:dyDescent="0.25">
      <c r="A863" t="s">
        <v>1623</v>
      </c>
      <c r="B863" t="s">
        <v>100</v>
      </c>
      <c r="C863" t="s">
        <v>621</v>
      </c>
      <c r="D863" t="s">
        <v>618</v>
      </c>
      <c r="E863" t="s">
        <v>622</v>
      </c>
      <c r="F863" s="213" t="s">
        <v>56</v>
      </c>
      <c r="G863" t="s">
        <v>66</v>
      </c>
      <c r="H863" t="s">
        <v>84</v>
      </c>
      <c r="I863" t="s">
        <v>623</v>
      </c>
      <c r="J863" t="s">
        <v>56</v>
      </c>
      <c r="K863" t="s">
        <v>24</v>
      </c>
      <c r="L863" t="s">
        <v>628</v>
      </c>
      <c r="M863" t="s">
        <v>35</v>
      </c>
      <c r="N863" t="s">
        <v>720</v>
      </c>
      <c r="O863" t="s">
        <v>739</v>
      </c>
    </row>
    <row r="864" spans="1:15" x14ac:dyDescent="0.25">
      <c r="A864" t="s">
        <v>1624</v>
      </c>
      <c r="B864" t="s">
        <v>100</v>
      </c>
      <c r="C864" t="s">
        <v>621</v>
      </c>
      <c r="D864" t="s">
        <v>618</v>
      </c>
      <c r="E864" t="s">
        <v>622</v>
      </c>
      <c r="F864" s="213" t="s">
        <v>56</v>
      </c>
      <c r="G864" t="s">
        <v>66</v>
      </c>
      <c r="H864" t="s">
        <v>84</v>
      </c>
      <c r="I864" t="s">
        <v>623</v>
      </c>
      <c r="J864" t="s">
        <v>56</v>
      </c>
      <c r="K864" t="s">
        <v>21</v>
      </c>
      <c r="L864" t="s">
        <v>630</v>
      </c>
      <c r="M864" t="s">
        <v>35</v>
      </c>
      <c r="N864" t="s">
        <v>1453</v>
      </c>
      <c r="O864" t="s">
        <v>656</v>
      </c>
    </row>
    <row r="865" spans="1:15" x14ac:dyDescent="0.25">
      <c r="A865" t="s">
        <v>1625</v>
      </c>
      <c r="B865" t="s">
        <v>100</v>
      </c>
      <c r="C865" t="s">
        <v>621</v>
      </c>
      <c r="D865" t="s">
        <v>618</v>
      </c>
      <c r="E865" t="s">
        <v>622</v>
      </c>
      <c r="F865" s="213" t="s">
        <v>56</v>
      </c>
      <c r="G865" t="s">
        <v>66</v>
      </c>
      <c r="H865" t="s">
        <v>84</v>
      </c>
      <c r="I865" t="s">
        <v>623</v>
      </c>
      <c r="J865" t="s">
        <v>56</v>
      </c>
      <c r="K865" t="s">
        <v>18</v>
      </c>
      <c r="L865" t="s">
        <v>625</v>
      </c>
      <c r="M865" t="s">
        <v>35</v>
      </c>
      <c r="N865" t="s">
        <v>1322</v>
      </c>
      <c r="O865" t="s">
        <v>1172</v>
      </c>
    </row>
    <row r="866" spans="1:15" x14ac:dyDescent="0.25">
      <c r="A866" t="s">
        <v>1626</v>
      </c>
      <c r="B866" t="s">
        <v>100</v>
      </c>
      <c r="C866" t="s">
        <v>621</v>
      </c>
      <c r="D866" t="s">
        <v>618</v>
      </c>
      <c r="E866" t="s">
        <v>622</v>
      </c>
      <c r="F866" s="213" t="s">
        <v>56</v>
      </c>
      <c r="G866" t="s">
        <v>66</v>
      </c>
      <c r="H866" t="s">
        <v>84</v>
      </c>
      <c r="I866" t="s">
        <v>623</v>
      </c>
      <c r="J866" t="s">
        <v>56</v>
      </c>
      <c r="K866" t="s">
        <v>14</v>
      </c>
      <c r="L866" t="s">
        <v>632</v>
      </c>
      <c r="M866" t="s">
        <v>35</v>
      </c>
      <c r="N866" t="s">
        <v>1503</v>
      </c>
      <c r="O866" t="s">
        <v>625</v>
      </c>
    </row>
    <row r="867" spans="1:15" x14ac:dyDescent="0.25">
      <c r="A867" t="s">
        <v>1627</v>
      </c>
      <c r="B867" t="s">
        <v>100</v>
      </c>
      <c r="C867" t="s">
        <v>621</v>
      </c>
      <c r="D867" t="s">
        <v>618</v>
      </c>
      <c r="E867" t="s">
        <v>622</v>
      </c>
      <c r="F867" s="213" t="s">
        <v>56</v>
      </c>
      <c r="G867" t="s">
        <v>66</v>
      </c>
      <c r="H867" t="s">
        <v>84</v>
      </c>
      <c r="I867" t="s">
        <v>623</v>
      </c>
      <c r="J867" t="s">
        <v>56</v>
      </c>
      <c r="K867" t="s">
        <v>12</v>
      </c>
      <c r="L867" t="s">
        <v>642</v>
      </c>
      <c r="M867" t="s">
        <v>35</v>
      </c>
      <c r="N867" t="s">
        <v>65</v>
      </c>
      <c r="O867" t="s">
        <v>1032</v>
      </c>
    </row>
    <row r="868" spans="1:15" x14ac:dyDescent="0.25">
      <c r="A868" t="s">
        <v>1628</v>
      </c>
      <c r="B868" t="s">
        <v>100</v>
      </c>
      <c r="C868" t="s">
        <v>621</v>
      </c>
      <c r="D868" t="s">
        <v>618</v>
      </c>
      <c r="E868" t="s">
        <v>622</v>
      </c>
      <c r="F868" s="213" t="s">
        <v>56</v>
      </c>
      <c r="G868" t="s">
        <v>66</v>
      </c>
      <c r="H868" t="s">
        <v>84</v>
      </c>
      <c r="I868" t="s">
        <v>623</v>
      </c>
      <c r="J868" t="s">
        <v>56</v>
      </c>
      <c r="K868" t="s">
        <v>10</v>
      </c>
      <c r="L868" t="s">
        <v>643</v>
      </c>
      <c r="M868" t="s">
        <v>35</v>
      </c>
      <c r="N868" t="s">
        <v>641</v>
      </c>
      <c r="O868" t="s">
        <v>1346</v>
      </c>
    </row>
    <row r="869" spans="1:15" x14ac:dyDescent="0.25">
      <c r="A869" t="s">
        <v>1629</v>
      </c>
      <c r="B869" t="s">
        <v>100</v>
      </c>
      <c r="C869" t="s">
        <v>621</v>
      </c>
      <c r="D869" t="s">
        <v>618</v>
      </c>
      <c r="E869" t="s">
        <v>622</v>
      </c>
      <c r="F869" s="213" t="s">
        <v>56</v>
      </c>
      <c r="G869" t="s">
        <v>66</v>
      </c>
      <c r="H869" t="s">
        <v>84</v>
      </c>
      <c r="I869" t="s">
        <v>623</v>
      </c>
      <c r="J869" t="s">
        <v>56</v>
      </c>
      <c r="K869" t="s">
        <v>8</v>
      </c>
      <c r="L869" t="s">
        <v>685</v>
      </c>
      <c r="M869" t="s">
        <v>35</v>
      </c>
      <c r="N869" t="s">
        <v>75</v>
      </c>
      <c r="O869" t="s">
        <v>640</v>
      </c>
    </row>
    <row r="870" spans="1:15" x14ac:dyDescent="0.25">
      <c r="A870" t="s">
        <v>1630</v>
      </c>
      <c r="B870" t="s">
        <v>100</v>
      </c>
      <c r="C870" t="s">
        <v>621</v>
      </c>
      <c r="D870" t="s">
        <v>618</v>
      </c>
      <c r="E870" t="s">
        <v>622</v>
      </c>
      <c r="F870" s="213" t="s">
        <v>56</v>
      </c>
      <c r="G870" t="s">
        <v>66</v>
      </c>
      <c r="H870" t="s">
        <v>84</v>
      </c>
      <c r="I870" t="s">
        <v>623</v>
      </c>
      <c r="J870" t="s">
        <v>56</v>
      </c>
      <c r="K870" t="s">
        <v>6</v>
      </c>
      <c r="L870" t="s">
        <v>645</v>
      </c>
      <c r="M870" t="s">
        <v>35</v>
      </c>
      <c r="N870" t="s">
        <v>1631</v>
      </c>
      <c r="O870" t="s">
        <v>1390</v>
      </c>
    </row>
    <row r="871" spans="1:15" x14ac:dyDescent="0.25">
      <c r="A871" t="s">
        <v>1632</v>
      </c>
      <c r="B871" t="s">
        <v>100</v>
      </c>
      <c r="C871" t="s">
        <v>621</v>
      </c>
      <c r="D871" t="s">
        <v>618</v>
      </c>
      <c r="E871" t="s">
        <v>622</v>
      </c>
      <c r="F871" s="213" t="s">
        <v>56</v>
      </c>
      <c r="G871" t="s">
        <v>66</v>
      </c>
      <c r="H871" t="s">
        <v>84</v>
      </c>
      <c r="I871" t="s">
        <v>623</v>
      </c>
      <c r="J871" t="s">
        <v>56</v>
      </c>
      <c r="K871" t="s">
        <v>4</v>
      </c>
      <c r="L871" t="s">
        <v>674</v>
      </c>
      <c r="M871" t="s">
        <v>35</v>
      </c>
      <c r="N871" t="s">
        <v>49</v>
      </c>
      <c r="O871" t="s">
        <v>1158</v>
      </c>
    </row>
    <row r="872" spans="1:15" x14ac:dyDescent="0.25">
      <c r="A872" t="s">
        <v>1633</v>
      </c>
      <c r="B872" t="s">
        <v>100</v>
      </c>
      <c r="C872" t="s">
        <v>621</v>
      </c>
      <c r="D872" t="s">
        <v>618</v>
      </c>
      <c r="E872" t="s">
        <v>622</v>
      </c>
      <c r="F872" s="213" t="s">
        <v>56</v>
      </c>
      <c r="G872" t="s">
        <v>66</v>
      </c>
      <c r="H872" t="s">
        <v>84</v>
      </c>
      <c r="I872" t="s">
        <v>623</v>
      </c>
      <c r="J872" t="s">
        <v>56</v>
      </c>
      <c r="K872" t="s">
        <v>2</v>
      </c>
      <c r="L872" t="s">
        <v>693</v>
      </c>
      <c r="M872" t="s">
        <v>35</v>
      </c>
      <c r="N872" t="s">
        <v>48</v>
      </c>
      <c r="O872" t="s">
        <v>1352</v>
      </c>
    </row>
    <row r="873" spans="1:15" x14ac:dyDescent="0.25">
      <c r="A873" t="s">
        <v>1634</v>
      </c>
      <c r="B873" t="s">
        <v>100</v>
      </c>
      <c r="C873" t="s">
        <v>621</v>
      </c>
      <c r="D873" t="s">
        <v>618</v>
      </c>
      <c r="E873" t="s">
        <v>622</v>
      </c>
      <c r="F873" s="213" t="s">
        <v>56</v>
      </c>
      <c r="G873" t="s">
        <v>66</v>
      </c>
      <c r="H873" t="s">
        <v>84</v>
      </c>
      <c r="I873" t="s">
        <v>623</v>
      </c>
      <c r="J873" t="s">
        <v>56</v>
      </c>
      <c r="K873" t="s">
        <v>0</v>
      </c>
      <c r="L873" t="s">
        <v>627</v>
      </c>
      <c r="M873" t="s">
        <v>35</v>
      </c>
      <c r="N873" t="s">
        <v>85</v>
      </c>
      <c r="O873" t="s">
        <v>672</v>
      </c>
    </row>
    <row r="874" spans="1:15" x14ac:dyDescent="0.25">
      <c r="A874" t="s">
        <v>1635</v>
      </c>
      <c r="B874" t="s">
        <v>100</v>
      </c>
      <c r="C874" t="s">
        <v>621</v>
      </c>
      <c r="D874" t="s">
        <v>618</v>
      </c>
      <c r="E874" t="s">
        <v>622</v>
      </c>
      <c r="F874" s="213" t="s">
        <v>56</v>
      </c>
      <c r="G874" t="s">
        <v>66</v>
      </c>
      <c r="H874" t="s">
        <v>84</v>
      </c>
      <c r="I874" t="s">
        <v>623</v>
      </c>
      <c r="J874" t="s">
        <v>56</v>
      </c>
      <c r="K874" t="s">
        <v>100</v>
      </c>
      <c r="L874" t="s">
        <v>825</v>
      </c>
      <c r="M874" t="s">
        <v>35</v>
      </c>
      <c r="N874" t="s">
        <v>59</v>
      </c>
      <c r="O874" t="s">
        <v>1108</v>
      </c>
    </row>
    <row r="875" spans="1:15" x14ac:dyDescent="0.25">
      <c r="A875" t="s">
        <v>1636</v>
      </c>
      <c r="B875" t="s">
        <v>100</v>
      </c>
      <c r="C875" t="s">
        <v>621</v>
      </c>
      <c r="D875" t="s">
        <v>618</v>
      </c>
      <c r="E875" t="s">
        <v>622</v>
      </c>
      <c r="F875" s="213" t="s">
        <v>56</v>
      </c>
      <c r="G875" t="s">
        <v>66</v>
      </c>
      <c r="H875" t="s">
        <v>84</v>
      </c>
      <c r="I875" t="s">
        <v>623</v>
      </c>
      <c r="J875" t="s">
        <v>56</v>
      </c>
      <c r="K875" t="s">
        <v>24</v>
      </c>
      <c r="L875" t="s">
        <v>731</v>
      </c>
      <c r="M875" t="s">
        <v>35</v>
      </c>
      <c r="N875" t="s">
        <v>729</v>
      </c>
      <c r="O875" t="s">
        <v>720</v>
      </c>
    </row>
    <row r="876" spans="1:15" x14ac:dyDescent="0.25">
      <c r="A876" t="s">
        <v>1637</v>
      </c>
      <c r="B876" t="s">
        <v>100</v>
      </c>
      <c r="C876" t="s">
        <v>621</v>
      </c>
      <c r="D876" t="s">
        <v>618</v>
      </c>
      <c r="E876" t="s">
        <v>622</v>
      </c>
      <c r="F876" s="213" t="s">
        <v>56</v>
      </c>
      <c r="G876" t="s">
        <v>66</v>
      </c>
      <c r="H876" t="s">
        <v>84</v>
      </c>
      <c r="I876" t="s">
        <v>623</v>
      </c>
      <c r="J876" t="s">
        <v>56</v>
      </c>
      <c r="K876" t="s">
        <v>27</v>
      </c>
      <c r="L876" t="s">
        <v>626</v>
      </c>
      <c r="M876" t="s">
        <v>1616</v>
      </c>
      <c r="N876" t="s">
        <v>0</v>
      </c>
      <c r="O876" t="s">
        <v>630</v>
      </c>
    </row>
    <row r="877" spans="1:15" x14ac:dyDescent="0.25">
      <c r="A877" t="s">
        <v>1638</v>
      </c>
      <c r="B877" t="s">
        <v>100</v>
      </c>
      <c r="C877" t="s">
        <v>621</v>
      </c>
      <c r="D877" t="s">
        <v>618</v>
      </c>
      <c r="E877" t="s">
        <v>622</v>
      </c>
      <c r="F877" s="213" t="s">
        <v>56</v>
      </c>
      <c r="G877" t="s">
        <v>66</v>
      </c>
      <c r="H877" t="s">
        <v>84</v>
      </c>
      <c r="I877" t="s">
        <v>623</v>
      </c>
      <c r="J877" t="s">
        <v>56</v>
      </c>
      <c r="K877" t="s">
        <v>27</v>
      </c>
      <c r="L877" t="s">
        <v>626</v>
      </c>
      <c r="M877" t="s">
        <v>1639</v>
      </c>
      <c r="N877" t="s">
        <v>4</v>
      </c>
      <c r="O877" t="s">
        <v>654</v>
      </c>
    </row>
    <row r="878" spans="1:15" x14ac:dyDescent="0.25">
      <c r="A878" t="s">
        <v>1640</v>
      </c>
      <c r="B878" t="s">
        <v>100</v>
      </c>
      <c r="C878" t="s">
        <v>621</v>
      </c>
      <c r="D878" t="s">
        <v>618</v>
      </c>
      <c r="E878" t="s">
        <v>622</v>
      </c>
      <c r="F878" s="213" t="s">
        <v>56</v>
      </c>
      <c r="G878" t="s">
        <v>66</v>
      </c>
      <c r="H878" t="s">
        <v>84</v>
      </c>
      <c r="I878" t="s">
        <v>623</v>
      </c>
      <c r="J878" t="s">
        <v>56</v>
      </c>
      <c r="K878" t="s">
        <v>25</v>
      </c>
      <c r="L878" t="s">
        <v>628</v>
      </c>
      <c r="M878" t="s">
        <v>1639</v>
      </c>
      <c r="N878" t="s">
        <v>4</v>
      </c>
      <c r="O878" t="s">
        <v>28</v>
      </c>
    </row>
    <row r="879" spans="1:15" x14ac:dyDescent="0.25">
      <c r="A879" t="s">
        <v>1641</v>
      </c>
      <c r="B879" t="s">
        <v>100</v>
      </c>
      <c r="C879" t="s">
        <v>621</v>
      </c>
      <c r="D879" t="s">
        <v>618</v>
      </c>
      <c r="E879" t="s">
        <v>622</v>
      </c>
      <c r="F879" s="213" t="s">
        <v>56</v>
      </c>
      <c r="G879" t="s">
        <v>66</v>
      </c>
      <c r="H879" t="s">
        <v>84</v>
      </c>
      <c r="I879" t="s">
        <v>623</v>
      </c>
      <c r="J879" t="s">
        <v>56</v>
      </c>
      <c r="K879" t="s">
        <v>27</v>
      </c>
      <c r="L879" t="s">
        <v>626</v>
      </c>
      <c r="M879" t="s">
        <v>35</v>
      </c>
      <c r="N879" t="s">
        <v>628</v>
      </c>
      <c r="O879" t="s">
        <v>1564</v>
      </c>
    </row>
    <row r="880" spans="1:15" x14ac:dyDescent="0.25">
      <c r="A880" t="s">
        <v>1642</v>
      </c>
      <c r="B880" t="s">
        <v>100</v>
      </c>
      <c r="C880" t="s">
        <v>621</v>
      </c>
      <c r="D880" t="s">
        <v>618</v>
      </c>
      <c r="E880" t="s">
        <v>622</v>
      </c>
      <c r="F880" s="213" t="s">
        <v>56</v>
      </c>
      <c r="G880" t="s">
        <v>66</v>
      </c>
      <c r="H880" t="s">
        <v>84</v>
      </c>
      <c r="I880" t="s">
        <v>623</v>
      </c>
      <c r="J880" t="s">
        <v>56</v>
      </c>
      <c r="K880" t="s">
        <v>25</v>
      </c>
      <c r="L880" t="s">
        <v>628</v>
      </c>
      <c r="M880" t="s">
        <v>35</v>
      </c>
      <c r="N880" t="s">
        <v>1643</v>
      </c>
      <c r="O880" t="s">
        <v>1172</v>
      </c>
    </row>
    <row r="881" spans="1:15" x14ac:dyDescent="0.25">
      <c r="A881" t="s">
        <v>1644</v>
      </c>
      <c r="B881" t="s">
        <v>100</v>
      </c>
      <c r="C881" t="s">
        <v>621</v>
      </c>
      <c r="D881" t="s">
        <v>618</v>
      </c>
      <c r="E881" t="s">
        <v>622</v>
      </c>
      <c r="F881" s="213" t="s">
        <v>56</v>
      </c>
      <c r="G881" t="s">
        <v>66</v>
      </c>
      <c r="H881" t="s">
        <v>84</v>
      </c>
      <c r="I881" t="s">
        <v>623</v>
      </c>
      <c r="J881" t="s">
        <v>56</v>
      </c>
      <c r="K881" t="s">
        <v>22</v>
      </c>
      <c r="L881" t="s">
        <v>630</v>
      </c>
      <c r="M881" t="s">
        <v>35</v>
      </c>
      <c r="N881" t="s">
        <v>626</v>
      </c>
      <c r="O881" t="s">
        <v>1564</v>
      </c>
    </row>
    <row r="882" spans="1:15" x14ac:dyDescent="0.25">
      <c r="A882" t="s">
        <v>1645</v>
      </c>
      <c r="B882" t="s">
        <v>100</v>
      </c>
      <c r="C882" t="s">
        <v>621</v>
      </c>
      <c r="D882" t="s">
        <v>618</v>
      </c>
      <c r="E882" t="s">
        <v>622</v>
      </c>
      <c r="F882" s="213" t="s">
        <v>56</v>
      </c>
      <c r="G882" t="s">
        <v>66</v>
      </c>
      <c r="H882" t="s">
        <v>84</v>
      </c>
      <c r="I882" t="s">
        <v>623</v>
      </c>
      <c r="J882" t="s">
        <v>56</v>
      </c>
      <c r="K882" t="s">
        <v>19</v>
      </c>
      <c r="L882" t="s">
        <v>625</v>
      </c>
      <c r="M882" t="s">
        <v>35</v>
      </c>
      <c r="N882" t="s">
        <v>1646</v>
      </c>
      <c r="O882" t="s">
        <v>1564</v>
      </c>
    </row>
    <row r="883" spans="1:15" x14ac:dyDescent="0.25">
      <c r="A883" t="s">
        <v>1647</v>
      </c>
      <c r="B883" t="s">
        <v>100</v>
      </c>
      <c r="C883" t="s">
        <v>621</v>
      </c>
      <c r="D883" t="s">
        <v>618</v>
      </c>
      <c r="E883" t="s">
        <v>622</v>
      </c>
      <c r="F883" s="213" t="s">
        <v>56</v>
      </c>
      <c r="G883" t="s">
        <v>66</v>
      </c>
      <c r="H883" t="s">
        <v>84</v>
      </c>
      <c r="I883" t="s">
        <v>623</v>
      </c>
      <c r="J883" t="s">
        <v>56</v>
      </c>
      <c r="K883" t="s">
        <v>15</v>
      </c>
      <c r="L883" t="s">
        <v>632</v>
      </c>
      <c r="M883" t="s">
        <v>35</v>
      </c>
      <c r="N883" t="s">
        <v>1648</v>
      </c>
      <c r="O883" t="s">
        <v>1223</v>
      </c>
    </row>
    <row r="884" spans="1:15" x14ac:dyDescent="0.25">
      <c r="A884" t="s">
        <v>1649</v>
      </c>
      <c r="B884" t="s">
        <v>100</v>
      </c>
      <c r="C884" t="s">
        <v>621</v>
      </c>
      <c r="D884" t="s">
        <v>618</v>
      </c>
      <c r="E884" t="s">
        <v>622</v>
      </c>
      <c r="F884" s="213" t="s">
        <v>56</v>
      </c>
      <c r="G884" t="s">
        <v>66</v>
      </c>
      <c r="H884" t="s">
        <v>84</v>
      </c>
      <c r="I884" t="s">
        <v>623</v>
      </c>
      <c r="J884" t="s">
        <v>56</v>
      </c>
      <c r="K884" t="s">
        <v>12</v>
      </c>
      <c r="L884" t="s">
        <v>629</v>
      </c>
      <c r="M884" t="s">
        <v>35</v>
      </c>
      <c r="N884" t="s">
        <v>1510</v>
      </c>
      <c r="O884" t="s">
        <v>1390</v>
      </c>
    </row>
    <row r="885" spans="1:15" x14ac:dyDescent="0.25">
      <c r="A885" t="s">
        <v>1650</v>
      </c>
      <c r="B885" t="s">
        <v>100</v>
      </c>
      <c r="C885" t="s">
        <v>621</v>
      </c>
      <c r="D885" t="s">
        <v>618</v>
      </c>
      <c r="E885" t="s">
        <v>622</v>
      </c>
      <c r="F885" s="213" t="s">
        <v>56</v>
      </c>
      <c r="G885" t="s">
        <v>66</v>
      </c>
      <c r="H885" t="s">
        <v>84</v>
      </c>
      <c r="I885" t="s">
        <v>623</v>
      </c>
      <c r="J885" t="s">
        <v>56</v>
      </c>
      <c r="K885" t="s">
        <v>10</v>
      </c>
      <c r="L885" t="s">
        <v>635</v>
      </c>
      <c r="M885" t="s">
        <v>35</v>
      </c>
      <c r="N885" t="s">
        <v>1651</v>
      </c>
      <c r="O885" t="s">
        <v>1181</v>
      </c>
    </row>
    <row r="886" spans="1:15" x14ac:dyDescent="0.25">
      <c r="A886" t="s">
        <v>1652</v>
      </c>
      <c r="B886" t="s">
        <v>100</v>
      </c>
      <c r="C886" t="s">
        <v>621</v>
      </c>
      <c r="D886" t="s">
        <v>618</v>
      </c>
      <c r="E886" t="s">
        <v>622</v>
      </c>
      <c r="F886" s="213" t="s">
        <v>56</v>
      </c>
      <c r="G886" t="s">
        <v>66</v>
      </c>
      <c r="H886" t="s">
        <v>84</v>
      </c>
      <c r="I886" t="s">
        <v>623</v>
      </c>
      <c r="J886" t="s">
        <v>56</v>
      </c>
      <c r="K886" t="s">
        <v>8</v>
      </c>
      <c r="L886" t="s">
        <v>637</v>
      </c>
      <c r="M886" t="s">
        <v>35</v>
      </c>
      <c r="N886" t="s">
        <v>667</v>
      </c>
      <c r="O886" t="s">
        <v>1223</v>
      </c>
    </row>
    <row r="887" spans="1:15" x14ac:dyDescent="0.25">
      <c r="A887" t="s">
        <v>1653</v>
      </c>
      <c r="B887" t="s">
        <v>100</v>
      </c>
      <c r="C887" t="s">
        <v>621</v>
      </c>
      <c r="D887" t="s">
        <v>618</v>
      </c>
      <c r="E887" t="s">
        <v>622</v>
      </c>
      <c r="F887" s="213" t="s">
        <v>56</v>
      </c>
      <c r="G887" t="s">
        <v>66</v>
      </c>
      <c r="H887" t="s">
        <v>84</v>
      </c>
      <c r="I887" t="s">
        <v>623</v>
      </c>
      <c r="J887" t="s">
        <v>56</v>
      </c>
      <c r="K887" t="s">
        <v>6</v>
      </c>
      <c r="L887" t="s">
        <v>639</v>
      </c>
      <c r="M887" t="s">
        <v>35</v>
      </c>
      <c r="N887" t="s">
        <v>1131</v>
      </c>
      <c r="O887" t="s">
        <v>1172</v>
      </c>
    </row>
    <row r="888" spans="1:15" x14ac:dyDescent="0.25">
      <c r="A888" t="s">
        <v>1654</v>
      </c>
      <c r="B888" t="s">
        <v>100</v>
      </c>
      <c r="C888" t="s">
        <v>621</v>
      </c>
      <c r="D888" t="s">
        <v>618</v>
      </c>
      <c r="E888" t="s">
        <v>622</v>
      </c>
      <c r="F888" s="213" t="s">
        <v>56</v>
      </c>
      <c r="G888" t="s">
        <v>66</v>
      </c>
      <c r="H888" t="s">
        <v>84</v>
      </c>
      <c r="I888" t="s">
        <v>623</v>
      </c>
      <c r="J888" t="s">
        <v>56</v>
      </c>
      <c r="K888" t="s">
        <v>4</v>
      </c>
      <c r="L888" t="s">
        <v>662</v>
      </c>
      <c r="M888" t="s">
        <v>35</v>
      </c>
      <c r="N888" t="s">
        <v>1108</v>
      </c>
      <c r="O888" t="s">
        <v>1181</v>
      </c>
    </row>
    <row r="889" spans="1:15" x14ac:dyDescent="0.25">
      <c r="A889" t="s">
        <v>1655</v>
      </c>
      <c r="B889" t="s">
        <v>100</v>
      </c>
      <c r="C889" t="s">
        <v>621</v>
      </c>
      <c r="D889" t="s">
        <v>618</v>
      </c>
      <c r="E889" t="s">
        <v>622</v>
      </c>
      <c r="F889" s="213" t="s">
        <v>56</v>
      </c>
      <c r="G889" t="s">
        <v>66</v>
      </c>
      <c r="H889" t="s">
        <v>84</v>
      </c>
      <c r="I889" t="s">
        <v>623</v>
      </c>
      <c r="J889" t="s">
        <v>56</v>
      </c>
      <c r="K889" t="s">
        <v>2</v>
      </c>
      <c r="L889" t="s">
        <v>749</v>
      </c>
      <c r="M889" t="s">
        <v>35</v>
      </c>
      <c r="N889" t="s">
        <v>1397</v>
      </c>
      <c r="O889" t="s">
        <v>1564</v>
      </c>
    </row>
    <row r="890" spans="1:15" x14ac:dyDescent="0.25">
      <c r="A890" t="s">
        <v>1656</v>
      </c>
      <c r="B890" t="s">
        <v>100</v>
      </c>
      <c r="C890" t="s">
        <v>621</v>
      </c>
      <c r="D890" t="s">
        <v>618</v>
      </c>
      <c r="E890" t="s">
        <v>622</v>
      </c>
      <c r="F890" s="213" t="s">
        <v>56</v>
      </c>
      <c r="G890" t="s">
        <v>66</v>
      </c>
      <c r="H890" t="s">
        <v>84</v>
      </c>
      <c r="I890" t="s">
        <v>623</v>
      </c>
      <c r="J890" t="s">
        <v>56</v>
      </c>
      <c r="K890" t="s">
        <v>24</v>
      </c>
      <c r="L890" t="s">
        <v>807</v>
      </c>
      <c r="M890" t="s">
        <v>35</v>
      </c>
      <c r="N890" t="s">
        <v>1224</v>
      </c>
      <c r="O890" t="s">
        <v>1564</v>
      </c>
    </row>
    <row r="891" spans="1:15" x14ac:dyDescent="0.25">
      <c r="A891" t="s">
        <v>1657</v>
      </c>
      <c r="B891" t="s">
        <v>100</v>
      </c>
      <c r="C891" t="s">
        <v>621</v>
      </c>
      <c r="D891" t="s">
        <v>618</v>
      </c>
      <c r="E891" t="s">
        <v>622</v>
      </c>
      <c r="F891" s="213" t="s">
        <v>56</v>
      </c>
      <c r="G891" t="s">
        <v>66</v>
      </c>
      <c r="H891" t="s">
        <v>84</v>
      </c>
      <c r="I891" t="s">
        <v>623</v>
      </c>
      <c r="J891" t="s">
        <v>56</v>
      </c>
      <c r="K891" t="s">
        <v>25</v>
      </c>
      <c r="L891" t="s">
        <v>827</v>
      </c>
      <c r="M891" t="s">
        <v>35</v>
      </c>
      <c r="N891" t="s">
        <v>643</v>
      </c>
      <c r="O891" t="s">
        <v>1564</v>
      </c>
    </row>
    <row r="892" spans="1:15" x14ac:dyDescent="0.25">
      <c r="A892" t="s">
        <v>1658</v>
      </c>
      <c r="B892" t="s">
        <v>100</v>
      </c>
      <c r="C892" t="s">
        <v>621</v>
      </c>
      <c r="D892" t="s">
        <v>618</v>
      </c>
      <c r="E892" t="s">
        <v>622</v>
      </c>
      <c r="F892" s="213" t="s">
        <v>56</v>
      </c>
      <c r="G892" t="s">
        <v>66</v>
      </c>
      <c r="H892" t="s">
        <v>84</v>
      </c>
      <c r="I892" t="s">
        <v>623</v>
      </c>
      <c r="J892" t="s">
        <v>56</v>
      </c>
      <c r="K892" t="s">
        <v>26</v>
      </c>
      <c r="L892" t="s">
        <v>729</v>
      </c>
      <c r="M892" t="s">
        <v>35</v>
      </c>
      <c r="N892" t="s">
        <v>1659</v>
      </c>
      <c r="O892" t="s">
        <v>1564</v>
      </c>
    </row>
    <row r="893" spans="1:15" x14ac:dyDescent="0.25">
      <c r="A893" t="s">
        <v>1660</v>
      </c>
      <c r="B893" t="s">
        <v>100</v>
      </c>
      <c r="C893" t="s">
        <v>621</v>
      </c>
      <c r="D893" t="s">
        <v>618</v>
      </c>
      <c r="E893" t="s">
        <v>622</v>
      </c>
      <c r="F893" s="213" t="s">
        <v>56</v>
      </c>
      <c r="G893" t="s">
        <v>66</v>
      </c>
      <c r="H893" t="s">
        <v>84</v>
      </c>
      <c r="I893" t="s">
        <v>623</v>
      </c>
      <c r="J893" t="s">
        <v>56</v>
      </c>
      <c r="K893" t="s">
        <v>28</v>
      </c>
      <c r="L893" t="s">
        <v>698</v>
      </c>
      <c r="M893" t="s">
        <v>35</v>
      </c>
      <c r="N893" t="s">
        <v>1661</v>
      </c>
      <c r="O893" t="s">
        <v>1564</v>
      </c>
    </row>
    <row r="894" spans="1:15" x14ac:dyDescent="0.25">
      <c r="A894" t="s">
        <v>1662</v>
      </c>
      <c r="B894" t="s">
        <v>100</v>
      </c>
      <c r="C894" t="s">
        <v>621</v>
      </c>
      <c r="D894" t="s">
        <v>618</v>
      </c>
      <c r="E894" t="s">
        <v>622</v>
      </c>
      <c r="F894" s="213" t="s">
        <v>56</v>
      </c>
      <c r="G894" t="s">
        <v>66</v>
      </c>
      <c r="H894" t="s">
        <v>84</v>
      </c>
      <c r="I894" t="s">
        <v>623</v>
      </c>
      <c r="J894" t="s">
        <v>56</v>
      </c>
      <c r="K894" t="s">
        <v>30</v>
      </c>
      <c r="L894" t="s">
        <v>631</v>
      </c>
      <c r="M894" t="s">
        <v>35</v>
      </c>
      <c r="N894" t="s">
        <v>967</v>
      </c>
      <c r="O894" t="s">
        <v>1223</v>
      </c>
    </row>
    <row r="895" spans="1:15" x14ac:dyDescent="0.25">
      <c r="A895" t="s">
        <v>1663</v>
      </c>
      <c r="B895" t="s">
        <v>100</v>
      </c>
      <c r="C895" t="s">
        <v>621</v>
      </c>
      <c r="D895" t="s">
        <v>618</v>
      </c>
      <c r="E895" t="s">
        <v>622</v>
      </c>
      <c r="F895" s="213" t="s">
        <v>56</v>
      </c>
      <c r="G895" t="s">
        <v>66</v>
      </c>
      <c r="H895" t="s">
        <v>84</v>
      </c>
      <c r="I895" t="s">
        <v>623</v>
      </c>
      <c r="J895" t="s">
        <v>56</v>
      </c>
      <c r="K895" t="s">
        <v>32</v>
      </c>
      <c r="L895" t="s">
        <v>101</v>
      </c>
      <c r="M895" t="s">
        <v>35</v>
      </c>
      <c r="N895" t="s">
        <v>814</v>
      </c>
      <c r="O895" t="s">
        <v>1564</v>
      </c>
    </row>
    <row r="896" spans="1:15" x14ac:dyDescent="0.25">
      <c r="A896" t="s">
        <v>1664</v>
      </c>
      <c r="B896" t="s">
        <v>100</v>
      </c>
      <c r="C896" t="s">
        <v>621</v>
      </c>
      <c r="D896" t="s">
        <v>618</v>
      </c>
      <c r="E896" t="s">
        <v>622</v>
      </c>
      <c r="F896" s="213" t="s">
        <v>56</v>
      </c>
      <c r="G896" t="s">
        <v>66</v>
      </c>
      <c r="H896" t="s">
        <v>84</v>
      </c>
      <c r="I896" t="s">
        <v>623</v>
      </c>
      <c r="J896" t="s">
        <v>56</v>
      </c>
      <c r="K896" t="s">
        <v>25</v>
      </c>
      <c r="L896" t="s">
        <v>46</v>
      </c>
      <c r="M896" t="s">
        <v>35</v>
      </c>
      <c r="N896" t="s">
        <v>900</v>
      </c>
      <c r="O896" t="s">
        <v>1390</v>
      </c>
    </row>
    <row r="897" spans="1:15" x14ac:dyDescent="0.25">
      <c r="A897" t="s">
        <v>1665</v>
      </c>
      <c r="B897" t="s">
        <v>100</v>
      </c>
      <c r="C897" t="s">
        <v>621</v>
      </c>
      <c r="D897" t="s">
        <v>618</v>
      </c>
      <c r="E897" t="s">
        <v>622</v>
      </c>
      <c r="F897" s="213" t="s">
        <v>56</v>
      </c>
      <c r="G897" t="s">
        <v>66</v>
      </c>
      <c r="H897" t="s">
        <v>84</v>
      </c>
      <c r="I897" t="s">
        <v>623</v>
      </c>
      <c r="J897" t="s">
        <v>56</v>
      </c>
      <c r="K897" t="s">
        <v>28</v>
      </c>
      <c r="L897" t="s">
        <v>39</v>
      </c>
      <c r="M897" t="s">
        <v>35</v>
      </c>
      <c r="N897" t="s">
        <v>24</v>
      </c>
      <c r="O897" t="s">
        <v>1405</v>
      </c>
    </row>
    <row r="898" spans="1:15" x14ac:dyDescent="0.25">
      <c r="A898" t="s">
        <v>1666</v>
      </c>
      <c r="B898" t="s">
        <v>100</v>
      </c>
      <c r="C898" t="s">
        <v>621</v>
      </c>
      <c r="D898" t="s">
        <v>618</v>
      </c>
      <c r="E898" t="s">
        <v>622</v>
      </c>
      <c r="F898" s="213" t="s">
        <v>56</v>
      </c>
      <c r="G898" t="s">
        <v>66</v>
      </c>
      <c r="H898" t="s">
        <v>84</v>
      </c>
      <c r="I898" t="s">
        <v>623</v>
      </c>
      <c r="J898" t="s">
        <v>56</v>
      </c>
      <c r="K898" t="s">
        <v>30</v>
      </c>
      <c r="L898" t="s">
        <v>35</v>
      </c>
      <c r="M898" t="s">
        <v>35</v>
      </c>
      <c r="N898" t="s">
        <v>1346</v>
      </c>
      <c r="O898" t="s">
        <v>682</v>
      </c>
    </row>
    <row r="899" spans="1:15" x14ac:dyDescent="0.25">
      <c r="A899" t="s">
        <v>1667</v>
      </c>
      <c r="B899" t="s">
        <v>100</v>
      </c>
      <c r="C899" t="s">
        <v>621</v>
      </c>
      <c r="D899" t="s">
        <v>618</v>
      </c>
      <c r="E899" t="s">
        <v>622</v>
      </c>
      <c r="F899" s="213" t="s">
        <v>56</v>
      </c>
      <c r="G899" t="s">
        <v>66</v>
      </c>
      <c r="H899" t="s">
        <v>84</v>
      </c>
      <c r="I899" t="s">
        <v>623</v>
      </c>
      <c r="J899" t="s">
        <v>56</v>
      </c>
      <c r="K899" t="s">
        <v>28</v>
      </c>
      <c r="L899" t="s">
        <v>624</v>
      </c>
      <c r="M899" t="s">
        <v>36</v>
      </c>
      <c r="N899" t="s">
        <v>34</v>
      </c>
      <c r="O899" t="s">
        <v>1494</v>
      </c>
    </row>
    <row r="900" spans="1:15" x14ac:dyDescent="0.25">
      <c r="A900" t="s">
        <v>1668</v>
      </c>
      <c r="B900" t="s">
        <v>100</v>
      </c>
      <c r="C900" t="s">
        <v>621</v>
      </c>
      <c r="D900" t="s">
        <v>618</v>
      </c>
      <c r="E900" t="s">
        <v>622</v>
      </c>
      <c r="F900" s="213" t="s">
        <v>56</v>
      </c>
      <c r="G900" t="s">
        <v>66</v>
      </c>
      <c r="H900" t="s">
        <v>84</v>
      </c>
      <c r="I900" t="s">
        <v>623</v>
      </c>
      <c r="J900" t="s">
        <v>56</v>
      </c>
      <c r="K900" t="s">
        <v>31</v>
      </c>
      <c r="L900" t="s">
        <v>418</v>
      </c>
      <c r="M900" t="s">
        <v>36</v>
      </c>
      <c r="N900" t="s">
        <v>37</v>
      </c>
      <c r="O900" t="s">
        <v>1278</v>
      </c>
    </row>
    <row r="901" spans="1:15" x14ac:dyDescent="0.25">
      <c r="A901" t="s">
        <v>1669</v>
      </c>
      <c r="B901" t="s">
        <v>100</v>
      </c>
      <c r="C901" t="s">
        <v>621</v>
      </c>
      <c r="D901" t="s">
        <v>618</v>
      </c>
      <c r="E901" t="s">
        <v>622</v>
      </c>
      <c r="F901" s="213" t="s">
        <v>56</v>
      </c>
      <c r="G901" t="s">
        <v>66</v>
      </c>
      <c r="H901" t="s">
        <v>84</v>
      </c>
      <c r="I901" t="s">
        <v>623</v>
      </c>
      <c r="J901" t="s">
        <v>56</v>
      </c>
      <c r="K901" t="s">
        <v>24</v>
      </c>
      <c r="L901" t="s">
        <v>628</v>
      </c>
      <c r="M901" t="s">
        <v>36</v>
      </c>
      <c r="N901" t="s">
        <v>98</v>
      </c>
      <c r="O901" t="s">
        <v>674</v>
      </c>
    </row>
    <row r="902" spans="1:15" x14ac:dyDescent="0.25">
      <c r="A902" t="s">
        <v>1670</v>
      </c>
      <c r="B902" t="s">
        <v>100</v>
      </c>
      <c r="C902" t="s">
        <v>621</v>
      </c>
      <c r="D902" t="s">
        <v>618</v>
      </c>
      <c r="E902" t="s">
        <v>622</v>
      </c>
      <c r="F902" s="213" t="s">
        <v>56</v>
      </c>
      <c r="G902" t="s">
        <v>66</v>
      </c>
      <c r="H902" t="s">
        <v>84</v>
      </c>
      <c r="I902" t="s">
        <v>623</v>
      </c>
      <c r="J902" t="s">
        <v>56</v>
      </c>
      <c r="K902" t="s">
        <v>21</v>
      </c>
      <c r="L902" t="s">
        <v>630</v>
      </c>
      <c r="M902" t="s">
        <v>36</v>
      </c>
      <c r="N902" t="s">
        <v>61</v>
      </c>
      <c r="O902" t="s">
        <v>1143</v>
      </c>
    </row>
    <row r="903" spans="1:15" x14ac:dyDescent="0.25">
      <c r="A903" t="s">
        <v>1671</v>
      </c>
      <c r="B903" t="s">
        <v>100</v>
      </c>
      <c r="C903" t="s">
        <v>621</v>
      </c>
      <c r="D903" t="s">
        <v>618</v>
      </c>
      <c r="E903" t="s">
        <v>622</v>
      </c>
      <c r="F903" s="213" t="s">
        <v>56</v>
      </c>
      <c r="G903" t="s">
        <v>66</v>
      </c>
      <c r="H903" t="s">
        <v>84</v>
      </c>
      <c r="I903" t="s">
        <v>623</v>
      </c>
      <c r="J903" t="s">
        <v>56</v>
      </c>
      <c r="K903" t="s">
        <v>18</v>
      </c>
      <c r="L903" t="s">
        <v>625</v>
      </c>
      <c r="M903" t="s">
        <v>36</v>
      </c>
      <c r="N903" t="s">
        <v>1451</v>
      </c>
      <c r="O903" t="s">
        <v>623</v>
      </c>
    </row>
    <row r="904" spans="1:15" x14ac:dyDescent="0.25">
      <c r="A904" t="s">
        <v>1672</v>
      </c>
      <c r="B904" t="s">
        <v>100</v>
      </c>
      <c r="C904" t="s">
        <v>621</v>
      </c>
      <c r="D904" t="s">
        <v>618</v>
      </c>
      <c r="E904" t="s">
        <v>622</v>
      </c>
      <c r="F904" s="213" t="s">
        <v>56</v>
      </c>
      <c r="G904" t="s">
        <v>66</v>
      </c>
      <c r="H904" t="s">
        <v>84</v>
      </c>
      <c r="I904" t="s">
        <v>623</v>
      </c>
      <c r="J904" t="s">
        <v>56</v>
      </c>
      <c r="K904" t="s">
        <v>14</v>
      </c>
      <c r="L904" t="s">
        <v>632</v>
      </c>
      <c r="M904" t="s">
        <v>36</v>
      </c>
      <c r="N904" t="s">
        <v>705</v>
      </c>
      <c r="O904" t="s">
        <v>1287</v>
      </c>
    </row>
    <row r="905" spans="1:15" x14ac:dyDescent="0.25">
      <c r="A905" t="s">
        <v>1673</v>
      </c>
      <c r="B905" t="s">
        <v>100</v>
      </c>
      <c r="C905" t="s">
        <v>621</v>
      </c>
      <c r="D905" t="s">
        <v>618</v>
      </c>
      <c r="E905" t="s">
        <v>622</v>
      </c>
      <c r="F905" s="213" t="s">
        <v>56</v>
      </c>
      <c r="G905" t="s">
        <v>66</v>
      </c>
      <c r="H905" t="s">
        <v>84</v>
      </c>
      <c r="I905" t="s">
        <v>623</v>
      </c>
      <c r="J905" t="s">
        <v>56</v>
      </c>
      <c r="K905" t="s">
        <v>12</v>
      </c>
      <c r="L905" t="s">
        <v>642</v>
      </c>
      <c r="M905" t="s">
        <v>36</v>
      </c>
      <c r="N905" t="s">
        <v>59</v>
      </c>
      <c r="O905" t="s">
        <v>1044</v>
      </c>
    </row>
    <row r="906" spans="1:15" x14ac:dyDescent="0.25">
      <c r="A906" t="s">
        <v>1674</v>
      </c>
      <c r="B906" t="s">
        <v>100</v>
      </c>
      <c r="C906" t="s">
        <v>621</v>
      </c>
      <c r="D906" t="s">
        <v>618</v>
      </c>
      <c r="E906" t="s">
        <v>622</v>
      </c>
      <c r="F906" s="213" t="s">
        <v>56</v>
      </c>
      <c r="G906" t="s">
        <v>66</v>
      </c>
      <c r="H906" t="s">
        <v>84</v>
      </c>
      <c r="I906" t="s">
        <v>623</v>
      </c>
      <c r="J906" t="s">
        <v>56</v>
      </c>
      <c r="K906" t="s">
        <v>10</v>
      </c>
      <c r="L906" t="s">
        <v>643</v>
      </c>
      <c r="M906" t="s">
        <v>36</v>
      </c>
      <c r="N906" t="s">
        <v>72</v>
      </c>
      <c r="O906" t="s">
        <v>1035</v>
      </c>
    </row>
    <row r="907" spans="1:15" x14ac:dyDescent="0.25">
      <c r="A907" t="s">
        <v>1675</v>
      </c>
      <c r="B907" t="s">
        <v>100</v>
      </c>
      <c r="C907" t="s">
        <v>621</v>
      </c>
      <c r="D907" t="s">
        <v>618</v>
      </c>
      <c r="E907" t="s">
        <v>622</v>
      </c>
      <c r="F907" s="213" t="s">
        <v>56</v>
      </c>
      <c r="G907" t="s">
        <v>66</v>
      </c>
      <c r="H907" t="s">
        <v>84</v>
      </c>
      <c r="I907" t="s">
        <v>623</v>
      </c>
      <c r="J907" t="s">
        <v>56</v>
      </c>
      <c r="K907" t="s">
        <v>8</v>
      </c>
      <c r="L907" t="s">
        <v>685</v>
      </c>
      <c r="M907" t="s">
        <v>36</v>
      </c>
      <c r="N907" t="s">
        <v>70</v>
      </c>
      <c r="O907" t="s">
        <v>633</v>
      </c>
    </row>
    <row r="908" spans="1:15" x14ac:dyDescent="0.25">
      <c r="A908" t="s">
        <v>1676</v>
      </c>
      <c r="B908" t="s">
        <v>100</v>
      </c>
      <c r="C908" t="s">
        <v>621</v>
      </c>
      <c r="D908" t="s">
        <v>618</v>
      </c>
      <c r="E908" t="s">
        <v>622</v>
      </c>
      <c r="F908" s="213" t="s">
        <v>56</v>
      </c>
      <c r="G908" t="s">
        <v>66</v>
      </c>
      <c r="H908" t="s">
        <v>84</v>
      </c>
      <c r="I908" t="s">
        <v>623</v>
      </c>
      <c r="J908" t="s">
        <v>56</v>
      </c>
      <c r="K908" t="s">
        <v>6</v>
      </c>
      <c r="L908" t="s">
        <v>645</v>
      </c>
      <c r="M908" t="s">
        <v>36</v>
      </c>
      <c r="N908" t="s">
        <v>1631</v>
      </c>
      <c r="O908" t="s">
        <v>1346</v>
      </c>
    </row>
    <row r="909" spans="1:15" x14ac:dyDescent="0.25">
      <c r="A909" t="s">
        <v>1677</v>
      </c>
      <c r="B909" t="s">
        <v>100</v>
      </c>
      <c r="C909" t="s">
        <v>621</v>
      </c>
      <c r="D909" t="s">
        <v>618</v>
      </c>
      <c r="E909" t="s">
        <v>622</v>
      </c>
      <c r="F909" s="213" t="s">
        <v>56</v>
      </c>
      <c r="G909" t="s">
        <v>66</v>
      </c>
      <c r="H909" t="s">
        <v>84</v>
      </c>
      <c r="I909" t="s">
        <v>623</v>
      </c>
      <c r="J909" t="s">
        <v>56</v>
      </c>
      <c r="K909" t="s">
        <v>4</v>
      </c>
      <c r="L909" t="s">
        <v>674</v>
      </c>
      <c r="M909" t="s">
        <v>36</v>
      </c>
      <c r="N909" t="s">
        <v>90</v>
      </c>
      <c r="O909" t="s">
        <v>789</v>
      </c>
    </row>
    <row r="910" spans="1:15" x14ac:dyDescent="0.25">
      <c r="A910" t="s">
        <v>1678</v>
      </c>
      <c r="B910" t="s">
        <v>100</v>
      </c>
      <c r="C910" t="s">
        <v>621</v>
      </c>
      <c r="D910" t="s">
        <v>618</v>
      </c>
      <c r="E910" t="s">
        <v>622</v>
      </c>
      <c r="F910" s="213" t="s">
        <v>56</v>
      </c>
      <c r="G910" t="s">
        <v>66</v>
      </c>
      <c r="H910" t="s">
        <v>84</v>
      </c>
      <c r="I910" t="s">
        <v>623</v>
      </c>
      <c r="J910" t="s">
        <v>56</v>
      </c>
      <c r="K910" t="s">
        <v>2</v>
      </c>
      <c r="L910" t="s">
        <v>693</v>
      </c>
      <c r="M910" t="s">
        <v>36</v>
      </c>
      <c r="N910" t="s">
        <v>42</v>
      </c>
      <c r="O910" t="s">
        <v>1344</v>
      </c>
    </row>
    <row r="911" spans="1:15" x14ac:dyDescent="0.25">
      <c r="A911" t="s">
        <v>1679</v>
      </c>
      <c r="B911" t="s">
        <v>100</v>
      </c>
      <c r="C911" t="s">
        <v>621</v>
      </c>
      <c r="D911" t="s">
        <v>618</v>
      </c>
      <c r="E911" t="s">
        <v>622</v>
      </c>
      <c r="F911" s="213" t="s">
        <v>56</v>
      </c>
      <c r="G911" t="s">
        <v>66</v>
      </c>
      <c r="H911" t="s">
        <v>84</v>
      </c>
      <c r="I911" t="s">
        <v>623</v>
      </c>
      <c r="J911" t="s">
        <v>56</v>
      </c>
      <c r="K911" t="s">
        <v>0</v>
      </c>
      <c r="L911" t="s">
        <v>627</v>
      </c>
      <c r="M911" t="s">
        <v>36</v>
      </c>
      <c r="N911" t="s">
        <v>56</v>
      </c>
      <c r="O911" t="s">
        <v>1080</v>
      </c>
    </row>
    <row r="912" spans="1:15" x14ac:dyDescent="0.25">
      <c r="A912" t="s">
        <v>1680</v>
      </c>
      <c r="B912" t="s">
        <v>100</v>
      </c>
      <c r="C912" t="s">
        <v>621</v>
      </c>
      <c r="D912" t="s">
        <v>618</v>
      </c>
      <c r="E912" t="s">
        <v>622</v>
      </c>
      <c r="F912" s="213" t="s">
        <v>56</v>
      </c>
      <c r="G912" t="s">
        <v>66</v>
      </c>
      <c r="H912" t="s">
        <v>84</v>
      </c>
      <c r="I912" t="s">
        <v>623</v>
      </c>
      <c r="J912" t="s">
        <v>56</v>
      </c>
      <c r="K912" t="s">
        <v>100</v>
      </c>
      <c r="L912" t="s">
        <v>825</v>
      </c>
      <c r="M912" t="s">
        <v>36</v>
      </c>
      <c r="N912" t="s">
        <v>53</v>
      </c>
      <c r="O912" t="s">
        <v>1131</v>
      </c>
    </row>
    <row r="913" spans="1:15" x14ac:dyDescent="0.25">
      <c r="A913" t="s">
        <v>1681</v>
      </c>
      <c r="B913" t="s">
        <v>100</v>
      </c>
      <c r="C913" t="s">
        <v>621</v>
      </c>
      <c r="D913" t="s">
        <v>618</v>
      </c>
      <c r="E913" t="s">
        <v>622</v>
      </c>
      <c r="F913" s="213" t="s">
        <v>56</v>
      </c>
      <c r="G913" t="s">
        <v>66</v>
      </c>
      <c r="H913" t="s">
        <v>84</v>
      </c>
      <c r="I913" t="s">
        <v>623</v>
      </c>
      <c r="J913" t="s">
        <v>56</v>
      </c>
      <c r="K913" t="s">
        <v>27</v>
      </c>
      <c r="L913" t="s">
        <v>626</v>
      </c>
      <c r="M913" t="s">
        <v>47</v>
      </c>
      <c r="N913" t="s">
        <v>1597</v>
      </c>
      <c r="O913" t="s">
        <v>718</v>
      </c>
    </row>
    <row r="914" spans="1:15" x14ac:dyDescent="0.25">
      <c r="A914" t="s">
        <v>1682</v>
      </c>
      <c r="B914" t="s">
        <v>100</v>
      </c>
      <c r="C914" t="s">
        <v>621</v>
      </c>
      <c r="D914" t="s">
        <v>618</v>
      </c>
      <c r="E914" t="s">
        <v>622</v>
      </c>
      <c r="F914" s="213" t="s">
        <v>56</v>
      </c>
      <c r="G914" t="s">
        <v>66</v>
      </c>
      <c r="H914" t="s">
        <v>84</v>
      </c>
      <c r="I914" t="s">
        <v>623</v>
      </c>
      <c r="J914" t="s">
        <v>56</v>
      </c>
      <c r="K914" t="s">
        <v>25</v>
      </c>
      <c r="L914" t="s">
        <v>628</v>
      </c>
      <c r="M914" t="s">
        <v>47</v>
      </c>
      <c r="N914" t="s">
        <v>1683</v>
      </c>
      <c r="O914" t="s">
        <v>1497</v>
      </c>
    </row>
    <row r="915" spans="1:15" x14ac:dyDescent="0.25">
      <c r="A915" t="s">
        <v>1684</v>
      </c>
      <c r="B915" t="s">
        <v>100</v>
      </c>
      <c r="C915" t="s">
        <v>621</v>
      </c>
      <c r="D915" t="s">
        <v>618</v>
      </c>
      <c r="E915" t="s">
        <v>622</v>
      </c>
      <c r="F915" s="213" t="s">
        <v>56</v>
      </c>
      <c r="G915" t="s">
        <v>66</v>
      </c>
      <c r="H915" t="s">
        <v>84</v>
      </c>
      <c r="I915" t="s">
        <v>623</v>
      </c>
      <c r="J915" t="s">
        <v>56</v>
      </c>
      <c r="K915" t="s">
        <v>22</v>
      </c>
      <c r="L915" t="s">
        <v>630</v>
      </c>
      <c r="M915" t="s">
        <v>47</v>
      </c>
      <c r="N915" t="s">
        <v>418</v>
      </c>
      <c r="O915" t="s">
        <v>718</v>
      </c>
    </row>
    <row r="916" spans="1:15" x14ac:dyDescent="0.25">
      <c r="A916" t="s">
        <v>1685</v>
      </c>
      <c r="B916" t="s">
        <v>100</v>
      </c>
      <c r="C916" t="s">
        <v>621</v>
      </c>
      <c r="D916" t="s">
        <v>618</v>
      </c>
      <c r="E916" t="s">
        <v>622</v>
      </c>
      <c r="F916" s="213" t="s">
        <v>56</v>
      </c>
      <c r="G916" t="s">
        <v>66</v>
      </c>
      <c r="H916" t="s">
        <v>84</v>
      </c>
      <c r="I916" t="s">
        <v>623</v>
      </c>
      <c r="J916" t="s">
        <v>56</v>
      </c>
      <c r="K916" t="s">
        <v>19</v>
      </c>
      <c r="L916" t="s">
        <v>625</v>
      </c>
      <c r="M916" t="s">
        <v>47</v>
      </c>
      <c r="N916" t="s">
        <v>1686</v>
      </c>
      <c r="O916" t="s">
        <v>718</v>
      </c>
    </row>
    <row r="917" spans="1:15" x14ac:dyDescent="0.25">
      <c r="A917" t="s">
        <v>1687</v>
      </c>
      <c r="B917" t="s">
        <v>100</v>
      </c>
      <c r="C917" t="s">
        <v>621</v>
      </c>
      <c r="D917" t="s">
        <v>618</v>
      </c>
      <c r="E917" t="s">
        <v>622</v>
      </c>
      <c r="F917" s="213" t="s">
        <v>56</v>
      </c>
      <c r="G917" t="s">
        <v>66</v>
      </c>
      <c r="H917" t="s">
        <v>84</v>
      </c>
      <c r="I917" t="s">
        <v>623</v>
      </c>
      <c r="J917" t="s">
        <v>56</v>
      </c>
      <c r="K917" t="s">
        <v>15</v>
      </c>
      <c r="L917" t="s">
        <v>632</v>
      </c>
      <c r="M917" t="s">
        <v>47</v>
      </c>
      <c r="N917" t="s">
        <v>667</v>
      </c>
      <c r="O917" t="s">
        <v>1503</v>
      </c>
    </row>
    <row r="918" spans="1:15" x14ac:dyDescent="0.25">
      <c r="A918" t="s">
        <v>1688</v>
      </c>
      <c r="B918" t="s">
        <v>100</v>
      </c>
      <c r="C918" t="s">
        <v>621</v>
      </c>
      <c r="D918" t="s">
        <v>618</v>
      </c>
      <c r="E918" t="s">
        <v>622</v>
      </c>
      <c r="F918" s="213" t="s">
        <v>56</v>
      </c>
      <c r="G918" t="s">
        <v>66</v>
      </c>
      <c r="H918" t="s">
        <v>84</v>
      </c>
      <c r="I918" t="s">
        <v>623</v>
      </c>
      <c r="J918" t="s">
        <v>56</v>
      </c>
      <c r="K918" t="s">
        <v>12</v>
      </c>
      <c r="L918" t="s">
        <v>629</v>
      </c>
      <c r="M918" t="s">
        <v>47</v>
      </c>
      <c r="N918" t="s">
        <v>1689</v>
      </c>
      <c r="O918" t="s">
        <v>1503</v>
      </c>
    </row>
    <row r="919" spans="1:15" x14ac:dyDescent="0.25">
      <c r="A919" t="s">
        <v>1690</v>
      </c>
      <c r="B919" t="s">
        <v>100</v>
      </c>
      <c r="C919" t="s">
        <v>621</v>
      </c>
      <c r="D919" t="s">
        <v>618</v>
      </c>
      <c r="E919" t="s">
        <v>622</v>
      </c>
      <c r="F919" s="213" t="s">
        <v>56</v>
      </c>
      <c r="G919" t="s">
        <v>66</v>
      </c>
      <c r="H919" t="s">
        <v>84</v>
      </c>
      <c r="I919" t="s">
        <v>623</v>
      </c>
      <c r="J919" t="s">
        <v>56</v>
      </c>
      <c r="K919" t="s">
        <v>10</v>
      </c>
      <c r="L919" t="s">
        <v>635</v>
      </c>
      <c r="M919" t="s">
        <v>47</v>
      </c>
      <c r="N919" t="s">
        <v>825</v>
      </c>
      <c r="O919" t="s">
        <v>1691</v>
      </c>
    </row>
    <row r="920" spans="1:15" x14ac:dyDescent="0.25">
      <c r="A920" t="s">
        <v>1692</v>
      </c>
      <c r="B920" t="s">
        <v>100</v>
      </c>
      <c r="C920" t="s">
        <v>621</v>
      </c>
      <c r="D920" t="s">
        <v>618</v>
      </c>
      <c r="E920" t="s">
        <v>622</v>
      </c>
      <c r="F920" s="213" t="s">
        <v>56</v>
      </c>
      <c r="G920" t="s">
        <v>66</v>
      </c>
      <c r="H920" t="s">
        <v>84</v>
      </c>
      <c r="I920" t="s">
        <v>623</v>
      </c>
      <c r="J920" t="s">
        <v>56</v>
      </c>
      <c r="K920" t="s">
        <v>8</v>
      </c>
      <c r="L920" t="s">
        <v>637</v>
      </c>
      <c r="M920" t="s">
        <v>47</v>
      </c>
      <c r="N920" t="s">
        <v>765</v>
      </c>
      <c r="O920" t="s">
        <v>1691</v>
      </c>
    </row>
    <row r="921" spans="1:15" x14ac:dyDescent="0.25">
      <c r="A921" t="s">
        <v>1693</v>
      </c>
      <c r="B921" t="s">
        <v>100</v>
      </c>
      <c r="C921" t="s">
        <v>621</v>
      </c>
      <c r="D921" t="s">
        <v>618</v>
      </c>
      <c r="E921" t="s">
        <v>622</v>
      </c>
      <c r="F921" s="213" t="s">
        <v>56</v>
      </c>
      <c r="G921" t="s">
        <v>66</v>
      </c>
      <c r="H921" t="s">
        <v>84</v>
      </c>
      <c r="I921" t="s">
        <v>623</v>
      </c>
      <c r="J921" t="s">
        <v>56</v>
      </c>
      <c r="K921" t="s">
        <v>6</v>
      </c>
      <c r="L921" t="s">
        <v>639</v>
      </c>
      <c r="M921" t="s">
        <v>47</v>
      </c>
      <c r="N921" t="s">
        <v>1392</v>
      </c>
      <c r="O921" t="s">
        <v>1497</v>
      </c>
    </row>
    <row r="922" spans="1:15" x14ac:dyDescent="0.25">
      <c r="A922" t="s">
        <v>1694</v>
      </c>
      <c r="B922" t="s">
        <v>100</v>
      </c>
      <c r="C922" t="s">
        <v>621</v>
      </c>
      <c r="D922" t="s">
        <v>618</v>
      </c>
      <c r="E922" t="s">
        <v>622</v>
      </c>
      <c r="F922" s="213" t="s">
        <v>56</v>
      </c>
      <c r="G922" t="s">
        <v>66</v>
      </c>
      <c r="H922" t="s">
        <v>84</v>
      </c>
      <c r="I922" t="s">
        <v>623</v>
      </c>
      <c r="J922" t="s">
        <v>56</v>
      </c>
      <c r="K922" t="s">
        <v>4</v>
      </c>
      <c r="L922" t="s">
        <v>662</v>
      </c>
      <c r="M922" t="s">
        <v>47</v>
      </c>
      <c r="N922" t="s">
        <v>1032</v>
      </c>
      <c r="O922" t="s">
        <v>1691</v>
      </c>
    </row>
    <row r="923" spans="1:15" x14ac:dyDescent="0.25">
      <c r="A923" t="s">
        <v>1695</v>
      </c>
      <c r="B923" t="s">
        <v>100</v>
      </c>
      <c r="C923" t="s">
        <v>621</v>
      </c>
      <c r="D923" t="s">
        <v>618</v>
      </c>
      <c r="E923" t="s">
        <v>622</v>
      </c>
      <c r="F923" s="213" t="s">
        <v>56</v>
      </c>
      <c r="G923" t="s">
        <v>66</v>
      </c>
      <c r="H923" t="s">
        <v>84</v>
      </c>
      <c r="I923" t="s">
        <v>623</v>
      </c>
      <c r="J923" t="s">
        <v>56</v>
      </c>
      <c r="K923" t="s">
        <v>2</v>
      </c>
      <c r="L923" t="s">
        <v>749</v>
      </c>
      <c r="M923" t="s">
        <v>47</v>
      </c>
      <c r="N923" t="s">
        <v>1581</v>
      </c>
      <c r="O923" t="s">
        <v>718</v>
      </c>
    </row>
    <row r="924" spans="1:15" x14ac:dyDescent="0.25">
      <c r="A924" t="s">
        <v>1696</v>
      </c>
      <c r="B924" t="s">
        <v>100</v>
      </c>
      <c r="C924" t="s">
        <v>621</v>
      </c>
      <c r="D924" t="s">
        <v>618</v>
      </c>
      <c r="E924" t="s">
        <v>622</v>
      </c>
      <c r="F924" s="213" t="s">
        <v>56</v>
      </c>
      <c r="G924" t="s">
        <v>66</v>
      </c>
      <c r="H924" t="s">
        <v>84</v>
      </c>
      <c r="I924" t="s">
        <v>623</v>
      </c>
      <c r="J924" t="s">
        <v>56</v>
      </c>
      <c r="K924" t="s">
        <v>24</v>
      </c>
      <c r="L924" t="s">
        <v>807</v>
      </c>
      <c r="M924" t="s">
        <v>47</v>
      </c>
      <c r="N924" t="s">
        <v>1621</v>
      </c>
      <c r="O924" t="s">
        <v>718</v>
      </c>
    </row>
    <row r="925" spans="1:15" x14ac:dyDescent="0.25">
      <c r="A925" t="s">
        <v>1697</v>
      </c>
      <c r="B925" t="s">
        <v>100</v>
      </c>
      <c r="C925" t="s">
        <v>621</v>
      </c>
      <c r="D925" t="s">
        <v>618</v>
      </c>
      <c r="E925" t="s">
        <v>622</v>
      </c>
      <c r="F925" s="213" t="s">
        <v>56</v>
      </c>
      <c r="G925" t="s">
        <v>66</v>
      </c>
      <c r="H925" t="s">
        <v>84</v>
      </c>
      <c r="I925" t="s">
        <v>623</v>
      </c>
      <c r="J925" t="s">
        <v>56</v>
      </c>
      <c r="K925" t="s">
        <v>25</v>
      </c>
      <c r="L925" t="s">
        <v>827</v>
      </c>
      <c r="M925" t="s">
        <v>47</v>
      </c>
      <c r="N925" t="s">
        <v>1698</v>
      </c>
      <c r="O925" t="s">
        <v>718</v>
      </c>
    </row>
    <row r="926" spans="1:15" x14ac:dyDescent="0.25">
      <c r="A926" t="s">
        <v>1699</v>
      </c>
      <c r="B926" t="s">
        <v>100</v>
      </c>
      <c r="C926" t="s">
        <v>621</v>
      </c>
      <c r="D926" t="s">
        <v>618</v>
      </c>
      <c r="E926" t="s">
        <v>622</v>
      </c>
      <c r="F926" s="213" t="s">
        <v>56</v>
      </c>
      <c r="G926" t="s">
        <v>66</v>
      </c>
      <c r="H926" t="s">
        <v>84</v>
      </c>
      <c r="I926" t="s">
        <v>623</v>
      </c>
      <c r="J926" t="s">
        <v>56</v>
      </c>
      <c r="K926" t="s">
        <v>26</v>
      </c>
      <c r="L926" t="s">
        <v>729</v>
      </c>
      <c r="M926" t="s">
        <v>47</v>
      </c>
      <c r="N926" t="s">
        <v>656</v>
      </c>
      <c r="O926" t="s">
        <v>1497</v>
      </c>
    </row>
    <row r="927" spans="1:15" x14ac:dyDescent="0.25">
      <c r="A927" t="s">
        <v>1700</v>
      </c>
      <c r="B927" t="s">
        <v>100</v>
      </c>
      <c r="C927" t="s">
        <v>621</v>
      </c>
      <c r="D927" t="s">
        <v>618</v>
      </c>
      <c r="E927" t="s">
        <v>622</v>
      </c>
      <c r="F927" s="213" t="s">
        <v>56</v>
      </c>
      <c r="G927" t="s">
        <v>66</v>
      </c>
      <c r="H927" t="s">
        <v>84</v>
      </c>
      <c r="I927" t="s">
        <v>623</v>
      </c>
      <c r="J927" t="s">
        <v>56</v>
      </c>
      <c r="K927" t="s">
        <v>28</v>
      </c>
      <c r="L927" t="s">
        <v>698</v>
      </c>
      <c r="M927" t="s">
        <v>47</v>
      </c>
      <c r="N927" t="s">
        <v>642</v>
      </c>
      <c r="O927" t="s">
        <v>718</v>
      </c>
    </row>
    <row r="928" spans="1:15" x14ac:dyDescent="0.25">
      <c r="A928" t="s">
        <v>1701</v>
      </c>
      <c r="B928" t="s">
        <v>100</v>
      </c>
      <c r="C928" t="s">
        <v>621</v>
      </c>
      <c r="D928" t="s">
        <v>618</v>
      </c>
      <c r="E928" t="s">
        <v>622</v>
      </c>
      <c r="F928" s="213" t="s">
        <v>56</v>
      </c>
      <c r="G928" t="s">
        <v>66</v>
      </c>
      <c r="H928" t="s">
        <v>84</v>
      </c>
      <c r="I928" t="s">
        <v>623</v>
      </c>
      <c r="J928" t="s">
        <v>56</v>
      </c>
      <c r="K928" t="s">
        <v>30</v>
      </c>
      <c r="L928" t="s">
        <v>631</v>
      </c>
      <c r="M928" t="s">
        <v>47</v>
      </c>
      <c r="N928" t="s">
        <v>967</v>
      </c>
      <c r="O928" t="s">
        <v>1503</v>
      </c>
    </row>
    <row r="929" spans="1:15" x14ac:dyDescent="0.25">
      <c r="A929" t="s">
        <v>1702</v>
      </c>
      <c r="B929" t="s">
        <v>100</v>
      </c>
      <c r="C929" t="s">
        <v>621</v>
      </c>
      <c r="D929" t="s">
        <v>618</v>
      </c>
      <c r="E929" t="s">
        <v>622</v>
      </c>
      <c r="F929" s="213" t="s">
        <v>56</v>
      </c>
      <c r="G929" t="s">
        <v>66</v>
      </c>
      <c r="H929" t="s">
        <v>84</v>
      </c>
      <c r="I929" t="s">
        <v>623</v>
      </c>
      <c r="J929" t="s">
        <v>56</v>
      </c>
      <c r="K929" t="s">
        <v>32</v>
      </c>
      <c r="L929" t="s">
        <v>101</v>
      </c>
      <c r="M929" t="s">
        <v>47</v>
      </c>
      <c r="N929" t="s">
        <v>1231</v>
      </c>
      <c r="O929" t="s">
        <v>1703</v>
      </c>
    </row>
    <row r="930" spans="1:15" x14ac:dyDescent="0.25">
      <c r="A930" t="s">
        <v>1704</v>
      </c>
      <c r="B930" t="s">
        <v>100</v>
      </c>
      <c r="C930" t="s">
        <v>621</v>
      </c>
      <c r="D930" t="s">
        <v>618</v>
      </c>
      <c r="E930" t="s">
        <v>622</v>
      </c>
      <c r="F930" s="213" t="s">
        <v>56</v>
      </c>
      <c r="G930" t="s">
        <v>66</v>
      </c>
      <c r="H930" t="s">
        <v>84</v>
      </c>
      <c r="I930" t="s">
        <v>623</v>
      </c>
      <c r="J930" t="s">
        <v>56</v>
      </c>
      <c r="K930" t="s">
        <v>25</v>
      </c>
      <c r="L930" t="s">
        <v>46</v>
      </c>
      <c r="M930" t="s">
        <v>47</v>
      </c>
      <c r="N930" t="s">
        <v>25</v>
      </c>
      <c r="O930" t="s">
        <v>1397</v>
      </c>
    </row>
    <row r="931" spans="1:15" x14ac:dyDescent="0.25">
      <c r="A931" t="s">
        <v>1705</v>
      </c>
      <c r="B931" t="s">
        <v>100</v>
      </c>
      <c r="C931" t="s">
        <v>621</v>
      </c>
      <c r="D931" t="s">
        <v>618</v>
      </c>
      <c r="E931" t="s">
        <v>622</v>
      </c>
      <c r="F931" s="213" t="s">
        <v>56</v>
      </c>
      <c r="G931" t="s">
        <v>66</v>
      </c>
      <c r="H931" t="s">
        <v>84</v>
      </c>
      <c r="I931" t="s">
        <v>623</v>
      </c>
      <c r="J931" t="s">
        <v>56</v>
      </c>
      <c r="K931" t="s">
        <v>28</v>
      </c>
      <c r="L931" t="s">
        <v>39</v>
      </c>
      <c r="M931" t="s">
        <v>47</v>
      </c>
      <c r="N931" t="s">
        <v>1703</v>
      </c>
      <c r="O931" t="s">
        <v>900</v>
      </c>
    </row>
    <row r="932" spans="1:15" x14ac:dyDescent="0.25">
      <c r="A932" t="s">
        <v>1706</v>
      </c>
      <c r="B932" t="s">
        <v>100</v>
      </c>
      <c r="C932" t="s">
        <v>621</v>
      </c>
      <c r="D932" t="s">
        <v>618</v>
      </c>
      <c r="E932" t="s">
        <v>622</v>
      </c>
      <c r="F932" s="213" t="s">
        <v>56</v>
      </c>
      <c r="G932" t="s">
        <v>66</v>
      </c>
      <c r="H932" t="s">
        <v>84</v>
      </c>
      <c r="I932" t="s">
        <v>623</v>
      </c>
      <c r="J932" t="s">
        <v>56</v>
      </c>
      <c r="K932" t="s">
        <v>30</v>
      </c>
      <c r="L932" t="s">
        <v>35</v>
      </c>
      <c r="M932" t="s">
        <v>47</v>
      </c>
      <c r="N932" t="s">
        <v>33</v>
      </c>
      <c r="O932" t="s">
        <v>1224</v>
      </c>
    </row>
    <row r="933" spans="1:15" x14ac:dyDescent="0.25">
      <c r="A933" t="s">
        <v>1707</v>
      </c>
      <c r="B933" t="s">
        <v>100</v>
      </c>
      <c r="C933" t="s">
        <v>621</v>
      </c>
      <c r="D933" t="s">
        <v>618</v>
      </c>
      <c r="E933" t="s">
        <v>622</v>
      </c>
      <c r="F933" s="213" t="s">
        <v>56</v>
      </c>
      <c r="G933" t="s">
        <v>66</v>
      </c>
      <c r="H933" t="s">
        <v>84</v>
      </c>
      <c r="I933" t="s">
        <v>623</v>
      </c>
      <c r="J933" t="s">
        <v>56</v>
      </c>
      <c r="K933" t="s">
        <v>30</v>
      </c>
      <c r="L933" t="s">
        <v>624</v>
      </c>
      <c r="M933" t="s">
        <v>46</v>
      </c>
      <c r="N933" t="s">
        <v>1514</v>
      </c>
      <c r="O933" t="s">
        <v>1492</v>
      </c>
    </row>
    <row r="934" spans="1:15" x14ac:dyDescent="0.25">
      <c r="A934" t="s">
        <v>1708</v>
      </c>
      <c r="B934" t="s">
        <v>100</v>
      </c>
      <c r="C934" t="s">
        <v>621</v>
      </c>
      <c r="D934" t="s">
        <v>618</v>
      </c>
      <c r="E934" t="s">
        <v>622</v>
      </c>
      <c r="F934" s="213" t="s">
        <v>56</v>
      </c>
      <c r="G934" t="s">
        <v>66</v>
      </c>
      <c r="H934" t="s">
        <v>84</v>
      </c>
      <c r="I934" t="s">
        <v>623</v>
      </c>
      <c r="J934" t="s">
        <v>56</v>
      </c>
      <c r="K934" t="s">
        <v>31</v>
      </c>
      <c r="L934" t="s">
        <v>654</v>
      </c>
      <c r="M934" t="s">
        <v>46</v>
      </c>
      <c r="N934" t="s">
        <v>94</v>
      </c>
      <c r="O934" t="s">
        <v>645</v>
      </c>
    </row>
    <row r="935" spans="1:15" x14ac:dyDescent="0.25">
      <c r="A935" t="s">
        <v>1709</v>
      </c>
      <c r="B935" t="s">
        <v>100</v>
      </c>
      <c r="C935" t="s">
        <v>621</v>
      </c>
      <c r="D935" t="s">
        <v>618</v>
      </c>
      <c r="E935" t="s">
        <v>622</v>
      </c>
      <c r="F935" s="213" t="s">
        <v>56</v>
      </c>
      <c r="G935" t="s">
        <v>66</v>
      </c>
      <c r="H935" t="s">
        <v>84</v>
      </c>
      <c r="I935" t="s">
        <v>623</v>
      </c>
      <c r="J935" t="s">
        <v>56</v>
      </c>
      <c r="K935" t="s">
        <v>33</v>
      </c>
      <c r="L935" t="s">
        <v>418</v>
      </c>
      <c r="M935" t="s">
        <v>46</v>
      </c>
      <c r="N935" t="s">
        <v>54</v>
      </c>
      <c r="O935" t="s">
        <v>636</v>
      </c>
    </row>
    <row r="936" spans="1:15" x14ac:dyDescent="0.25">
      <c r="A936" t="s">
        <v>1710</v>
      </c>
      <c r="B936" t="s">
        <v>100</v>
      </c>
      <c r="C936" t="s">
        <v>621</v>
      </c>
      <c r="D936" t="s">
        <v>618</v>
      </c>
      <c r="E936" t="s">
        <v>622</v>
      </c>
      <c r="F936" s="213" t="s">
        <v>56</v>
      </c>
      <c r="G936" t="s">
        <v>66</v>
      </c>
      <c r="H936" t="s">
        <v>84</v>
      </c>
      <c r="I936" t="s">
        <v>623</v>
      </c>
      <c r="J936" t="s">
        <v>56</v>
      </c>
      <c r="K936" t="s">
        <v>23</v>
      </c>
      <c r="L936" t="s">
        <v>630</v>
      </c>
      <c r="M936" t="s">
        <v>46</v>
      </c>
      <c r="N936" t="s">
        <v>1542</v>
      </c>
      <c r="O936" t="s">
        <v>632</v>
      </c>
    </row>
    <row r="937" spans="1:15" x14ac:dyDescent="0.25">
      <c r="A937" t="s">
        <v>1711</v>
      </c>
      <c r="B937" t="s">
        <v>100</v>
      </c>
      <c r="C937" t="s">
        <v>621</v>
      </c>
      <c r="D937" t="s">
        <v>618</v>
      </c>
      <c r="E937" t="s">
        <v>622</v>
      </c>
      <c r="F937" s="213" t="s">
        <v>56</v>
      </c>
      <c r="G937" t="s">
        <v>66</v>
      </c>
      <c r="H937" t="s">
        <v>84</v>
      </c>
      <c r="I937" t="s">
        <v>623</v>
      </c>
      <c r="J937" t="s">
        <v>56</v>
      </c>
      <c r="K937" t="s">
        <v>20</v>
      </c>
      <c r="L937" t="s">
        <v>625</v>
      </c>
      <c r="M937" t="s">
        <v>46</v>
      </c>
      <c r="N937" t="s">
        <v>631</v>
      </c>
      <c r="O937" t="s">
        <v>1503</v>
      </c>
    </row>
    <row r="938" spans="1:15" x14ac:dyDescent="0.25">
      <c r="A938" t="s">
        <v>1712</v>
      </c>
      <c r="B938" t="s">
        <v>100</v>
      </c>
      <c r="C938" t="s">
        <v>621</v>
      </c>
      <c r="D938" t="s">
        <v>618</v>
      </c>
      <c r="E938" t="s">
        <v>622</v>
      </c>
      <c r="F938" s="213" t="s">
        <v>56</v>
      </c>
      <c r="G938" t="s">
        <v>66</v>
      </c>
      <c r="H938" t="s">
        <v>84</v>
      </c>
      <c r="I938" t="s">
        <v>623</v>
      </c>
      <c r="J938" t="s">
        <v>56</v>
      </c>
      <c r="K938" t="s">
        <v>16</v>
      </c>
      <c r="L938" t="s">
        <v>632</v>
      </c>
      <c r="M938" t="s">
        <v>46</v>
      </c>
      <c r="N938" t="s">
        <v>1287</v>
      </c>
      <c r="O938" t="s">
        <v>718</v>
      </c>
    </row>
    <row r="939" spans="1:15" x14ac:dyDescent="0.25">
      <c r="A939" t="s">
        <v>1713</v>
      </c>
      <c r="B939" t="s">
        <v>100</v>
      </c>
      <c r="C939" t="s">
        <v>621</v>
      </c>
      <c r="D939" t="s">
        <v>618</v>
      </c>
      <c r="E939" t="s">
        <v>622</v>
      </c>
      <c r="F939" s="213" t="s">
        <v>56</v>
      </c>
      <c r="G939" t="s">
        <v>66</v>
      </c>
      <c r="H939" t="s">
        <v>84</v>
      </c>
      <c r="I939" t="s">
        <v>623</v>
      </c>
      <c r="J939" t="s">
        <v>56</v>
      </c>
      <c r="K939" t="s">
        <v>13</v>
      </c>
      <c r="L939" t="s">
        <v>629</v>
      </c>
      <c r="M939" t="s">
        <v>46</v>
      </c>
      <c r="N939" t="s">
        <v>818</v>
      </c>
      <c r="O939" t="s">
        <v>1497</v>
      </c>
    </row>
    <row r="940" spans="1:15" x14ac:dyDescent="0.25">
      <c r="A940" t="s">
        <v>1714</v>
      </c>
      <c r="B940" t="s">
        <v>100</v>
      </c>
      <c r="C940" t="s">
        <v>621</v>
      </c>
      <c r="D940" t="s">
        <v>618</v>
      </c>
      <c r="E940" t="s">
        <v>622</v>
      </c>
      <c r="F940" s="213" t="s">
        <v>56</v>
      </c>
      <c r="G940" t="s">
        <v>66</v>
      </c>
      <c r="H940" t="s">
        <v>84</v>
      </c>
      <c r="I940" t="s">
        <v>623</v>
      </c>
      <c r="J940" t="s">
        <v>56</v>
      </c>
      <c r="K940" t="s">
        <v>10</v>
      </c>
      <c r="L940" t="s">
        <v>695</v>
      </c>
      <c r="M940" t="s">
        <v>46</v>
      </c>
      <c r="N940" t="s">
        <v>731</v>
      </c>
      <c r="O940" t="s">
        <v>1703</v>
      </c>
    </row>
    <row r="941" spans="1:15" x14ac:dyDescent="0.25">
      <c r="A941" t="s">
        <v>1715</v>
      </c>
      <c r="B941" t="s">
        <v>100</v>
      </c>
      <c r="C941" t="s">
        <v>621</v>
      </c>
      <c r="D941" t="s">
        <v>618</v>
      </c>
      <c r="E941" t="s">
        <v>622</v>
      </c>
      <c r="F941" s="213" t="s">
        <v>56</v>
      </c>
      <c r="G941" t="s">
        <v>66</v>
      </c>
      <c r="H941" t="s">
        <v>84</v>
      </c>
      <c r="I941" t="s">
        <v>623</v>
      </c>
      <c r="J941" t="s">
        <v>56</v>
      </c>
      <c r="K941" t="s">
        <v>8</v>
      </c>
      <c r="L941" t="s">
        <v>656</v>
      </c>
      <c r="M941" t="s">
        <v>46</v>
      </c>
      <c r="N941" t="s">
        <v>1433</v>
      </c>
      <c r="O941" t="s">
        <v>1503</v>
      </c>
    </row>
    <row r="942" spans="1:15" x14ac:dyDescent="0.25">
      <c r="A942" t="s">
        <v>1716</v>
      </c>
      <c r="B942" t="s">
        <v>100</v>
      </c>
      <c r="C942" t="s">
        <v>621</v>
      </c>
      <c r="D942" t="s">
        <v>618</v>
      </c>
      <c r="E942" t="s">
        <v>622</v>
      </c>
      <c r="F942" s="213" t="s">
        <v>56</v>
      </c>
      <c r="G942" t="s">
        <v>66</v>
      </c>
      <c r="H942" t="s">
        <v>84</v>
      </c>
      <c r="I942" t="s">
        <v>623</v>
      </c>
      <c r="J942" t="s">
        <v>56</v>
      </c>
      <c r="K942" t="s">
        <v>6</v>
      </c>
      <c r="L942" t="s">
        <v>809</v>
      </c>
      <c r="M942" t="s">
        <v>46</v>
      </c>
      <c r="N942" t="s">
        <v>1616</v>
      </c>
      <c r="O942" t="s">
        <v>1703</v>
      </c>
    </row>
    <row r="943" spans="1:15" x14ac:dyDescent="0.25">
      <c r="A943" t="s">
        <v>1717</v>
      </c>
      <c r="B943" t="s">
        <v>100</v>
      </c>
      <c r="C943" t="s">
        <v>621</v>
      </c>
      <c r="D943" t="s">
        <v>618</v>
      </c>
      <c r="E943" t="s">
        <v>622</v>
      </c>
      <c r="F943" s="213" t="s">
        <v>56</v>
      </c>
      <c r="G943" t="s">
        <v>66</v>
      </c>
      <c r="H943" t="s">
        <v>84</v>
      </c>
      <c r="I943" t="s">
        <v>623</v>
      </c>
      <c r="J943" t="s">
        <v>56</v>
      </c>
      <c r="K943" t="s">
        <v>4</v>
      </c>
      <c r="L943" t="s">
        <v>644</v>
      </c>
      <c r="M943" t="s">
        <v>46</v>
      </c>
      <c r="N943" t="s">
        <v>1497</v>
      </c>
      <c r="O943" t="s">
        <v>1390</v>
      </c>
    </row>
    <row r="944" spans="1:15" x14ac:dyDescent="0.25">
      <c r="A944" t="s">
        <v>1718</v>
      </c>
      <c r="B944" t="s">
        <v>100</v>
      </c>
      <c r="C944" t="s">
        <v>621</v>
      </c>
      <c r="D944" t="s">
        <v>618</v>
      </c>
      <c r="E944" t="s">
        <v>622</v>
      </c>
      <c r="F944" s="213" t="s">
        <v>56</v>
      </c>
      <c r="G944" t="s">
        <v>66</v>
      </c>
      <c r="H944" t="s">
        <v>84</v>
      </c>
      <c r="I944" t="s">
        <v>623</v>
      </c>
      <c r="J944" t="s">
        <v>56</v>
      </c>
      <c r="K944" t="s">
        <v>2</v>
      </c>
      <c r="L944" t="s">
        <v>735</v>
      </c>
      <c r="M944" t="s">
        <v>46</v>
      </c>
      <c r="N944" t="s">
        <v>37</v>
      </c>
      <c r="O944" t="s">
        <v>1158</v>
      </c>
    </row>
    <row r="945" spans="1:15" x14ac:dyDescent="0.25">
      <c r="A945" t="s">
        <v>1719</v>
      </c>
      <c r="B945" t="s">
        <v>100</v>
      </c>
      <c r="C945" t="s">
        <v>621</v>
      </c>
      <c r="D945" t="s">
        <v>618</v>
      </c>
      <c r="E945" t="s">
        <v>622</v>
      </c>
      <c r="F945" s="213" t="s">
        <v>56</v>
      </c>
      <c r="G945" t="s">
        <v>66</v>
      </c>
      <c r="H945" t="s">
        <v>84</v>
      </c>
      <c r="I945" t="s">
        <v>623</v>
      </c>
      <c r="J945" t="s">
        <v>56</v>
      </c>
      <c r="K945" t="s">
        <v>1</v>
      </c>
      <c r="L945" t="s">
        <v>741</v>
      </c>
      <c r="M945" t="s">
        <v>46</v>
      </c>
      <c r="N945" t="s">
        <v>726</v>
      </c>
      <c r="O945" t="s">
        <v>1691</v>
      </c>
    </row>
    <row r="946" spans="1:15" x14ac:dyDescent="0.25">
      <c r="A946" t="s">
        <v>1720</v>
      </c>
      <c r="B946" t="s">
        <v>100</v>
      </c>
      <c r="C946" t="s">
        <v>621</v>
      </c>
      <c r="D946" t="s">
        <v>618</v>
      </c>
      <c r="E946" t="s">
        <v>622</v>
      </c>
      <c r="F946" s="213" t="s">
        <v>56</v>
      </c>
      <c r="G946" t="s">
        <v>66</v>
      </c>
      <c r="H946" t="s">
        <v>84</v>
      </c>
      <c r="I946" t="s">
        <v>623</v>
      </c>
      <c r="J946" t="s">
        <v>56</v>
      </c>
      <c r="K946" t="s">
        <v>0</v>
      </c>
      <c r="L946" t="s">
        <v>825</v>
      </c>
      <c r="M946" t="s">
        <v>46</v>
      </c>
      <c r="N946" t="s">
        <v>47</v>
      </c>
      <c r="O946" t="s">
        <v>1044</v>
      </c>
    </row>
    <row r="947" spans="1:15" x14ac:dyDescent="0.25">
      <c r="A947" t="s">
        <v>1721</v>
      </c>
      <c r="B947" t="s">
        <v>100</v>
      </c>
      <c r="C947" t="s">
        <v>621</v>
      </c>
      <c r="D947" t="s">
        <v>618</v>
      </c>
      <c r="E947" t="s">
        <v>622</v>
      </c>
      <c r="F947" s="213" t="s">
        <v>56</v>
      </c>
      <c r="G947" t="s">
        <v>66</v>
      </c>
      <c r="H947" t="s">
        <v>84</v>
      </c>
      <c r="I947" t="s">
        <v>623</v>
      </c>
      <c r="J947" t="s">
        <v>56</v>
      </c>
      <c r="K947" t="s">
        <v>27</v>
      </c>
      <c r="L947" t="s">
        <v>626</v>
      </c>
      <c r="M947" t="s">
        <v>1147</v>
      </c>
      <c r="N947" t="s">
        <v>14</v>
      </c>
      <c r="O947" t="s">
        <v>714</v>
      </c>
    </row>
    <row r="948" spans="1:15" x14ac:dyDescent="0.25">
      <c r="A948" t="s">
        <v>1722</v>
      </c>
      <c r="B948" t="s">
        <v>100</v>
      </c>
      <c r="C948" t="s">
        <v>621</v>
      </c>
      <c r="D948" t="s">
        <v>618</v>
      </c>
      <c r="E948" t="s">
        <v>622</v>
      </c>
      <c r="F948" s="213" t="s">
        <v>56</v>
      </c>
      <c r="G948" t="s">
        <v>66</v>
      </c>
      <c r="H948" t="s">
        <v>84</v>
      </c>
      <c r="I948" t="s">
        <v>623</v>
      </c>
      <c r="J948" t="s">
        <v>56</v>
      </c>
      <c r="K948" t="s">
        <v>25</v>
      </c>
      <c r="L948" t="s">
        <v>628</v>
      </c>
      <c r="M948" t="s">
        <v>1147</v>
      </c>
      <c r="N948" t="s">
        <v>18</v>
      </c>
      <c r="O948" t="s">
        <v>626</v>
      </c>
    </row>
    <row r="949" spans="1:15" x14ac:dyDescent="0.25">
      <c r="A949" t="s">
        <v>1723</v>
      </c>
      <c r="B949" t="s">
        <v>100</v>
      </c>
      <c r="C949" t="s">
        <v>621</v>
      </c>
      <c r="D949" t="s">
        <v>618</v>
      </c>
      <c r="E949" t="s">
        <v>622</v>
      </c>
      <c r="F949" s="213" t="s">
        <v>56</v>
      </c>
      <c r="G949" t="s">
        <v>66</v>
      </c>
      <c r="H949" t="s">
        <v>84</v>
      </c>
      <c r="I949" t="s">
        <v>623</v>
      </c>
      <c r="J949" t="s">
        <v>56</v>
      </c>
      <c r="K949" t="s">
        <v>22</v>
      </c>
      <c r="L949" t="s">
        <v>630</v>
      </c>
      <c r="M949" t="s">
        <v>1147</v>
      </c>
      <c r="N949" t="s">
        <v>1</v>
      </c>
      <c r="O949" t="s">
        <v>645</v>
      </c>
    </row>
    <row r="950" spans="1:15" x14ac:dyDescent="0.25">
      <c r="A950" t="s">
        <v>1724</v>
      </c>
      <c r="B950" t="s">
        <v>100</v>
      </c>
      <c r="C950" t="s">
        <v>621</v>
      </c>
      <c r="D950" t="s">
        <v>618</v>
      </c>
      <c r="E950" t="s">
        <v>622</v>
      </c>
      <c r="F950" s="213" t="s">
        <v>56</v>
      </c>
      <c r="G950" t="s">
        <v>66</v>
      </c>
      <c r="H950" t="s">
        <v>84</v>
      </c>
      <c r="I950" t="s">
        <v>623</v>
      </c>
      <c r="J950" t="s">
        <v>56</v>
      </c>
      <c r="K950" t="s">
        <v>19</v>
      </c>
      <c r="L950" t="s">
        <v>625</v>
      </c>
      <c r="M950" t="s">
        <v>1147</v>
      </c>
      <c r="N950" t="s">
        <v>18</v>
      </c>
      <c r="O950" t="s">
        <v>38</v>
      </c>
    </row>
    <row r="951" spans="1:15" x14ac:dyDescent="0.25">
      <c r="A951" t="s">
        <v>1725</v>
      </c>
      <c r="B951" t="s">
        <v>100</v>
      </c>
      <c r="C951" t="s">
        <v>621</v>
      </c>
      <c r="D951" t="s">
        <v>618</v>
      </c>
      <c r="E951" t="s">
        <v>622</v>
      </c>
      <c r="F951" s="213" t="s">
        <v>56</v>
      </c>
      <c r="G951" t="s">
        <v>66</v>
      </c>
      <c r="H951" t="s">
        <v>84</v>
      </c>
      <c r="I951" t="s">
        <v>623</v>
      </c>
      <c r="J951" t="s">
        <v>56</v>
      </c>
      <c r="K951" t="s">
        <v>27</v>
      </c>
      <c r="L951" t="s">
        <v>626</v>
      </c>
      <c r="M951" t="s">
        <v>631</v>
      </c>
      <c r="N951" t="s">
        <v>20</v>
      </c>
      <c r="O951" t="s">
        <v>1514</v>
      </c>
    </row>
    <row r="952" spans="1:15" x14ac:dyDescent="0.25">
      <c r="A952" t="s">
        <v>1726</v>
      </c>
      <c r="B952" t="s">
        <v>100</v>
      </c>
      <c r="C952" t="s">
        <v>621</v>
      </c>
      <c r="D952" t="s">
        <v>618</v>
      </c>
      <c r="E952" t="s">
        <v>622</v>
      </c>
      <c r="F952" s="213" t="s">
        <v>56</v>
      </c>
      <c r="G952" t="s">
        <v>66</v>
      </c>
      <c r="H952" t="s">
        <v>84</v>
      </c>
      <c r="I952" t="s">
        <v>623</v>
      </c>
      <c r="J952" t="s">
        <v>56</v>
      </c>
      <c r="K952" t="s">
        <v>25</v>
      </c>
      <c r="L952" t="s">
        <v>628</v>
      </c>
      <c r="M952" t="s">
        <v>631</v>
      </c>
      <c r="N952" t="s">
        <v>21</v>
      </c>
      <c r="O952" t="s">
        <v>24</v>
      </c>
    </row>
    <row r="953" spans="1:15" x14ac:dyDescent="0.25">
      <c r="A953" t="s">
        <v>1727</v>
      </c>
      <c r="B953" t="s">
        <v>100</v>
      </c>
      <c r="C953" t="s">
        <v>621</v>
      </c>
      <c r="D953" t="s">
        <v>618</v>
      </c>
      <c r="E953" t="s">
        <v>622</v>
      </c>
      <c r="F953" s="213" t="s">
        <v>56</v>
      </c>
      <c r="G953" t="s">
        <v>66</v>
      </c>
      <c r="H953" t="s">
        <v>84</v>
      </c>
      <c r="I953" t="s">
        <v>623</v>
      </c>
      <c r="J953" t="s">
        <v>56</v>
      </c>
      <c r="K953" t="s">
        <v>22</v>
      </c>
      <c r="L953" t="s">
        <v>630</v>
      </c>
      <c r="M953" t="s">
        <v>631</v>
      </c>
      <c r="N953" t="s">
        <v>14</v>
      </c>
      <c r="O953" t="s">
        <v>807</v>
      </c>
    </row>
    <row r="954" spans="1:15" x14ac:dyDescent="0.25">
      <c r="A954" t="s">
        <v>1728</v>
      </c>
      <c r="B954" t="s">
        <v>100</v>
      </c>
      <c r="C954" t="s">
        <v>621</v>
      </c>
      <c r="D954" t="s">
        <v>618</v>
      </c>
      <c r="E954" t="s">
        <v>622</v>
      </c>
      <c r="F954" s="213" t="s">
        <v>56</v>
      </c>
      <c r="G954" t="s">
        <v>66</v>
      </c>
      <c r="H954" t="s">
        <v>84</v>
      </c>
      <c r="I954" t="s">
        <v>623</v>
      </c>
      <c r="J954" t="s">
        <v>56</v>
      </c>
      <c r="K954" t="s">
        <v>19</v>
      </c>
      <c r="L954" t="s">
        <v>625</v>
      </c>
      <c r="M954" t="s">
        <v>631</v>
      </c>
      <c r="N954" t="s">
        <v>15</v>
      </c>
      <c r="O954" t="s">
        <v>44</v>
      </c>
    </row>
    <row r="955" spans="1:15" x14ac:dyDescent="0.25">
      <c r="A955" t="s">
        <v>1729</v>
      </c>
      <c r="B955" t="s">
        <v>100</v>
      </c>
      <c r="C955" t="s">
        <v>621</v>
      </c>
      <c r="D955" t="s">
        <v>618</v>
      </c>
      <c r="E955" t="s">
        <v>622</v>
      </c>
      <c r="F955" s="213" t="s">
        <v>56</v>
      </c>
      <c r="G955" t="s">
        <v>66</v>
      </c>
      <c r="H955" t="s">
        <v>84</v>
      </c>
      <c r="I955" t="s">
        <v>623</v>
      </c>
      <c r="J955" t="s">
        <v>56</v>
      </c>
      <c r="K955" t="s">
        <v>15</v>
      </c>
      <c r="L955" t="s">
        <v>632</v>
      </c>
      <c r="M955" t="s">
        <v>631</v>
      </c>
      <c r="N955" t="s">
        <v>3</v>
      </c>
      <c r="O955" t="s">
        <v>695</v>
      </c>
    </row>
    <row r="956" spans="1:15" x14ac:dyDescent="0.25">
      <c r="A956" t="s">
        <v>1730</v>
      </c>
      <c r="B956" t="s">
        <v>100</v>
      </c>
      <c r="C956" t="s">
        <v>621</v>
      </c>
      <c r="D956" t="s">
        <v>618</v>
      </c>
      <c r="E956" t="s">
        <v>622</v>
      </c>
      <c r="F956" s="213" t="s">
        <v>56</v>
      </c>
      <c r="G956" t="s">
        <v>66</v>
      </c>
      <c r="H956" t="s">
        <v>84</v>
      </c>
      <c r="I956" t="s">
        <v>623</v>
      </c>
      <c r="J956" t="s">
        <v>56</v>
      </c>
      <c r="K956" t="s">
        <v>27</v>
      </c>
      <c r="L956" t="s">
        <v>626</v>
      </c>
      <c r="M956" t="s">
        <v>49</v>
      </c>
      <c r="N956" t="s">
        <v>645</v>
      </c>
      <c r="O956" t="s">
        <v>1492</v>
      </c>
    </row>
    <row r="957" spans="1:15" x14ac:dyDescent="0.25">
      <c r="A957" t="s">
        <v>1731</v>
      </c>
      <c r="B957" t="s">
        <v>100</v>
      </c>
      <c r="C957" t="s">
        <v>621</v>
      </c>
      <c r="D957" t="s">
        <v>618</v>
      </c>
      <c r="E957" t="s">
        <v>622</v>
      </c>
      <c r="F957" s="213" t="s">
        <v>56</v>
      </c>
      <c r="G957" t="s">
        <v>66</v>
      </c>
      <c r="H957" t="s">
        <v>84</v>
      </c>
      <c r="I957" t="s">
        <v>623</v>
      </c>
      <c r="J957" t="s">
        <v>56</v>
      </c>
      <c r="K957" t="s">
        <v>25</v>
      </c>
      <c r="L957" t="s">
        <v>628</v>
      </c>
      <c r="M957" t="s">
        <v>49</v>
      </c>
      <c r="N957" t="s">
        <v>1643</v>
      </c>
      <c r="O957" t="s">
        <v>1691</v>
      </c>
    </row>
    <row r="958" spans="1:15" x14ac:dyDescent="0.25">
      <c r="A958" t="s">
        <v>1732</v>
      </c>
      <c r="B958" t="s">
        <v>100</v>
      </c>
      <c r="C958" t="s">
        <v>621</v>
      </c>
      <c r="D958" t="s">
        <v>618</v>
      </c>
      <c r="E958" t="s">
        <v>622</v>
      </c>
      <c r="F958" s="213" t="s">
        <v>56</v>
      </c>
      <c r="G958" t="s">
        <v>66</v>
      </c>
      <c r="H958" t="s">
        <v>84</v>
      </c>
      <c r="I958" t="s">
        <v>623</v>
      </c>
      <c r="J958" t="s">
        <v>56</v>
      </c>
      <c r="K958" t="s">
        <v>22</v>
      </c>
      <c r="L958" t="s">
        <v>630</v>
      </c>
      <c r="M958" t="s">
        <v>49</v>
      </c>
      <c r="N958" t="s">
        <v>735</v>
      </c>
      <c r="O958" t="s">
        <v>1691</v>
      </c>
    </row>
    <row r="959" spans="1:15" x14ac:dyDescent="0.25">
      <c r="A959" t="s">
        <v>1733</v>
      </c>
      <c r="B959" t="s">
        <v>100</v>
      </c>
      <c r="C959" t="s">
        <v>621</v>
      </c>
      <c r="D959" t="s">
        <v>618</v>
      </c>
      <c r="E959" t="s">
        <v>622</v>
      </c>
      <c r="F959" s="213" t="s">
        <v>56</v>
      </c>
      <c r="G959" t="s">
        <v>66</v>
      </c>
      <c r="H959" t="s">
        <v>84</v>
      </c>
      <c r="I959" t="s">
        <v>623</v>
      </c>
      <c r="J959" t="s">
        <v>56</v>
      </c>
      <c r="K959" t="s">
        <v>19</v>
      </c>
      <c r="L959" t="s">
        <v>625</v>
      </c>
      <c r="M959" t="s">
        <v>49</v>
      </c>
      <c r="N959" t="s">
        <v>1646</v>
      </c>
      <c r="O959" t="s">
        <v>1497</v>
      </c>
    </row>
    <row r="960" spans="1:15" x14ac:dyDescent="0.25">
      <c r="A960" t="s">
        <v>1734</v>
      </c>
      <c r="B960" t="s">
        <v>100</v>
      </c>
      <c r="C960" t="s">
        <v>621</v>
      </c>
      <c r="D960" t="s">
        <v>618</v>
      </c>
      <c r="E960" t="s">
        <v>622</v>
      </c>
      <c r="F960" s="213" t="s">
        <v>56</v>
      </c>
      <c r="G960" t="s">
        <v>66</v>
      </c>
      <c r="H960" t="s">
        <v>84</v>
      </c>
      <c r="I960" t="s">
        <v>623</v>
      </c>
      <c r="J960" t="s">
        <v>56</v>
      </c>
      <c r="K960" t="s">
        <v>15</v>
      </c>
      <c r="L960" t="s">
        <v>632</v>
      </c>
      <c r="M960" t="s">
        <v>49</v>
      </c>
      <c r="N960" t="s">
        <v>1433</v>
      </c>
      <c r="O960" t="s">
        <v>1703</v>
      </c>
    </row>
    <row r="961" spans="1:15" x14ac:dyDescent="0.25">
      <c r="A961" t="s">
        <v>1735</v>
      </c>
      <c r="B961" t="s">
        <v>100</v>
      </c>
      <c r="C961" t="s">
        <v>621</v>
      </c>
      <c r="D961" t="s">
        <v>618</v>
      </c>
      <c r="E961" t="s">
        <v>622</v>
      </c>
      <c r="F961" s="213" t="s">
        <v>56</v>
      </c>
      <c r="G961" t="s">
        <v>66</v>
      </c>
      <c r="H961" t="s">
        <v>84</v>
      </c>
      <c r="I961" t="s">
        <v>623</v>
      </c>
      <c r="J961" t="s">
        <v>56</v>
      </c>
      <c r="K961" t="s">
        <v>12</v>
      </c>
      <c r="L961" t="s">
        <v>629</v>
      </c>
      <c r="M961" t="s">
        <v>49</v>
      </c>
      <c r="N961" t="s">
        <v>793</v>
      </c>
      <c r="O961" t="s">
        <v>1451</v>
      </c>
    </row>
    <row r="962" spans="1:15" x14ac:dyDescent="0.25">
      <c r="A962" t="s">
        <v>1736</v>
      </c>
      <c r="B962" t="s">
        <v>100</v>
      </c>
      <c r="C962" t="s">
        <v>621</v>
      </c>
      <c r="D962" t="s">
        <v>618</v>
      </c>
      <c r="E962" t="s">
        <v>622</v>
      </c>
      <c r="F962" s="213" t="s">
        <v>56</v>
      </c>
      <c r="G962" t="s">
        <v>66</v>
      </c>
      <c r="H962" t="s">
        <v>84</v>
      </c>
      <c r="I962" t="s">
        <v>623</v>
      </c>
      <c r="J962" t="s">
        <v>56</v>
      </c>
      <c r="K962" t="s">
        <v>10</v>
      </c>
      <c r="L962" t="s">
        <v>635</v>
      </c>
      <c r="M962" t="s">
        <v>49</v>
      </c>
      <c r="N962" t="s">
        <v>1481</v>
      </c>
      <c r="O962" t="s">
        <v>1691</v>
      </c>
    </row>
    <row r="963" spans="1:15" x14ac:dyDescent="0.25">
      <c r="A963" t="s">
        <v>1737</v>
      </c>
      <c r="B963" t="s">
        <v>100</v>
      </c>
      <c r="C963" t="s">
        <v>621</v>
      </c>
      <c r="D963" t="s">
        <v>618</v>
      </c>
      <c r="E963" t="s">
        <v>622</v>
      </c>
      <c r="F963" s="213" t="s">
        <v>56</v>
      </c>
      <c r="G963" t="s">
        <v>66</v>
      </c>
      <c r="H963" t="s">
        <v>84</v>
      </c>
      <c r="I963" t="s">
        <v>623</v>
      </c>
      <c r="J963" t="s">
        <v>56</v>
      </c>
      <c r="K963" t="s">
        <v>8</v>
      </c>
      <c r="L963" t="s">
        <v>637</v>
      </c>
      <c r="M963" t="s">
        <v>49</v>
      </c>
      <c r="N963" t="s">
        <v>1738</v>
      </c>
      <c r="O963" t="s">
        <v>1503</v>
      </c>
    </row>
    <row r="964" spans="1:15" x14ac:dyDescent="0.25">
      <c r="A964" t="s">
        <v>1739</v>
      </c>
      <c r="B964" t="s">
        <v>100</v>
      </c>
      <c r="C964" t="s">
        <v>621</v>
      </c>
      <c r="D964" t="s">
        <v>618</v>
      </c>
      <c r="E964" t="s">
        <v>622</v>
      </c>
      <c r="F964" s="213" t="s">
        <v>56</v>
      </c>
      <c r="G964" t="s">
        <v>66</v>
      </c>
      <c r="H964" t="s">
        <v>84</v>
      </c>
      <c r="I964" t="s">
        <v>623</v>
      </c>
      <c r="J964" t="s">
        <v>56</v>
      </c>
      <c r="K964" t="s">
        <v>6</v>
      </c>
      <c r="L964" t="s">
        <v>639</v>
      </c>
      <c r="M964" t="s">
        <v>49</v>
      </c>
      <c r="N964" t="s">
        <v>1224</v>
      </c>
      <c r="O964" t="s">
        <v>1492</v>
      </c>
    </row>
    <row r="965" spans="1:15" x14ac:dyDescent="0.25">
      <c r="A965" t="s">
        <v>1740</v>
      </c>
      <c r="B965" t="s">
        <v>100</v>
      </c>
      <c r="C965" t="s">
        <v>621</v>
      </c>
      <c r="D965" t="s">
        <v>618</v>
      </c>
      <c r="E965" t="s">
        <v>622</v>
      </c>
      <c r="F965" s="213" t="s">
        <v>56</v>
      </c>
      <c r="G965" t="s">
        <v>66</v>
      </c>
      <c r="H965" t="s">
        <v>84</v>
      </c>
      <c r="I965" t="s">
        <v>623</v>
      </c>
      <c r="J965" t="s">
        <v>56</v>
      </c>
      <c r="K965" t="s">
        <v>4</v>
      </c>
      <c r="L965" t="s">
        <v>662</v>
      </c>
      <c r="M965" t="s">
        <v>49</v>
      </c>
      <c r="N965" t="s">
        <v>1108</v>
      </c>
      <c r="O965" t="s">
        <v>1691</v>
      </c>
    </row>
    <row r="966" spans="1:15" x14ac:dyDescent="0.25">
      <c r="A966" t="s">
        <v>1741</v>
      </c>
      <c r="B966" t="s">
        <v>100</v>
      </c>
      <c r="C966" t="s">
        <v>621</v>
      </c>
      <c r="D966" t="s">
        <v>618</v>
      </c>
      <c r="E966" t="s">
        <v>622</v>
      </c>
      <c r="F966" s="213" t="s">
        <v>56</v>
      </c>
      <c r="G966" t="s">
        <v>66</v>
      </c>
      <c r="H966" t="s">
        <v>84</v>
      </c>
      <c r="I966" t="s">
        <v>623</v>
      </c>
      <c r="J966" t="s">
        <v>56</v>
      </c>
      <c r="K966" t="s">
        <v>2</v>
      </c>
      <c r="L966" t="s">
        <v>749</v>
      </c>
      <c r="M966" t="s">
        <v>49</v>
      </c>
      <c r="N966" t="s">
        <v>419</v>
      </c>
      <c r="O966" t="s">
        <v>1497</v>
      </c>
    </row>
    <row r="967" spans="1:15" x14ac:dyDescent="0.25">
      <c r="A967" t="s">
        <v>1742</v>
      </c>
      <c r="B967" t="s">
        <v>100</v>
      </c>
      <c r="C967" t="s">
        <v>621</v>
      </c>
      <c r="D967" t="s">
        <v>618</v>
      </c>
      <c r="E967" t="s">
        <v>622</v>
      </c>
      <c r="F967" s="213" t="s">
        <v>56</v>
      </c>
      <c r="G967" t="s">
        <v>66</v>
      </c>
      <c r="H967" t="s">
        <v>84</v>
      </c>
      <c r="I967" t="s">
        <v>623</v>
      </c>
      <c r="J967" t="s">
        <v>56</v>
      </c>
      <c r="K967" t="s">
        <v>24</v>
      </c>
      <c r="L967" t="s">
        <v>807</v>
      </c>
      <c r="M967" t="s">
        <v>49</v>
      </c>
      <c r="N967" t="s">
        <v>1405</v>
      </c>
      <c r="O967" t="s">
        <v>1497</v>
      </c>
    </row>
    <row r="968" spans="1:15" x14ac:dyDescent="0.25">
      <c r="A968" t="s">
        <v>1743</v>
      </c>
      <c r="B968" t="s">
        <v>100</v>
      </c>
      <c r="C968" t="s">
        <v>621</v>
      </c>
      <c r="D968" t="s">
        <v>618</v>
      </c>
      <c r="E968" t="s">
        <v>622</v>
      </c>
      <c r="F968" s="213" t="s">
        <v>56</v>
      </c>
      <c r="G968" t="s">
        <v>66</v>
      </c>
      <c r="H968" t="s">
        <v>84</v>
      </c>
      <c r="I968" t="s">
        <v>623</v>
      </c>
      <c r="J968" t="s">
        <v>56</v>
      </c>
      <c r="K968" t="s">
        <v>25</v>
      </c>
      <c r="L968" t="s">
        <v>827</v>
      </c>
      <c r="M968" t="s">
        <v>49</v>
      </c>
      <c r="N968" t="s">
        <v>625</v>
      </c>
      <c r="O968" t="s">
        <v>1497</v>
      </c>
    </row>
    <row r="969" spans="1:15" x14ac:dyDescent="0.25">
      <c r="A969" t="s">
        <v>1744</v>
      </c>
      <c r="B969" t="s">
        <v>100</v>
      </c>
      <c r="C969" t="s">
        <v>621</v>
      </c>
      <c r="D969" t="s">
        <v>618</v>
      </c>
      <c r="E969" t="s">
        <v>622</v>
      </c>
      <c r="F969" s="213" t="s">
        <v>56</v>
      </c>
      <c r="G969" t="s">
        <v>66</v>
      </c>
      <c r="H969" t="s">
        <v>84</v>
      </c>
      <c r="I969" t="s">
        <v>623</v>
      </c>
      <c r="J969" t="s">
        <v>56</v>
      </c>
      <c r="K969" t="s">
        <v>26</v>
      </c>
      <c r="L969" t="s">
        <v>729</v>
      </c>
      <c r="M969" t="s">
        <v>49</v>
      </c>
      <c r="N969" t="s">
        <v>1745</v>
      </c>
      <c r="O969" t="s">
        <v>1497</v>
      </c>
    </row>
    <row r="970" spans="1:15" x14ac:dyDescent="0.25">
      <c r="A970" t="s">
        <v>1746</v>
      </c>
      <c r="B970" t="s">
        <v>100</v>
      </c>
      <c r="C970" t="s">
        <v>621</v>
      </c>
      <c r="D970" t="s">
        <v>618</v>
      </c>
      <c r="E970" t="s">
        <v>622</v>
      </c>
      <c r="F970" s="213" t="s">
        <v>56</v>
      </c>
      <c r="G970" t="s">
        <v>66</v>
      </c>
      <c r="H970" t="s">
        <v>84</v>
      </c>
      <c r="I970" t="s">
        <v>623</v>
      </c>
      <c r="J970" t="s">
        <v>56</v>
      </c>
      <c r="K970" t="s">
        <v>28</v>
      </c>
      <c r="L970" t="s">
        <v>698</v>
      </c>
      <c r="M970" t="s">
        <v>49</v>
      </c>
      <c r="N970" t="s">
        <v>1082</v>
      </c>
      <c r="O970" t="s">
        <v>1703</v>
      </c>
    </row>
    <row r="971" spans="1:15" x14ac:dyDescent="0.25">
      <c r="A971" t="s">
        <v>1747</v>
      </c>
      <c r="B971" t="s">
        <v>100</v>
      </c>
      <c r="C971" t="s">
        <v>621</v>
      </c>
      <c r="D971" t="s">
        <v>618</v>
      </c>
      <c r="E971" t="s">
        <v>622</v>
      </c>
      <c r="F971" s="213" t="s">
        <v>56</v>
      </c>
      <c r="G971" t="s">
        <v>66</v>
      </c>
      <c r="H971" t="s">
        <v>84</v>
      </c>
      <c r="I971" t="s">
        <v>623</v>
      </c>
      <c r="J971" t="s">
        <v>56</v>
      </c>
      <c r="K971" t="s">
        <v>30</v>
      </c>
      <c r="L971" t="s">
        <v>631</v>
      </c>
      <c r="M971" t="s">
        <v>49</v>
      </c>
      <c r="N971" t="s">
        <v>632</v>
      </c>
      <c r="O971" t="s">
        <v>1497</v>
      </c>
    </row>
    <row r="972" spans="1:15" x14ac:dyDescent="0.25">
      <c r="A972" t="s">
        <v>1748</v>
      </c>
      <c r="B972" t="s">
        <v>100</v>
      </c>
      <c r="C972" t="s">
        <v>621</v>
      </c>
      <c r="D972" t="s">
        <v>618</v>
      </c>
      <c r="E972" t="s">
        <v>622</v>
      </c>
      <c r="F972" s="213" t="s">
        <v>56</v>
      </c>
      <c r="G972" t="s">
        <v>66</v>
      </c>
      <c r="H972" t="s">
        <v>84</v>
      </c>
      <c r="I972" t="s">
        <v>623</v>
      </c>
      <c r="J972" t="s">
        <v>56</v>
      </c>
      <c r="K972" t="s">
        <v>32</v>
      </c>
      <c r="L972" t="s">
        <v>101</v>
      </c>
      <c r="M972" t="s">
        <v>49</v>
      </c>
      <c r="N972" t="s">
        <v>94</v>
      </c>
      <c r="O972" t="s">
        <v>656</v>
      </c>
    </row>
    <row r="973" spans="1:15" x14ac:dyDescent="0.25">
      <c r="A973" t="s">
        <v>1749</v>
      </c>
      <c r="B973" t="s">
        <v>100</v>
      </c>
      <c r="C973" t="s">
        <v>621</v>
      </c>
      <c r="D973" t="s">
        <v>618</v>
      </c>
      <c r="E973" t="s">
        <v>622</v>
      </c>
      <c r="F973" s="213" t="s">
        <v>56</v>
      </c>
      <c r="G973" t="s">
        <v>66</v>
      </c>
      <c r="H973" t="s">
        <v>84</v>
      </c>
      <c r="I973" t="s">
        <v>623</v>
      </c>
      <c r="J973" t="s">
        <v>56</v>
      </c>
      <c r="K973" t="s">
        <v>25</v>
      </c>
      <c r="L973" t="s">
        <v>46</v>
      </c>
      <c r="M973" t="s">
        <v>49</v>
      </c>
      <c r="N973" t="s">
        <v>78</v>
      </c>
      <c r="O973" t="s">
        <v>755</v>
      </c>
    </row>
    <row r="974" spans="1:15" x14ac:dyDescent="0.25">
      <c r="A974" t="s">
        <v>1750</v>
      </c>
      <c r="B974" t="s">
        <v>100</v>
      </c>
      <c r="C974" t="s">
        <v>621</v>
      </c>
      <c r="D974" t="s">
        <v>618</v>
      </c>
      <c r="E974" t="s">
        <v>622</v>
      </c>
      <c r="F974" s="213" t="s">
        <v>56</v>
      </c>
      <c r="G974" t="s">
        <v>66</v>
      </c>
      <c r="H974" t="s">
        <v>84</v>
      </c>
      <c r="I974" t="s">
        <v>623</v>
      </c>
      <c r="J974" t="s">
        <v>56</v>
      </c>
      <c r="K974" t="s">
        <v>28</v>
      </c>
      <c r="L974" t="s">
        <v>39</v>
      </c>
      <c r="M974" t="s">
        <v>49</v>
      </c>
      <c r="N974" t="s">
        <v>34</v>
      </c>
      <c r="O974" t="s">
        <v>1209</v>
      </c>
    </row>
    <row r="975" spans="1:15" x14ac:dyDescent="0.25">
      <c r="A975" t="s">
        <v>1751</v>
      </c>
      <c r="B975" t="s">
        <v>100</v>
      </c>
      <c r="C975" t="s">
        <v>621</v>
      </c>
      <c r="D975" t="s">
        <v>618</v>
      </c>
      <c r="E975" t="s">
        <v>622</v>
      </c>
      <c r="F975" s="213" t="s">
        <v>56</v>
      </c>
      <c r="G975" t="s">
        <v>66</v>
      </c>
      <c r="H975" t="s">
        <v>84</v>
      </c>
      <c r="I975" t="s">
        <v>623</v>
      </c>
      <c r="J975" t="s">
        <v>56</v>
      </c>
      <c r="K975" t="s">
        <v>30</v>
      </c>
      <c r="L975" t="s">
        <v>35</v>
      </c>
      <c r="M975" t="s">
        <v>49</v>
      </c>
      <c r="N975" t="s">
        <v>30</v>
      </c>
      <c r="O975" t="s">
        <v>1344</v>
      </c>
    </row>
    <row r="976" spans="1:15" x14ac:dyDescent="0.25">
      <c r="A976" t="s">
        <v>1752</v>
      </c>
      <c r="B976" t="s">
        <v>100</v>
      </c>
      <c r="C976" t="s">
        <v>621</v>
      </c>
      <c r="D976" t="s">
        <v>618</v>
      </c>
      <c r="E976" t="s">
        <v>622</v>
      </c>
      <c r="F976" s="213" t="s">
        <v>56</v>
      </c>
      <c r="G976" t="s">
        <v>66</v>
      </c>
      <c r="H976" t="s">
        <v>84</v>
      </c>
      <c r="I976" t="s">
        <v>623</v>
      </c>
      <c r="J976" t="s">
        <v>56</v>
      </c>
      <c r="K976" t="s">
        <v>30</v>
      </c>
      <c r="L976" t="s">
        <v>624</v>
      </c>
      <c r="M976" t="s">
        <v>47</v>
      </c>
      <c r="N976" t="s">
        <v>1753</v>
      </c>
      <c r="O976" t="s">
        <v>628</v>
      </c>
    </row>
    <row r="977" spans="1:15" x14ac:dyDescent="0.25">
      <c r="A977" t="s">
        <v>1754</v>
      </c>
      <c r="B977" t="s">
        <v>100</v>
      </c>
      <c r="C977" t="s">
        <v>621</v>
      </c>
      <c r="D977" t="s">
        <v>618</v>
      </c>
      <c r="E977" t="s">
        <v>622</v>
      </c>
      <c r="F977" s="213" t="s">
        <v>56</v>
      </c>
      <c r="G977" t="s">
        <v>66</v>
      </c>
      <c r="H977" t="s">
        <v>84</v>
      </c>
      <c r="I977" t="s">
        <v>623</v>
      </c>
      <c r="J977" t="s">
        <v>56</v>
      </c>
      <c r="K977" t="s">
        <v>31</v>
      </c>
      <c r="L977" t="s">
        <v>654</v>
      </c>
      <c r="M977" t="s">
        <v>47</v>
      </c>
      <c r="N977" t="s">
        <v>1584</v>
      </c>
      <c r="O977" t="s">
        <v>642</v>
      </c>
    </row>
    <row r="978" spans="1:15" x14ac:dyDescent="0.25">
      <c r="A978" t="s">
        <v>1755</v>
      </c>
      <c r="B978" t="s">
        <v>100</v>
      </c>
      <c r="C978" t="s">
        <v>621</v>
      </c>
      <c r="D978" t="s">
        <v>618</v>
      </c>
      <c r="E978" t="s">
        <v>622</v>
      </c>
      <c r="F978" s="213" t="s">
        <v>56</v>
      </c>
      <c r="G978" t="s">
        <v>66</v>
      </c>
      <c r="H978" t="s">
        <v>84</v>
      </c>
      <c r="I978" t="s">
        <v>623</v>
      </c>
      <c r="J978" t="s">
        <v>56</v>
      </c>
      <c r="K978" t="s">
        <v>33</v>
      </c>
      <c r="L978" t="s">
        <v>418</v>
      </c>
      <c r="M978" t="s">
        <v>47</v>
      </c>
      <c r="N978" t="s">
        <v>71</v>
      </c>
      <c r="O978" t="s">
        <v>875</v>
      </c>
    </row>
    <row r="979" spans="1:15" x14ac:dyDescent="0.25">
      <c r="A979" t="s">
        <v>1756</v>
      </c>
      <c r="B979" t="s">
        <v>100</v>
      </c>
      <c r="C979" t="s">
        <v>621</v>
      </c>
      <c r="D979" t="s">
        <v>618</v>
      </c>
      <c r="E979" t="s">
        <v>622</v>
      </c>
      <c r="F979" s="213" t="s">
        <v>56</v>
      </c>
      <c r="G979" t="s">
        <v>66</v>
      </c>
      <c r="H979" t="s">
        <v>84</v>
      </c>
      <c r="I979" t="s">
        <v>623</v>
      </c>
      <c r="J979" t="s">
        <v>56</v>
      </c>
      <c r="K979" t="s">
        <v>23</v>
      </c>
      <c r="L979" t="s">
        <v>630</v>
      </c>
      <c r="M979" t="s">
        <v>47</v>
      </c>
      <c r="N979" t="s">
        <v>18</v>
      </c>
      <c r="O979" t="s">
        <v>1757</v>
      </c>
    </row>
    <row r="980" spans="1:15" x14ac:dyDescent="0.25">
      <c r="A980" t="s">
        <v>1758</v>
      </c>
      <c r="B980" t="s">
        <v>100</v>
      </c>
      <c r="C980" t="s">
        <v>621</v>
      </c>
      <c r="D980" t="s">
        <v>618</v>
      </c>
      <c r="E980" t="s">
        <v>622</v>
      </c>
      <c r="F980" s="213" t="s">
        <v>56</v>
      </c>
      <c r="G980" t="s">
        <v>66</v>
      </c>
      <c r="H980" t="s">
        <v>84</v>
      </c>
      <c r="I980" t="s">
        <v>623</v>
      </c>
      <c r="J980" t="s">
        <v>56</v>
      </c>
      <c r="K980" t="s">
        <v>20</v>
      </c>
      <c r="L980" t="s">
        <v>625</v>
      </c>
      <c r="M980" t="s">
        <v>47</v>
      </c>
      <c r="N980" t="s">
        <v>13</v>
      </c>
      <c r="O980" t="s">
        <v>1619</v>
      </c>
    </row>
    <row r="981" spans="1:15" x14ac:dyDescent="0.25">
      <c r="A981" t="s">
        <v>1759</v>
      </c>
      <c r="B981" t="s">
        <v>100</v>
      </c>
      <c r="C981" t="s">
        <v>621</v>
      </c>
      <c r="D981" t="s">
        <v>618</v>
      </c>
      <c r="E981" t="s">
        <v>622</v>
      </c>
      <c r="F981" s="213" t="s">
        <v>56</v>
      </c>
      <c r="G981" t="s">
        <v>66</v>
      </c>
      <c r="H981" t="s">
        <v>84</v>
      </c>
      <c r="I981" t="s">
        <v>623</v>
      </c>
      <c r="J981" t="s">
        <v>56</v>
      </c>
      <c r="K981" t="s">
        <v>16</v>
      </c>
      <c r="L981" t="s">
        <v>632</v>
      </c>
      <c r="M981" t="s">
        <v>47</v>
      </c>
      <c r="N981" t="s">
        <v>60</v>
      </c>
      <c r="O981" t="s">
        <v>1231</v>
      </c>
    </row>
    <row r="982" spans="1:15" x14ac:dyDescent="0.25">
      <c r="A982" t="s">
        <v>1760</v>
      </c>
      <c r="B982" t="s">
        <v>100</v>
      </c>
      <c r="C982" t="s">
        <v>621</v>
      </c>
      <c r="D982" t="s">
        <v>618</v>
      </c>
      <c r="E982" t="s">
        <v>622</v>
      </c>
      <c r="F982" s="213" t="s">
        <v>56</v>
      </c>
      <c r="G982" t="s">
        <v>66</v>
      </c>
      <c r="H982" t="s">
        <v>84</v>
      </c>
      <c r="I982" t="s">
        <v>623</v>
      </c>
      <c r="J982" t="s">
        <v>56</v>
      </c>
      <c r="K982" t="s">
        <v>13</v>
      </c>
      <c r="L982" t="s">
        <v>629</v>
      </c>
      <c r="M982" t="s">
        <v>47</v>
      </c>
      <c r="N982" t="s">
        <v>56</v>
      </c>
      <c r="O982" t="s">
        <v>812</v>
      </c>
    </row>
    <row r="983" spans="1:15" x14ac:dyDescent="0.25">
      <c r="A983" t="s">
        <v>1761</v>
      </c>
      <c r="B983" t="s">
        <v>100</v>
      </c>
      <c r="C983" t="s">
        <v>621</v>
      </c>
      <c r="D983" t="s">
        <v>618</v>
      </c>
      <c r="E983" t="s">
        <v>622</v>
      </c>
      <c r="F983" s="213" t="s">
        <v>56</v>
      </c>
      <c r="G983" t="s">
        <v>66</v>
      </c>
      <c r="H983" t="s">
        <v>84</v>
      </c>
      <c r="I983" t="s">
        <v>623</v>
      </c>
      <c r="J983" t="s">
        <v>56</v>
      </c>
      <c r="K983" t="s">
        <v>10</v>
      </c>
      <c r="L983" t="s">
        <v>695</v>
      </c>
      <c r="M983" t="s">
        <v>47</v>
      </c>
      <c r="N983" t="s">
        <v>1691</v>
      </c>
      <c r="O983" t="s">
        <v>654</v>
      </c>
    </row>
    <row r="984" spans="1:15" x14ac:dyDescent="0.25">
      <c r="A984" t="s">
        <v>1762</v>
      </c>
      <c r="B984" t="s">
        <v>100</v>
      </c>
      <c r="C984" t="s">
        <v>621</v>
      </c>
      <c r="D984" t="s">
        <v>618</v>
      </c>
      <c r="E984" t="s">
        <v>622</v>
      </c>
      <c r="F984" s="213" t="s">
        <v>56</v>
      </c>
      <c r="G984" t="s">
        <v>66</v>
      </c>
      <c r="H984" t="s">
        <v>84</v>
      </c>
      <c r="I984" t="s">
        <v>623</v>
      </c>
      <c r="J984" t="s">
        <v>56</v>
      </c>
      <c r="K984" t="s">
        <v>8</v>
      </c>
      <c r="L984" t="s">
        <v>656</v>
      </c>
      <c r="M984" t="s">
        <v>47</v>
      </c>
      <c r="N984" t="s">
        <v>1181</v>
      </c>
      <c r="O984" t="s">
        <v>1492</v>
      </c>
    </row>
    <row r="985" spans="1:15" x14ac:dyDescent="0.25">
      <c r="A985" t="s">
        <v>1763</v>
      </c>
      <c r="B985" t="s">
        <v>100</v>
      </c>
      <c r="C985" t="s">
        <v>621</v>
      </c>
      <c r="D985" t="s">
        <v>618</v>
      </c>
      <c r="E985" t="s">
        <v>622</v>
      </c>
      <c r="F985" s="213" t="s">
        <v>56</v>
      </c>
      <c r="G985" t="s">
        <v>66</v>
      </c>
      <c r="H985" t="s">
        <v>84</v>
      </c>
      <c r="I985" t="s">
        <v>623</v>
      </c>
      <c r="J985" t="s">
        <v>56</v>
      </c>
      <c r="K985" t="s">
        <v>6</v>
      </c>
      <c r="L985" t="s">
        <v>809</v>
      </c>
      <c r="M985" t="s">
        <v>47</v>
      </c>
      <c r="N985" t="s">
        <v>84</v>
      </c>
      <c r="O985" t="s">
        <v>627</v>
      </c>
    </row>
    <row r="986" spans="1:15" x14ac:dyDescent="0.25">
      <c r="A986" t="s">
        <v>1764</v>
      </c>
      <c r="B986" t="s">
        <v>100</v>
      </c>
      <c r="C986" t="s">
        <v>621</v>
      </c>
      <c r="D986" t="s">
        <v>618</v>
      </c>
      <c r="E986" t="s">
        <v>622</v>
      </c>
      <c r="F986" s="213" t="s">
        <v>56</v>
      </c>
      <c r="G986" t="s">
        <v>66</v>
      </c>
      <c r="H986" t="s">
        <v>84</v>
      </c>
      <c r="I986" t="s">
        <v>623</v>
      </c>
      <c r="J986" t="s">
        <v>56</v>
      </c>
      <c r="K986" t="s">
        <v>4</v>
      </c>
      <c r="L986" t="s">
        <v>644</v>
      </c>
      <c r="M986" t="s">
        <v>47</v>
      </c>
      <c r="N986" t="s">
        <v>76</v>
      </c>
      <c r="O986" t="s">
        <v>975</v>
      </c>
    </row>
    <row r="987" spans="1:15" x14ac:dyDescent="0.25">
      <c r="A987" t="s">
        <v>1765</v>
      </c>
      <c r="B987" t="s">
        <v>100</v>
      </c>
      <c r="C987" t="s">
        <v>621</v>
      </c>
      <c r="D987" t="s">
        <v>618</v>
      </c>
      <c r="E987" t="s">
        <v>622</v>
      </c>
      <c r="F987" s="213" t="s">
        <v>56</v>
      </c>
      <c r="G987" t="s">
        <v>66</v>
      </c>
      <c r="H987" t="s">
        <v>84</v>
      </c>
      <c r="I987" t="s">
        <v>623</v>
      </c>
      <c r="J987" t="s">
        <v>56</v>
      </c>
      <c r="K987" t="s">
        <v>2</v>
      </c>
      <c r="L987" t="s">
        <v>735</v>
      </c>
      <c r="M987" t="s">
        <v>47</v>
      </c>
      <c r="N987" t="s">
        <v>1766</v>
      </c>
      <c r="O987" t="s">
        <v>1451</v>
      </c>
    </row>
    <row r="988" spans="1:15" x14ac:dyDescent="0.25">
      <c r="A988" t="s">
        <v>1767</v>
      </c>
      <c r="B988" t="s">
        <v>100</v>
      </c>
      <c r="C988" t="s">
        <v>621</v>
      </c>
      <c r="D988" t="s">
        <v>618</v>
      </c>
      <c r="E988" t="s">
        <v>622</v>
      </c>
      <c r="F988" s="213" t="s">
        <v>56</v>
      </c>
      <c r="G988" t="s">
        <v>66</v>
      </c>
      <c r="H988" t="s">
        <v>84</v>
      </c>
      <c r="I988" t="s">
        <v>623</v>
      </c>
      <c r="J988" t="s">
        <v>56</v>
      </c>
      <c r="K988" t="s">
        <v>1</v>
      </c>
      <c r="L988" t="s">
        <v>741</v>
      </c>
      <c r="M988" t="s">
        <v>47</v>
      </c>
      <c r="N988" t="s">
        <v>96</v>
      </c>
      <c r="O988" t="s">
        <v>695</v>
      </c>
    </row>
    <row r="989" spans="1:15" x14ac:dyDescent="0.25">
      <c r="A989" t="s">
        <v>1768</v>
      </c>
      <c r="B989" t="s">
        <v>100</v>
      </c>
      <c r="C989" t="s">
        <v>621</v>
      </c>
      <c r="D989" t="s">
        <v>618</v>
      </c>
      <c r="E989" t="s">
        <v>622</v>
      </c>
      <c r="F989" s="213" t="s">
        <v>56</v>
      </c>
      <c r="G989" t="s">
        <v>66</v>
      </c>
      <c r="H989" t="s">
        <v>84</v>
      </c>
      <c r="I989" t="s">
        <v>623</v>
      </c>
      <c r="J989" t="s">
        <v>56</v>
      </c>
      <c r="K989" t="s">
        <v>27</v>
      </c>
      <c r="L989" t="s">
        <v>626</v>
      </c>
      <c r="M989" t="s">
        <v>50</v>
      </c>
      <c r="N989" t="s">
        <v>1558</v>
      </c>
      <c r="O989" t="s">
        <v>1691</v>
      </c>
    </row>
    <row r="990" spans="1:15" x14ac:dyDescent="0.25">
      <c r="A990" t="s">
        <v>1769</v>
      </c>
      <c r="B990" t="s">
        <v>100</v>
      </c>
      <c r="C990" t="s">
        <v>621</v>
      </c>
      <c r="D990" t="s">
        <v>618</v>
      </c>
      <c r="E990" t="s">
        <v>622</v>
      </c>
      <c r="F990" s="213" t="s">
        <v>56</v>
      </c>
      <c r="G990" t="s">
        <v>66</v>
      </c>
      <c r="H990" t="s">
        <v>84</v>
      </c>
      <c r="I990" t="s">
        <v>623</v>
      </c>
      <c r="J990" t="s">
        <v>56</v>
      </c>
      <c r="K990" t="s">
        <v>25</v>
      </c>
      <c r="L990" t="s">
        <v>628</v>
      </c>
      <c r="M990" t="s">
        <v>50</v>
      </c>
      <c r="N990" t="s">
        <v>1381</v>
      </c>
      <c r="O990" t="s">
        <v>1691</v>
      </c>
    </row>
    <row r="991" spans="1:15" x14ac:dyDescent="0.25">
      <c r="A991" t="s">
        <v>1770</v>
      </c>
      <c r="B991" t="s">
        <v>100</v>
      </c>
      <c r="C991" t="s">
        <v>621</v>
      </c>
      <c r="D991" t="s">
        <v>618</v>
      </c>
      <c r="E991" t="s">
        <v>622</v>
      </c>
      <c r="F991" s="213" t="s">
        <v>56</v>
      </c>
      <c r="G991" t="s">
        <v>66</v>
      </c>
      <c r="H991" t="s">
        <v>84</v>
      </c>
      <c r="I991" t="s">
        <v>623</v>
      </c>
      <c r="J991" t="s">
        <v>56</v>
      </c>
      <c r="K991" t="s">
        <v>22</v>
      </c>
      <c r="L991" t="s">
        <v>630</v>
      </c>
      <c r="M991" t="s">
        <v>50</v>
      </c>
      <c r="N991" t="s">
        <v>628</v>
      </c>
      <c r="O991" t="s">
        <v>1492</v>
      </c>
    </row>
    <row r="992" spans="1:15" x14ac:dyDescent="0.25">
      <c r="A992" t="s">
        <v>1771</v>
      </c>
      <c r="B992" t="s">
        <v>100</v>
      </c>
      <c r="C992" t="s">
        <v>621</v>
      </c>
      <c r="D992" t="s">
        <v>618</v>
      </c>
      <c r="E992" t="s">
        <v>622</v>
      </c>
      <c r="F992" s="213" t="s">
        <v>56</v>
      </c>
      <c r="G992" t="s">
        <v>66</v>
      </c>
      <c r="H992" t="s">
        <v>84</v>
      </c>
      <c r="I992" t="s">
        <v>623</v>
      </c>
      <c r="J992" t="s">
        <v>56</v>
      </c>
      <c r="K992" t="s">
        <v>19</v>
      </c>
      <c r="L992" t="s">
        <v>625</v>
      </c>
      <c r="M992" t="s">
        <v>50</v>
      </c>
      <c r="N992" t="s">
        <v>627</v>
      </c>
      <c r="O992" t="s">
        <v>1503</v>
      </c>
    </row>
    <row r="993" spans="1:15" x14ac:dyDescent="0.25">
      <c r="A993" t="s">
        <v>1772</v>
      </c>
      <c r="B993" t="s">
        <v>100</v>
      </c>
      <c r="C993" t="s">
        <v>621</v>
      </c>
      <c r="D993" t="s">
        <v>618</v>
      </c>
      <c r="E993" t="s">
        <v>622</v>
      </c>
      <c r="F993" s="213" t="s">
        <v>56</v>
      </c>
      <c r="G993" t="s">
        <v>66</v>
      </c>
      <c r="H993" t="s">
        <v>84</v>
      </c>
      <c r="I993" t="s">
        <v>623</v>
      </c>
      <c r="J993" t="s">
        <v>56</v>
      </c>
      <c r="K993" t="s">
        <v>15</v>
      </c>
      <c r="L993" t="s">
        <v>632</v>
      </c>
      <c r="M993" t="s">
        <v>50</v>
      </c>
      <c r="N993" t="s">
        <v>78</v>
      </c>
      <c r="O993" t="s">
        <v>647</v>
      </c>
    </row>
    <row r="994" spans="1:15" x14ac:dyDescent="0.25">
      <c r="A994" t="s">
        <v>1773</v>
      </c>
      <c r="B994" t="s">
        <v>100</v>
      </c>
      <c r="C994" t="s">
        <v>621</v>
      </c>
      <c r="D994" t="s">
        <v>618</v>
      </c>
      <c r="E994" t="s">
        <v>622</v>
      </c>
      <c r="F994" s="213" t="s">
        <v>56</v>
      </c>
      <c r="G994" t="s">
        <v>66</v>
      </c>
      <c r="H994" t="s">
        <v>84</v>
      </c>
      <c r="I994" t="s">
        <v>623</v>
      </c>
      <c r="J994" t="s">
        <v>56</v>
      </c>
      <c r="K994" t="s">
        <v>12</v>
      </c>
      <c r="L994" t="s">
        <v>629</v>
      </c>
      <c r="M994" t="s">
        <v>50</v>
      </c>
      <c r="N994" t="s">
        <v>705</v>
      </c>
      <c r="O994" t="s">
        <v>1410</v>
      </c>
    </row>
    <row r="995" spans="1:15" x14ac:dyDescent="0.25">
      <c r="A995" t="s">
        <v>1774</v>
      </c>
      <c r="B995" t="s">
        <v>100</v>
      </c>
      <c r="C995" t="s">
        <v>621</v>
      </c>
      <c r="D995" t="s">
        <v>618</v>
      </c>
      <c r="E995" t="s">
        <v>622</v>
      </c>
      <c r="F995" s="213" t="s">
        <v>56</v>
      </c>
      <c r="G995" t="s">
        <v>66</v>
      </c>
      <c r="H995" t="s">
        <v>84</v>
      </c>
      <c r="I995" t="s">
        <v>623</v>
      </c>
      <c r="J995" t="s">
        <v>56</v>
      </c>
      <c r="K995" t="s">
        <v>10</v>
      </c>
      <c r="L995" t="s">
        <v>635</v>
      </c>
      <c r="M995" t="s">
        <v>50</v>
      </c>
      <c r="N995" t="s">
        <v>735</v>
      </c>
      <c r="O995" t="s">
        <v>1503</v>
      </c>
    </row>
    <row r="996" spans="1:15" x14ac:dyDescent="0.25">
      <c r="A996" t="s">
        <v>1775</v>
      </c>
      <c r="B996" t="s">
        <v>100</v>
      </c>
      <c r="C996" t="s">
        <v>621</v>
      </c>
      <c r="D996" t="s">
        <v>618</v>
      </c>
      <c r="E996" t="s">
        <v>622</v>
      </c>
      <c r="F996" s="213" t="s">
        <v>56</v>
      </c>
      <c r="G996" t="s">
        <v>66</v>
      </c>
      <c r="H996" t="s">
        <v>84</v>
      </c>
      <c r="I996" t="s">
        <v>623</v>
      </c>
      <c r="J996" t="s">
        <v>56</v>
      </c>
      <c r="K996" t="s">
        <v>8</v>
      </c>
      <c r="L996" t="s">
        <v>637</v>
      </c>
      <c r="M996" t="s">
        <v>50</v>
      </c>
      <c r="N996" t="s">
        <v>1075</v>
      </c>
      <c r="O996" t="s">
        <v>1703</v>
      </c>
    </row>
    <row r="997" spans="1:15" x14ac:dyDescent="0.25">
      <c r="A997" t="s">
        <v>1776</v>
      </c>
      <c r="B997" t="s">
        <v>100</v>
      </c>
      <c r="C997" t="s">
        <v>621</v>
      </c>
      <c r="D997" t="s">
        <v>618</v>
      </c>
      <c r="E997" t="s">
        <v>622</v>
      </c>
      <c r="F997" s="213" t="s">
        <v>56</v>
      </c>
      <c r="G997" t="s">
        <v>66</v>
      </c>
      <c r="H997" t="s">
        <v>84</v>
      </c>
      <c r="I997" t="s">
        <v>623</v>
      </c>
      <c r="J997" t="s">
        <v>56</v>
      </c>
      <c r="K997" t="s">
        <v>6</v>
      </c>
      <c r="L997" t="s">
        <v>639</v>
      </c>
      <c r="M997" t="s">
        <v>50</v>
      </c>
      <c r="N997" t="s">
        <v>1291</v>
      </c>
      <c r="O997" t="s">
        <v>1691</v>
      </c>
    </row>
    <row r="998" spans="1:15" x14ac:dyDescent="0.25">
      <c r="A998" t="s">
        <v>1777</v>
      </c>
      <c r="B998" t="s">
        <v>100</v>
      </c>
      <c r="C998" t="s">
        <v>621</v>
      </c>
      <c r="D998" t="s">
        <v>618</v>
      </c>
      <c r="E998" t="s">
        <v>622</v>
      </c>
      <c r="F998" s="213" t="s">
        <v>56</v>
      </c>
      <c r="G998" t="s">
        <v>66</v>
      </c>
      <c r="H998" t="s">
        <v>84</v>
      </c>
      <c r="I998" t="s">
        <v>623</v>
      </c>
      <c r="J998" t="s">
        <v>56</v>
      </c>
      <c r="K998" t="s">
        <v>4</v>
      </c>
      <c r="L998" t="s">
        <v>662</v>
      </c>
      <c r="M998" t="s">
        <v>50</v>
      </c>
      <c r="N998" t="s">
        <v>1055</v>
      </c>
      <c r="O998" t="s">
        <v>1703</v>
      </c>
    </row>
    <row r="999" spans="1:15" x14ac:dyDescent="0.25">
      <c r="A999" t="s">
        <v>1778</v>
      </c>
      <c r="B999" t="s">
        <v>100</v>
      </c>
      <c r="C999" t="s">
        <v>621</v>
      </c>
      <c r="D999" t="s">
        <v>618</v>
      </c>
      <c r="E999" t="s">
        <v>622</v>
      </c>
      <c r="F999" s="213" t="s">
        <v>56</v>
      </c>
      <c r="G999" t="s">
        <v>66</v>
      </c>
      <c r="H999" t="s">
        <v>84</v>
      </c>
      <c r="I999" t="s">
        <v>623</v>
      </c>
      <c r="J999" t="s">
        <v>56</v>
      </c>
      <c r="K999" t="s">
        <v>2</v>
      </c>
      <c r="L999" t="s">
        <v>749</v>
      </c>
      <c r="M999" t="s">
        <v>50</v>
      </c>
      <c r="N999" t="s">
        <v>1278</v>
      </c>
      <c r="O999" t="s">
        <v>1492</v>
      </c>
    </row>
    <row r="1000" spans="1:15" x14ac:dyDescent="0.25">
      <c r="A1000" t="s">
        <v>1779</v>
      </c>
      <c r="B1000" t="s">
        <v>100</v>
      </c>
      <c r="C1000" t="s">
        <v>621</v>
      </c>
      <c r="D1000" t="s">
        <v>618</v>
      </c>
      <c r="E1000" t="s">
        <v>622</v>
      </c>
      <c r="F1000" s="213" t="s">
        <v>56</v>
      </c>
      <c r="G1000" t="s">
        <v>66</v>
      </c>
      <c r="H1000" t="s">
        <v>84</v>
      </c>
      <c r="I1000" t="s">
        <v>623</v>
      </c>
      <c r="J1000" t="s">
        <v>56</v>
      </c>
      <c r="K1000" t="s">
        <v>24</v>
      </c>
      <c r="L1000" t="s">
        <v>807</v>
      </c>
      <c r="M1000" t="s">
        <v>50</v>
      </c>
      <c r="N1000" t="s">
        <v>1294</v>
      </c>
      <c r="O1000" t="s">
        <v>1492</v>
      </c>
    </row>
    <row r="1001" spans="1:15" x14ac:dyDescent="0.25">
      <c r="A1001" t="s">
        <v>1780</v>
      </c>
      <c r="B1001" t="s">
        <v>100</v>
      </c>
      <c r="C1001" t="s">
        <v>621</v>
      </c>
      <c r="D1001" t="s">
        <v>618</v>
      </c>
      <c r="E1001" t="s">
        <v>622</v>
      </c>
      <c r="F1001" s="213" t="s">
        <v>56</v>
      </c>
      <c r="G1001" t="s">
        <v>66</v>
      </c>
      <c r="H1001" t="s">
        <v>84</v>
      </c>
      <c r="I1001" t="s">
        <v>623</v>
      </c>
      <c r="J1001" t="s">
        <v>56</v>
      </c>
      <c r="K1001" t="s">
        <v>25</v>
      </c>
      <c r="L1001" t="s">
        <v>827</v>
      </c>
      <c r="M1001" t="s">
        <v>50</v>
      </c>
      <c r="N1001" t="s">
        <v>1698</v>
      </c>
      <c r="O1001" t="s">
        <v>1492</v>
      </c>
    </row>
  </sheetData>
  <phoneticPr fontId="31" type="noConversion"/>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11"/>
  <dimension ref="C1:EK660"/>
  <sheetViews>
    <sheetView topLeftCell="BQ1" zoomScaleNormal="100" zoomScaleSheetLayoutView="50" workbookViewId="0">
      <selection activeCell="CG10" sqref="CG10"/>
    </sheetView>
  </sheetViews>
  <sheetFormatPr defaultColWidth="4.7109375" defaultRowHeight="22.9" customHeight="1" x14ac:dyDescent="0.25"/>
  <cols>
    <col min="4" max="5" width="4.7109375" customWidth="1"/>
    <col min="8" max="9" width="4.7109375" customWidth="1"/>
    <col min="11" max="11" width="4.7109375" customWidth="1"/>
    <col min="16" max="16" width="4.5703125" style="176" customWidth="1"/>
    <col min="17" max="17" width="5.28515625" bestFit="1" customWidth="1"/>
    <col min="23" max="23" width="4.5703125" customWidth="1"/>
    <col min="30" max="30" width="4.7109375" customWidth="1"/>
    <col min="37" max="37" width="4.7109375" customWidth="1"/>
    <col min="51" max="51" width="4.85546875" customWidth="1"/>
    <col min="52" max="52" width="5.5703125" customWidth="1"/>
    <col min="53" max="54" width="4.7109375" customWidth="1"/>
    <col min="59" max="59" width="6.28515625" bestFit="1" customWidth="1"/>
    <col min="61" max="64" width="4.7109375" customWidth="1"/>
    <col min="69" max="69" width="5.140625" customWidth="1"/>
    <col min="83" max="83" width="5.42578125" customWidth="1"/>
    <col min="84" max="84" width="4.85546875" bestFit="1" customWidth="1"/>
    <col min="85" max="85" width="5.5703125" bestFit="1" customWidth="1"/>
    <col min="87" max="87" width="5.28515625" bestFit="1" customWidth="1"/>
    <col min="92" max="92" width="6.140625" customWidth="1"/>
    <col min="96" max="96" width="5.5703125" bestFit="1" customWidth="1"/>
    <col min="114" max="114" width="4.85546875" bestFit="1" customWidth="1"/>
    <col min="118" max="118" width="4.85546875" bestFit="1" customWidth="1"/>
    <col min="119" max="119" width="4" customWidth="1"/>
    <col min="120" max="121" width="4.85546875" bestFit="1" customWidth="1"/>
    <col min="123" max="131" width="4.85546875" bestFit="1" customWidth="1"/>
    <col min="133" max="134" width="4.85546875" bestFit="1" customWidth="1"/>
  </cols>
  <sheetData>
    <row r="1" spans="10:136" ht="22.9" customHeight="1" thickBot="1" x14ac:dyDescent="0.3"/>
    <row r="2" spans="10:136" ht="22.9" customHeight="1" thickTop="1" thickBot="1" x14ac:dyDescent="0.3">
      <c r="O2" s="239" t="s">
        <v>592</v>
      </c>
      <c r="P2" s="240"/>
      <c r="Q2" s="240"/>
      <c r="R2" s="240"/>
      <c r="S2" s="240"/>
      <c r="T2" s="240"/>
      <c r="U2" s="241"/>
      <c r="CF2" s="239">
        <v>0</v>
      </c>
      <c r="CG2" s="240"/>
      <c r="CH2" s="240"/>
      <c r="CI2" s="240"/>
      <c r="CJ2" s="240"/>
      <c r="CK2" s="240"/>
      <c r="CL2" s="241"/>
    </row>
    <row r="3" spans="10:136" ht="22.9" customHeight="1" thickTop="1" x14ac:dyDescent="0.25">
      <c r="O3" s="115">
        <f ca="1">K10</f>
        <v>1.89</v>
      </c>
      <c r="P3" s="177" t="s">
        <v>106</v>
      </c>
      <c r="Q3" s="117" t="s">
        <v>106</v>
      </c>
      <c r="R3" s="118" t="s">
        <v>106</v>
      </c>
      <c r="S3" s="119" t="str">
        <f>Изопрайса</f>
        <v>R</v>
      </c>
      <c r="T3" s="120" t="str">
        <f>Изопрайса</f>
        <v>R</v>
      </c>
      <c r="U3" s="121" t="str">
        <f>Изопрайса</f>
        <v>R</v>
      </c>
      <c r="CF3" s="115">
        <f ca="1">CG9</f>
        <v>2.7142857142857144</v>
      </c>
      <c r="CG3" s="116" t="s">
        <v>106</v>
      </c>
      <c r="CH3" s="117" t="s">
        <v>106</v>
      </c>
      <c r="CI3" s="118" t="s">
        <v>108</v>
      </c>
      <c r="CJ3" s="119" t="str">
        <f>Изопрайса</f>
        <v>R</v>
      </c>
      <c r="CK3" s="120" t="str">
        <f>Изопрайса</f>
        <v>R</v>
      </c>
      <c r="CL3" s="121" t="str">
        <f>Изопрайса</f>
        <v>Y</v>
      </c>
    </row>
    <row r="4" spans="10:136" ht="22.9" customHeight="1" thickBot="1" x14ac:dyDescent="0.3">
      <c r="O4" s="46">
        <f ca="1">V9</f>
        <v>3.55</v>
      </c>
      <c r="P4" s="178" t="s">
        <v>107</v>
      </c>
      <c r="Q4" s="48" t="s">
        <v>106</v>
      </c>
      <c r="R4" s="49" t="s">
        <v>106</v>
      </c>
      <c r="S4" s="50" t="str">
        <f>Изопрайса</f>
        <v>T</v>
      </c>
      <c r="T4" s="51" t="str">
        <f>Изопрайса</f>
        <v>R</v>
      </c>
      <c r="U4" s="52" t="str">
        <f>Изопрайса</f>
        <v>R</v>
      </c>
      <c r="CF4" s="46">
        <f ca="1">CN9</f>
        <v>2.5</v>
      </c>
      <c r="CG4" s="47" t="s">
        <v>106</v>
      </c>
      <c r="CH4" s="48" t="s">
        <v>106</v>
      </c>
      <c r="CI4" s="49" t="s">
        <v>108</v>
      </c>
      <c r="CJ4" s="50" t="str">
        <f>Изопрайса</f>
        <v>R</v>
      </c>
      <c r="CK4" s="51" t="str">
        <f>Изопрайса</f>
        <v>R</v>
      </c>
      <c r="CL4" s="52" t="str">
        <f>Изопрайса</f>
        <v>Y</v>
      </c>
    </row>
    <row r="5" spans="10:136" ht="22.9" customHeight="1" thickBot="1" x14ac:dyDescent="0.3">
      <c r="O5" s="53">
        <f ca="1">Матрица_Расчёт</f>
        <v>2.5499999999999998</v>
      </c>
      <c r="P5" s="179" t="s">
        <v>105</v>
      </c>
      <c r="Q5" s="55" t="s">
        <v>107</v>
      </c>
      <c r="R5" s="56" t="s">
        <v>106</v>
      </c>
      <c r="S5" s="57" t="str">
        <f>Изопрайса</f>
        <v>E</v>
      </c>
      <c r="T5" s="58" t="str">
        <f>Изопрайса</f>
        <v>T</v>
      </c>
      <c r="U5" s="59" t="str">
        <f>Изопрайса</f>
        <v>R</v>
      </c>
      <c r="W5" t="s">
        <v>586</v>
      </c>
      <c r="CD5" s="194"/>
      <c r="CE5" s="146"/>
      <c r="CF5" s="53">
        <f ca="1">Матрица_Расчёт</f>
        <v>2.63</v>
      </c>
      <c r="CG5" s="54" t="s">
        <v>107</v>
      </c>
      <c r="CH5" s="55" t="s">
        <v>106</v>
      </c>
      <c r="CI5" s="56" t="s">
        <v>104</v>
      </c>
      <c r="CJ5" s="198" t="str">
        <f>Изопрайса</f>
        <v>T</v>
      </c>
      <c r="CK5" s="199" t="str">
        <f>Изопрайса</f>
        <v>R</v>
      </c>
      <c r="CL5" s="200" t="str">
        <f>Изопрайса</f>
        <v>W</v>
      </c>
      <c r="CM5" s="194"/>
      <c r="CN5" s="194"/>
      <c r="CO5" s="194"/>
      <c r="CP5" s="194"/>
    </row>
    <row r="6" spans="10:136" ht="22.9" customHeight="1" thickTop="1" thickBot="1" x14ac:dyDescent="0.3">
      <c r="BG6" s="194"/>
      <c r="BH6" s="194"/>
      <c r="BI6" s="194"/>
      <c r="BJ6" s="194"/>
      <c r="BK6" s="194"/>
      <c r="CL6" s="194"/>
      <c r="CM6" s="194"/>
      <c r="CN6" s="194"/>
      <c r="CO6" s="194"/>
      <c r="CP6" s="194"/>
      <c r="CQ6" s="194"/>
      <c r="CR6" s="194"/>
      <c r="CS6" s="194"/>
      <c r="CT6" s="194"/>
      <c r="CU6" s="194"/>
      <c r="CV6" s="194"/>
      <c r="CW6" s="194"/>
      <c r="CX6" s="194"/>
      <c r="CY6" s="194"/>
      <c r="CZ6" s="194"/>
      <c r="DA6" s="194"/>
      <c r="DB6" s="194"/>
      <c r="DC6" s="194"/>
      <c r="DD6" s="194"/>
      <c r="DE6" s="194"/>
      <c r="DF6" s="194"/>
      <c r="DG6" s="194"/>
      <c r="DH6" s="194"/>
      <c r="DI6" s="194"/>
      <c r="DJ6" s="194"/>
      <c r="DK6" s="194"/>
      <c r="DL6" s="194"/>
      <c r="DM6" s="194"/>
      <c r="DN6" s="194"/>
      <c r="DO6" s="194"/>
      <c r="DT6" s="193"/>
      <c r="DU6" s="193"/>
      <c r="DV6" s="193"/>
      <c r="DW6" s="193"/>
      <c r="DX6" s="193"/>
      <c r="DY6" s="193"/>
    </row>
    <row r="7" spans="10:136" ht="22.9" customHeight="1" thickTop="1" thickBot="1" x14ac:dyDescent="0.3">
      <c r="K7" s="239" t="s">
        <v>593</v>
      </c>
      <c r="L7" s="240"/>
      <c r="M7" s="240"/>
      <c r="N7" s="240"/>
      <c r="O7" s="240"/>
      <c r="P7" s="240"/>
      <c r="Q7" s="241"/>
      <c r="S7" s="239" t="s">
        <v>594</v>
      </c>
      <c r="T7" s="240"/>
      <c r="U7" s="240"/>
      <c r="V7" s="241"/>
      <c r="BA7" s="239">
        <f>CF2+1</f>
        <v>1</v>
      </c>
      <c r="BB7" s="240"/>
      <c r="BC7" s="240"/>
      <c r="BD7" s="241"/>
      <c r="BK7" s="194"/>
      <c r="CD7" s="239">
        <v>1</v>
      </c>
      <c r="CE7" s="240"/>
      <c r="CF7" s="240"/>
      <c r="CG7" s="241"/>
      <c r="CK7" s="239"/>
      <c r="CL7" s="240"/>
      <c r="CM7" s="240"/>
      <c r="CN7" s="241"/>
      <c r="CS7" s="194"/>
      <c r="CT7" s="194"/>
      <c r="CU7" s="194"/>
      <c r="CV7" s="194"/>
      <c r="CW7" s="194"/>
      <c r="CX7" s="194"/>
      <c r="CY7" s="194"/>
      <c r="CZ7" s="194"/>
      <c r="DA7" s="194"/>
      <c r="DB7" s="194"/>
      <c r="DC7" s="194"/>
      <c r="DD7" s="194"/>
      <c r="DE7" s="194"/>
      <c r="DF7" s="194"/>
      <c r="DG7" s="194"/>
      <c r="DH7" s="194"/>
      <c r="DI7" s="194"/>
      <c r="DJ7" s="194"/>
      <c r="DK7" s="194"/>
      <c r="DL7" s="194"/>
      <c r="DM7" s="194"/>
      <c r="DN7" s="194"/>
      <c r="DO7" s="194"/>
      <c r="DT7" s="193"/>
      <c r="DU7" s="239">
        <f>BN50+1</f>
        <v>17</v>
      </c>
      <c r="DV7" s="240"/>
      <c r="DW7" s="240"/>
      <c r="DX7" s="241"/>
      <c r="DY7" s="193"/>
    </row>
    <row r="8" spans="10:136" ht="22.9" customHeight="1" thickTop="1" x14ac:dyDescent="0.25">
      <c r="K8" s="115">
        <f ca="1">M14</f>
        <v>1.9</v>
      </c>
      <c r="L8" s="116" t="s">
        <v>107</v>
      </c>
      <c r="M8" s="117" t="s">
        <v>106</v>
      </c>
      <c r="N8" s="118" t="s">
        <v>106</v>
      </c>
      <c r="O8" s="119" t="str">
        <f>Изопрайса</f>
        <v>T</v>
      </c>
      <c r="P8" s="120" t="str">
        <f>Изопрайса</f>
        <v>R</v>
      </c>
      <c r="Q8" s="121" t="str">
        <f>Изопрайса</f>
        <v>R</v>
      </c>
      <c r="S8" s="242" t="s">
        <v>360</v>
      </c>
      <c r="T8" s="243"/>
      <c r="U8" s="244"/>
      <c r="V8" s="122"/>
      <c r="BA8" s="242" t="s">
        <v>357</v>
      </c>
      <c r="BB8" s="243"/>
      <c r="BC8" s="244"/>
      <c r="BD8" s="122"/>
      <c r="BK8" s="194"/>
      <c r="CD8" s="242" t="s">
        <v>359</v>
      </c>
      <c r="CE8" s="243"/>
      <c r="CF8" s="244"/>
      <c r="CG8" s="122"/>
      <c r="CK8" s="242" t="s">
        <v>360</v>
      </c>
      <c r="CL8" s="243"/>
      <c r="CM8" s="244"/>
      <c r="CN8" s="122"/>
      <c r="CS8" s="194"/>
      <c r="CT8" s="194"/>
      <c r="CU8" s="194"/>
      <c r="CV8" s="194"/>
      <c r="CW8" s="194"/>
      <c r="CX8" s="194"/>
      <c r="CY8" s="194"/>
      <c r="CZ8" s="194"/>
      <c r="DA8" s="194"/>
      <c r="DB8" s="194"/>
      <c r="DC8" s="194"/>
      <c r="DD8" s="194"/>
      <c r="DE8" s="194"/>
      <c r="DF8" s="194"/>
      <c r="DG8" s="194"/>
      <c r="DH8" s="194"/>
      <c r="DI8" s="194"/>
      <c r="DJ8" s="194"/>
      <c r="DK8" s="194"/>
      <c r="DL8" s="194"/>
      <c r="DM8" s="194"/>
      <c r="DN8" s="194"/>
      <c r="DO8" s="194"/>
      <c r="DT8" s="193" t="s">
        <v>615</v>
      </c>
      <c r="DU8" s="242" t="s">
        <v>357</v>
      </c>
      <c r="DV8" s="243"/>
      <c r="DW8" s="244"/>
      <c r="DX8" s="122"/>
      <c r="DY8" s="193" t="s">
        <v>615</v>
      </c>
    </row>
    <row r="9" spans="10:136" ht="22.9" customHeight="1" thickBot="1" x14ac:dyDescent="0.3">
      <c r="K9" s="46">
        <f ca="1">R14</f>
        <v>2.2000000000000002</v>
      </c>
      <c r="L9" s="47" t="s">
        <v>108</v>
      </c>
      <c r="M9" s="48" t="s">
        <v>106</v>
      </c>
      <c r="N9" s="49" t="s">
        <v>106</v>
      </c>
      <c r="O9" s="50" t="str">
        <f>Изопрайса</f>
        <v>Y</v>
      </c>
      <c r="P9" s="51" t="str">
        <f>Изопрайса</f>
        <v>R</v>
      </c>
      <c r="Q9" s="52" t="str">
        <f>Изопрайса</f>
        <v>R</v>
      </c>
      <c r="S9" s="81">
        <f ca="1">Min_1</f>
        <v>4</v>
      </c>
      <c r="T9" s="82">
        <f ca="1">Mid_1</f>
        <v>1</v>
      </c>
      <c r="U9" s="83">
        <f ca="1">Max_1</f>
        <v>4</v>
      </c>
      <c r="V9" s="76">
        <f ca="1">Приведение</f>
        <v>3.55</v>
      </c>
      <c r="BA9" s="81">
        <f ca="1">Min_1</f>
        <v>1</v>
      </c>
      <c r="BB9" s="82">
        <f ca="1">Mid_1</f>
        <v>2.5</v>
      </c>
      <c r="BC9" s="83">
        <f ca="1">Max_1</f>
        <v>4</v>
      </c>
      <c r="BD9" s="76">
        <f ca="1">Приведение</f>
        <v>3.16</v>
      </c>
      <c r="BK9" s="194"/>
      <c r="CB9">
        <v>2.5</v>
      </c>
      <c r="CC9">
        <v>4</v>
      </c>
      <c r="CD9" s="81">
        <f ca="1">Min_1</f>
        <v>1</v>
      </c>
      <c r="CE9" s="82">
        <f ca="1">Mid_1</f>
        <v>4</v>
      </c>
      <c r="CF9" s="83">
        <f ca="1">Max_1</f>
        <v>1</v>
      </c>
      <c r="CG9" s="76">
        <f ca="1">Приведение</f>
        <v>2.7142857142857144</v>
      </c>
      <c r="CI9">
        <v>2.5</v>
      </c>
      <c r="CJ9">
        <v>4</v>
      </c>
      <c r="CK9" s="81">
        <f ca="1">Min_1</f>
        <v>4</v>
      </c>
      <c r="CL9" s="82">
        <f ca="1">Mid_1</f>
        <v>1</v>
      </c>
      <c r="CM9" s="83">
        <f ca="1">Max_1</f>
        <v>4</v>
      </c>
      <c r="CN9" s="76">
        <f ca="1">Приведение</f>
        <v>2.5</v>
      </c>
      <c r="CS9" s="194"/>
      <c r="CT9" s="194"/>
      <c r="CU9" s="194"/>
      <c r="CV9" s="194"/>
      <c r="CW9" s="194"/>
      <c r="CX9" s="194"/>
      <c r="CY9" s="194"/>
      <c r="CZ9" s="194"/>
      <c r="DA9" s="194"/>
      <c r="DB9" s="194"/>
      <c r="DC9" s="194"/>
      <c r="DD9" s="194"/>
      <c r="DE9" s="194"/>
      <c r="DF9" s="194"/>
      <c r="DG9" s="194"/>
      <c r="DH9" s="194"/>
      <c r="DI9" s="194"/>
      <c r="DJ9" s="194"/>
      <c r="DK9" s="194"/>
      <c r="DL9" s="194"/>
      <c r="DM9" s="194"/>
      <c r="DN9" s="194"/>
      <c r="DO9" s="194"/>
      <c r="DT9" s="193"/>
      <c r="DU9" s="81">
        <f ca="1">Min_1</f>
        <v>1</v>
      </c>
      <c r="DV9" s="82">
        <f ca="1">Mid_1</f>
        <v>2.5</v>
      </c>
      <c r="DW9" s="83">
        <f ca="1">Max_1</f>
        <v>4</v>
      </c>
      <c r="DX9" s="76">
        <f ca="1">Приведение</f>
        <v>1.8000000000000003</v>
      </c>
      <c r="DY9" s="193"/>
    </row>
    <row r="10" spans="10:136" ht="22.9" customHeight="1" thickBot="1" x14ac:dyDescent="0.3">
      <c r="K10" s="53">
        <f ca="1">Матрица_Расчёт</f>
        <v>1.89</v>
      </c>
      <c r="L10" s="54" t="s">
        <v>105</v>
      </c>
      <c r="M10" s="55" t="s">
        <v>107</v>
      </c>
      <c r="N10" s="56" t="s">
        <v>106</v>
      </c>
      <c r="O10" s="57" t="str">
        <f>Изопрайса</f>
        <v>E</v>
      </c>
      <c r="P10" s="58" t="str">
        <f>Изопрайса</f>
        <v>T</v>
      </c>
      <c r="Q10" s="59" t="str">
        <f>Изопрайса</f>
        <v>R</v>
      </c>
      <c r="S10" s="77">
        <v>0</v>
      </c>
      <c r="T10" s="78"/>
      <c r="U10" s="79">
        <v>100</v>
      </c>
      <c r="V10" s="80">
        <v>85</v>
      </c>
      <c r="BA10" s="77">
        <v>1</v>
      </c>
      <c r="BB10" s="78">
        <v>2</v>
      </c>
      <c r="BC10" s="79">
        <v>4</v>
      </c>
      <c r="BD10" s="184">
        <f ca="1">AR16</f>
        <v>3.16</v>
      </c>
      <c r="CD10" s="77">
        <v>-20</v>
      </c>
      <c r="CE10" s="78">
        <v>2.5</v>
      </c>
      <c r="CF10" s="79">
        <v>20</v>
      </c>
      <c r="CG10" s="184">
        <v>10</v>
      </c>
      <c r="CH10">
        <v>10</v>
      </c>
      <c r="CK10" s="77">
        <v>-10</v>
      </c>
      <c r="CL10" s="78">
        <v>-15</v>
      </c>
      <c r="CM10" s="79">
        <v>-20</v>
      </c>
      <c r="CN10" s="185">
        <v>-12.5</v>
      </c>
      <c r="CO10" s="229">
        <v>-12.5</v>
      </c>
      <c r="CS10" s="194"/>
      <c r="CT10" s="194"/>
      <c r="CU10" s="194"/>
      <c r="CV10" s="194"/>
      <c r="CW10" s="194"/>
      <c r="CX10" s="194"/>
      <c r="CY10" s="194"/>
      <c r="CZ10" s="194"/>
      <c r="DA10" s="194"/>
      <c r="DB10" s="194"/>
      <c r="DC10" s="194"/>
      <c r="DD10" s="194"/>
      <c r="DE10" s="194"/>
      <c r="DF10" s="194"/>
      <c r="DG10" s="194"/>
      <c r="DH10" s="194"/>
      <c r="DI10" s="194"/>
      <c r="DJ10" s="194"/>
      <c r="DK10" s="194"/>
      <c r="DL10" s="194"/>
      <c r="DM10" s="194"/>
      <c r="DN10" s="194"/>
      <c r="DO10" s="194"/>
      <c r="DT10" s="193"/>
      <c r="DU10" s="77">
        <v>1</v>
      </c>
      <c r="DV10" s="78">
        <v>2</v>
      </c>
      <c r="DW10" s="79">
        <v>4</v>
      </c>
      <c r="DX10" s="184">
        <f ca="1">DY16</f>
        <v>1.8</v>
      </c>
      <c r="DY10" s="193"/>
    </row>
    <row r="11" spans="10:136" ht="22.9" customHeight="1" thickTop="1" thickBot="1" x14ac:dyDescent="0.3">
      <c r="BG11" s="194"/>
      <c r="BH11" s="194"/>
      <c r="DT11" s="193"/>
      <c r="DU11" s="193"/>
      <c r="DV11" s="193"/>
      <c r="DW11" s="193"/>
      <c r="DX11" s="193"/>
      <c r="DY11" s="193"/>
    </row>
    <row r="12" spans="10:136" ht="22.9" customHeight="1" thickTop="1" thickBot="1" x14ac:dyDescent="0.3">
      <c r="J12" s="239" t="s">
        <v>595</v>
      </c>
      <c r="K12" s="240"/>
      <c r="L12" s="240"/>
      <c r="M12" s="241"/>
      <c r="O12" s="239" t="s">
        <v>596</v>
      </c>
      <c r="P12" s="240"/>
      <c r="Q12" s="240"/>
      <c r="R12" s="241"/>
      <c r="BA12" s="207"/>
      <c r="BZ12" s="239">
        <v>2</v>
      </c>
      <c r="CA12" s="240"/>
      <c r="CB12" s="240"/>
      <c r="CC12" s="240"/>
      <c r="CD12" s="240"/>
      <c r="CE12" s="240"/>
      <c r="CF12" s="241"/>
      <c r="CN12" s="239">
        <v>6</v>
      </c>
      <c r="CO12" s="240"/>
      <c r="CP12" s="240"/>
      <c r="CQ12" s="240"/>
      <c r="CR12" s="240"/>
      <c r="CS12" s="240"/>
      <c r="CT12" s="241"/>
      <c r="DX12" s="193"/>
      <c r="DY12" s="193"/>
      <c r="DZ12" s="193"/>
      <c r="EA12" s="193"/>
      <c r="EB12" s="193"/>
      <c r="EC12" s="193"/>
      <c r="ED12" s="193"/>
      <c r="EE12" s="193"/>
      <c r="EF12" s="193"/>
    </row>
    <row r="13" spans="10:136" ht="22.9" customHeight="1" thickTop="1" thickBot="1" x14ac:dyDescent="0.3">
      <c r="J13" s="242" t="s">
        <v>357</v>
      </c>
      <c r="K13" s="243"/>
      <c r="L13" s="244"/>
      <c r="M13" s="122"/>
      <c r="O13" s="242" t="s">
        <v>357</v>
      </c>
      <c r="P13" s="243"/>
      <c r="Q13" s="244"/>
      <c r="R13" s="122"/>
      <c r="AR13" s="239">
        <f>BA7+1</f>
        <v>2</v>
      </c>
      <c r="AS13" s="240"/>
      <c r="AT13" s="240"/>
      <c r="AU13" s="240"/>
      <c r="AV13" s="240"/>
      <c r="AW13" s="240"/>
      <c r="AX13" s="241"/>
      <c r="BZ13" s="115">
        <f ca="1">BY19</f>
        <v>3.5</v>
      </c>
      <c r="CA13" s="116" t="s">
        <v>108</v>
      </c>
      <c r="CB13" s="117" t="s">
        <v>106</v>
      </c>
      <c r="CC13" s="118" t="s">
        <v>106</v>
      </c>
      <c r="CD13" s="119" t="str">
        <f>Изопрайса</f>
        <v>Y</v>
      </c>
      <c r="CE13" s="120" t="str">
        <f>Изопрайса</f>
        <v>R</v>
      </c>
      <c r="CF13" s="121" t="str">
        <f>Изопрайса</f>
        <v>R</v>
      </c>
      <c r="CN13" s="115">
        <f ca="1">CM19</f>
        <v>1.5699999999999998</v>
      </c>
      <c r="CO13" s="116" t="s">
        <v>103</v>
      </c>
      <c r="CP13" s="117" t="s">
        <v>105</v>
      </c>
      <c r="CQ13" s="118" t="s">
        <v>107</v>
      </c>
      <c r="CR13" s="119" t="str">
        <f>Изопрайса</f>
        <v>Q</v>
      </c>
      <c r="CS13" s="120" t="str">
        <f>Изопрайса</f>
        <v>E</v>
      </c>
      <c r="CT13" s="121" t="str">
        <f>Изопрайса</f>
        <v>T</v>
      </c>
      <c r="DX13" s="193" t="s">
        <v>615</v>
      </c>
      <c r="DY13" s="239">
        <f>DU7+1</f>
        <v>18</v>
      </c>
      <c r="DZ13" s="240"/>
      <c r="EA13" s="240"/>
      <c r="EB13" s="240"/>
      <c r="EC13" s="240"/>
      <c r="ED13" s="240"/>
      <c r="EE13" s="241"/>
      <c r="EF13" s="193" t="s">
        <v>615</v>
      </c>
    </row>
    <row r="14" spans="10:136" ht="22.9" customHeight="1" thickTop="1" thickBot="1" x14ac:dyDescent="0.3">
      <c r="J14" s="81">
        <f ca="1">Min_1</f>
        <v>1</v>
      </c>
      <c r="K14" s="82">
        <f ca="1">Mid_1</f>
        <v>2.5</v>
      </c>
      <c r="L14" s="83">
        <f ca="1">Max_1</f>
        <v>4</v>
      </c>
      <c r="M14" s="76">
        <f ca="1">Приведение</f>
        <v>1.9</v>
      </c>
      <c r="O14" s="81">
        <f ca="1">Min_1</f>
        <v>1</v>
      </c>
      <c r="P14" s="180">
        <f ca="1">Mid_1</f>
        <v>2.5</v>
      </c>
      <c r="Q14" s="83">
        <f ca="1">Max_1</f>
        <v>4</v>
      </c>
      <c r="R14" s="76">
        <f ca="1">Приведение</f>
        <v>2.2000000000000002</v>
      </c>
      <c r="AR14" s="115">
        <f ca="1">AT20</f>
        <v>3.19</v>
      </c>
      <c r="AS14" s="116" t="s">
        <v>104</v>
      </c>
      <c r="AT14" s="117" t="s">
        <v>105</v>
      </c>
      <c r="AU14" s="118" t="s">
        <v>105</v>
      </c>
      <c r="AV14" s="119" t="str">
        <f>Изопрайса</f>
        <v>W</v>
      </c>
      <c r="AW14" s="120" t="str">
        <f>Изопрайса</f>
        <v>E</v>
      </c>
      <c r="AX14" s="121" t="str">
        <f>Изопрайса</f>
        <v>E</v>
      </c>
      <c r="BB14" s="207"/>
      <c r="BZ14" s="46">
        <f ca="1">CF19</f>
        <v>1</v>
      </c>
      <c r="CA14" s="47" t="s">
        <v>105</v>
      </c>
      <c r="CB14" s="48" t="s">
        <v>103</v>
      </c>
      <c r="CC14" s="49" t="s">
        <v>107</v>
      </c>
      <c r="CD14" s="50" t="str">
        <f>Изопрайса</f>
        <v>E</v>
      </c>
      <c r="CE14" s="51" t="str">
        <f>Изопрайса</f>
        <v>Q</v>
      </c>
      <c r="CF14" s="52" t="str">
        <f>Изопрайса</f>
        <v>T</v>
      </c>
      <c r="CN14" s="46">
        <f ca="1">CT19</f>
        <v>1</v>
      </c>
      <c r="CO14" s="47" t="s">
        <v>106</v>
      </c>
      <c r="CP14" s="48" t="s">
        <v>108</v>
      </c>
      <c r="CQ14" s="49" t="s">
        <v>104</v>
      </c>
      <c r="CR14" s="50" t="str">
        <f>Изопрайса</f>
        <v>R</v>
      </c>
      <c r="CS14" s="51" t="str">
        <f>Изопрайса</f>
        <v>Y</v>
      </c>
      <c r="CT14" s="52" t="str">
        <f>Изопрайса</f>
        <v>W</v>
      </c>
      <c r="DX14" s="193"/>
      <c r="DY14" s="115">
        <f ca="1">EA20</f>
        <v>1.1100000000000001</v>
      </c>
      <c r="DZ14" s="116" t="s">
        <v>103</v>
      </c>
      <c r="EA14" s="117" t="s">
        <v>103</v>
      </c>
      <c r="EB14" s="118" t="s">
        <v>105</v>
      </c>
      <c r="EC14" s="119" t="str">
        <f>Изопрайса</f>
        <v>Q</v>
      </c>
      <c r="ED14" s="120" t="str">
        <f>Изопрайса</f>
        <v>Q</v>
      </c>
      <c r="EE14" s="121" t="str">
        <f>Изопрайса</f>
        <v>E</v>
      </c>
      <c r="EF14" s="193"/>
    </row>
    <row r="15" spans="10:136" ht="22.9" customHeight="1" thickBot="1" x14ac:dyDescent="0.3">
      <c r="J15" s="77">
        <v>0</v>
      </c>
      <c r="K15" s="78"/>
      <c r="L15" s="79">
        <v>100</v>
      </c>
      <c r="M15" s="80">
        <v>30</v>
      </c>
      <c r="O15" s="77">
        <v>0</v>
      </c>
      <c r="P15" s="181"/>
      <c r="Q15" s="79">
        <v>100</v>
      </c>
      <c r="R15" s="80">
        <v>40</v>
      </c>
      <c r="AR15" s="46">
        <f ca="1">AY20</f>
        <v>3.15</v>
      </c>
      <c r="AS15" s="47" t="s">
        <v>106</v>
      </c>
      <c r="AT15" s="48" t="s">
        <v>108</v>
      </c>
      <c r="AU15" s="49" t="s">
        <v>104</v>
      </c>
      <c r="AV15" s="50" t="str">
        <f>Изопрайса</f>
        <v>R</v>
      </c>
      <c r="AW15" s="51" t="str">
        <f>Изопрайса</f>
        <v>Y</v>
      </c>
      <c r="AX15" s="52" t="str">
        <f>Изопрайса</f>
        <v>W</v>
      </c>
      <c r="BB15" s="207"/>
      <c r="BF15" s="194"/>
      <c r="BG15" s="194"/>
      <c r="BH15" s="194"/>
      <c r="BI15" s="194"/>
      <c r="BJ15" s="194"/>
      <c r="BK15" s="194"/>
      <c r="BL15" s="194"/>
      <c r="BZ15" s="53">
        <f ca="1">Матрица_Расчёт</f>
        <v>2.5</v>
      </c>
      <c r="CA15" s="54" t="s">
        <v>105</v>
      </c>
      <c r="CB15" s="55" t="s">
        <v>103</v>
      </c>
      <c r="CC15" s="56" t="s">
        <v>105</v>
      </c>
      <c r="CD15" s="57" t="str">
        <f>Изопрайса</f>
        <v>E</v>
      </c>
      <c r="CE15" s="58" t="str">
        <f>Изопрайса</f>
        <v>Q</v>
      </c>
      <c r="CF15" s="59" t="str">
        <f>Изопрайса</f>
        <v>E</v>
      </c>
      <c r="CN15" s="53">
        <f ca="1">Матрица_Расчёт</f>
        <v>1.57</v>
      </c>
      <c r="CO15" s="54" t="s">
        <v>107</v>
      </c>
      <c r="CP15" s="55" t="s">
        <v>104</v>
      </c>
      <c r="CQ15" s="56" t="s">
        <v>107</v>
      </c>
      <c r="CR15" s="57" t="str">
        <f>Изопрайса</f>
        <v>T</v>
      </c>
      <c r="CS15" s="58" t="str">
        <f>Изопрайса</f>
        <v>W</v>
      </c>
      <c r="CT15" s="59" t="str">
        <f>Изопрайса</f>
        <v>T</v>
      </c>
      <c r="DX15" s="193"/>
      <c r="DY15" s="46">
        <f ca="1">EH20</f>
        <v>1.67</v>
      </c>
      <c r="DZ15" s="47" t="s">
        <v>103</v>
      </c>
      <c r="EA15" s="48" t="s">
        <v>107</v>
      </c>
      <c r="EB15" s="49" t="s">
        <v>108</v>
      </c>
      <c r="EC15" s="50" t="str">
        <f>Изопрайса</f>
        <v>Q</v>
      </c>
      <c r="ED15" s="51" t="str">
        <f>Изопрайса</f>
        <v>T</v>
      </c>
      <c r="EE15" s="52" t="str">
        <f>Изопрайса</f>
        <v>Y</v>
      </c>
      <c r="EF15" s="193"/>
    </row>
    <row r="16" spans="10:136" ht="22.9" customHeight="1" thickTop="1" thickBot="1" x14ac:dyDescent="0.3">
      <c r="AR16" s="53">
        <f ca="1">Матрица_Расчёт</f>
        <v>3.16</v>
      </c>
      <c r="AS16" s="54" t="s">
        <v>106</v>
      </c>
      <c r="AT16" s="55" t="s">
        <v>104</v>
      </c>
      <c r="AU16" s="56" t="s">
        <v>103</v>
      </c>
      <c r="AV16" s="57" t="str">
        <f>Изопрайса</f>
        <v>R</v>
      </c>
      <c r="AW16" s="58" t="str">
        <f>Изопрайса</f>
        <v>W</v>
      </c>
      <c r="AX16" s="59" t="str">
        <f>Изопрайса</f>
        <v>Q</v>
      </c>
      <c r="BE16" s="194"/>
      <c r="BF16" s="194"/>
      <c r="BG16" s="194"/>
      <c r="BH16" s="194"/>
      <c r="BI16" s="194"/>
      <c r="BJ16" s="194"/>
      <c r="BK16" s="194"/>
      <c r="BL16" s="194"/>
      <c r="DN16" s="194"/>
      <c r="DO16" s="194"/>
      <c r="DR16" s="194"/>
      <c r="DS16" s="194"/>
      <c r="DX16" s="193"/>
      <c r="DY16" s="53">
        <f ca="1">Матрица_Расчёт</f>
        <v>1.8</v>
      </c>
      <c r="DZ16" s="54" t="s">
        <v>106</v>
      </c>
      <c r="EA16" s="55" t="s">
        <v>108</v>
      </c>
      <c r="EB16" s="56" t="s">
        <v>108</v>
      </c>
      <c r="EC16" s="57" t="str">
        <f>Изопрайса</f>
        <v>R</v>
      </c>
      <c r="ED16" s="58" t="str">
        <f>Изопрайса</f>
        <v>Y</v>
      </c>
      <c r="EE16" s="59" t="str">
        <f>Изопрайса</f>
        <v>Y</v>
      </c>
      <c r="EF16" s="193"/>
    </row>
    <row r="17" spans="4:141" ht="22.9" customHeight="1" thickTop="1" thickBot="1" x14ac:dyDescent="0.3">
      <c r="BV17" s="239"/>
      <c r="BW17" s="240"/>
      <c r="BX17" s="240"/>
      <c r="BY17" s="241"/>
      <c r="CC17" s="239"/>
      <c r="CD17" s="240"/>
      <c r="CE17" s="240"/>
      <c r="CF17" s="241"/>
      <c r="CJ17" s="239"/>
      <c r="CK17" s="240"/>
      <c r="CL17" s="240"/>
      <c r="CM17" s="241"/>
      <c r="CQ17" s="239"/>
      <c r="CR17" s="240"/>
      <c r="CS17" s="240"/>
      <c r="CT17" s="241"/>
    </row>
    <row r="18" spans="4:141" ht="22.9" customHeight="1" thickTop="1" thickBot="1" x14ac:dyDescent="0.3">
      <c r="AQ18" s="239">
        <f>AR13+1</f>
        <v>3</v>
      </c>
      <c r="AR18" s="240"/>
      <c r="AS18" s="240"/>
      <c r="AT18" s="241"/>
      <c r="AV18" s="239">
        <f>AO29+1</f>
        <v>7</v>
      </c>
      <c r="AW18" s="240"/>
      <c r="AX18" s="240"/>
      <c r="AY18" s="241"/>
      <c r="BF18" s="194"/>
      <c r="BG18" s="194"/>
      <c r="BH18" s="194"/>
      <c r="BI18" s="194"/>
      <c r="BJ18" s="194"/>
      <c r="BK18" s="194"/>
      <c r="BL18" s="194"/>
      <c r="BV18" s="242" t="s">
        <v>357</v>
      </c>
      <c r="BW18" s="243"/>
      <c r="BX18" s="244"/>
      <c r="BY18" s="122"/>
      <c r="CC18" s="242" t="s">
        <v>357</v>
      </c>
      <c r="CD18" s="243"/>
      <c r="CE18" s="244"/>
      <c r="CF18" s="122"/>
      <c r="CJ18" s="242" t="s">
        <v>358</v>
      </c>
      <c r="CK18" s="243"/>
      <c r="CL18" s="244"/>
      <c r="CM18" s="122"/>
      <c r="CQ18" s="242" t="s">
        <v>357</v>
      </c>
      <c r="CR18" s="243"/>
      <c r="CS18" s="244"/>
      <c r="CT18" s="122"/>
      <c r="DN18" s="194"/>
      <c r="DO18" s="194"/>
      <c r="DR18" s="194"/>
      <c r="DS18" s="194"/>
      <c r="DX18" s="239">
        <f>DY13+1</f>
        <v>19</v>
      </c>
      <c r="DY18" s="240"/>
      <c r="DZ18" s="240"/>
      <c r="EA18" s="241"/>
      <c r="EE18" s="239">
        <f>DX29+1</f>
        <v>29</v>
      </c>
      <c r="EF18" s="240"/>
      <c r="EG18" s="240"/>
      <c r="EH18" s="241"/>
    </row>
    <row r="19" spans="4:141" ht="22.9" customHeight="1" thickTop="1" thickBot="1" x14ac:dyDescent="0.3">
      <c r="AQ19" s="242" t="s">
        <v>357</v>
      </c>
      <c r="AR19" s="243"/>
      <c r="AS19" s="244"/>
      <c r="AT19" s="122"/>
      <c r="AV19" s="242" t="s">
        <v>357</v>
      </c>
      <c r="AW19" s="243"/>
      <c r="AX19" s="244"/>
      <c r="AY19" s="122"/>
      <c r="BE19" s="194"/>
      <c r="BF19" s="194"/>
      <c r="BG19" s="194"/>
      <c r="BH19" s="194"/>
      <c r="BI19" s="194"/>
      <c r="BJ19" s="194"/>
      <c r="BK19" s="194"/>
      <c r="BL19" s="194"/>
      <c r="BV19" s="81">
        <f ca="1">Min_1</f>
        <v>1</v>
      </c>
      <c r="BW19" s="82">
        <f ca="1">Mid_1</f>
        <v>2.5</v>
      </c>
      <c r="BX19" s="83">
        <f ca="1">Max_1</f>
        <v>4</v>
      </c>
      <c r="BY19" s="76">
        <f ca="1">Приведение</f>
        <v>3.5</v>
      </c>
      <c r="CC19" s="81">
        <f ca="1">Min_1</f>
        <v>1</v>
      </c>
      <c r="CD19" s="82">
        <f ca="1">Mid_1</f>
        <v>2.5</v>
      </c>
      <c r="CE19" s="83">
        <f ca="1">Max_1</f>
        <v>4</v>
      </c>
      <c r="CF19" s="76">
        <f ca="1">Приведение</f>
        <v>1</v>
      </c>
      <c r="CJ19" s="81">
        <f ca="1">Min_1</f>
        <v>4</v>
      </c>
      <c r="CK19" s="82">
        <f ca="1">Mid_1</f>
        <v>2.5</v>
      </c>
      <c r="CL19" s="83">
        <f ca="1">Max_1</f>
        <v>1</v>
      </c>
      <c r="CM19" s="76">
        <f ca="1">Приведение</f>
        <v>1.5699999999999998</v>
      </c>
      <c r="CQ19" s="81">
        <f ca="1">Min_1</f>
        <v>1</v>
      </c>
      <c r="CR19" s="82">
        <f ca="1">Mid_1</f>
        <v>2.5</v>
      </c>
      <c r="CS19" s="83">
        <f ca="1">Max_1</f>
        <v>4</v>
      </c>
      <c r="CT19" s="76">
        <f ca="1">Приведение</f>
        <v>1</v>
      </c>
      <c r="DN19" s="194"/>
      <c r="DO19" s="194"/>
      <c r="DR19" s="194"/>
      <c r="DS19" s="194"/>
      <c r="DX19" s="242" t="s">
        <v>357</v>
      </c>
      <c r="DY19" s="243"/>
      <c r="DZ19" s="244"/>
      <c r="EA19" s="122"/>
      <c r="EE19" s="242" t="s">
        <v>357</v>
      </c>
      <c r="EF19" s="243"/>
      <c r="EG19" s="244"/>
      <c r="EH19" s="122"/>
    </row>
    <row r="20" spans="4:141" ht="22.9" customHeight="1" thickTop="1" thickBot="1" x14ac:dyDescent="0.3">
      <c r="D20" s="252" t="s">
        <v>597</v>
      </c>
      <c r="E20" s="253"/>
      <c r="F20" s="253"/>
      <c r="G20" s="254"/>
      <c r="N20" s="239" t="s">
        <v>598</v>
      </c>
      <c r="O20" s="240"/>
      <c r="P20" s="240"/>
      <c r="Q20" s="241"/>
      <c r="AQ20" s="81">
        <f ca="1">Min_1</f>
        <v>1</v>
      </c>
      <c r="AR20" s="82">
        <f ca="1">Mid_1</f>
        <v>2.5</v>
      </c>
      <c r="AS20" s="83">
        <f ca="1">Max_1</f>
        <v>4</v>
      </c>
      <c r="AT20" s="76">
        <f ca="1">Приведение</f>
        <v>3.19</v>
      </c>
      <c r="AV20" s="81">
        <f ca="1">Min_1</f>
        <v>1</v>
      </c>
      <c r="AW20" s="82">
        <f ca="1">Mid_1</f>
        <v>2.5</v>
      </c>
      <c r="AX20" s="83">
        <f ca="1">Max_1</f>
        <v>4</v>
      </c>
      <c r="AY20" s="76">
        <f ca="1">Приведение</f>
        <v>3.15</v>
      </c>
      <c r="BE20" s="194"/>
      <c r="BF20" s="194"/>
      <c r="BG20" s="194"/>
      <c r="BH20" s="194"/>
      <c r="BI20" s="194"/>
      <c r="BJ20" s="194"/>
      <c r="BK20" s="194"/>
      <c r="BL20" s="194"/>
      <c r="BV20" s="77">
        <v>-5</v>
      </c>
      <c r="BW20" s="78"/>
      <c r="BX20" s="79">
        <v>1</v>
      </c>
      <c r="BY20" s="80">
        <v>0</v>
      </c>
      <c r="BZ20" s="229">
        <v>0.15</v>
      </c>
      <c r="CC20" s="77">
        <v>-1</v>
      </c>
      <c r="CD20" s="78"/>
      <c r="CE20" s="79">
        <v>10</v>
      </c>
      <c r="CF20" s="80">
        <v>-1</v>
      </c>
      <c r="CG20" s="229">
        <v>-0.5</v>
      </c>
      <c r="CJ20" s="77">
        <v>0</v>
      </c>
      <c r="CK20" s="78"/>
      <c r="CL20" s="79">
        <v>1</v>
      </c>
      <c r="CM20" s="80">
        <v>0.81</v>
      </c>
      <c r="CN20" s="229">
        <v>0.15</v>
      </c>
      <c r="CQ20" s="77">
        <v>1</v>
      </c>
      <c r="CR20" s="78"/>
      <c r="CS20" s="79">
        <v>4</v>
      </c>
      <c r="CT20" s="80">
        <v>1</v>
      </c>
      <c r="DN20" s="194"/>
      <c r="DO20" s="194"/>
      <c r="DR20" s="194"/>
      <c r="DS20" s="194"/>
      <c r="DX20" s="81">
        <f ca="1">Min_1</f>
        <v>1</v>
      </c>
      <c r="DY20" s="82">
        <f ca="1">Mid_1</f>
        <v>2.5</v>
      </c>
      <c r="DZ20" s="83">
        <f ca="1">Max_1</f>
        <v>4</v>
      </c>
      <c r="EA20" s="76">
        <f ca="1">Приведение</f>
        <v>1.1100000000000001</v>
      </c>
      <c r="EE20" s="81">
        <f ca="1">Min_1</f>
        <v>1</v>
      </c>
      <c r="EF20" s="82">
        <f ca="1">Mid_1</f>
        <v>2.5</v>
      </c>
      <c r="EG20" s="83">
        <f ca="1">Max_1</f>
        <v>4</v>
      </c>
      <c r="EH20" s="76">
        <f ca="1">Приведение</f>
        <v>1.67</v>
      </c>
    </row>
    <row r="21" spans="4:141" ht="22.9" customHeight="1" thickTop="1" thickBot="1" x14ac:dyDescent="0.3">
      <c r="D21" s="242" t="s">
        <v>357</v>
      </c>
      <c r="E21" s="243"/>
      <c r="F21" s="244"/>
      <c r="G21" s="122"/>
      <c r="N21" s="242" t="s">
        <v>358</v>
      </c>
      <c r="O21" s="243"/>
      <c r="P21" s="244"/>
      <c r="Q21" s="122"/>
      <c r="AQ21" s="77">
        <v>1</v>
      </c>
      <c r="AR21" s="78"/>
      <c r="AS21" s="79">
        <v>4</v>
      </c>
      <c r="AT21" s="185">
        <f ca="1">AL27</f>
        <v>3.19</v>
      </c>
      <c r="AV21" s="77">
        <v>1</v>
      </c>
      <c r="AW21" s="78"/>
      <c r="AX21" s="79">
        <v>4</v>
      </c>
      <c r="AY21" s="184">
        <f ca="1">AY27</f>
        <v>3.15</v>
      </c>
      <c r="BE21" s="194"/>
      <c r="BF21" s="194"/>
      <c r="BG21" s="194"/>
      <c r="BH21" s="194"/>
      <c r="BI21" s="194"/>
      <c r="BJ21" s="194"/>
      <c r="BK21" s="194"/>
      <c r="BL21" s="194"/>
      <c r="CN21" s="194"/>
      <c r="DN21" s="194"/>
      <c r="DO21" s="194"/>
      <c r="DR21" s="194"/>
      <c r="DS21" s="194"/>
      <c r="DX21" s="77">
        <v>1</v>
      </c>
      <c r="DY21" s="78"/>
      <c r="DZ21" s="79">
        <v>4</v>
      </c>
      <c r="EA21" s="184">
        <f ca="1">DU27</f>
        <v>1.1100000000000001</v>
      </c>
      <c r="EE21" s="77">
        <v>1</v>
      </c>
      <c r="EF21" s="78"/>
      <c r="EG21" s="79">
        <v>4</v>
      </c>
      <c r="EH21" s="184">
        <f ca="1">EC27</f>
        <v>1.67</v>
      </c>
    </row>
    <row r="22" spans="4:141" ht="22.9" customHeight="1" thickTop="1" x14ac:dyDescent="0.25">
      <c r="D22" s="81">
        <f>IF(D21="Прямая",1,IF(D21="Обратная",4,IF(D21="Опт. в макс.",1,IF(D21="Опт. в мин.",4,))))</f>
        <v>1</v>
      </c>
      <c r="E22" s="82">
        <f>IF(AND(D22=4,F22=4),1,IF(AND(D22=1,F22=1),4,(ABS(F22-D22))/2+1))</f>
        <v>2.5</v>
      </c>
      <c r="F22" s="83">
        <f>IF(D21="Прямая",4,IF(D21="Обратная",1,IF(D21="Опт. в макс.",1,IF(D21="Опт. в мин.",4,))))</f>
        <v>4</v>
      </c>
      <c r="G22" s="76">
        <f>Приведение</f>
        <v>4</v>
      </c>
      <c r="N22" s="81">
        <f>IF(N21="Прямая",1,IF(N21="Обратная",4,IF(N21="Опт. в макс.",1,IF(N21="Опт. в мин.",4,))))</f>
        <v>4</v>
      </c>
      <c r="O22" s="82">
        <f>IF(AND(N22=4,P22=4),1,IF(AND(N22=1,P22=1),4,(ABS(P22-N22))/2+1))</f>
        <v>2.5</v>
      </c>
      <c r="P22" s="182">
        <f>IF(N21="Прямая",4,IF(N21="Обратная",1,IF(N21="Опт. в макс.",1,IF(N21="Опт. в мин.",4,))))</f>
        <v>1</v>
      </c>
      <c r="Q22" s="76">
        <f>Приведение</f>
        <v>3</v>
      </c>
      <c r="AT22" s="146"/>
    </row>
    <row r="23" spans="4:141" ht="22.9" customHeight="1" thickBot="1" x14ac:dyDescent="0.3">
      <c r="D23" s="77">
        <v>0</v>
      </c>
      <c r="E23" s="78"/>
      <c r="F23" s="79">
        <v>100</v>
      </c>
      <c r="G23" s="80">
        <v>100</v>
      </c>
      <c r="N23" s="77">
        <v>1</v>
      </c>
      <c r="O23" s="78"/>
      <c r="P23" s="183">
        <v>4</v>
      </c>
      <c r="Q23" s="80">
        <v>2</v>
      </c>
    </row>
    <row r="24" spans="4:141" ht="22.9" customHeight="1" thickTop="1" thickBot="1" x14ac:dyDescent="0.3">
      <c r="AL24" s="239">
        <f>AQ18+1</f>
        <v>4</v>
      </c>
      <c r="AM24" s="240"/>
      <c r="AN24" s="240"/>
      <c r="AO24" s="240"/>
      <c r="AP24" s="240"/>
      <c r="AQ24" s="240"/>
      <c r="AR24" s="241"/>
      <c r="AY24" s="239">
        <f>AV18+1</f>
        <v>8</v>
      </c>
      <c r="AZ24" s="240"/>
      <c r="BA24" s="240"/>
      <c r="BB24" s="240"/>
      <c r="BC24" s="240"/>
      <c r="BD24" s="240"/>
      <c r="BE24" s="241"/>
      <c r="BH24" s="194"/>
      <c r="DN24" s="194"/>
      <c r="DO24" s="194"/>
      <c r="DR24" s="194"/>
      <c r="DS24" s="194"/>
      <c r="DU24" s="239">
        <f>DX18+1</f>
        <v>20</v>
      </c>
      <c r="DV24" s="240"/>
      <c r="DW24" s="240"/>
      <c r="DX24" s="240"/>
      <c r="DY24" s="240"/>
      <c r="DZ24" s="240"/>
      <c r="EA24" s="241"/>
      <c r="EC24" s="239">
        <f>EE18+1</f>
        <v>30</v>
      </c>
      <c r="ED24" s="240"/>
      <c r="EE24" s="240"/>
      <c r="EF24" s="240"/>
      <c r="EG24" s="240"/>
      <c r="EH24" s="240"/>
      <c r="EI24" s="241"/>
    </row>
    <row r="25" spans="4:141" ht="22.9" customHeight="1" thickTop="1" thickBot="1" x14ac:dyDescent="0.3">
      <c r="H25" s="249" t="s">
        <v>600</v>
      </c>
      <c r="I25" s="250"/>
      <c r="J25" s="250"/>
      <c r="K25" s="250"/>
      <c r="L25" s="250"/>
      <c r="M25" s="250"/>
      <c r="N25" s="251"/>
      <c r="R25" s="249" t="s">
        <v>601</v>
      </c>
      <c r="S25" s="250"/>
      <c r="T25" s="250"/>
      <c r="U25" s="251"/>
      <c r="AL25" s="115">
        <f ca="1">AM31</f>
        <v>3.2233333333333332</v>
      </c>
      <c r="AM25" s="116" t="s">
        <v>107</v>
      </c>
      <c r="AN25" s="117" t="s">
        <v>106</v>
      </c>
      <c r="AO25" s="118" t="s">
        <v>104</v>
      </c>
      <c r="AP25" s="119" t="str">
        <f>Изопрайса</f>
        <v>T</v>
      </c>
      <c r="AQ25" s="120" t="str">
        <f>Изопрайса</f>
        <v>R</v>
      </c>
      <c r="AR25" s="121" t="str">
        <f>Изопрайса</f>
        <v>W</v>
      </c>
      <c r="AY25" s="115">
        <f ca="1">AZ31</f>
        <v>3.09</v>
      </c>
      <c r="AZ25" s="116" t="s">
        <v>106</v>
      </c>
      <c r="BA25" s="117" t="s">
        <v>104</v>
      </c>
      <c r="BB25" s="118" t="s">
        <v>107</v>
      </c>
      <c r="BC25" s="119" t="str">
        <f>Изопрайса</f>
        <v>R</v>
      </c>
      <c r="BD25" s="120" t="str">
        <f>Изопрайса</f>
        <v>W</v>
      </c>
      <c r="BE25" s="121" t="str">
        <f>Изопрайса</f>
        <v>T</v>
      </c>
      <c r="BG25" s="194"/>
      <c r="BH25" s="194"/>
      <c r="BJ25" s="194"/>
      <c r="BK25" s="194"/>
      <c r="BL25" s="194"/>
      <c r="BM25" s="194"/>
      <c r="BN25" s="194"/>
      <c r="BO25" s="194"/>
      <c r="BP25" s="194"/>
      <c r="BQ25" s="194"/>
      <c r="BR25" s="194"/>
      <c r="CN25" s="194"/>
      <c r="CO25" s="194"/>
      <c r="CP25" s="194"/>
      <c r="DB25" s="194"/>
      <c r="DC25" s="194"/>
      <c r="DD25" s="194"/>
      <c r="DE25" s="194"/>
      <c r="DF25" s="194"/>
      <c r="DG25" s="194"/>
      <c r="DH25" s="194"/>
      <c r="DI25" s="194"/>
      <c r="DJ25" s="194"/>
      <c r="DK25" s="194"/>
      <c r="DL25" s="194"/>
      <c r="DM25" s="194"/>
      <c r="DN25" s="194"/>
      <c r="DO25" s="194"/>
      <c r="DR25" s="194"/>
      <c r="DS25" s="194"/>
      <c r="DU25" s="115">
        <f ca="1">DU31</f>
        <v>1.1100000000000001</v>
      </c>
      <c r="DV25" s="116" t="s">
        <v>103</v>
      </c>
      <c r="DW25" s="117" t="s">
        <v>105</v>
      </c>
      <c r="DX25" s="118" t="s">
        <v>105</v>
      </c>
      <c r="DY25" s="119" t="str">
        <f>Изопрайса</f>
        <v>Q</v>
      </c>
      <c r="DZ25" s="120" t="str">
        <f>Изопрайса</f>
        <v>E</v>
      </c>
      <c r="EA25" s="121" t="str">
        <f>Изопрайса</f>
        <v>E</v>
      </c>
      <c r="EC25" s="115">
        <f ca="1">EF31</f>
        <v>1.56</v>
      </c>
      <c r="ED25" s="116" t="s">
        <v>105</v>
      </c>
      <c r="EE25" s="117" t="s">
        <v>105</v>
      </c>
      <c r="EF25" s="118" t="s">
        <v>103</v>
      </c>
      <c r="EG25" s="119" t="str">
        <f>Изопрайса</f>
        <v>E</v>
      </c>
      <c r="EH25" s="120" t="str">
        <f>Изопрайса</f>
        <v>E</v>
      </c>
      <c r="EI25" s="121" t="str">
        <f>Изопрайса</f>
        <v>Q</v>
      </c>
    </row>
    <row r="26" spans="4:141" ht="22.9" customHeight="1" thickTop="1" thickBot="1" x14ac:dyDescent="0.3">
      <c r="H26" s="115">
        <f>G22</f>
        <v>4</v>
      </c>
      <c r="I26" s="116" t="s">
        <v>104</v>
      </c>
      <c r="J26" s="117" t="s">
        <v>105</v>
      </c>
      <c r="K26" s="118" t="s">
        <v>105</v>
      </c>
      <c r="L26" s="119" t="str">
        <f>Изопрайса</f>
        <v>W</v>
      </c>
      <c r="M26" s="120" t="str">
        <f>Изопрайса</f>
        <v>E</v>
      </c>
      <c r="N26" s="121" t="str">
        <f>Изопрайса</f>
        <v>E</v>
      </c>
      <c r="O26" s="5" t="s">
        <v>607</v>
      </c>
      <c r="R26" s="242" t="s">
        <v>357</v>
      </c>
      <c r="S26" s="243"/>
      <c r="T26" s="244"/>
      <c r="U26" s="122"/>
      <c r="AL26" s="46">
        <f ca="1">AR31</f>
        <v>1.1821428571428572</v>
      </c>
      <c r="AM26" s="47" t="s">
        <v>104</v>
      </c>
      <c r="AN26" s="48" t="s">
        <v>107</v>
      </c>
      <c r="AO26" s="49" t="s">
        <v>106</v>
      </c>
      <c r="AP26" s="50" t="str">
        <f>Изопрайса</f>
        <v>W</v>
      </c>
      <c r="AQ26" s="51" t="str">
        <f>Изопрайса</f>
        <v>T</v>
      </c>
      <c r="AR26" s="52" t="str">
        <f>Изопрайса</f>
        <v>R</v>
      </c>
      <c r="AY26" s="46">
        <f ca="1">BF31</f>
        <v>2.4900000000000002</v>
      </c>
      <c r="AZ26" s="47" t="s">
        <v>106</v>
      </c>
      <c r="BA26" s="48" t="s">
        <v>106</v>
      </c>
      <c r="BB26" s="49" t="s">
        <v>104</v>
      </c>
      <c r="BC26" s="50" t="str">
        <f>Изопрайса</f>
        <v>R</v>
      </c>
      <c r="BD26" s="51" t="str">
        <f>Изопрайса</f>
        <v>R</v>
      </c>
      <c r="BE26" s="52" t="str">
        <f>Изопрайса</f>
        <v>W</v>
      </c>
      <c r="BG26" s="194"/>
      <c r="BH26" s="194"/>
      <c r="BJ26" s="194"/>
      <c r="BK26" s="194"/>
      <c r="BL26" s="194"/>
      <c r="BM26" s="194"/>
      <c r="BN26" s="194"/>
      <c r="BO26" s="194"/>
      <c r="BP26" s="194"/>
      <c r="BQ26" s="194"/>
      <c r="BR26" s="194"/>
      <c r="BS26" s="194"/>
      <c r="BT26" s="194"/>
      <c r="CN26" s="194"/>
      <c r="CO26" s="194"/>
      <c r="CP26" s="194"/>
      <c r="DB26" s="194"/>
      <c r="DG26" s="194"/>
      <c r="DH26" s="194"/>
      <c r="DI26" s="194"/>
      <c r="DJ26" s="194"/>
      <c r="DK26" s="194"/>
      <c r="DL26" s="194"/>
      <c r="DM26" s="194"/>
      <c r="DN26" s="194"/>
      <c r="DO26" s="194"/>
      <c r="DR26" s="194"/>
      <c r="DS26" s="194"/>
      <c r="DU26" s="46">
        <f ca="1">EA31</f>
        <v>1</v>
      </c>
      <c r="DV26" s="47" t="s">
        <v>103</v>
      </c>
      <c r="DW26" s="48" t="s">
        <v>105</v>
      </c>
      <c r="DX26" s="49" t="s">
        <v>105</v>
      </c>
      <c r="DY26" s="50" t="str">
        <f>Изопрайса</f>
        <v>Q</v>
      </c>
      <c r="DZ26" s="51" t="str">
        <f>Изопрайса</f>
        <v>E</v>
      </c>
      <c r="EA26" s="52" t="str">
        <f>Изопрайса</f>
        <v>E</v>
      </c>
      <c r="EC26" s="46">
        <f ca="1">EK31</f>
        <v>3.08</v>
      </c>
      <c r="ED26" s="47" t="s">
        <v>108</v>
      </c>
      <c r="EE26" s="48" t="s">
        <v>104</v>
      </c>
      <c r="EF26" s="49" t="s">
        <v>103</v>
      </c>
      <c r="EG26" s="50" t="str">
        <f>Изопрайса</f>
        <v>Y</v>
      </c>
      <c r="EH26" s="51" t="str">
        <f>Изопрайса</f>
        <v>W</v>
      </c>
      <c r="EI26" s="52" t="str">
        <f>Изопрайса</f>
        <v>Q</v>
      </c>
    </row>
    <row r="27" spans="4:141" ht="22.9" customHeight="1" thickBot="1" x14ac:dyDescent="0.3">
      <c r="H27" s="46">
        <f>Q22</f>
        <v>3</v>
      </c>
      <c r="I27" s="47" t="s">
        <v>106</v>
      </c>
      <c r="J27" s="48" t="s">
        <v>108</v>
      </c>
      <c r="K27" s="49" t="s">
        <v>104</v>
      </c>
      <c r="L27" s="50" t="str">
        <f>Изопрайса</f>
        <v>R</v>
      </c>
      <c r="M27" s="51" t="str">
        <f>Изопрайса</f>
        <v>Y</v>
      </c>
      <c r="N27" s="52" t="str">
        <f>Изопрайса</f>
        <v>W</v>
      </c>
      <c r="O27" s="5" t="s">
        <v>562</v>
      </c>
      <c r="R27" s="81">
        <f>IF(R26="Прямая",1,IF(R26="Обратная",4,IF(R26="Опт. в макс.",1,IF(R26="Опт. в мин.",4,))))</f>
        <v>1</v>
      </c>
      <c r="S27" s="82">
        <f>IF(AND(R27=4,T27=4),1,IF(AND(R27=1,T27=1),4,(ABS(T27-R27))/2+1))</f>
        <v>2.5</v>
      </c>
      <c r="T27" s="83">
        <f>IF(R26="Прямая",4,IF(R26="Обратная",1,IF(R26="Опт. в макс.",1,IF(R26="Опт. в мин.",4,))))</f>
        <v>4</v>
      </c>
      <c r="U27" s="76">
        <f>Приведение</f>
        <v>1.75</v>
      </c>
      <c r="AL27" s="53">
        <f ca="1">Матрица_Расчёт</f>
        <v>3.19</v>
      </c>
      <c r="AM27" s="54" t="s">
        <v>107</v>
      </c>
      <c r="AN27" s="55" t="s">
        <v>104</v>
      </c>
      <c r="AO27" s="56" t="s">
        <v>107</v>
      </c>
      <c r="AP27" s="57" t="str">
        <f>Изопрайса</f>
        <v>T</v>
      </c>
      <c r="AQ27" s="58" t="str">
        <f>Изопрайса</f>
        <v>W</v>
      </c>
      <c r="AR27" s="59" t="str">
        <f>Изопрайса</f>
        <v>T</v>
      </c>
      <c r="AY27" s="53">
        <f ca="1">Матрица_Расчёт</f>
        <v>3.15</v>
      </c>
      <c r="AZ27" s="54" t="s">
        <v>103</v>
      </c>
      <c r="BA27" s="55" t="s">
        <v>107</v>
      </c>
      <c r="BB27" s="56" t="s">
        <v>106</v>
      </c>
      <c r="BC27" s="57" t="str">
        <f>Изопрайса</f>
        <v>Q</v>
      </c>
      <c r="BD27" s="58" t="str">
        <f>Изопрайса</f>
        <v>T</v>
      </c>
      <c r="BE27" s="59" t="str">
        <f>Изопрайса</f>
        <v>R</v>
      </c>
      <c r="DN27" s="194"/>
      <c r="DO27" s="194"/>
      <c r="DR27" s="194"/>
      <c r="DS27" s="194"/>
      <c r="DU27" s="53">
        <f ca="1">Матрица_Расчёт</f>
        <v>1.1100000000000001</v>
      </c>
      <c r="DV27" s="54" t="s">
        <v>106</v>
      </c>
      <c r="DW27" s="55" t="s">
        <v>108</v>
      </c>
      <c r="DX27" s="56" t="s">
        <v>108</v>
      </c>
      <c r="DY27" s="57" t="str">
        <f>Изопрайса</f>
        <v>R</v>
      </c>
      <c r="DZ27" s="58" t="str">
        <f>Изопрайса</f>
        <v>Y</v>
      </c>
      <c r="EA27" s="59" t="str">
        <f>Изопрайса</f>
        <v>Y</v>
      </c>
      <c r="EC27" s="53">
        <f ca="1">Матрица_Расчёт</f>
        <v>1.67</v>
      </c>
      <c r="ED27" s="54" t="s">
        <v>108</v>
      </c>
      <c r="EE27" s="55" t="s">
        <v>106</v>
      </c>
      <c r="EF27" s="56" t="s">
        <v>106</v>
      </c>
      <c r="EG27" s="57" t="str">
        <f>Изопрайса</f>
        <v>Y</v>
      </c>
      <c r="EH27" s="58" t="str">
        <f>Изопрайса</f>
        <v>R</v>
      </c>
      <c r="EI27" s="59" t="str">
        <f>Изопрайса</f>
        <v>R</v>
      </c>
    </row>
    <row r="28" spans="4:141" ht="22.9" customHeight="1" thickTop="1" thickBot="1" x14ac:dyDescent="0.3">
      <c r="H28" s="53">
        <f>Матрица_Расчёт</f>
        <v>3</v>
      </c>
      <c r="I28" s="54" t="s">
        <v>106</v>
      </c>
      <c r="J28" s="55" t="s">
        <v>104</v>
      </c>
      <c r="K28" s="56" t="s">
        <v>103</v>
      </c>
      <c r="L28" s="57" t="str">
        <f>Изопрайса</f>
        <v>R</v>
      </c>
      <c r="M28" s="58" t="str">
        <f>Изопрайса</f>
        <v>W</v>
      </c>
      <c r="N28" s="59" t="str">
        <f>Изопрайса</f>
        <v>Q</v>
      </c>
      <c r="O28" s="5" t="s">
        <v>606</v>
      </c>
      <c r="R28" s="77">
        <f>R31</f>
        <v>1</v>
      </c>
      <c r="S28" s="78"/>
      <c r="T28" s="79">
        <f>T31</f>
        <v>5</v>
      </c>
      <c r="U28" s="80">
        <v>2</v>
      </c>
    </row>
    <row r="29" spans="4:141" ht="22.9" customHeight="1" thickTop="1" thickBot="1" x14ac:dyDescent="0.3">
      <c r="L29" s="5" t="s">
        <v>607</v>
      </c>
      <c r="M29" s="5" t="s">
        <v>562</v>
      </c>
      <c r="N29" s="5" t="s">
        <v>606</v>
      </c>
      <c r="AJ29" s="239">
        <f>AL24+1</f>
        <v>5</v>
      </c>
      <c r="AK29" s="240"/>
      <c r="AL29" s="240"/>
      <c r="AM29" s="241"/>
      <c r="AO29" s="239">
        <f>AJ29+1</f>
        <v>6</v>
      </c>
      <c r="AP29" s="240"/>
      <c r="AQ29" s="240"/>
      <c r="AR29" s="241"/>
      <c r="AW29" s="239">
        <f>AY24+1</f>
        <v>9</v>
      </c>
      <c r="AX29" s="240"/>
      <c r="AY29" s="240"/>
      <c r="AZ29" s="241"/>
      <c r="BC29" s="239">
        <f>AW29+1</f>
        <v>10</v>
      </c>
      <c r="BD29" s="240"/>
      <c r="BE29" s="240"/>
      <c r="BF29" s="241"/>
      <c r="BH29" s="197"/>
      <c r="BJ29" s="194"/>
      <c r="BK29" s="194"/>
      <c r="BL29" s="194"/>
      <c r="BM29" s="194"/>
      <c r="BN29" s="194"/>
      <c r="BO29" s="194"/>
      <c r="DG29" s="194"/>
      <c r="DH29" s="194"/>
      <c r="DI29" s="194"/>
      <c r="DJ29" s="194"/>
      <c r="DK29" s="194"/>
      <c r="DL29" s="194"/>
      <c r="DR29" s="239">
        <f>DU24+1</f>
        <v>21</v>
      </c>
      <c r="DS29" s="240"/>
      <c r="DT29" s="240"/>
      <c r="DU29" s="241"/>
      <c r="DX29" s="239">
        <f>DS40+1</f>
        <v>28</v>
      </c>
      <c r="DY29" s="240"/>
      <c r="DZ29" s="240"/>
      <c r="EA29" s="241"/>
      <c r="EC29" s="239">
        <f>EC24+1</f>
        <v>31</v>
      </c>
      <c r="ED29" s="240"/>
      <c r="EE29" s="240"/>
      <c r="EF29" s="241"/>
      <c r="EH29" s="239">
        <f>EC29+1</f>
        <v>32</v>
      </c>
      <c r="EI29" s="240"/>
      <c r="EJ29" s="240"/>
      <c r="EK29" s="241"/>
    </row>
    <row r="30" spans="4:141" ht="22.9" customHeight="1" thickTop="1" thickBot="1" x14ac:dyDescent="0.3">
      <c r="R30" s="105" t="s">
        <v>602</v>
      </c>
      <c r="S30" s="106"/>
      <c r="T30" s="107" t="s">
        <v>603</v>
      </c>
      <c r="AJ30" s="242" t="s">
        <v>357</v>
      </c>
      <c r="AK30" s="243"/>
      <c r="AL30" s="244"/>
      <c r="AM30" s="122"/>
      <c r="AO30" s="242" t="s">
        <v>357</v>
      </c>
      <c r="AP30" s="243"/>
      <c r="AQ30" s="244"/>
      <c r="AR30" s="122"/>
      <c r="AW30" s="242" t="s">
        <v>357</v>
      </c>
      <c r="AX30" s="243"/>
      <c r="AY30" s="244"/>
      <c r="AZ30" s="122"/>
      <c r="BC30" s="242" t="s">
        <v>357</v>
      </c>
      <c r="BD30" s="243"/>
      <c r="BE30" s="244"/>
      <c r="BF30" s="122"/>
      <c r="BH30" s="197"/>
      <c r="BJ30" s="194"/>
      <c r="BK30" s="194"/>
      <c r="BL30" s="194"/>
      <c r="BM30" s="194"/>
      <c r="BN30" s="194"/>
      <c r="BO30" s="194"/>
      <c r="DG30" s="194"/>
      <c r="DH30" s="194"/>
      <c r="DI30" s="194"/>
      <c r="DJ30" s="194"/>
      <c r="DK30" s="194"/>
      <c r="DL30" s="194"/>
      <c r="DR30" s="242" t="s">
        <v>357</v>
      </c>
      <c r="DS30" s="243"/>
      <c r="DT30" s="244"/>
      <c r="DU30" s="122"/>
      <c r="DX30" s="242" t="s">
        <v>357</v>
      </c>
      <c r="DY30" s="243"/>
      <c r="DZ30" s="244"/>
      <c r="EA30" s="122"/>
      <c r="EC30" s="242" t="s">
        <v>357</v>
      </c>
      <c r="ED30" s="243"/>
      <c r="EE30" s="244"/>
      <c r="EF30" s="122"/>
      <c r="EH30" s="242" t="s">
        <v>357</v>
      </c>
      <c r="EI30" s="243"/>
      <c r="EJ30" s="244"/>
      <c r="EK30" s="122"/>
    </row>
    <row r="31" spans="4:141" ht="22.9" customHeight="1" thickTop="1" thickBot="1" x14ac:dyDescent="0.3">
      <c r="H31" s="239" t="s">
        <v>604</v>
      </c>
      <c r="I31" s="240"/>
      <c r="J31" s="240"/>
      <c r="K31" s="240"/>
      <c r="L31" s="240"/>
      <c r="M31" s="240"/>
      <c r="N31" s="241"/>
      <c r="R31" s="108">
        <v>1</v>
      </c>
      <c r="S31" s="98">
        <f>MAX(Таблица1372257259[№_Э])</f>
        <v>5</v>
      </c>
      <c r="T31" s="109">
        <v>5</v>
      </c>
      <c r="AJ31" s="81">
        <f ca="1">Min_1</f>
        <v>1</v>
      </c>
      <c r="AK31" s="82">
        <f ca="1">Mid_1</f>
        <v>2.5</v>
      </c>
      <c r="AL31" s="83">
        <f ca="1">Max_1</f>
        <v>4</v>
      </c>
      <c r="AM31" s="76">
        <f ca="1">Приведение</f>
        <v>3.2233333333333332</v>
      </c>
      <c r="AO31" s="81">
        <f ca="1">Min_1</f>
        <v>1</v>
      </c>
      <c r="AP31" s="82">
        <f ca="1">Mid_1</f>
        <v>2.5</v>
      </c>
      <c r="AQ31" s="83">
        <f ca="1">Max_1</f>
        <v>4</v>
      </c>
      <c r="AR31" s="76">
        <f ca="1">Приведение</f>
        <v>1.1821428571428572</v>
      </c>
      <c r="AW31" s="81">
        <f ca="1">Min_1</f>
        <v>1</v>
      </c>
      <c r="AX31" s="82">
        <f ca="1">Mid_1</f>
        <v>2.5</v>
      </c>
      <c r="AY31" s="83">
        <f ca="1">Max_1</f>
        <v>4</v>
      </c>
      <c r="AZ31" s="76">
        <f ca="1">Приведение</f>
        <v>3.09</v>
      </c>
      <c r="BC31" s="81">
        <f ca="1">Min_1</f>
        <v>1</v>
      </c>
      <c r="BD31" s="82">
        <f ca="1">Mid_1</f>
        <v>2.5</v>
      </c>
      <c r="BE31" s="83">
        <f ca="1">Max_1</f>
        <v>4</v>
      </c>
      <c r="BF31" s="76">
        <f ca="1">Приведение</f>
        <v>2.4900000000000002</v>
      </c>
      <c r="BH31" s="197"/>
      <c r="BJ31" s="194"/>
      <c r="BK31" s="194"/>
      <c r="BL31" s="194"/>
      <c r="BM31" s="194"/>
      <c r="BN31" s="194"/>
      <c r="BO31" s="194"/>
      <c r="DE31" s="194"/>
      <c r="DF31" s="194"/>
      <c r="DG31" s="194"/>
      <c r="DH31" s="194"/>
      <c r="DI31" s="194"/>
      <c r="DJ31" s="194"/>
      <c r="DK31" s="194"/>
      <c r="DL31" s="194"/>
      <c r="DR31" s="81">
        <f ca="1">Min_1</f>
        <v>1</v>
      </c>
      <c r="DS31" s="82">
        <f ca="1">Mid_1</f>
        <v>2.5</v>
      </c>
      <c r="DT31" s="83">
        <f ca="1">Max_1</f>
        <v>4</v>
      </c>
      <c r="DU31" s="76">
        <f ca="1">Приведение</f>
        <v>1.1100000000000001</v>
      </c>
      <c r="DX31" s="81">
        <f ca="1">Min_1</f>
        <v>1</v>
      </c>
      <c r="DY31" s="82">
        <f ca="1">Mid_1</f>
        <v>2.5</v>
      </c>
      <c r="DZ31" s="83">
        <f ca="1">Max_1</f>
        <v>4</v>
      </c>
      <c r="EA31" s="76">
        <f ca="1">Приведение</f>
        <v>1</v>
      </c>
      <c r="EC31" s="81">
        <f ca="1">Min_1</f>
        <v>1</v>
      </c>
      <c r="ED31" s="82">
        <f ca="1">Mid_1</f>
        <v>2.5</v>
      </c>
      <c r="EE31" s="83">
        <f ca="1">Max_1</f>
        <v>4</v>
      </c>
      <c r="EF31" s="76">
        <f ca="1">Приведение</f>
        <v>1.56</v>
      </c>
      <c r="EH31" s="81">
        <f ca="1">Min_1</f>
        <v>1</v>
      </c>
      <c r="EI31" s="82">
        <f ca="1">Mid_1</f>
        <v>2.5</v>
      </c>
      <c r="EJ31" s="83">
        <f ca="1">Max_1</f>
        <v>4</v>
      </c>
      <c r="EK31" s="76">
        <f ca="1">Приведение</f>
        <v>3.08</v>
      </c>
    </row>
    <row r="32" spans="4:141" ht="22.9" customHeight="1" thickTop="1" thickBot="1" x14ac:dyDescent="0.95">
      <c r="H32" s="115">
        <f>H28</f>
        <v>3</v>
      </c>
      <c r="I32" s="116" t="s">
        <v>108</v>
      </c>
      <c r="J32" s="117" t="s">
        <v>108</v>
      </c>
      <c r="K32" s="118" t="s">
        <v>104</v>
      </c>
      <c r="L32" s="119" t="str">
        <f>Изопрайса</f>
        <v>Y</v>
      </c>
      <c r="M32" s="120" t="str">
        <f>Изопрайса</f>
        <v>Y</v>
      </c>
      <c r="N32" s="121" t="str">
        <f>Изопрайса</f>
        <v>W</v>
      </c>
      <c r="R32" s="110" t="s">
        <v>452</v>
      </c>
      <c r="S32" s="101" t="s">
        <v>441</v>
      </c>
      <c r="T32" s="111" t="s">
        <v>453</v>
      </c>
      <c r="AJ32" s="77">
        <v>-5</v>
      </c>
      <c r="AK32" s="78"/>
      <c r="AL32" s="79">
        <v>4</v>
      </c>
      <c r="AM32" s="80">
        <v>1.67</v>
      </c>
      <c r="AO32" s="77">
        <v>1</v>
      </c>
      <c r="AP32" s="78"/>
      <c r="AQ32" s="79">
        <v>15</v>
      </c>
      <c r="AR32" s="80">
        <v>1.85</v>
      </c>
      <c r="AW32" s="77">
        <v>1</v>
      </c>
      <c r="AX32" s="78">
        <v>0</v>
      </c>
      <c r="AY32" s="79">
        <v>4</v>
      </c>
      <c r="AZ32" s="185">
        <v>3.09</v>
      </c>
      <c r="BC32" s="77">
        <v>1</v>
      </c>
      <c r="BD32" s="78"/>
      <c r="BE32" s="79">
        <v>4</v>
      </c>
      <c r="BF32" s="184">
        <f ca="1">BF38</f>
        <v>2.4900000000000002</v>
      </c>
      <c r="BH32" s="195"/>
      <c r="BJ32" s="194"/>
      <c r="BK32" s="194"/>
      <c r="BL32" s="194"/>
      <c r="BM32" s="194"/>
      <c r="BN32" s="194"/>
      <c r="BO32" s="194"/>
      <c r="DE32" s="194"/>
      <c r="DF32" s="194"/>
      <c r="DG32" s="194"/>
      <c r="DH32" s="194"/>
      <c r="DI32" s="194"/>
      <c r="DJ32" s="194"/>
      <c r="DK32" s="194"/>
      <c r="DL32" s="194"/>
      <c r="DO32" s="195"/>
      <c r="DR32" s="77">
        <v>1</v>
      </c>
      <c r="DS32" s="78"/>
      <c r="DT32" s="79">
        <v>4</v>
      </c>
      <c r="DU32" s="184">
        <f ca="1">DN38</f>
        <v>1.1100000000000001</v>
      </c>
      <c r="DX32" s="77">
        <v>1</v>
      </c>
      <c r="DY32" s="78"/>
      <c r="DZ32" s="79">
        <v>4</v>
      </c>
      <c r="EA32" s="80">
        <v>1</v>
      </c>
      <c r="EC32" s="77">
        <v>1</v>
      </c>
      <c r="ED32" s="78"/>
      <c r="EE32" s="79">
        <v>4</v>
      </c>
      <c r="EF32" s="80">
        <v>1.56</v>
      </c>
      <c r="EH32" s="77">
        <v>1</v>
      </c>
      <c r="EI32" s="78"/>
      <c r="EJ32" s="79">
        <v>4</v>
      </c>
      <c r="EK32" s="80">
        <v>3.08</v>
      </c>
    </row>
    <row r="33" spans="8:126" ht="22.9" customHeight="1" thickTop="1" thickBot="1" x14ac:dyDescent="0.3">
      <c r="H33" s="46">
        <f>U27</f>
        <v>1.75</v>
      </c>
      <c r="I33" s="47" t="s">
        <v>104</v>
      </c>
      <c r="J33" s="48" t="s">
        <v>105</v>
      </c>
      <c r="K33" s="49" t="s">
        <v>103</v>
      </c>
      <c r="L33" s="50" t="str">
        <f>Изопрайса</f>
        <v>W</v>
      </c>
      <c r="M33" s="51" t="str">
        <f>Изопрайса</f>
        <v>E</v>
      </c>
      <c r="N33" s="52" t="str">
        <f>Изопрайса</f>
        <v>Q</v>
      </c>
      <c r="R33" s="110">
        <f>ROW()-ROW(Таблица1372257259[#Headers])</f>
        <v>1</v>
      </c>
      <c r="S33" s="130" t="str">
        <f ca="1">Фантом</f>
        <v/>
      </c>
      <c r="T33" s="111">
        <v>5</v>
      </c>
    </row>
    <row r="34" spans="8:126" ht="22.9" customHeight="1" thickBot="1" x14ac:dyDescent="0.3">
      <c r="H34" s="53">
        <f>Матрица_Расчёт</f>
        <v>1</v>
      </c>
      <c r="I34" s="54" t="s">
        <v>106</v>
      </c>
      <c r="J34" s="55" t="s">
        <v>104</v>
      </c>
      <c r="K34" s="56" t="s">
        <v>103</v>
      </c>
      <c r="L34" s="57" t="str">
        <f>Изопрайса</f>
        <v>R</v>
      </c>
      <c r="M34" s="58" t="str">
        <f>Изопрайса</f>
        <v>W</v>
      </c>
      <c r="N34" s="59" t="str">
        <f>Изопрайса</f>
        <v>Q</v>
      </c>
      <c r="R34" s="110">
        <f>ROW()-ROW(Таблица1372257259[#Headers])</f>
        <v>2</v>
      </c>
      <c r="S34" s="130">
        <f ca="1">Фантом</f>
        <v>4.2</v>
      </c>
      <c r="T34" s="111">
        <v>5</v>
      </c>
    </row>
    <row r="35" spans="8:126" ht="22.9" customHeight="1" thickTop="1" thickBot="1" x14ac:dyDescent="0.3">
      <c r="R35" s="156">
        <f>ROW()-ROW(Таблица1372257259[#Headers])</f>
        <v>3</v>
      </c>
      <c r="S35" s="157">
        <f ca="1">Фантом</f>
        <v>3.4</v>
      </c>
      <c r="T35" s="156">
        <v>3</v>
      </c>
      <c r="BF35" s="239">
        <f>BC29+1</f>
        <v>11</v>
      </c>
      <c r="BG35" s="240"/>
      <c r="BH35" s="240"/>
      <c r="BI35" s="240"/>
      <c r="BJ35" s="240"/>
      <c r="BK35" s="240"/>
      <c r="BL35" s="241"/>
      <c r="DE35" s="194"/>
      <c r="DF35" s="194"/>
      <c r="DG35" s="194"/>
      <c r="DH35" s="194"/>
      <c r="DI35" s="194"/>
      <c r="DJ35" s="194"/>
      <c r="DK35" s="194"/>
      <c r="DL35" s="194"/>
      <c r="DN35" s="239">
        <f>DR29+1</f>
        <v>22</v>
      </c>
      <c r="DO35" s="240"/>
      <c r="DP35" s="240"/>
      <c r="DQ35" s="240"/>
      <c r="DR35" s="240"/>
      <c r="DS35" s="240"/>
      <c r="DT35" s="241"/>
    </row>
    <row r="36" spans="8:126" ht="22.9" customHeight="1" thickTop="1" thickBot="1" x14ac:dyDescent="0.3">
      <c r="R36" s="156">
        <f>ROW()-ROW(Таблица1372257259[#Headers])</f>
        <v>4</v>
      </c>
      <c r="S36" s="157">
        <f ca="1">Фантом</f>
        <v>2.6</v>
      </c>
      <c r="T36" s="156">
        <v>4</v>
      </c>
      <c r="BF36" s="115">
        <f ca="1">BG42</f>
        <v>2.4900000000000002</v>
      </c>
      <c r="BG36" s="116" t="s">
        <v>106</v>
      </c>
      <c r="BH36" s="117" t="s">
        <v>104</v>
      </c>
      <c r="BI36" s="118" t="s">
        <v>107</v>
      </c>
      <c r="BJ36" s="119" t="str">
        <f>Изопрайса</f>
        <v>R</v>
      </c>
      <c r="BK36" s="120" t="str">
        <f>Изопрайса</f>
        <v>W</v>
      </c>
      <c r="BL36" s="121" t="str">
        <f>Изопрайса</f>
        <v>T</v>
      </c>
      <c r="DE36" s="194"/>
      <c r="DF36" s="194"/>
      <c r="DG36" s="194"/>
      <c r="DH36" s="194"/>
      <c r="DI36" s="194"/>
      <c r="DJ36" s="194"/>
      <c r="DK36" s="194"/>
      <c r="DL36" s="194"/>
      <c r="DN36" s="115">
        <f ca="1">DQ42</f>
        <v>1.07</v>
      </c>
      <c r="DO36" s="116" t="s">
        <v>105</v>
      </c>
      <c r="DP36" s="117" t="s">
        <v>105</v>
      </c>
      <c r="DQ36" s="118" t="s">
        <v>103</v>
      </c>
      <c r="DR36" s="119" t="str">
        <f>Изопрайса</f>
        <v>E</v>
      </c>
      <c r="DS36" s="120" t="str">
        <f>Изопрайса</f>
        <v>E</v>
      </c>
      <c r="DT36" s="121" t="str">
        <f>Изопрайса</f>
        <v>Q</v>
      </c>
    </row>
    <row r="37" spans="8:126" ht="22.5" customHeight="1" thickBot="1" x14ac:dyDescent="0.3">
      <c r="H37" s="158" t="s">
        <v>395</v>
      </c>
      <c r="I37" s="159" t="s">
        <v>597</v>
      </c>
      <c r="J37" s="160" t="s">
        <v>598</v>
      </c>
      <c r="K37" s="161" t="s">
        <v>599</v>
      </c>
      <c r="L37" s="162" t="s">
        <v>605</v>
      </c>
      <c r="R37" s="163">
        <f>ROW()-ROW(Таблица1372257259[#Headers])</f>
        <v>5</v>
      </c>
      <c r="S37" s="164">
        <f ca="1">Фантом</f>
        <v>1.8</v>
      </c>
      <c r="T37" s="163">
        <v>4</v>
      </c>
      <c r="BF37" s="46">
        <f ca="1">BL42</f>
        <v>1.59</v>
      </c>
      <c r="BG37" s="47" t="s">
        <v>106</v>
      </c>
      <c r="BH37" s="48" t="s">
        <v>106</v>
      </c>
      <c r="BI37" s="49" t="s">
        <v>104</v>
      </c>
      <c r="BJ37" s="50" t="str">
        <f>Изопрайса</f>
        <v>R</v>
      </c>
      <c r="BK37" s="51" t="str">
        <f>Изопрайса</f>
        <v>R</v>
      </c>
      <c r="BL37" s="52" t="str">
        <f>Изопрайса</f>
        <v>W</v>
      </c>
      <c r="DE37" s="194"/>
      <c r="DF37" s="194"/>
      <c r="DG37" s="194"/>
      <c r="DH37" s="194"/>
      <c r="DI37" s="194"/>
      <c r="DJ37" s="194"/>
      <c r="DK37" s="194"/>
      <c r="DL37" s="194"/>
      <c r="DN37" s="46">
        <f ca="1">DV42</f>
        <v>3.02</v>
      </c>
      <c r="DO37" s="47" t="s">
        <v>108</v>
      </c>
      <c r="DP37" s="48" t="s">
        <v>104</v>
      </c>
      <c r="DQ37" s="49" t="s">
        <v>103</v>
      </c>
      <c r="DR37" s="50" t="str">
        <f>Изопрайса</f>
        <v>Y</v>
      </c>
      <c r="DS37" s="51" t="str">
        <f>Изопрайса</f>
        <v>W</v>
      </c>
      <c r="DT37" s="52" t="str">
        <f>Изопрайса</f>
        <v>Q</v>
      </c>
    </row>
    <row r="38" spans="8:126" ht="22.9" customHeight="1" thickBot="1" x14ac:dyDescent="0.3">
      <c r="H38" s="165">
        <v>1</v>
      </c>
      <c r="I38" s="166">
        <v>37</v>
      </c>
      <c r="J38" s="167">
        <v>2</v>
      </c>
      <c r="K38" s="168">
        <v>3</v>
      </c>
      <c r="L38" s="169">
        <v>1.5</v>
      </c>
      <c r="O38" s="248">
        <f>L38/$L$43</f>
        <v>0.20689655172413793</v>
      </c>
      <c r="P38" s="248"/>
      <c r="R38" s="112" t="s">
        <v>454</v>
      </c>
      <c r="S38" s="113">
        <f>MAX(Таблица1372257259[№_Э])</f>
        <v>5</v>
      </c>
      <c r="T38" s="114">
        <f ca="1">MEDIAN(Таблица1372257259[_]:Таблица1372257259[О])</f>
        <v>4</v>
      </c>
      <c r="BF38" s="53">
        <f ca="1">Матрица_Расчёт</f>
        <v>2.4900000000000002</v>
      </c>
      <c r="BG38" s="54" t="s">
        <v>103</v>
      </c>
      <c r="BH38" s="55" t="s">
        <v>107</v>
      </c>
      <c r="BI38" s="56" t="s">
        <v>106</v>
      </c>
      <c r="BJ38" s="57" t="str">
        <f>Изопрайса</f>
        <v>Q</v>
      </c>
      <c r="BK38" s="58" t="str">
        <f>Изопрайса</f>
        <v>T</v>
      </c>
      <c r="BL38" s="59" t="str">
        <f>Изопрайса</f>
        <v>R</v>
      </c>
      <c r="DN38" s="53">
        <f ca="1">Матрица_Расчёт</f>
        <v>1.1100000000000001</v>
      </c>
      <c r="DO38" s="54" t="s">
        <v>108</v>
      </c>
      <c r="DP38" s="55" t="s">
        <v>106</v>
      </c>
      <c r="DQ38" s="56" t="s">
        <v>106</v>
      </c>
      <c r="DR38" s="57" t="str">
        <f>Изопрайса</f>
        <v>Y</v>
      </c>
      <c r="DS38" s="58" t="str">
        <f>Изопрайса</f>
        <v>R</v>
      </c>
      <c r="DT38" s="59" t="str">
        <f>Изопрайса</f>
        <v>R</v>
      </c>
    </row>
    <row r="39" spans="8:126" ht="22.9" customHeight="1" thickTop="1" thickBot="1" x14ac:dyDescent="0.3">
      <c r="H39" s="170">
        <v>2</v>
      </c>
      <c r="I39" s="171">
        <v>16</v>
      </c>
      <c r="J39" s="6">
        <v>4</v>
      </c>
      <c r="K39" s="172">
        <v>4</v>
      </c>
      <c r="L39" s="173">
        <v>1</v>
      </c>
      <c r="O39" s="248">
        <f>L39/$L$43</f>
        <v>0.13793103448275862</v>
      </c>
      <c r="P39" s="248"/>
      <c r="DD39" s="194"/>
      <c r="DE39" s="194"/>
      <c r="DF39" s="194"/>
      <c r="DG39" s="194"/>
      <c r="DH39" s="194"/>
    </row>
    <row r="40" spans="8:126" ht="22.9" customHeight="1" thickTop="1" thickBot="1" x14ac:dyDescent="0.3">
      <c r="H40" s="170">
        <v>3</v>
      </c>
      <c r="I40" s="171">
        <v>52</v>
      </c>
      <c r="J40" s="6">
        <v>1</v>
      </c>
      <c r="K40" s="172">
        <v>3</v>
      </c>
      <c r="L40" s="173">
        <v>1.5</v>
      </c>
      <c r="O40" s="248">
        <f>L40/$L$43</f>
        <v>0.20689655172413793</v>
      </c>
      <c r="P40" s="248"/>
      <c r="BD40" s="239">
        <f>BF35+1</f>
        <v>12</v>
      </c>
      <c r="BE40" s="240"/>
      <c r="BF40" s="240"/>
      <c r="BG40" s="241"/>
      <c r="BI40" s="239">
        <f>BD40+1</f>
        <v>13</v>
      </c>
      <c r="BJ40" s="240"/>
      <c r="BK40" s="240"/>
      <c r="BL40" s="241"/>
      <c r="BR40" s="194"/>
      <c r="BS40" s="194"/>
      <c r="BT40" s="194"/>
      <c r="BU40" s="194"/>
      <c r="BV40" s="194"/>
      <c r="BW40" s="194"/>
      <c r="BX40" s="194"/>
      <c r="BY40" s="194"/>
      <c r="BZ40" s="194"/>
      <c r="CA40" s="194"/>
      <c r="CB40" s="194"/>
      <c r="CC40" s="194"/>
      <c r="CD40" s="194"/>
      <c r="CE40" s="194"/>
      <c r="CF40" s="194"/>
      <c r="CG40" s="194"/>
      <c r="CH40" s="194"/>
      <c r="CI40" s="194"/>
      <c r="CJ40" s="194"/>
      <c r="CK40" s="194"/>
      <c r="CL40" s="194"/>
      <c r="CM40" s="194"/>
      <c r="CN40" s="194"/>
      <c r="CO40" s="194"/>
      <c r="CP40" s="194"/>
      <c r="CQ40" s="194"/>
      <c r="CR40" s="194"/>
      <c r="CS40" s="194"/>
      <c r="CT40" s="194"/>
      <c r="CU40" s="194"/>
      <c r="CV40" s="194"/>
      <c r="CW40" s="194"/>
      <c r="CX40" s="194"/>
      <c r="CY40" s="194"/>
      <c r="CZ40" s="194"/>
      <c r="DA40" s="194"/>
      <c r="DB40" s="194"/>
      <c r="DC40" s="194"/>
      <c r="DD40" s="194"/>
      <c r="DE40" s="194"/>
      <c r="DF40" s="194"/>
      <c r="DG40" s="194"/>
      <c r="DH40" s="194"/>
      <c r="DN40" s="239">
        <f>DN35+1</f>
        <v>23</v>
      </c>
      <c r="DO40" s="240"/>
      <c r="DP40" s="240"/>
      <c r="DQ40" s="241"/>
      <c r="DS40" s="239">
        <f>DO50+1</f>
        <v>27</v>
      </c>
      <c r="DT40" s="240"/>
      <c r="DU40" s="240"/>
      <c r="DV40" s="241"/>
    </row>
    <row r="41" spans="8:126" ht="22.9" customHeight="1" thickTop="1" x14ac:dyDescent="0.25">
      <c r="H41" s="170">
        <v>4</v>
      </c>
      <c r="I41" s="171">
        <v>28</v>
      </c>
      <c r="J41" s="6">
        <v>3</v>
      </c>
      <c r="K41" s="172">
        <v>3.4</v>
      </c>
      <c r="L41" s="173">
        <v>1</v>
      </c>
      <c r="O41" s="248">
        <f>L41/$L$43</f>
        <v>0.13793103448275862</v>
      </c>
      <c r="P41" s="248"/>
      <c r="BD41" s="242" t="s">
        <v>357</v>
      </c>
      <c r="BE41" s="243"/>
      <c r="BF41" s="244"/>
      <c r="BG41" s="122"/>
      <c r="BI41" s="242" t="s">
        <v>357</v>
      </c>
      <c r="BJ41" s="243"/>
      <c r="BK41" s="244"/>
      <c r="BL41" s="122"/>
      <c r="BR41" s="194"/>
      <c r="BS41" s="194"/>
      <c r="BT41" s="194"/>
      <c r="BU41" s="194"/>
      <c r="BV41" s="194"/>
      <c r="BW41" s="194"/>
      <c r="BX41" s="194"/>
      <c r="BY41" s="194"/>
      <c r="BZ41" s="194"/>
      <c r="CA41" s="194"/>
      <c r="CB41" s="194"/>
      <c r="CC41" s="194"/>
      <c r="CD41" s="194"/>
      <c r="CE41" s="194"/>
      <c r="CF41" s="194"/>
      <c r="CG41" s="194"/>
      <c r="CH41" s="194"/>
      <c r="CI41" s="194"/>
      <c r="CJ41" s="194"/>
      <c r="CK41" s="194"/>
      <c r="CL41" s="194"/>
      <c r="CM41" s="194"/>
      <c r="CN41" s="194"/>
      <c r="CO41" s="194"/>
      <c r="CP41" s="194"/>
      <c r="CQ41" s="194"/>
      <c r="CR41" s="194"/>
      <c r="CS41" s="194"/>
      <c r="CT41" s="194"/>
      <c r="CU41" s="194"/>
      <c r="CV41" s="194"/>
      <c r="CW41" s="194"/>
      <c r="CX41" s="194"/>
      <c r="CY41" s="194"/>
      <c r="CZ41" s="194"/>
      <c r="DA41" s="194"/>
      <c r="DB41" s="194"/>
      <c r="DC41" s="194"/>
      <c r="DD41" s="194"/>
      <c r="DE41" s="194"/>
      <c r="DF41" s="194"/>
      <c r="DG41" s="194"/>
      <c r="DH41" s="194"/>
      <c r="DN41" s="242" t="s">
        <v>357</v>
      </c>
      <c r="DO41" s="243"/>
      <c r="DP41" s="244"/>
      <c r="DQ41" s="122"/>
      <c r="DS41" s="242" t="s">
        <v>357</v>
      </c>
      <c r="DT41" s="243"/>
      <c r="DU41" s="244"/>
      <c r="DV41" s="122"/>
    </row>
    <row r="42" spans="8:126" ht="22.9" customHeight="1" thickBot="1" x14ac:dyDescent="0.95">
      <c r="H42" s="174">
        <v>5</v>
      </c>
      <c r="I42" s="171">
        <v>61</v>
      </c>
      <c r="J42" s="6">
        <v>1</v>
      </c>
      <c r="K42" s="172">
        <v>4</v>
      </c>
      <c r="L42" s="175">
        <v>2.25</v>
      </c>
      <c r="O42" s="248">
        <f>L42/$L$43</f>
        <v>0.31034482758620691</v>
      </c>
      <c r="P42" s="248"/>
      <c r="W42">
        <v>1.3</v>
      </c>
      <c r="BD42" s="81">
        <f ca="1">Min_1</f>
        <v>1</v>
      </c>
      <c r="BE42" s="82">
        <f ca="1">Mid_1</f>
        <v>2.5</v>
      </c>
      <c r="BF42" s="83">
        <f ca="1">Max_1</f>
        <v>4</v>
      </c>
      <c r="BG42" s="76">
        <f ca="1">Приведение</f>
        <v>2.4900000000000002</v>
      </c>
      <c r="BI42" s="81">
        <f ca="1">Min_1</f>
        <v>1</v>
      </c>
      <c r="BJ42" s="82">
        <f ca="1">Mid_1</f>
        <v>2.5</v>
      </c>
      <c r="BK42" s="83">
        <f ca="1">Max_1</f>
        <v>4</v>
      </c>
      <c r="BL42" s="76">
        <f ca="1">Приведение</f>
        <v>1.59</v>
      </c>
      <c r="BR42" s="194"/>
      <c r="BS42" s="194"/>
      <c r="BT42" s="194"/>
      <c r="BU42" s="194"/>
      <c r="BV42" s="194"/>
      <c r="BW42" s="194"/>
      <c r="BX42" s="194"/>
      <c r="BY42" s="194"/>
      <c r="BZ42" s="194"/>
      <c r="CA42" s="194"/>
      <c r="CB42" s="194"/>
      <c r="CC42" s="194"/>
      <c r="CD42" s="194"/>
      <c r="CE42" s="194"/>
      <c r="CF42" s="194"/>
      <c r="CG42" s="194"/>
      <c r="CH42" s="194"/>
      <c r="CI42" s="194"/>
      <c r="CJ42" s="194"/>
      <c r="CK42" s="194"/>
      <c r="CL42" s="194"/>
      <c r="CM42" s="194"/>
      <c r="CN42" s="194"/>
      <c r="CO42" s="194"/>
      <c r="CP42" s="194"/>
      <c r="CQ42" s="194"/>
      <c r="CR42" s="194"/>
      <c r="CS42" s="194"/>
      <c r="CT42" s="194"/>
      <c r="CU42" s="194"/>
      <c r="CV42" s="194"/>
      <c r="CW42" s="194"/>
      <c r="CX42" s="194"/>
      <c r="CY42" s="194"/>
      <c r="CZ42" s="194"/>
      <c r="DA42" s="194"/>
      <c r="DB42" s="194"/>
      <c r="DC42" s="194"/>
      <c r="DD42" s="194"/>
      <c r="DE42" s="194"/>
      <c r="DF42" s="203"/>
      <c r="DG42" s="203"/>
      <c r="DH42" s="194"/>
      <c r="DN42" s="81">
        <f ca="1">Min_1</f>
        <v>1</v>
      </c>
      <c r="DO42" s="82">
        <f ca="1">Mid_1</f>
        <v>2.5</v>
      </c>
      <c r="DP42" s="83">
        <f ca="1">Max_1</f>
        <v>4</v>
      </c>
      <c r="DQ42" s="76">
        <f ca="1">Приведение</f>
        <v>1.07</v>
      </c>
      <c r="DS42" s="81">
        <f ca="1">Min_1</f>
        <v>1</v>
      </c>
      <c r="DT42" s="82">
        <f ca="1">Mid_1</f>
        <v>2.5</v>
      </c>
      <c r="DU42" s="83">
        <f ca="1">Max_1</f>
        <v>4</v>
      </c>
      <c r="DV42" s="76">
        <f ca="1">Приведение</f>
        <v>3.02</v>
      </c>
    </row>
    <row r="43" spans="8:126" ht="22.9" customHeight="1" thickBot="1" x14ac:dyDescent="0.95">
      <c r="L43" s="5">
        <f>SUM(L38:L42)</f>
        <v>7.25</v>
      </c>
      <c r="W43">
        <v>2.65</v>
      </c>
      <c r="BD43" s="77">
        <v>1</v>
      </c>
      <c r="BE43" s="78">
        <v>4</v>
      </c>
      <c r="BF43" s="79">
        <v>4</v>
      </c>
      <c r="BG43" s="185">
        <v>2.4900000000000002</v>
      </c>
      <c r="BH43">
        <v>2.4900000000000002</v>
      </c>
      <c r="BI43" s="77">
        <v>1</v>
      </c>
      <c r="BJ43" s="78"/>
      <c r="BK43" s="79">
        <v>4</v>
      </c>
      <c r="BL43" s="184">
        <f ca="1">BK48</f>
        <v>1.59</v>
      </c>
      <c r="BM43">
        <v>1.49</v>
      </c>
      <c r="BR43" s="194"/>
      <c r="BS43" s="194"/>
      <c r="BT43" s="194"/>
      <c r="BU43" s="194"/>
      <c r="BV43" s="194"/>
      <c r="BW43" s="201"/>
      <c r="BX43" s="201"/>
      <c r="BY43" s="201"/>
      <c r="BZ43" s="194"/>
      <c r="CA43" s="194"/>
      <c r="CB43" s="194"/>
      <c r="CC43" s="194"/>
      <c r="CD43" s="194"/>
      <c r="CE43" s="194"/>
      <c r="CF43" s="194"/>
      <c r="CG43" s="194"/>
      <c r="CH43" s="194"/>
      <c r="CI43" s="194"/>
      <c r="CJ43" s="194"/>
      <c r="CK43" s="194"/>
      <c r="CL43" s="194"/>
      <c r="CM43" s="194"/>
      <c r="CN43" s="194"/>
      <c r="CO43" s="194"/>
      <c r="CP43" s="194"/>
      <c r="CQ43" s="194"/>
      <c r="CR43" s="194"/>
      <c r="CS43" s="194"/>
      <c r="CT43" s="194"/>
      <c r="CU43" s="194"/>
      <c r="CV43" s="194"/>
      <c r="CW43" s="194"/>
      <c r="CX43" s="194"/>
      <c r="CY43" s="194"/>
      <c r="CZ43" s="194"/>
      <c r="DA43" s="194"/>
      <c r="DB43" s="194"/>
      <c r="DC43" s="194"/>
      <c r="DD43" s="194"/>
      <c r="DE43" s="194"/>
      <c r="DF43" s="203"/>
      <c r="DG43" s="203"/>
      <c r="DH43" s="194"/>
      <c r="DN43" s="77">
        <v>1</v>
      </c>
      <c r="DO43" s="78"/>
      <c r="DP43" s="79">
        <v>4</v>
      </c>
      <c r="DQ43" s="184">
        <f ca="1">DJ48</f>
        <v>1.07</v>
      </c>
      <c r="DS43" s="77">
        <v>1</v>
      </c>
      <c r="DT43" s="78"/>
      <c r="DU43" s="79">
        <v>4</v>
      </c>
      <c r="DV43" s="80">
        <v>3.02</v>
      </c>
    </row>
    <row r="44" spans="8:126" ht="22.9" customHeight="1" thickTop="1" thickBot="1" x14ac:dyDescent="0.3">
      <c r="W44">
        <v>1</v>
      </c>
    </row>
    <row r="45" spans="8:126" ht="22.9" customHeight="1" thickTop="1" thickBot="1" x14ac:dyDescent="0.95">
      <c r="BK45" s="239">
        <f>BI40+1</f>
        <v>14</v>
      </c>
      <c r="BL45" s="240"/>
      <c r="BM45" s="240"/>
      <c r="BN45" s="240"/>
      <c r="BO45" s="240"/>
      <c r="BP45" s="240"/>
      <c r="BQ45" s="241"/>
      <c r="BR45" s="194"/>
      <c r="BS45" s="202"/>
      <c r="BT45" s="202"/>
      <c r="BU45" s="201"/>
      <c r="BV45" s="201"/>
      <c r="BW45" s="201"/>
      <c r="BX45" s="201"/>
      <c r="BY45" s="201"/>
      <c r="BZ45" s="194"/>
      <c r="CA45" s="194"/>
      <c r="CB45" s="194"/>
      <c r="CC45" s="194"/>
      <c r="CD45" s="194"/>
      <c r="CE45" s="194"/>
      <c r="CF45" s="194"/>
      <c r="CG45" s="194"/>
      <c r="CH45" s="194"/>
      <c r="CI45" s="194"/>
      <c r="CJ45" s="194"/>
      <c r="CK45" s="194"/>
      <c r="CL45" s="194"/>
      <c r="CM45" s="194"/>
      <c r="CN45" s="194"/>
      <c r="CO45" s="194"/>
      <c r="CP45" s="194"/>
      <c r="CQ45" s="194"/>
      <c r="CR45" s="194"/>
      <c r="CS45" s="194"/>
      <c r="CT45" s="194"/>
      <c r="CU45" s="194"/>
      <c r="CV45" s="194"/>
      <c r="CW45" s="194"/>
      <c r="CX45" s="194"/>
      <c r="CY45" s="194"/>
      <c r="CZ45" s="194"/>
      <c r="DA45" s="194"/>
      <c r="DB45" s="201"/>
      <c r="DC45" s="201"/>
      <c r="DD45" s="202"/>
      <c r="DE45" s="202"/>
      <c r="DF45" s="194"/>
      <c r="DG45" s="194"/>
      <c r="DH45" s="194"/>
      <c r="DJ45" s="239">
        <f>DN40+1</f>
        <v>24</v>
      </c>
      <c r="DK45" s="240"/>
      <c r="DL45" s="240"/>
      <c r="DM45" s="240"/>
      <c r="DN45" s="240"/>
      <c r="DO45" s="240"/>
      <c r="DP45" s="241"/>
    </row>
    <row r="46" spans="8:126" ht="22.9" customHeight="1" thickTop="1" x14ac:dyDescent="0.25">
      <c r="BK46" s="115">
        <f ca="1">BL52</f>
        <v>1.6</v>
      </c>
      <c r="BL46" s="116" t="s">
        <v>106</v>
      </c>
      <c r="BM46" s="117" t="s">
        <v>104</v>
      </c>
      <c r="BN46" s="118" t="s">
        <v>107</v>
      </c>
      <c r="BO46" s="119" t="str">
        <f>Изопрайса</f>
        <v>R</v>
      </c>
      <c r="BP46" s="120" t="str">
        <f>Изопрайса</f>
        <v>W</v>
      </c>
      <c r="BQ46" s="121" t="str">
        <f>Изопрайса</f>
        <v>T</v>
      </c>
      <c r="BR46" s="194"/>
      <c r="BS46" s="194"/>
      <c r="BT46" s="194"/>
      <c r="BU46" s="194"/>
      <c r="BV46" s="194"/>
      <c r="BW46" s="194"/>
      <c r="BX46" s="194"/>
      <c r="BY46" s="194"/>
      <c r="BZ46" s="194"/>
      <c r="CA46" s="194"/>
      <c r="CB46" s="194"/>
      <c r="CC46" s="194"/>
      <c r="CD46" s="194"/>
      <c r="CE46" s="194"/>
      <c r="CF46" s="194"/>
      <c r="CG46" s="194"/>
      <c r="CH46" s="194"/>
      <c r="CI46" s="194"/>
      <c r="CJ46" s="194"/>
      <c r="CK46" s="194"/>
      <c r="CL46" s="194"/>
      <c r="CM46" s="194"/>
      <c r="CN46" s="194"/>
      <c r="CO46" s="194"/>
      <c r="CP46" s="194"/>
      <c r="CQ46" s="194"/>
      <c r="CR46" s="194"/>
      <c r="CS46" s="194"/>
      <c r="CT46" s="194"/>
      <c r="CU46" s="194"/>
      <c r="CV46" s="194"/>
      <c r="CW46" s="194"/>
      <c r="CX46" s="194"/>
      <c r="CY46" s="194"/>
      <c r="CZ46" s="194"/>
      <c r="DA46" s="194"/>
      <c r="DB46" s="194"/>
      <c r="DC46" s="194"/>
      <c r="DD46" s="194"/>
      <c r="DE46" s="194"/>
      <c r="DF46" s="194"/>
      <c r="DG46" s="194"/>
      <c r="DH46" s="194"/>
      <c r="DJ46" s="115">
        <f ca="1">DM52</f>
        <v>1.0566666666666666</v>
      </c>
      <c r="DK46" s="116" t="s">
        <v>105</v>
      </c>
      <c r="DL46" s="117" t="s">
        <v>105</v>
      </c>
      <c r="DM46" s="118" t="s">
        <v>103</v>
      </c>
      <c r="DN46" s="119" t="str">
        <f>Изопрайса</f>
        <v>E</v>
      </c>
      <c r="DO46" s="120" t="str">
        <f>Изопрайса</f>
        <v>E</v>
      </c>
      <c r="DP46" s="121" t="str">
        <f>Изопрайса</f>
        <v>Q</v>
      </c>
    </row>
    <row r="47" spans="8:126" ht="22.9" customHeight="1" thickBot="1" x14ac:dyDescent="0.3">
      <c r="BK47" s="46">
        <f ca="1">BQ52</f>
        <v>1.4233333333333333</v>
      </c>
      <c r="BL47" s="47" t="s">
        <v>106</v>
      </c>
      <c r="BM47" s="48" t="s">
        <v>106</v>
      </c>
      <c r="BN47" s="49" t="s">
        <v>104</v>
      </c>
      <c r="BO47" s="50" t="str">
        <f>Изопрайса</f>
        <v>R</v>
      </c>
      <c r="BP47" s="51" t="str">
        <f>Изопрайса</f>
        <v>R</v>
      </c>
      <c r="BQ47" s="52" t="str">
        <f>Изопрайса</f>
        <v>W</v>
      </c>
      <c r="BR47" s="194"/>
      <c r="BS47" s="194"/>
      <c r="BT47" s="194"/>
      <c r="BU47" s="194"/>
      <c r="BV47" s="194"/>
      <c r="BW47" s="194"/>
      <c r="BX47" s="194"/>
      <c r="BY47" s="194"/>
      <c r="BZ47" s="194"/>
      <c r="CA47" s="194"/>
      <c r="CB47" s="194"/>
      <c r="CC47" s="194"/>
      <c r="CD47" s="194"/>
      <c r="CE47" s="194"/>
      <c r="CF47" s="194"/>
      <c r="CG47" s="194"/>
      <c r="CH47" s="194"/>
      <c r="CI47" s="194"/>
      <c r="CJ47" s="194"/>
      <c r="CK47" s="194"/>
      <c r="CL47" s="194"/>
      <c r="CM47" s="194"/>
      <c r="CN47" s="194"/>
      <c r="CO47" s="194"/>
      <c r="CP47" s="194"/>
      <c r="CQ47" s="194"/>
      <c r="CR47" s="194"/>
      <c r="CS47" s="194"/>
      <c r="CT47" s="194"/>
      <c r="CU47" s="194"/>
      <c r="CV47" s="194"/>
      <c r="CW47" s="194"/>
      <c r="CX47" s="194"/>
      <c r="CY47" s="194"/>
      <c r="CZ47" s="194"/>
      <c r="DA47" s="194"/>
      <c r="DB47" s="194"/>
      <c r="DC47" s="194"/>
      <c r="DD47" s="194"/>
      <c r="DE47" s="194"/>
      <c r="DF47" s="194"/>
      <c r="DG47" s="194"/>
      <c r="DH47" s="194"/>
      <c r="DJ47" s="46">
        <f ca="1">DR52</f>
        <v>2.333333333333333</v>
      </c>
      <c r="DK47" s="47" t="s">
        <v>108</v>
      </c>
      <c r="DL47" s="48" t="s">
        <v>104</v>
      </c>
      <c r="DM47" s="49" t="s">
        <v>103</v>
      </c>
      <c r="DN47" s="50" t="str">
        <f>Изопрайса</f>
        <v>Y</v>
      </c>
      <c r="DO47" s="51" t="str">
        <f>Изопрайса</f>
        <v>W</v>
      </c>
      <c r="DP47" s="52" t="str">
        <f>Изопрайса</f>
        <v>Q</v>
      </c>
    </row>
    <row r="48" spans="8:126" ht="22.9" customHeight="1" thickBot="1" x14ac:dyDescent="0.3">
      <c r="BK48" s="53">
        <f ca="1">Матрица_Расчёт</f>
        <v>1.59</v>
      </c>
      <c r="BL48" s="54" t="s">
        <v>103</v>
      </c>
      <c r="BM48" s="55" t="s">
        <v>107</v>
      </c>
      <c r="BN48" s="56" t="s">
        <v>106</v>
      </c>
      <c r="BO48" s="57" t="str">
        <f>Изопрайса</f>
        <v>Q</v>
      </c>
      <c r="BP48" s="58" t="str">
        <f>Изопрайса</f>
        <v>T</v>
      </c>
      <c r="BQ48" s="59" t="str">
        <f>Изопрайса</f>
        <v>R</v>
      </c>
      <c r="DD48" s="194"/>
      <c r="DE48" s="194"/>
      <c r="DF48" s="194"/>
      <c r="DG48" s="194"/>
      <c r="DH48" s="194"/>
      <c r="DJ48" s="53">
        <f ca="1">Матрица_Расчёт</f>
        <v>1.07</v>
      </c>
      <c r="DK48" s="54" t="s">
        <v>108</v>
      </c>
      <c r="DL48" s="55" t="s">
        <v>106</v>
      </c>
      <c r="DM48" s="56" t="s">
        <v>106</v>
      </c>
      <c r="DN48" s="57" t="str">
        <f>Изопрайса</f>
        <v>Y</v>
      </c>
      <c r="DO48" s="58" t="str">
        <f>Изопрайса</f>
        <v>R</v>
      </c>
      <c r="DP48" s="59" t="str">
        <f>Изопрайса</f>
        <v>R</v>
      </c>
    </row>
    <row r="49" spans="3:140" ht="22.9" customHeight="1" thickTop="1" thickBot="1" x14ac:dyDescent="0.3">
      <c r="DD49" s="194"/>
      <c r="DE49" s="194"/>
      <c r="DF49" s="194"/>
      <c r="DG49" s="194"/>
      <c r="DH49" s="194"/>
    </row>
    <row r="50" spans="3:140" ht="22.9" customHeight="1" thickTop="1" thickBot="1" x14ac:dyDescent="0.3">
      <c r="BI50" s="239">
        <f>BK45+1</f>
        <v>15</v>
      </c>
      <c r="BJ50" s="240"/>
      <c r="BK50" s="240"/>
      <c r="BL50" s="241"/>
      <c r="BN50" s="239">
        <f>BI50+1</f>
        <v>16</v>
      </c>
      <c r="BO50" s="240"/>
      <c r="BP50" s="240"/>
      <c r="BQ50" s="241"/>
      <c r="DD50" s="194"/>
      <c r="DE50" s="194"/>
      <c r="DF50" s="194"/>
      <c r="DG50" s="194"/>
      <c r="DH50" s="194"/>
      <c r="DJ50" s="239">
        <f>DJ45+1</f>
        <v>25</v>
      </c>
      <c r="DK50" s="240"/>
      <c r="DL50" s="240"/>
      <c r="DM50" s="241"/>
      <c r="DO50" s="239">
        <f>DJ50+1</f>
        <v>26</v>
      </c>
      <c r="DP50" s="240"/>
      <c r="DQ50" s="240"/>
      <c r="DR50" s="241"/>
    </row>
    <row r="51" spans="3:140" ht="22.9" customHeight="1" thickTop="1" thickBot="1" x14ac:dyDescent="0.3">
      <c r="M51" s="239"/>
      <c r="N51" s="240"/>
      <c r="O51" s="240"/>
      <c r="P51" s="240"/>
      <c r="Q51" s="240"/>
      <c r="R51" s="240"/>
      <c r="S51" s="241"/>
      <c r="BI51" s="242" t="s">
        <v>359</v>
      </c>
      <c r="BJ51" s="243"/>
      <c r="BK51" s="244"/>
      <c r="BL51" s="122"/>
      <c r="BN51" s="242" t="s">
        <v>357</v>
      </c>
      <c r="BO51" s="243"/>
      <c r="BP51" s="244"/>
      <c r="BQ51" s="122"/>
      <c r="BZ51" s="194"/>
      <c r="CA51" s="194"/>
      <c r="CB51" s="194"/>
      <c r="CC51" s="194"/>
      <c r="CD51" s="194"/>
      <c r="CE51" s="194"/>
      <c r="CF51" s="194"/>
      <c r="CG51" s="194"/>
      <c r="CH51" s="194"/>
      <c r="CI51" s="194"/>
      <c r="CJ51" s="194"/>
      <c r="CK51" s="194"/>
      <c r="CL51" s="194"/>
      <c r="CM51" s="194"/>
      <c r="CN51" s="194"/>
      <c r="CO51" s="194"/>
      <c r="CP51" s="194"/>
      <c r="CQ51" s="194"/>
      <c r="CR51" s="194"/>
      <c r="CS51" s="194"/>
      <c r="CT51" s="194"/>
      <c r="CU51" s="194"/>
      <c r="CV51" s="194"/>
      <c r="CW51" s="194"/>
      <c r="CX51" s="194"/>
      <c r="CY51" s="194"/>
      <c r="CZ51" s="194"/>
      <c r="DA51" s="194"/>
      <c r="DB51" s="194"/>
      <c r="DC51" s="194"/>
      <c r="DD51" s="194"/>
      <c r="DE51" s="194"/>
      <c r="DJ51" s="242" t="s">
        <v>357</v>
      </c>
      <c r="DK51" s="243"/>
      <c r="DL51" s="244"/>
      <c r="DM51" s="122"/>
      <c r="DO51" s="242" t="s">
        <v>357</v>
      </c>
      <c r="DP51" s="243"/>
      <c r="DQ51" s="244"/>
      <c r="DR51" s="122"/>
    </row>
    <row r="52" spans="3:140" ht="22.9" customHeight="1" thickTop="1" x14ac:dyDescent="0.25">
      <c r="M52" s="115">
        <f ca="1">M59</f>
        <v>3.4000000000000004</v>
      </c>
      <c r="N52" s="116" t="s">
        <v>106</v>
      </c>
      <c r="O52" s="117" t="s">
        <v>108</v>
      </c>
      <c r="P52" s="118" t="s">
        <v>104</v>
      </c>
      <c r="Q52" s="119" t="str">
        <f>Изопрайса</f>
        <v>R</v>
      </c>
      <c r="R52" s="120" t="str">
        <f>Изопрайса</f>
        <v>Y</v>
      </c>
      <c r="S52" s="121" t="str">
        <f>Изопрайса</f>
        <v>W</v>
      </c>
      <c r="BI52" s="81">
        <f ca="1">Min_1</f>
        <v>1</v>
      </c>
      <c r="BJ52" s="82">
        <f ca="1">Mid_1</f>
        <v>4</v>
      </c>
      <c r="BK52" s="83">
        <f ca="1">Max_1</f>
        <v>1</v>
      </c>
      <c r="BL52" s="76">
        <f ca="1">Приведение</f>
        <v>1.6</v>
      </c>
      <c r="BN52" s="81">
        <f ca="1">Min_1</f>
        <v>1</v>
      </c>
      <c r="BO52" s="82">
        <f ca="1">Mid_1</f>
        <v>2.5</v>
      </c>
      <c r="BP52" s="83">
        <f ca="1">Max_1</f>
        <v>4</v>
      </c>
      <c r="BQ52" s="76">
        <f ca="1">Приведение</f>
        <v>1.4233333333333333</v>
      </c>
      <c r="BZ52" s="194"/>
      <c r="CA52" s="194"/>
      <c r="CB52" s="194"/>
      <c r="CC52" s="194"/>
      <c r="CD52" s="194"/>
      <c r="CE52" s="194"/>
      <c r="CF52" s="194"/>
      <c r="CG52" s="194"/>
      <c r="CH52" s="194"/>
      <c r="CI52" s="194"/>
      <c r="CJ52" s="194"/>
      <c r="CK52" s="194"/>
      <c r="CL52" s="194"/>
      <c r="CM52" s="194"/>
      <c r="CN52" s="194"/>
      <c r="CO52" s="194"/>
      <c r="CP52" s="194"/>
      <c r="CQ52" s="194"/>
      <c r="CR52" s="194"/>
      <c r="CS52" s="194"/>
      <c r="CT52" s="194"/>
      <c r="CU52" s="194"/>
      <c r="CV52" s="194"/>
      <c r="CW52" s="194"/>
      <c r="CX52" s="194"/>
      <c r="CY52" s="194"/>
      <c r="CZ52" s="194"/>
      <c r="DA52" s="194"/>
      <c r="DB52" s="194"/>
      <c r="DC52" s="194"/>
      <c r="DD52" s="194"/>
      <c r="DE52" s="194"/>
      <c r="DJ52" s="81">
        <f ca="1">Min_1</f>
        <v>1</v>
      </c>
      <c r="DK52" s="82">
        <f ca="1">Mid_1</f>
        <v>2.5</v>
      </c>
      <c r="DL52" s="83">
        <f ca="1">Max_1</f>
        <v>4</v>
      </c>
      <c r="DM52" s="76">
        <f ca="1">Приведение</f>
        <v>1.0566666666666666</v>
      </c>
      <c r="DO52" s="81">
        <f ca="1">Min_1</f>
        <v>1</v>
      </c>
      <c r="DP52" s="82">
        <f ca="1">Mid_1</f>
        <v>2.5</v>
      </c>
      <c r="DQ52" s="83">
        <f ca="1">Max_1</f>
        <v>4</v>
      </c>
      <c r="DR52" s="76">
        <f ca="1">Приведение</f>
        <v>2.333333333333333</v>
      </c>
    </row>
    <row r="53" spans="3:140" ht="22.9" customHeight="1" thickBot="1" x14ac:dyDescent="0.95">
      <c r="H53" s="5">
        <v>1</v>
      </c>
      <c r="I53" s="5">
        <v>4</v>
      </c>
      <c r="M53" s="46">
        <f ca="1">T59</f>
        <v>2.25</v>
      </c>
      <c r="N53" s="47" t="s">
        <v>103</v>
      </c>
      <c r="O53" s="48" t="s">
        <v>105</v>
      </c>
      <c r="P53" s="49" t="s">
        <v>107</v>
      </c>
      <c r="Q53" s="50" t="str">
        <f>Изопрайса</f>
        <v>Q</v>
      </c>
      <c r="R53" s="51" t="str">
        <f>Изопрайса</f>
        <v>E</v>
      </c>
      <c r="S53" s="52" t="str">
        <f>Изопрайса</f>
        <v>T</v>
      </c>
      <c r="BI53" s="77">
        <v>-25</v>
      </c>
      <c r="BJ53" s="78">
        <v>0</v>
      </c>
      <c r="BK53" s="79">
        <v>5</v>
      </c>
      <c r="BL53" s="185">
        <v>4</v>
      </c>
      <c r="BN53" s="77">
        <v>1</v>
      </c>
      <c r="BO53" s="78"/>
      <c r="BP53" s="79">
        <v>10</v>
      </c>
      <c r="BQ53" s="184">
        <v>2.27</v>
      </c>
      <c r="BZ53" s="194"/>
      <c r="CA53" s="194"/>
      <c r="CB53" s="194"/>
      <c r="CC53" s="194"/>
      <c r="CD53" s="194"/>
      <c r="CE53" s="194"/>
      <c r="CF53" s="194"/>
      <c r="CG53" s="194"/>
      <c r="CH53" s="194"/>
      <c r="CI53" s="194"/>
      <c r="CJ53" s="194"/>
      <c r="CK53" s="194"/>
      <c r="CL53" s="194"/>
      <c r="CM53" s="194"/>
      <c r="CN53" s="194"/>
      <c r="CO53" s="194"/>
      <c r="CP53" s="194"/>
      <c r="CQ53" s="194"/>
      <c r="CR53" s="194"/>
      <c r="CS53" s="194"/>
      <c r="CT53" s="194"/>
      <c r="CU53" s="194"/>
      <c r="CV53" s="194"/>
      <c r="CW53" s="194"/>
      <c r="CX53" s="194"/>
      <c r="CY53" s="194"/>
      <c r="CZ53" s="194"/>
      <c r="DA53" s="194"/>
      <c r="DB53" s="194"/>
      <c r="DC53" s="203"/>
      <c r="DD53" s="203"/>
      <c r="DE53" s="194"/>
      <c r="DJ53" s="77">
        <v>1</v>
      </c>
      <c r="DK53" s="78"/>
      <c r="DL53" s="79">
        <v>10</v>
      </c>
      <c r="DM53" s="184">
        <v>1.17</v>
      </c>
      <c r="DO53" s="77">
        <v>2</v>
      </c>
      <c r="DP53" s="78"/>
      <c r="DQ53" s="79">
        <v>20</v>
      </c>
      <c r="DR53" s="80">
        <v>10</v>
      </c>
    </row>
    <row r="54" spans="3:140" ht="22.9" customHeight="1" thickTop="1" thickBot="1" x14ac:dyDescent="0.3">
      <c r="M54" s="53">
        <f ca="1">Матрица_Расчёт</f>
        <v>2.7199999999999998</v>
      </c>
      <c r="N54" s="54" t="s">
        <v>106</v>
      </c>
      <c r="O54" s="55" t="s">
        <v>104</v>
      </c>
      <c r="P54" s="56" t="s">
        <v>105</v>
      </c>
      <c r="Q54" s="57" t="str">
        <f>Изопрайса</f>
        <v>R</v>
      </c>
      <c r="R54" s="58" t="str">
        <f>Изопрайса</f>
        <v>W</v>
      </c>
      <c r="S54" s="59" t="str">
        <f>Изопрайса</f>
        <v>E</v>
      </c>
      <c r="AZ54" s="204"/>
      <c r="BA54" s="204"/>
      <c r="BB54" s="204"/>
      <c r="BC54" s="204"/>
      <c r="BD54" s="204"/>
      <c r="BE54" s="204"/>
      <c r="BF54" s="204"/>
      <c r="BG54" s="204"/>
      <c r="BH54" s="204"/>
      <c r="BI54" s="204"/>
      <c r="BJ54" s="204"/>
      <c r="BK54" s="204"/>
      <c r="BL54" s="204"/>
      <c r="BM54" s="204"/>
      <c r="BN54" s="204"/>
      <c r="BO54" s="204"/>
      <c r="BP54" s="204"/>
      <c r="BQ54" s="204"/>
      <c r="BR54" s="204"/>
      <c r="BS54" s="204"/>
      <c r="BT54" s="204"/>
      <c r="BU54" s="204"/>
      <c r="BV54" s="204"/>
      <c r="BW54" s="204"/>
      <c r="BX54" s="204"/>
      <c r="BY54" s="204"/>
      <c r="BZ54" s="204"/>
      <c r="CA54" s="204"/>
      <c r="CB54" s="204"/>
      <c r="CC54" s="204"/>
      <c r="CD54" s="204"/>
      <c r="CE54" s="204"/>
      <c r="CF54" s="204"/>
      <c r="CG54" s="204"/>
      <c r="CH54" s="204"/>
      <c r="CI54" s="204"/>
      <c r="CJ54" s="204"/>
      <c r="CK54" s="204"/>
      <c r="CL54" s="204"/>
      <c r="CM54" s="204"/>
      <c r="CN54" s="204"/>
      <c r="CO54" s="204"/>
      <c r="CP54" s="204"/>
      <c r="CQ54" s="204"/>
      <c r="CR54" s="204"/>
      <c r="CS54" s="204"/>
      <c r="CT54" s="204"/>
      <c r="CU54" s="204"/>
      <c r="CV54" s="204"/>
      <c r="CW54" s="204"/>
      <c r="CX54" s="204"/>
      <c r="CY54" s="204"/>
      <c r="CZ54" s="204"/>
      <c r="DA54" s="204"/>
      <c r="DB54" s="204"/>
      <c r="DC54" s="204"/>
      <c r="DD54" s="204"/>
      <c r="DE54" s="204"/>
      <c r="DF54" s="204"/>
      <c r="DG54" s="204"/>
      <c r="DH54" s="204"/>
      <c r="DI54" s="204"/>
      <c r="DJ54" s="204"/>
      <c r="DK54" s="204"/>
      <c r="DL54" s="204"/>
      <c r="DM54" s="204"/>
      <c r="DN54" s="204"/>
      <c r="DO54" s="204"/>
      <c r="DP54" s="204"/>
      <c r="DQ54" s="204"/>
      <c r="DR54" s="204"/>
      <c r="DS54" s="204"/>
      <c r="DT54" s="204"/>
      <c r="DU54" s="204"/>
      <c r="DV54" s="204"/>
      <c r="DW54" s="204"/>
      <c r="DX54" s="204"/>
      <c r="DY54" s="204"/>
      <c r="DZ54" s="204"/>
      <c r="EA54" s="204"/>
      <c r="EB54" s="204"/>
      <c r="EC54" s="204"/>
      <c r="ED54" s="204"/>
      <c r="EE54" s="204"/>
      <c r="EF54" s="204"/>
      <c r="EG54" s="204"/>
      <c r="EH54" s="204"/>
      <c r="EI54" s="204"/>
      <c r="EJ54" s="204"/>
    </row>
    <row r="55" spans="3:140" ht="22.9" customHeight="1" thickTop="1" thickBot="1" x14ac:dyDescent="0.95">
      <c r="BQ55" s="239"/>
      <c r="BR55" s="240"/>
      <c r="BS55" s="240"/>
      <c r="BT55" s="240"/>
      <c r="BU55" s="240"/>
      <c r="BV55" s="240"/>
      <c r="BW55" s="241"/>
      <c r="BZ55" s="194"/>
      <c r="CA55" s="194"/>
      <c r="CB55" s="194"/>
      <c r="CC55" s="194"/>
      <c r="CD55" s="194"/>
      <c r="CE55" s="201"/>
      <c r="CF55" s="201"/>
      <c r="CG55" s="194"/>
      <c r="CH55" s="194"/>
      <c r="CI55" s="194"/>
      <c r="CJ55" s="194"/>
      <c r="CK55" s="194"/>
      <c r="CL55" s="194"/>
      <c r="CM55" s="194"/>
      <c r="CN55" s="194"/>
      <c r="CO55" s="194"/>
      <c r="CP55" s="194"/>
      <c r="CQ55" s="194"/>
      <c r="CR55" s="194"/>
      <c r="CS55" s="194"/>
      <c r="CT55" s="194"/>
      <c r="CU55" s="194"/>
      <c r="CV55" s="194"/>
      <c r="CW55" s="194"/>
      <c r="CX55" s="194"/>
      <c r="CY55" s="194"/>
      <c r="CZ55" s="194"/>
      <c r="DA55" s="194"/>
      <c r="DB55" s="194"/>
      <c r="DC55" s="202"/>
      <c r="DD55" s="202"/>
      <c r="DE55" s="194"/>
      <c r="DG55" s="239"/>
      <c r="DH55" s="240"/>
      <c r="DI55" s="240"/>
      <c r="DJ55" s="240"/>
      <c r="DK55" s="240"/>
      <c r="DL55" s="240"/>
      <c r="DM55" s="241"/>
    </row>
    <row r="56" spans="3:140" ht="22.9" customHeight="1" thickTop="1" thickBot="1" x14ac:dyDescent="0.95">
      <c r="C56">
        <v>4</v>
      </c>
      <c r="D56">
        <v>1</v>
      </c>
      <c r="F56">
        <v>2.8</v>
      </c>
      <c r="G56">
        <v>1</v>
      </c>
      <c r="BQ56" s="115">
        <f ca="1">BR62</f>
        <v>2.2000000000000002</v>
      </c>
      <c r="BR56" s="116" t="s">
        <v>106</v>
      </c>
      <c r="BS56" s="117" t="s">
        <v>104</v>
      </c>
      <c r="BT56" s="118" t="s">
        <v>107</v>
      </c>
      <c r="BU56" s="119" t="str">
        <f>Изопрайса</f>
        <v>R</v>
      </c>
      <c r="BV56" s="120" t="str">
        <f>Изопрайса</f>
        <v>W</v>
      </c>
      <c r="BW56" s="121" t="str">
        <f>Изопрайса</f>
        <v>T</v>
      </c>
      <c r="BZ56" s="194"/>
      <c r="CA56" s="194"/>
      <c r="CB56" s="202"/>
      <c r="CC56" s="202"/>
      <c r="CD56" s="201"/>
      <c r="CE56" s="201"/>
      <c r="CF56" s="201"/>
      <c r="CG56" s="194"/>
      <c r="CH56" s="194"/>
      <c r="CI56" s="194"/>
      <c r="CJ56" s="194"/>
      <c r="CK56" s="194"/>
      <c r="CL56" s="194"/>
      <c r="CM56" s="194"/>
      <c r="CN56" s="194"/>
      <c r="CO56" s="194"/>
      <c r="CP56" s="194"/>
      <c r="CQ56" s="194"/>
      <c r="CR56" s="194"/>
      <c r="CS56" s="194"/>
      <c r="CT56" s="194"/>
      <c r="CU56" s="194"/>
      <c r="CV56" s="194"/>
      <c r="CW56" s="194"/>
      <c r="CX56" s="194"/>
      <c r="CY56" s="201"/>
      <c r="CZ56" s="201"/>
      <c r="DA56" s="202"/>
      <c r="DB56" s="202"/>
      <c r="DC56" s="194"/>
      <c r="DD56" s="194"/>
      <c r="DE56" s="194"/>
      <c r="DG56" s="115">
        <f ca="1">DJ62</f>
        <v>1.1466666666666667</v>
      </c>
      <c r="DH56" s="116" t="s">
        <v>105</v>
      </c>
      <c r="DI56" s="117" t="s">
        <v>105</v>
      </c>
      <c r="DJ56" s="118" t="s">
        <v>103</v>
      </c>
      <c r="DK56" s="119" t="str">
        <f>Изопрайса</f>
        <v>E</v>
      </c>
      <c r="DL56" s="120" t="str">
        <f>Изопрайса</f>
        <v>E</v>
      </c>
      <c r="DM56" s="121" t="str">
        <f>Изопрайса</f>
        <v>Q</v>
      </c>
    </row>
    <row r="57" spans="3:140" ht="22.9" customHeight="1" thickTop="1" thickBot="1" x14ac:dyDescent="0.3">
      <c r="C57">
        <v>-1</v>
      </c>
      <c r="D57">
        <v>4</v>
      </c>
      <c r="F57">
        <v>1</v>
      </c>
      <c r="G57">
        <v>4</v>
      </c>
      <c r="J57" s="239"/>
      <c r="K57" s="240"/>
      <c r="L57" s="240"/>
      <c r="M57" s="241"/>
      <c r="Q57" s="239"/>
      <c r="R57" s="240"/>
      <c r="S57" s="240"/>
      <c r="T57" s="241"/>
      <c r="BQ57" s="46">
        <f ca="1">BW62</f>
        <v>1.5533333333333332</v>
      </c>
      <c r="BR57" s="47" t="s">
        <v>106</v>
      </c>
      <c r="BS57" s="48" t="s">
        <v>106</v>
      </c>
      <c r="BT57" s="49" t="s">
        <v>104</v>
      </c>
      <c r="BU57" s="50" t="str">
        <f>Изопрайса</f>
        <v>R</v>
      </c>
      <c r="BV57" s="51" t="str">
        <f>Изопрайса</f>
        <v>R</v>
      </c>
      <c r="BW57" s="52" t="str">
        <f>Изопрайса</f>
        <v>W</v>
      </c>
      <c r="BZ57" s="194"/>
      <c r="CA57" s="194"/>
      <c r="CB57" s="194"/>
      <c r="CC57" s="194"/>
      <c r="CD57" s="194"/>
      <c r="CE57" s="194"/>
      <c r="CF57" s="194"/>
      <c r="CG57" s="194"/>
      <c r="CH57" s="194"/>
      <c r="CI57" s="194"/>
      <c r="CJ57" s="194"/>
      <c r="CK57" s="194"/>
      <c r="CL57" s="194"/>
      <c r="CM57" s="194"/>
      <c r="CN57" s="194"/>
      <c r="CO57" s="194"/>
      <c r="CP57" s="194"/>
      <c r="CQ57" s="194"/>
      <c r="CR57" s="194"/>
      <c r="CS57" s="194"/>
      <c r="CT57" s="194"/>
      <c r="CU57" s="194"/>
      <c r="CV57" s="194"/>
      <c r="CW57" s="194"/>
      <c r="CX57" s="194"/>
      <c r="CY57" s="194"/>
      <c r="CZ57" s="194"/>
      <c r="DA57" s="194"/>
      <c r="DB57" s="194"/>
      <c r="DC57" s="194"/>
      <c r="DD57" s="194"/>
      <c r="DE57" s="194"/>
      <c r="DG57" s="46">
        <f ca="1">DO62</f>
        <v>2.333333333333333</v>
      </c>
      <c r="DH57" s="47" t="s">
        <v>108</v>
      </c>
      <c r="DI57" s="48" t="s">
        <v>104</v>
      </c>
      <c r="DJ57" s="49" t="s">
        <v>103</v>
      </c>
      <c r="DK57" s="50" t="str">
        <f>Изопрайса</f>
        <v>Y</v>
      </c>
      <c r="DL57" s="51" t="str">
        <f>Изопрайса</f>
        <v>W</v>
      </c>
      <c r="DM57" s="52" t="str">
        <f>Изопрайса</f>
        <v>Q</v>
      </c>
    </row>
    <row r="58" spans="3:140" ht="22.9" customHeight="1" thickTop="1" thickBot="1" x14ac:dyDescent="0.3">
      <c r="J58" s="242" t="s">
        <v>359</v>
      </c>
      <c r="K58" s="243"/>
      <c r="L58" s="244"/>
      <c r="M58" s="122"/>
      <c r="Q58" s="242" t="s">
        <v>357</v>
      </c>
      <c r="R58" s="243"/>
      <c r="S58" s="244"/>
      <c r="T58" s="122"/>
      <c r="W58" s="191"/>
      <c r="X58" s="191"/>
      <c r="Y58" s="191"/>
      <c r="AK58" s="239"/>
      <c r="AL58" s="240"/>
      <c r="AM58" s="240"/>
      <c r="AN58" s="240"/>
      <c r="AO58" s="240"/>
      <c r="AP58" s="240"/>
      <c r="AQ58" s="241"/>
      <c r="BQ58" s="53">
        <f ca="1">Матрица_Расчёт</f>
        <v>2.27</v>
      </c>
      <c r="BR58" s="54" t="s">
        <v>103</v>
      </c>
      <c r="BS58" s="55" t="s">
        <v>107</v>
      </c>
      <c r="BT58" s="56" t="s">
        <v>106</v>
      </c>
      <c r="BU58" s="57" t="str">
        <f>Изопрайса</f>
        <v>Q</v>
      </c>
      <c r="BV58" s="58" t="str">
        <f>Изопрайса</f>
        <v>T</v>
      </c>
      <c r="BW58" s="59" t="str">
        <f>Изопрайса</f>
        <v>R</v>
      </c>
      <c r="BZ58" s="194"/>
      <c r="CA58" s="194"/>
      <c r="CB58" s="194"/>
      <c r="CC58" s="194"/>
      <c r="CD58" s="194"/>
      <c r="CE58" s="194"/>
      <c r="CF58" s="194"/>
      <c r="CG58" s="194"/>
      <c r="CH58" s="194"/>
      <c r="CI58" s="194"/>
      <c r="CJ58" s="194"/>
      <c r="CK58" s="194"/>
      <c r="CL58" s="194"/>
      <c r="CM58" s="194"/>
      <c r="CN58" s="194"/>
      <c r="CO58" s="194"/>
      <c r="CP58" s="194"/>
      <c r="CQ58" s="194"/>
      <c r="CR58" s="194"/>
      <c r="CS58" s="194"/>
      <c r="CT58" s="194"/>
      <c r="CU58" s="194"/>
      <c r="CV58" s="194"/>
      <c r="CW58" s="194"/>
      <c r="CX58" s="194"/>
      <c r="CY58" s="194"/>
      <c r="CZ58" s="194"/>
      <c r="DA58" s="194"/>
      <c r="DB58" s="194"/>
      <c r="DC58" s="194"/>
      <c r="DD58" s="194"/>
      <c r="DE58" s="194"/>
      <c r="DG58" s="53">
        <f ca="1">Матрица_Расчёт</f>
        <v>1.17</v>
      </c>
      <c r="DH58" s="54" t="s">
        <v>108</v>
      </c>
      <c r="DI58" s="55" t="s">
        <v>106</v>
      </c>
      <c r="DJ58" s="56" t="s">
        <v>106</v>
      </c>
      <c r="DK58" s="57" t="str">
        <f>Изопрайса</f>
        <v>Y</v>
      </c>
      <c r="DL58" s="58" t="str">
        <f>Изопрайса</f>
        <v>R</v>
      </c>
      <c r="DM58" s="59" t="str">
        <f>Изопрайса</f>
        <v>R</v>
      </c>
    </row>
    <row r="59" spans="3:140" ht="22.9" customHeight="1" thickTop="1" thickBot="1" x14ac:dyDescent="0.3">
      <c r="C59" t="s">
        <v>609</v>
      </c>
      <c r="D59">
        <v>4</v>
      </c>
      <c r="F59" s="5" t="s">
        <v>610</v>
      </c>
      <c r="G59" s="5">
        <v>-1</v>
      </c>
      <c r="J59" s="81">
        <f ca="1">Min_1</f>
        <v>1</v>
      </c>
      <c r="K59" s="82">
        <f ca="1">Mid_1</f>
        <v>4</v>
      </c>
      <c r="L59" s="83">
        <f ca="1">Max_1</f>
        <v>1</v>
      </c>
      <c r="M59" s="76">
        <f ca="1">Приведение</f>
        <v>3.4000000000000004</v>
      </c>
      <c r="N59">
        <v>2.8</v>
      </c>
      <c r="O59">
        <v>1.6</v>
      </c>
      <c r="Q59" s="81">
        <f ca="1">Min_1</f>
        <v>1</v>
      </c>
      <c r="R59" s="82">
        <f ca="1">Mid_1</f>
        <v>2.5</v>
      </c>
      <c r="S59" s="83">
        <f ca="1">Max_1</f>
        <v>4</v>
      </c>
      <c r="T59" s="76">
        <f ca="1">Приведение</f>
        <v>2.25</v>
      </c>
      <c r="W59" s="5">
        <v>1</v>
      </c>
      <c r="X59" s="5">
        <v>4</v>
      </c>
      <c r="Y59" s="5"/>
      <c r="AK59" s="115">
        <f ca="1">AF66</f>
        <v>2.5599999999999996</v>
      </c>
      <c r="AL59" s="116" t="s">
        <v>104</v>
      </c>
      <c r="AM59" s="117" t="s">
        <v>105</v>
      </c>
      <c r="AN59" s="118" t="s">
        <v>105</v>
      </c>
      <c r="AO59" s="119" t="str">
        <f>Изопрайса</f>
        <v>W</v>
      </c>
      <c r="AP59" s="120" t="str">
        <f>Изопрайса</f>
        <v>E</v>
      </c>
      <c r="AQ59" s="121" t="str">
        <f>Изопрайса</f>
        <v>E</v>
      </c>
      <c r="CY59" s="194"/>
      <c r="CZ59" s="194"/>
      <c r="DA59" s="194"/>
      <c r="DB59" s="194"/>
      <c r="DC59" s="194"/>
      <c r="DD59" s="194"/>
      <c r="DE59" s="194"/>
    </row>
    <row r="60" spans="3:140" ht="22.9" customHeight="1" thickTop="1" thickBot="1" x14ac:dyDescent="0.3">
      <c r="C60" t="s">
        <v>611</v>
      </c>
      <c r="D60">
        <v>1</v>
      </c>
      <c r="F60" s="5" t="s">
        <v>612</v>
      </c>
      <c r="G60" s="5">
        <v>4</v>
      </c>
      <c r="J60" s="77">
        <v>2</v>
      </c>
      <c r="K60" s="78">
        <v>2.5</v>
      </c>
      <c r="L60" s="79">
        <v>4</v>
      </c>
      <c r="M60" s="185">
        <f ca="1">M66</f>
        <v>2.8</v>
      </c>
      <c r="N60">
        <v>2</v>
      </c>
      <c r="O60">
        <v>4</v>
      </c>
      <c r="Q60" s="77">
        <v>1</v>
      </c>
      <c r="R60" s="78"/>
      <c r="S60" s="79">
        <v>4</v>
      </c>
      <c r="T60" s="80">
        <v>2.25</v>
      </c>
      <c r="W60" s="5">
        <v>20</v>
      </c>
      <c r="X60" s="5">
        <v>50</v>
      </c>
      <c r="AK60" s="46">
        <f ca="1">AQ67</f>
        <v>2.67</v>
      </c>
      <c r="AL60" s="47" t="s">
        <v>107</v>
      </c>
      <c r="AM60" s="48" t="s">
        <v>104</v>
      </c>
      <c r="AN60" s="49" t="s">
        <v>105</v>
      </c>
      <c r="AO60" s="50" t="str">
        <f>Изопрайса</f>
        <v>T</v>
      </c>
      <c r="AP60" s="51" t="str">
        <f>Изопрайса</f>
        <v>W</v>
      </c>
      <c r="AQ60" s="52" t="str">
        <f>Изопрайса</f>
        <v>E</v>
      </c>
      <c r="BO60" s="239"/>
      <c r="BP60" s="240"/>
      <c r="BQ60" s="240"/>
      <c r="BR60" s="241"/>
      <c r="BT60" s="239"/>
      <c r="BU60" s="240"/>
      <c r="BV60" s="240"/>
      <c r="BW60" s="241"/>
      <c r="CC60" s="194"/>
      <c r="CD60" s="194"/>
      <c r="CE60" s="194"/>
      <c r="CF60" s="194"/>
      <c r="CG60" s="194"/>
      <c r="CH60" s="194"/>
      <c r="CI60" s="194"/>
      <c r="CJ60" s="194"/>
      <c r="CK60" s="194"/>
      <c r="CL60" s="194"/>
      <c r="CM60" s="194"/>
      <c r="CN60" s="194"/>
      <c r="CO60" s="194"/>
      <c r="CP60" s="194"/>
      <c r="CQ60" s="194"/>
      <c r="CR60" s="194"/>
      <c r="CS60" s="194"/>
      <c r="CT60" s="194"/>
      <c r="CU60" s="194"/>
      <c r="CV60" s="194"/>
      <c r="CW60" s="194"/>
      <c r="CX60" s="194"/>
      <c r="CY60" s="194"/>
      <c r="CZ60" s="194"/>
      <c r="DA60" s="194"/>
      <c r="DB60" s="194"/>
      <c r="DC60" s="194"/>
      <c r="DD60" s="194"/>
      <c r="DE60" s="194"/>
      <c r="DG60" s="239"/>
      <c r="DH60" s="240"/>
      <c r="DI60" s="240"/>
      <c r="DJ60" s="241"/>
      <c r="DL60" s="239"/>
      <c r="DM60" s="240"/>
      <c r="DN60" s="240"/>
      <c r="DO60" s="241"/>
    </row>
    <row r="61" spans="3:140" ht="22.9" customHeight="1" thickTop="1" thickBot="1" x14ac:dyDescent="0.95">
      <c r="AK61" s="53">
        <f ca="1">Матрица_Расчёт</f>
        <v>2.56</v>
      </c>
      <c r="AL61" s="54" t="s">
        <v>108</v>
      </c>
      <c r="AM61" s="55" t="s">
        <v>106</v>
      </c>
      <c r="AN61" s="56" t="s">
        <v>104</v>
      </c>
      <c r="AO61" s="57" t="str">
        <f>Изопрайса</f>
        <v>Y</v>
      </c>
      <c r="AP61" s="58" t="str">
        <f>Изопрайса</f>
        <v>R</v>
      </c>
      <c r="AQ61" s="59" t="str">
        <f>Изопрайса</f>
        <v>W</v>
      </c>
      <c r="BO61" s="242" t="s">
        <v>359</v>
      </c>
      <c r="BP61" s="243"/>
      <c r="BQ61" s="244"/>
      <c r="BR61" s="122"/>
      <c r="BT61" s="242" t="s">
        <v>357</v>
      </c>
      <c r="BU61" s="243"/>
      <c r="BV61" s="244"/>
      <c r="BW61" s="122"/>
      <c r="CC61" s="194"/>
      <c r="CD61" s="194"/>
      <c r="CE61" s="194"/>
      <c r="CF61" s="194"/>
      <c r="CG61" s="194"/>
      <c r="CH61" s="194"/>
      <c r="CI61" s="194"/>
      <c r="CJ61" s="194"/>
      <c r="CK61" s="194"/>
      <c r="CL61" s="194"/>
      <c r="CM61" s="194"/>
      <c r="CN61" s="194"/>
      <c r="CO61" s="194"/>
      <c r="CP61" s="194"/>
      <c r="CQ61" s="194"/>
      <c r="CR61" s="194"/>
      <c r="CS61" s="194"/>
      <c r="CT61" s="194"/>
      <c r="CU61" s="194"/>
      <c r="CV61" s="194"/>
      <c r="CW61" s="194"/>
      <c r="CX61" s="194"/>
      <c r="CZ61" s="195"/>
      <c r="DA61" s="195"/>
      <c r="DG61" s="245" t="s">
        <v>357</v>
      </c>
      <c r="DH61" s="246"/>
      <c r="DI61" s="247"/>
      <c r="DJ61" s="122"/>
      <c r="DL61" s="245" t="s">
        <v>357</v>
      </c>
      <c r="DM61" s="246"/>
      <c r="DN61" s="247"/>
      <c r="DO61" s="122"/>
    </row>
    <row r="62" spans="3:140" ht="22.9" customHeight="1" thickTop="1" x14ac:dyDescent="0.9">
      <c r="C62" t="s">
        <v>610</v>
      </c>
      <c r="D62" s="125" t="s">
        <v>613</v>
      </c>
      <c r="E62">
        <v>4</v>
      </c>
      <c r="N62">
        <v>1.6</v>
      </c>
      <c r="O62">
        <v>3.4</v>
      </c>
      <c r="BO62" s="81">
        <f ca="1">Min_1</f>
        <v>1</v>
      </c>
      <c r="BP62" s="82">
        <f ca="1">Mid_1</f>
        <v>4</v>
      </c>
      <c r="BQ62" s="83">
        <f ca="1">Max_1</f>
        <v>1</v>
      </c>
      <c r="BR62" s="76">
        <f ca="1">Приведение</f>
        <v>2.2000000000000002</v>
      </c>
      <c r="BT62" s="81">
        <f ca="1">Min_1</f>
        <v>1</v>
      </c>
      <c r="BU62" s="82">
        <f ca="1">Mid_1</f>
        <v>2.5</v>
      </c>
      <c r="BV62" s="83">
        <f ca="1">Max_1</f>
        <v>4</v>
      </c>
      <c r="BW62" s="76">
        <f ca="1">Приведение</f>
        <v>1.5533333333333332</v>
      </c>
      <c r="CC62" s="194"/>
      <c r="CD62" s="194"/>
      <c r="CE62" s="194"/>
      <c r="CF62" s="194"/>
      <c r="CG62" s="194"/>
      <c r="CH62" s="194"/>
      <c r="CI62" s="194"/>
      <c r="CJ62" s="194"/>
      <c r="CK62" s="194"/>
      <c r="CL62" s="194"/>
      <c r="CM62" s="194"/>
      <c r="CN62" s="194"/>
      <c r="CO62" s="194"/>
      <c r="CP62" s="194"/>
      <c r="CQ62" s="194"/>
      <c r="CR62" s="194"/>
      <c r="CS62" s="194"/>
      <c r="CT62" s="194"/>
      <c r="CU62" s="194"/>
      <c r="CV62" s="194"/>
      <c r="CW62" s="194"/>
      <c r="CX62" s="194"/>
      <c r="CZ62" s="195"/>
      <c r="DA62" s="195"/>
      <c r="DG62" s="81">
        <f ca="1">Min_1</f>
        <v>1</v>
      </c>
      <c r="DH62" s="82">
        <f ca="1">Mid_1</f>
        <v>2.5</v>
      </c>
      <c r="DI62" s="83">
        <f ca="1">Max_1</f>
        <v>4</v>
      </c>
      <c r="DJ62" s="76">
        <f ca="1">Приведение</f>
        <v>1.1466666666666667</v>
      </c>
      <c r="DL62" s="81">
        <f ca="1">Min_1</f>
        <v>1</v>
      </c>
      <c r="DM62" s="82">
        <f ca="1">Mid_1</f>
        <v>2.5</v>
      </c>
      <c r="DN62" s="83">
        <f ca="1">Max_1</f>
        <v>4</v>
      </c>
      <c r="DO62" s="76">
        <f ca="1">Приведение</f>
        <v>2.333333333333333</v>
      </c>
    </row>
    <row r="63" spans="3:140" ht="22.9" customHeight="1" thickBot="1" x14ac:dyDescent="0.95">
      <c r="C63" t="s">
        <v>609</v>
      </c>
      <c r="D63">
        <v>2.8</v>
      </c>
      <c r="BO63" s="77">
        <v>-25</v>
      </c>
      <c r="BP63" s="78">
        <v>0</v>
      </c>
      <c r="BQ63" s="79">
        <v>5</v>
      </c>
      <c r="BR63" s="185">
        <v>3</v>
      </c>
      <c r="BT63" s="77">
        <v>1</v>
      </c>
      <c r="BU63" s="78"/>
      <c r="BV63" s="79">
        <v>10</v>
      </c>
      <c r="BW63" s="184">
        <f ca="1">BU68</f>
        <v>2.66</v>
      </c>
      <c r="CC63" s="194"/>
      <c r="CD63" s="194"/>
      <c r="CE63" s="194"/>
      <c r="CF63" s="194"/>
      <c r="CG63" s="194"/>
      <c r="CH63" s="194"/>
      <c r="CI63" s="194"/>
      <c r="CJ63" s="194"/>
      <c r="CK63" s="194"/>
      <c r="CL63" s="194"/>
      <c r="CM63" s="194"/>
      <c r="CN63" s="194"/>
      <c r="CO63" s="194"/>
      <c r="CP63" s="194"/>
      <c r="CQ63" s="194"/>
      <c r="CR63" s="194"/>
      <c r="CS63" s="194"/>
      <c r="CT63" s="194"/>
      <c r="CU63" s="194"/>
      <c r="CV63" s="194"/>
      <c r="CW63" s="194"/>
      <c r="CX63" s="194"/>
      <c r="CZ63" s="196"/>
      <c r="DA63" s="196"/>
      <c r="DG63" s="77">
        <v>1</v>
      </c>
      <c r="DH63" s="78"/>
      <c r="DI63" s="79">
        <v>10</v>
      </c>
      <c r="DJ63" s="184">
        <f ca="1">DD68</f>
        <v>1.44</v>
      </c>
      <c r="DL63" s="77">
        <v>2</v>
      </c>
      <c r="DM63" s="78"/>
      <c r="DN63" s="79">
        <v>20</v>
      </c>
      <c r="DO63" s="80">
        <v>10</v>
      </c>
    </row>
    <row r="64" spans="3:140" ht="22.9" customHeight="1" thickTop="1" thickBot="1" x14ac:dyDescent="0.95">
      <c r="C64" t="s">
        <v>610</v>
      </c>
      <c r="D64" t="s">
        <v>612</v>
      </c>
      <c r="F64" t="s">
        <v>609</v>
      </c>
      <c r="G64" t="s">
        <v>611</v>
      </c>
      <c r="J64" s="239"/>
      <c r="K64" s="240"/>
      <c r="L64" s="240"/>
      <c r="M64" s="241"/>
      <c r="AC64" s="239"/>
      <c r="AD64" s="240"/>
      <c r="AE64" s="240"/>
      <c r="AF64" s="241"/>
      <c r="AQ64" s="239"/>
      <c r="AR64" s="240"/>
      <c r="AS64" s="240"/>
      <c r="AT64" s="240"/>
      <c r="AU64" s="240"/>
      <c r="AV64" s="240"/>
      <c r="AW64" s="241"/>
      <c r="CC64" s="194"/>
      <c r="CD64" s="194"/>
      <c r="CE64" s="194"/>
      <c r="CF64" s="194"/>
      <c r="CG64" s="201"/>
      <c r="CH64" s="194"/>
      <c r="CI64" s="194"/>
      <c r="CJ64" s="194"/>
      <c r="CK64" s="194"/>
      <c r="CL64" s="194"/>
      <c r="CM64" s="194"/>
      <c r="CN64" s="194"/>
      <c r="CO64" s="194"/>
      <c r="CP64" s="194"/>
      <c r="CQ64" s="194"/>
      <c r="CR64" s="194"/>
      <c r="CS64" s="194"/>
      <c r="CT64" s="194"/>
      <c r="CU64" s="194"/>
      <c r="CV64" s="194"/>
      <c r="CW64" s="194"/>
      <c r="CX64" s="194"/>
      <c r="CY64" s="202"/>
      <c r="CZ64" s="194"/>
      <c r="DA64" s="194"/>
      <c r="DB64" s="194"/>
    </row>
    <row r="65" spans="3:116" ht="22.9" customHeight="1" thickTop="1" thickBot="1" x14ac:dyDescent="0.95">
      <c r="C65">
        <v>4</v>
      </c>
      <c r="D65">
        <v>4</v>
      </c>
      <c r="F65">
        <v>2.8</v>
      </c>
      <c r="G65">
        <v>1</v>
      </c>
      <c r="J65" s="242" t="s">
        <v>359</v>
      </c>
      <c r="K65" s="243"/>
      <c r="L65" s="244"/>
      <c r="M65" s="122"/>
      <c r="T65" s="255">
        <v>1</v>
      </c>
      <c r="U65" s="255"/>
      <c r="AC65" s="242" t="s">
        <v>359</v>
      </c>
      <c r="AD65" s="243"/>
      <c r="AE65" s="244"/>
      <c r="AF65" s="122"/>
      <c r="AQ65" s="115">
        <f ca="1">AT72</f>
        <v>2.75</v>
      </c>
      <c r="AR65" s="116" t="s">
        <v>107</v>
      </c>
      <c r="AS65" s="117" t="s">
        <v>104</v>
      </c>
      <c r="AT65" s="118" t="s">
        <v>107</v>
      </c>
      <c r="AU65" s="119" t="str">
        <f>Изопрайса</f>
        <v>T</v>
      </c>
      <c r="AV65" s="120" t="str">
        <f>Изопрайса</f>
        <v>W</v>
      </c>
      <c r="AW65" s="121" t="str">
        <f>Изопрайса</f>
        <v>T</v>
      </c>
      <c r="BU65" s="239"/>
      <c r="BV65" s="240"/>
      <c r="BW65" s="240"/>
      <c r="BX65" s="240"/>
      <c r="BY65" s="240"/>
      <c r="BZ65" s="240"/>
      <c r="CA65" s="241"/>
      <c r="CC65" s="194"/>
      <c r="CD65" s="202"/>
      <c r="CE65" s="202"/>
      <c r="CF65" s="201"/>
      <c r="CG65" s="201"/>
      <c r="CH65" s="194"/>
      <c r="CI65" s="194"/>
      <c r="CJ65" s="194"/>
      <c r="CK65" s="194"/>
      <c r="CL65" s="194"/>
      <c r="CM65" s="194"/>
      <c r="CN65" s="194"/>
      <c r="CO65" s="194"/>
      <c r="CP65" s="194"/>
      <c r="CQ65" s="194"/>
      <c r="CR65" s="194"/>
      <c r="CS65" s="194"/>
      <c r="CT65" s="194"/>
      <c r="CU65" s="194"/>
      <c r="CV65" s="194"/>
      <c r="CW65" s="194"/>
      <c r="CX65" s="194"/>
      <c r="CY65" s="194"/>
      <c r="CZ65" s="194"/>
      <c r="DA65" s="194"/>
      <c r="DB65" s="194"/>
      <c r="DD65" s="239"/>
      <c r="DE65" s="240"/>
      <c r="DF65" s="240"/>
      <c r="DG65" s="240"/>
      <c r="DH65" s="240"/>
      <c r="DI65" s="240"/>
      <c r="DJ65" s="241"/>
    </row>
    <row r="66" spans="3:116" ht="22.9" customHeight="1" thickTop="1" thickBot="1" x14ac:dyDescent="0.3">
      <c r="F66" s="5">
        <v>1</v>
      </c>
      <c r="G66" s="5">
        <v>4</v>
      </c>
      <c r="J66" s="81">
        <f ca="1">Min_1</f>
        <v>1</v>
      </c>
      <c r="K66" s="82">
        <f ca="1">Mid_1</f>
        <v>4</v>
      </c>
      <c r="L66" s="83">
        <f ca="1">Max_1</f>
        <v>1</v>
      </c>
      <c r="M66" s="76">
        <f ca="1">Приведение</f>
        <v>2.8</v>
      </c>
      <c r="T66" s="5">
        <v>2</v>
      </c>
      <c r="U66" s="5">
        <v>4</v>
      </c>
      <c r="AC66" s="81">
        <f ca="1">Min_1</f>
        <v>1</v>
      </c>
      <c r="AD66" s="82">
        <f ca="1">Mid_1</f>
        <v>4</v>
      </c>
      <c r="AE66" s="83">
        <f ca="1">Max_1</f>
        <v>1</v>
      </c>
      <c r="AF66" s="76">
        <f ca="1">Приведение</f>
        <v>2.5599999999999996</v>
      </c>
      <c r="AH66">
        <v>2.56</v>
      </c>
      <c r="AI66">
        <v>2.66</v>
      </c>
      <c r="AQ66" s="46">
        <f ca="1">BA72</f>
        <v>2.5</v>
      </c>
      <c r="AR66" s="47" t="s">
        <v>105</v>
      </c>
      <c r="AS66" s="48" t="s">
        <v>107</v>
      </c>
      <c r="AT66" s="49" t="s">
        <v>104</v>
      </c>
      <c r="AU66" s="50" t="str">
        <f>Изопрайса</f>
        <v>E</v>
      </c>
      <c r="AV66" s="51" t="str">
        <f>Изопрайса</f>
        <v>T</v>
      </c>
      <c r="AW66" s="52" t="str">
        <f>Изопрайса</f>
        <v>W</v>
      </c>
      <c r="BU66" s="115">
        <f ca="1">BV72</f>
        <v>2.8</v>
      </c>
      <c r="BV66" s="116" t="s">
        <v>106</v>
      </c>
      <c r="BW66" s="117" t="s">
        <v>104</v>
      </c>
      <c r="BX66" s="118" t="s">
        <v>107</v>
      </c>
      <c r="BY66" s="119" t="str">
        <f>Изопрайса</f>
        <v>R</v>
      </c>
      <c r="BZ66" s="120" t="str">
        <f>Изопрайса</f>
        <v>W</v>
      </c>
      <c r="CA66" s="121" t="str">
        <f>Изопрайса</f>
        <v>T</v>
      </c>
      <c r="CC66" s="194"/>
      <c r="CD66" s="194"/>
      <c r="CE66" s="194"/>
      <c r="CF66" s="194"/>
      <c r="CG66" s="194"/>
      <c r="CH66" s="194"/>
      <c r="CI66" s="194"/>
      <c r="CJ66" s="194"/>
      <c r="CK66" s="194"/>
      <c r="CL66" s="194"/>
      <c r="CM66" s="194"/>
      <c r="CN66" s="194"/>
      <c r="CO66" s="194"/>
      <c r="CP66" s="194"/>
      <c r="CQ66" s="194"/>
      <c r="CR66" s="194"/>
      <c r="CS66" s="194"/>
      <c r="CT66" s="194"/>
      <c r="CU66" s="194"/>
      <c r="CV66" s="194"/>
      <c r="CW66" s="194"/>
      <c r="CX66" s="194"/>
      <c r="CY66" s="194"/>
      <c r="CZ66" s="194"/>
      <c r="DA66" s="194"/>
      <c r="DB66" s="194"/>
      <c r="DD66" s="115">
        <f ca="1">DG72</f>
        <v>1.4433333333333334</v>
      </c>
      <c r="DE66" s="116" t="s">
        <v>105</v>
      </c>
      <c r="DF66" s="117" t="s">
        <v>105</v>
      </c>
      <c r="DG66" s="118" t="s">
        <v>103</v>
      </c>
      <c r="DH66" s="119" t="str">
        <f>Изопрайса</f>
        <v>E</v>
      </c>
      <c r="DI66" s="120" t="str">
        <f>Изопрайса</f>
        <v>E</v>
      </c>
      <c r="DJ66" s="121" t="str">
        <f>Изопрайса</f>
        <v>Q</v>
      </c>
    </row>
    <row r="67" spans="3:116" ht="22.9" customHeight="1" thickBot="1" x14ac:dyDescent="0.3">
      <c r="F67" s="5">
        <v>0</v>
      </c>
      <c r="G67" s="5">
        <v>2.5</v>
      </c>
      <c r="J67" s="77">
        <v>1</v>
      </c>
      <c r="K67" s="78">
        <v>2</v>
      </c>
      <c r="L67" s="79">
        <v>7</v>
      </c>
      <c r="M67" s="184">
        <v>4</v>
      </c>
      <c r="Q67" s="2">
        <v>1</v>
      </c>
      <c r="R67" s="2">
        <v>4</v>
      </c>
      <c r="T67" s="5">
        <v>1</v>
      </c>
      <c r="U67" s="5">
        <v>2.5</v>
      </c>
      <c r="AC67" s="77">
        <v>0</v>
      </c>
      <c r="AD67" s="78">
        <v>3</v>
      </c>
      <c r="AE67" s="79">
        <v>10</v>
      </c>
      <c r="AF67" s="185">
        <v>1.56</v>
      </c>
      <c r="AQ67" s="53">
        <f ca="1">Матрица_Расчёт</f>
        <v>2.67</v>
      </c>
      <c r="AR67" s="54" t="s">
        <v>105</v>
      </c>
      <c r="AS67" s="55" t="s">
        <v>105</v>
      </c>
      <c r="AT67" s="56" t="s">
        <v>107</v>
      </c>
      <c r="AU67" s="57" t="str">
        <f>Изопрайса</f>
        <v>E</v>
      </c>
      <c r="AV67" s="58" t="str">
        <f>Изопрайса</f>
        <v>E</v>
      </c>
      <c r="AW67" s="59" t="str">
        <f>Изопрайса</f>
        <v>T</v>
      </c>
      <c r="BU67" s="46">
        <f ca="1">CA72</f>
        <v>1.6666666666666665</v>
      </c>
      <c r="BV67" s="47" t="s">
        <v>106</v>
      </c>
      <c r="BW67" s="48" t="s">
        <v>106</v>
      </c>
      <c r="BX67" s="49" t="s">
        <v>104</v>
      </c>
      <c r="BY67" s="50" t="str">
        <f>Изопрайса</f>
        <v>R</v>
      </c>
      <c r="BZ67" s="51" t="str">
        <f>Изопрайса</f>
        <v>R</v>
      </c>
      <c r="CA67" s="52" t="str">
        <f>Изопрайса</f>
        <v>W</v>
      </c>
      <c r="CY67" s="194"/>
      <c r="CZ67" s="194"/>
      <c r="DA67" s="194"/>
      <c r="DB67" s="194"/>
      <c r="DD67" s="46">
        <f ca="1">DL72</f>
        <v>2.333333333333333</v>
      </c>
      <c r="DE67" s="47" t="s">
        <v>108</v>
      </c>
      <c r="DF67" s="48" t="s">
        <v>104</v>
      </c>
      <c r="DG67" s="49" t="s">
        <v>103</v>
      </c>
      <c r="DH67" s="50" t="str">
        <f>Изопрайса</f>
        <v>Y</v>
      </c>
      <c r="DI67" s="51" t="str">
        <f>Изопрайса</f>
        <v>W</v>
      </c>
      <c r="DJ67" s="52" t="str">
        <f>Изопрайса</f>
        <v>Q</v>
      </c>
    </row>
    <row r="68" spans="3:116" ht="22.9" customHeight="1" thickTop="1" thickBot="1" x14ac:dyDescent="0.3">
      <c r="BU68" s="53">
        <f ca="1">Матрица_Расчёт</f>
        <v>2.66</v>
      </c>
      <c r="BV68" s="54" t="s">
        <v>103</v>
      </c>
      <c r="BW68" s="55" t="s">
        <v>107</v>
      </c>
      <c r="BX68" s="56" t="s">
        <v>106</v>
      </c>
      <c r="BY68" s="57" t="str">
        <f>Изопрайса</f>
        <v>Q</v>
      </c>
      <c r="BZ68" s="58" t="str">
        <f>Изопрайса</f>
        <v>T</v>
      </c>
      <c r="CA68" s="59" t="str">
        <f>Изопрайса</f>
        <v>R</v>
      </c>
      <c r="CY68" s="194"/>
      <c r="CZ68" s="194"/>
      <c r="DA68" s="194"/>
      <c r="DB68" s="194"/>
      <c r="DD68" s="53">
        <f ca="1">Матрица_Расчёт</f>
        <v>1.44</v>
      </c>
      <c r="DE68" s="54" t="s">
        <v>108</v>
      </c>
      <c r="DF68" s="55" t="s">
        <v>106</v>
      </c>
      <c r="DG68" s="56" t="s">
        <v>106</v>
      </c>
      <c r="DH68" s="57" t="str">
        <f>Изопрайса</f>
        <v>Y</v>
      </c>
      <c r="DI68" s="58" t="str">
        <f>Изопрайса</f>
        <v>R</v>
      </c>
      <c r="DJ68" s="59" t="str">
        <f>Изопрайса</f>
        <v>R</v>
      </c>
    </row>
    <row r="69" spans="3:116" ht="22.9" customHeight="1" thickTop="1" thickBot="1" x14ac:dyDescent="0.3"/>
    <row r="70" spans="3:116" ht="22.9" customHeight="1" thickTop="1" thickBot="1" x14ac:dyDescent="0.3">
      <c r="H70" s="239"/>
      <c r="I70" s="240"/>
      <c r="J70" s="240"/>
      <c r="K70" s="240"/>
      <c r="L70" s="240"/>
      <c r="M70" s="240"/>
      <c r="N70" s="241"/>
      <c r="AC70" s="239"/>
      <c r="AD70" s="240"/>
      <c r="AE70" s="240"/>
      <c r="AF70" s="241"/>
      <c r="AQ70" s="239"/>
      <c r="AR70" s="240"/>
      <c r="AS70" s="240"/>
      <c r="AT70" s="241"/>
      <c r="AX70" s="239"/>
      <c r="AY70" s="240"/>
      <c r="AZ70" s="240"/>
      <c r="BA70" s="241"/>
      <c r="BS70" s="239"/>
      <c r="BT70" s="240"/>
      <c r="BU70" s="240"/>
      <c r="BV70" s="241"/>
      <c r="BX70" s="239"/>
      <c r="BY70" s="240"/>
      <c r="BZ70" s="240"/>
      <c r="CA70" s="241"/>
      <c r="DD70" s="239"/>
      <c r="DE70" s="240"/>
      <c r="DF70" s="240"/>
      <c r="DG70" s="241"/>
      <c r="DI70" s="239"/>
      <c r="DJ70" s="240"/>
      <c r="DK70" s="240"/>
      <c r="DL70" s="241"/>
    </row>
    <row r="71" spans="3:116" ht="22.9" customHeight="1" thickTop="1" x14ac:dyDescent="0.25">
      <c r="H71" s="115">
        <f ca="1">J79</f>
        <v>1.45</v>
      </c>
      <c r="I71" s="116" t="s">
        <v>107</v>
      </c>
      <c r="J71" s="117" t="s">
        <v>104</v>
      </c>
      <c r="K71" s="118" t="s">
        <v>103</v>
      </c>
      <c r="L71" s="119" t="str">
        <f>Изопрайса</f>
        <v>T</v>
      </c>
      <c r="M71" s="120" t="str">
        <f>Изопрайса</f>
        <v>W</v>
      </c>
      <c r="N71" s="121" t="str">
        <f>Изопрайса</f>
        <v>Q</v>
      </c>
      <c r="Q71" s="255">
        <v>2</v>
      </c>
      <c r="R71" s="255"/>
      <c r="AC71" s="242" t="s">
        <v>360</v>
      </c>
      <c r="AD71" s="243"/>
      <c r="AE71" s="244"/>
      <c r="AF71" s="122"/>
      <c r="AQ71" s="242" t="s">
        <v>357</v>
      </c>
      <c r="AR71" s="243"/>
      <c r="AS71" s="244"/>
      <c r="AT71" s="122"/>
      <c r="AX71" s="242" t="s">
        <v>357</v>
      </c>
      <c r="AY71" s="243"/>
      <c r="AZ71" s="244"/>
      <c r="BA71" s="122"/>
      <c r="BS71" s="242" t="s">
        <v>359</v>
      </c>
      <c r="BT71" s="243"/>
      <c r="BU71" s="244"/>
      <c r="BV71" s="122"/>
      <c r="BX71" s="242" t="s">
        <v>357</v>
      </c>
      <c r="BY71" s="243"/>
      <c r="BZ71" s="244"/>
      <c r="CA71" s="122"/>
      <c r="CG71" s="194"/>
      <c r="CH71" s="194"/>
      <c r="CI71" s="194"/>
      <c r="CJ71" s="194"/>
      <c r="CK71" s="194"/>
      <c r="CL71" s="194"/>
      <c r="CM71" s="194"/>
      <c r="CN71" s="194"/>
      <c r="CO71" s="194"/>
      <c r="CP71" s="194"/>
      <c r="CQ71" s="194"/>
      <c r="CR71" s="194"/>
      <c r="CS71" s="194"/>
      <c r="CT71" s="194"/>
      <c r="CU71" s="194"/>
      <c r="CV71" s="194"/>
      <c r="CW71" s="194"/>
      <c r="CX71" s="194"/>
      <c r="CY71" s="194"/>
      <c r="CZ71" s="194"/>
      <c r="DA71" s="194"/>
      <c r="DD71" s="245" t="s">
        <v>357</v>
      </c>
      <c r="DE71" s="246"/>
      <c r="DF71" s="247"/>
      <c r="DG71" s="122"/>
      <c r="DI71" s="245" t="s">
        <v>357</v>
      </c>
      <c r="DJ71" s="246"/>
      <c r="DK71" s="247"/>
      <c r="DL71" s="122"/>
    </row>
    <row r="72" spans="3:116" ht="22.9" customHeight="1" thickBot="1" x14ac:dyDescent="0.95">
      <c r="D72" s="5">
        <v>1</v>
      </c>
      <c r="E72" s="5">
        <v>4</v>
      </c>
      <c r="H72" s="46">
        <f ca="1">Q79</f>
        <v>1.698076923076923</v>
      </c>
      <c r="I72" s="47" t="s">
        <v>104</v>
      </c>
      <c r="J72" s="48" t="s">
        <v>107</v>
      </c>
      <c r="K72" s="49" t="s">
        <v>106</v>
      </c>
      <c r="L72" s="50" t="str">
        <f>Изопрайса</f>
        <v>W</v>
      </c>
      <c r="M72" s="186" t="str">
        <f>Изопрайса</f>
        <v>T</v>
      </c>
      <c r="N72" s="187" t="str">
        <f>Изопрайса</f>
        <v>R</v>
      </c>
      <c r="Q72" s="5">
        <v>1</v>
      </c>
      <c r="R72" s="5">
        <v>2.5</v>
      </c>
      <c r="AC72" s="81">
        <f ca="1">Min_1</f>
        <v>4</v>
      </c>
      <c r="AD72" s="82">
        <f ca="1">Mid_1</f>
        <v>1</v>
      </c>
      <c r="AE72" s="83">
        <f ca="1">Max_1</f>
        <v>4</v>
      </c>
      <c r="AF72" s="76">
        <f ca="1">Приведение</f>
        <v>1.65625</v>
      </c>
      <c r="AH72" s="37">
        <v>1.56</v>
      </c>
      <c r="AI72">
        <v>1.66</v>
      </c>
      <c r="AQ72" s="81">
        <f ca="1">Min_1</f>
        <v>1</v>
      </c>
      <c r="AR72" s="82">
        <f ca="1">Mid_1</f>
        <v>2.5</v>
      </c>
      <c r="AS72" s="83">
        <f ca="1">Max_1</f>
        <v>4</v>
      </c>
      <c r="AT72" s="76">
        <f ca="1">Приведение</f>
        <v>2.75</v>
      </c>
      <c r="AX72" s="81">
        <f ca="1">Min_1</f>
        <v>1</v>
      </c>
      <c r="AY72" s="82">
        <f ca="1">Mid_1</f>
        <v>2.5</v>
      </c>
      <c r="AZ72" s="83">
        <f ca="1">Max_1</f>
        <v>4</v>
      </c>
      <c r="BA72" s="76">
        <f ca="1">Приведение</f>
        <v>2.5</v>
      </c>
      <c r="BS72" s="81">
        <f ca="1">Min_1</f>
        <v>1</v>
      </c>
      <c r="BT72" s="82">
        <f ca="1">Mid_1</f>
        <v>4</v>
      </c>
      <c r="BU72" s="83">
        <f ca="1">Max_1</f>
        <v>1</v>
      </c>
      <c r="BV72" s="76">
        <f ca="1">Приведение</f>
        <v>2.8</v>
      </c>
      <c r="BX72" s="81">
        <f ca="1">Min_1</f>
        <v>1</v>
      </c>
      <c r="BY72" s="82">
        <f ca="1">Mid_1</f>
        <v>2.5</v>
      </c>
      <c r="BZ72" s="83">
        <f ca="1">Max_1</f>
        <v>4</v>
      </c>
      <c r="CA72" s="76">
        <f ca="1">Приведение</f>
        <v>1.6666666666666665</v>
      </c>
      <c r="CG72" s="194"/>
      <c r="CH72" s="194"/>
      <c r="CI72" s="194"/>
      <c r="CJ72" s="194"/>
      <c r="CK72" s="194"/>
      <c r="CL72" s="194"/>
      <c r="CM72" s="194"/>
      <c r="CN72" s="194"/>
      <c r="CO72" s="194"/>
      <c r="CP72" s="194"/>
      <c r="CQ72" s="194"/>
      <c r="CR72" s="194"/>
      <c r="CS72" s="194"/>
      <c r="CT72" s="194"/>
      <c r="CU72" s="194"/>
      <c r="CV72" s="194"/>
      <c r="CW72" s="194"/>
      <c r="CX72" s="194"/>
      <c r="CY72" s="203"/>
      <c r="CZ72" s="203"/>
      <c r="DA72" s="194"/>
      <c r="DD72" s="81">
        <f ca="1">Min_1</f>
        <v>1</v>
      </c>
      <c r="DE72" s="82">
        <f ca="1">Mid_1</f>
        <v>2.5</v>
      </c>
      <c r="DF72" s="83">
        <f ca="1">Max_1</f>
        <v>4</v>
      </c>
      <c r="DG72" s="76">
        <f ca="1">Приведение</f>
        <v>1.4433333333333334</v>
      </c>
      <c r="DI72" s="81">
        <f ca="1">Min_1</f>
        <v>1</v>
      </c>
      <c r="DJ72" s="82">
        <f ca="1">Mid_1</f>
        <v>2.5</v>
      </c>
      <c r="DK72" s="83">
        <f ca="1">Max_1</f>
        <v>4</v>
      </c>
      <c r="DL72" s="76">
        <f ca="1">Приведение</f>
        <v>2.333333333333333</v>
      </c>
    </row>
    <row r="73" spans="3:116" ht="22.9" customHeight="1" thickBot="1" x14ac:dyDescent="0.95">
      <c r="H73" s="53">
        <f ca="1">Матрица_Расчёт</f>
        <v>1.64</v>
      </c>
      <c r="I73" s="54" t="s">
        <v>106</v>
      </c>
      <c r="J73" s="55" t="s">
        <v>104</v>
      </c>
      <c r="K73" s="56" t="s">
        <v>107</v>
      </c>
      <c r="L73" s="189" t="str">
        <f>Изопрайса</f>
        <v>R</v>
      </c>
      <c r="M73" s="188" t="str">
        <f>Изопрайса</f>
        <v>W</v>
      </c>
      <c r="N73" s="190" t="str">
        <f>Изопрайса</f>
        <v>T</v>
      </c>
      <c r="AC73" s="77">
        <v>-7</v>
      </c>
      <c r="AD73" s="78">
        <v>-2</v>
      </c>
      <c r="AE73" s="79">
        <v>14</v>
      </c>
      <c r="AF73" s="185">
        <v>1.5</v>
      </c>
      <c r="AQ73" s="77">
        <v>1</v>
      </c>
      <c r="AR73" s="78"/>
      <c r="AS73" s="79">
        <v>25</v>
      </c>
      <c r="AT73" s="80">
        <v>15</v>
      </c>
      <c r="AX73" s="77">
        <v>-8</v>
      </c>
      <c r="AY73" s="78"/>
      <c r="AZ73" s="79">
        <v>8</v>
      </c>
      <c r="BA73" s="80">
        <v>0</v>
      </c>
      <c r="BS73" s="77">
        <v>-25</v>
      </c>
      <c r="BT73" s="78">
        <v>0</v>
      </c>
      <c r="BU73" s="79">
        <v>5</v>
      </c>
      <c r="BV73" s="185">
        <v>2</v>
      </c>
      <c r="BX73" s="77">
        <v>1</v>
      </c>
      <c r="BY73" s="78"/>
      <c r="BZ73" s="79">
        <v>10</v>
      </c>
      <c r="CA73" s="184">
        <f ca="1">BZ78</f>
        <v>3</v>
      </c>
      <c r="CG73" s="194"/>
      <c r="CH73" s="194"/>
      <c r="CI73" s="194"/>
      <c r="CJ73" s="194"/>
      <c r="CK73" s="194"/>
      <c r="CL73" s="194"/>
      <c r="CM73" s="194"/>
      <c r="CN73" s="194"/>
      <c r="CO73" s="194"/>
      <c r="CP73" s="194"/>
      <c r="CQ73" s="194"/>
      <c r="CR73" s="194"/>
      <c r="CS73" s="194"/>
      <c r="CT73" s="194"/>
      <c r="CU73" s="194"/>
      <c r="CV73" s="194"/>
      <c r="CW73" s="194"/>
      <c r="CX73" s="194"/>
      <c r="CY73" s="203"/>
      <c r="CZ73" s="203"/>
      <c r="DA73" s="194"/>
      <c r="DD73" s="77">
        <v>1</v>
      </c>
      <c r="DE73" s="78"/>
      <c r="DF73" s="79">
        <v>10</v>
      </c>
      <c r="DG73" s="184">
        <f ca="1">DB78</f>
        <v>2.33</v>
      </c>
      <c r="DI73" s="77">
        <v>2</v>
      </c>
      <c r="DJ73" s="78"/>
      <c r="DK73" s="79">
        <v>20</v>
      </c>
      <c r="DL73" s="80">
        <v>10</v>
      </c>
    </row>
    <row r="74" spans="3:116" ht="22.9" customHeight="1" thickTop="1" thickBot="1" x14ac:dyDescent="0.95">
      <c r="AH74" s="37"/>
      <c r="CG74" s="194"/>
      <c r="CH74" s="194"/>
      <c r="CI74" s="194"/>
      <c r="CJ74" s="194"/>
      <c r="CK74" s="194"/>
      <c r="CL74" s="194"/>
      <c r="CM74" s="194"/>
      <c r="CN74" s="194"/>
      <c r="CO74" s="194"/>
      <c r="CP74" s="194"/>
      <c r="CQ74" s="194"/>
      <c r="CR74" s="194"/>
      <c r="CS74" s="194"/>
      <c r="CT74" s="194"/>
      <c r="CU74" s="194"/>
      <c r="CV74" s="194"/>
      <c r="CW74" s="194"/>
      <c r="CX74" s="194"/>
      <c r="CY74" s="202"/>
      <c r="CZ74" s="202"/>
      <c r="DA74" s="194"/>
    </row>
    <row r="75" spans="3:116" ht="22.9" customHeight="1" thickTop="1" thickBot="1" x14ac:dyDescent="0.95">
      <c r="BZ75" s="239"/>
      <c r="CA75" s="240"/>
      <c r="CB75" s="240"/>
      <c r="CC75" s="240"/>
      <c r="CD75" s="240"/>
      <c r="CE75" s="240"/>
      <c r="CF75" s="241"/>
      <c r="CG75" s="194"/>
      <c r="CH75" s="194"/>
      <c r="CI75" s="194"/>
      <c r="CJ75" s="194"/>
      <c r="CK75" s="194"/>
      <c r="CL75" s="201"/>
      <c r="CM75" s="194"/>
      <c r="CN75" s="194"/>
      <c r="CO75" s="194"/>
      <c r="CP75" s="194"/>
      <c r="CQ75" s="194"/>
      <c r="CR75" s="194"/>
      <c r="CS75" s="194"/>
      <c r="CT75" s="194"/>
      <c r="CU75" s="194"/>
      <c r="CV75" s="194"/>
      <c r="CW75" s="194"/>
      <c r="CX75" s="202"/>
      <c r="CY75" s="194"/>
      <c r="CZ75" s="194"/>
      <c r="DA75" s="194"/>
      <c r="DB75" s="239"/>
      <c r="DC75" s="240"/>
      <c r="DD75" s="240"/>
      <c r="DE75" s="240"/>
      <c r="DF75" s="240"/>
      <c r="DG75" s="240"/>
      <c r="DH75" s="241"/>
    </row>
    <row r="76" spans="3:116" ht="22.9" customHeight="1" thickTop="1" thickBot="1" x14ac:dyDescent="0.95">
      <c r="AO76" s="239"/>
      <c r="AP76" s="240"/>
      <c r="AQ76" s="240"/>
      <c r="AR76" s="241"/>
      <c r="BZ76" s="115">
        <f ca="1">CA82</f>
        <v>4</v>
      </c>
      <c r="CA76" s="116" t="s">
        <v>106</v>
      </c>
      <c r="CB76" s="117" t="s">
        <v>104</v>
      </c>
      <c r="CC76" s="118" t="s">
        <v>107</v>
      </c>
      <c r="CD76" s="119" t="str">
        <f>Изопрайса</f>
        <v>R</v>
      </c>
      <c r="CE76" s="120" t="str">
        <f>Изопрайса</f>
        <v>W</v>
      </c>
      <c r="CF76" s="121" t="str">
        <f>Изопрайса</f>
        <v>T</v>
      </c>
      <c r="CG76" s="194"/>
      <c r="CH76" s="194"/>
      <c r="CI76" s="202"/>
      <c r="CJ76" s="202"/>
      <c r="CK76" s="201"/>
      <c r="CL76" s="201"/>
      <c r="CM76" s="194"/>
      <c r="CN76" s="194"/>
      <c r="CO76" s="194"/>
      <c r="CP76" s="194"/>
      <c r="CQ76" s="194"/>
      <c r="CR76" s="194"/>
      <c r="CS76" s="194"/>
      <c r="CT76" s="194"/>
      <c r="CU76" s="194"/>
      <c r="CV76" s="194"/>
      <c r="CW76" s="194"/>
      <c r="CX76" s="194"/>
      <c r="CY76" s="194"/>
      <c r="CZ76" s="194"/>
      <c r="DA76" s="194"/>
      <c r="DB76" s="115">
        <f ca="1">DE82</f>
        <v>2.333333333333333</v>
      </c>
      <c r="DC76" s="116" t="s">
        <v>105</v>
      </c>
      <c r="DD76" s="117" t="s">
        <v>105</v>
      </c>
      <c r="DE76" s="118" t="s">
        <v>103</v>
      </c>
      <c r="DF76" s="119" t="str">
        <f>Изопрайса</f>
        <v>E</v>
      </c>
      <c r="DG76" s="120" t="str">
        <f>Изопрайса</f>
        <v>E</v>
      </c>
      <c r="DH76" s="121" t="str">
        <f>Изопрайса</f>
        <v>Q</v>
      </c>
    </row>
    <row r="77" spans="3:116" ht="22.9" customHeight="1" thickTop="1" thickBot="1" x14ac:dyDescent="0.3">
      <c r="G77" s="239"/>
      <c r="H77" s="240"/>
      <c r="I77" s="240"/>
      <c r="J77" s="241"/>
      <c r="N77" s="239"/>
      <c r="O77" s="240"/>
      <c r="P77" s="240"/>
      <c r="Q77" s="241"/>
      <c r="AC77" s="239"/>
      <c r="AD77" s="240"/>
      <c r="AE77" s="240"/>
      <c r="AF77" s="241"/>
      <c r="AO77" s="242" t="s">
        <v>357</v>
      </c>
      <c r="AP77" s="243"/>
      <c r="AQ77" s="244"/>
      <c r="AR77" s="122"/>
      <c r="BZ77" s="46">
        <f ca="1">CF82</f>
        <v>2</v>
      </c>
      <c r="CA77" s="47" t="s">
        <v>106</v>
      </c>
      <c r="CB77" s="48" t="s">
        <v>106</v>
      </c>
      <c r="CC77" s="49" t="s">
        <v>104</v>
      </c>
      <c r="CD77" s="50" t="str">
        <f>Изопрайса</f>
        <v>R</v>
      </c>
      <c r="CE77" s="51" t="str">
        <f>Изопрайса</f>
        <v>R</v>
      </c>
      <c r="CF77" s="52" t="str">
        <f>Изопрайса</f>
        <v>W</v>
      </c>
      <c r="CG77" s="194"/>
      <c r="CH77" s="194"/>
      <c r="CI77" s="194"/>
      <c r="CJ77" s="194"/>
      <c r="CK77" s="194"/>
      <c r="CL77" s="194"/>
      <c r="CM77" s="194"/>
      <c r="CN77" s="194"/>
      <c r="CO77" s="194"/>
      <c r="CP77" s="194"/>
      <c r="CQ77" s="194"/>
      <c r="CR77" s="194"/>
      <c r="CS77" s="194"/>
      <c r="CT77" s="194"/>
      <c r="CU77" s="194"/>
      <c r="CV77" s="194"/>
      <c r="CW77" s="194"/>
      <c r="CX77" s="194"/>
      <c r="CY77" s="194"/>
      <c r="CZ77" s="194"/>
      <c r="DA77" s="194"/>
      <c r="DB77" s="46">
        <f ca="1">DJ82</f>
        <v>2.333333333333333</v>
      </c>
      <c r="DC77" s="47" t="s">
        <v>108</v>
      </c>
      <c r="DD77" s="48" t="s">
        <v>104</v>
      </c>
      <c r="DE77" s="49" t="s">
        <v>103</v>
      </c>
      <c r="DF77" s="50" t="str">
        <f>Изопрайса</f>
        <v>Y</v>
      </c>
      <c r="DG77" s="51" t="str">
        <f>Изопрайса</f>
        <v>W</v>
      </c>
      <c r="DH77" s="52" t="str">
        <f>Изопрайса</f>
        <v>Q</v>
      </c>
    </row>
    <row r="78" spans="3:116" ht="22.9" customHeight="1" thickTop="1" thickBot="1" x14ac:dyDescent="0.3">
      <c r="G78" s="242" t="s">
        <v>357</v>
      </c>
      <c r="H78" s="243"/>
      <c r="I78" s="244"/>
      <c r="J78" s="122"/>
      <c r="N78" s="242" t="s">
        <v>357</v>
      </c>
      <c r="O78" s="243"/>
      <c r="P78" s="244"/>
      <c r="Q78" s="122"/>
      <c r="AC78" s="242" t="s">
        <v>357</v>
      </c>
      <c r="AD78" s="243"/>
      <c r="AE78" s="244"/>
      <c r="AF78" s="122"/>
      <c r="AO78" s="81">
        <f ca="1">Min_1</f>
        <v>1</v>
      </c>
      <c r="AP78" s="82">
        <f ca="1">Mid_1</f>
        <v>2.5</v>
      </c>
      <c r="AQ78" s="83">
        <f ca="1">Max_1</f>
        <v>4</v>
      </c>
      <c r="AR78" s="76">
        <f ca="1">Приведение</f>
        <v>1.1764705882352942</v>
      </c>
      <c r="BZ78" s="53">
        <f ca="1">Матрица_Расчёт</f>
        <v>3</v>
      </c>
      <c r="CA78" s="54" t="s">
        <v>103</v>
      </c>
      <c r="CB78" s="55" t="s">
        <v>107</v>
      </c>
      <c r="CC78" s="56" t="s">
        <v>106</v>
      </c>
      <c r="CD78" s="57" t="str">
        <f>Изопрайса</f>
        <v>Q</v>
      </c>
      <c r="CE78" s="58" t="str">
        <f>Изопрайса</f>
        <v>T</v>
      </c>
      <c r="CF78" s="59" t="str">
        <f>Изопрайса</f>
        <v>R</v>
      </c>
      <c r="CG78" s="194"/>
      <c r="CH78" s="194"/>
      <c r="CI78" s="194"/>
      <c r="CJ78" s="194"/>
      <c r="CK78" s="194"/>
      <c r="CL78" s="194"/>
      <c r="CM78" s="194"/>
      <c r="CN78" s="194"/>
      <c r="CO78" s="194"/>
      <c r="CP78" s="194"/>
      <c r="CQ78" s="194"/>
      <c r="CR78" s="194"/>
      <c r="CS78" s="194"/>
      <c r="CT78" s="194"/>
      <c r="CU78" s="194"/>
      <c r="CV78" s="194"/>
      <c r="CW78" s="194"/>
      <c r="CX78" s="194"/>
      <c r="CY78" s="194"/>
      <c r="CZ78" s="194"/>
      <c r="DA78" s="194"/>
      <c r="DB78" s="53">
        <f ca="1">Матрица_Расчёт</f>
        <v>2.33</v>
      </c>
      <c r="DC78" s="54" t="s">
        <v>108</v>
      </c>
      <c r="DD78" s="55" t="s">
        <v>106</v>
      </c>
      <c r="DE78" s="56" t="s">
        <v>106</v>
      </c>
      <c r="DF78" s="57" t="str">
        <f>Изопрайса</f>
        <v>Y</v>
      </c>
      <c r="DG78" s="58" t="str">
        <f>Изопрайса</f>
        <v>R</v>
      </c>
      <c r="DH78" s="59" t="str">
        <f>Изопрайса</f>
        <v>R</v>
      </c>
    </row>
    <row r="79" spans="3:116" ht="22.9" customHeight="1" thickTop="1" thickBot="1" x14ac:dyDescent="0.3">
      <c r="D79" s="5">
        <v>1</v>
      </c>
      <c r="E79" s="5">
        <v>4</v>
      </c>
      <c r="G79" s="81">
        <f ca="1">Min_1</f>
        <v>1</v>
      </c>
      <c r="H79" s="82">
        <f ca="1">Mid_1</f>
        <v>2.5</v>
      </c>
      <c r="I79" s="83">
        <f ca="1">Max_1</f>
        <v>4</v>
      </c>
      <c r="J79" s="76">
        <f ca="1">Приведение</f>
        <v>1.45</v>
      </c>
      <c r="N79" s="81">
        <f ca="1">Min_1</f>
        <v>1</v>
      </c>
      <c r="O79" s="82">
        <f ca="1">Mid_1</f>
        <v>2.5</v>
      </c>
      <c r="P79" s="83">
        <f ca="1">Max_1</f>
        <v>4</v>
      </c>
      <c r="Q79" s="76">
        <f ca="1">Приведение</f>
        <v>1.698076923076923</v>
      </c>
      <c r="T79" s="5">
        <v>1</v>
      </c>
      <c r="U79" s="5">
        <v>4</v>
      </c>
      <c r="AC79" s="81">
        <f ca="1">Min_1</f>
        <v>1</v>
      </c>
      <c r="AD79" s="82">
        <f ca="1">Mid_1</f>
        <v>2.5</v>
      </c>
      <c r="AE79" s="83">
        <f ca="1">Max_1</f>
        <v>4</v>
      </c>
      <c r="AF79" s="76">
        <f ca="1">Приведение</f>
        <v>1</v>
      </c>
      <c r="AH79">
        <v>1</v>
      </c>
      <c r="AI79">
        <v>1.46</v>
      </c>
      <c r="AO79" s="77">
        <v>5</v>
      </c>
      <c r="AP79" s="78"/>
      <c r="AQ79" s="79">
        <v>-12</v>
      </c>
      <c r="AR79" s="80">
        <v>4</v>
      </c>
      <c r="CG79" s="194"/>
      <c r="CH79" s="194"/>
      <c r="CI79" s="194"/>
      <c r="CJ79" s="194"/>
      <c r="CK79" s="194"/>
      <c r="CL79" s="194"/>
      <c r="CM79" s="194"/>
      <c r="CN79" s="194"/>
      <c r="CO79" s="194"/>
      <c r="CP79" s="194"/>
      <c r="CQ79" s="194"/>
      <c r="CR79" s="194"/>
      <c r="CS79" s="194"/>
      <c r="CT79" s="194"/>
      <c r="CU79" s="194"/>
      <c r="CV79" s="194"/>
      <c r="CW79" s="194"/>
      <c r="CX79" s="194"/>
      <c r="CY79" s="194"/>
      <c r="CZ79" s="194"/>
      <c r="DA79" s="194"/>
    </row>
    <row r="80" spans="3:116" ht="22.9" customHeight="1" thickTop="1" thickBot="1" x14ac:dyDescent="0.3">
      <c r="D80" s="5">
        <v>1</v>
      </c>
      <c r="E80" s="5">
        <v>10</v>
      </c>
      <c r="G80" s="77">
        <v>1</v>
      </c>
      <c r="H80" s="78"/>
      <c r="I80" s="79">
        <v>4</v>
      </c>
      <c r="J80" s="80">
        <v>1.45</v>
      </c>
      <c r="N80" s="77">
        <v>20</v>
      </c>
      <c r="O80" s="78"/>
      <c r="P80" s="79">
        <v>150</v>
      </c>
      <c r="Q80" s="80">
        <v>50.25</v>
      </c>
      <c r="T80" s="5">
        <v>0</v>
      </c>
      <c r="U80" s="5">
        <v>-20</v>
      </c>
      <c r="AC80" s="77">
        <v>2</v>
      </c>
      <c r="AD80" s="78"/>
      <c r="AE80" s="79">
        <v>15</v>
      </c>
      <c r="AF80" s="80">
        <v>2</v>
      </c>
      <c r="BX80" s="239"/>
      <c r="BY80" s="240"/>
      <c r="BZ80" s="240"/>
      <c r="CA80" s="241"/>
      <c r="CC80" s="239"/>
      <c r="CD80" s="240"/>
      <c r="CE80" s="240"/>
      <c r="CF80" s="241"/>
      <c r="DB80" s="239"/>
      <c r="DC80" s="240"/>
      <c r="DD80" s="240"/>
      <c r="DE80" s="241"/>
      <c r="DG80" s="239"/>
      <c r="DH80" s="240"/>
      <c r="DI80" s="240"/>
      <c r="DJ80" s="241"/>
    </row>
    <row r="81" spans="29:114" ht="22.9" customHeight="1" thickTop="1" x14ac:dyDescent="0.25">
      <c r="BX81" s="242" t="s">
        <v>359</v>
      </c>
      <c r="BY81" s="243"/>
      <c r="BZ81" s="244"/>
      <c r="CA81" s="122"/>
      <c r="CC81" s="242" t="s">
        <v>357</v>
      </c>
      <c r="CD81" s="243"/>
      <c r="CE81" s="244"/>
      <c r="CF81" s="122"/>
      <c r="DB81" s="245" t="s">
        <v>357</v>
      </c>
      <c r="DC81" s="246"/>
      <c r="DD81" s="247"/>
      <c r="DE81" s="122"/>
      <c r="DG81" s="245" t="s">
        <v>357</v>
      </c>
      <c r="DH81" s="246"/>
      <c r="DI81" s="247"/>
      <c r="DJ81" s="122"/>
    </row>
    <row r="82" spans="29:114" ht="22.9" customHeight="1" thickBot="1" x14ac:dyDescent="0.3">
      <c r="BX82" s="81">
        <f ca="1">Min_1</f>
        <v>1</v>
      </c>
      <c r="BY82" s="82">
        <f ca="1">Mid_1</f>
        <v>4</v>
      </c>
      <c r="BZ82" s="83">
        <f ca="1">Max_1</f>
        <v>1</v>
      </c>
      <c r="CA82" s="76">
        <f ca="1">Приведение</f>
        <v>4</v>
      </c>
      <c r="CC82" s="81">
        <f ca="1">Min_1</f>
        <v>1</v>
      </c>
      <c r="CD82" s="82">
        <f ca="1">Mid_1</f>
        <v>2.5</v>
      </c>
      <c r="CE82" s="83">
        <f ca="1">Max_1</f>
        <v>4</v>
      </c>
      <c r="CF82" s="76">
        <f ca="1">Приведение</f>
        <v>2</v>
      </c>
      <c r="DB82" s="81">
        <f ca="1">Min_1</f>
        <v>1</v>
      </c>
      <c r="DC82" s="82">
        <f ca="1">Mid_1</f>
        <v>2.5</v>
      </c>
      <c r="DD82" s="83">
        <f ca="1">Max_1</f>
        <v>4</v>
      </c>
      <c r="DE82" s="76">
        <f ca="1">Приведение</f>
        <v>2.333333333333333</v>
      </c>
      <c r="DG82" s="81">
        <f ca="1">Min_1</f>
        <v>1</v>
      </c>
      <c r="DH82" s="82">
        <f ca="1">Mid_1</f>
        <v>2.5</v>
      </c>
      <c r="DI82" s="83">
        <f ca="1">Max_1</f>
        <v>4</v>
      </c>
      <c r="DJ82" s="76">
        <f ca="1">Приведение</f>
        <v>2.333333333333333</v>
      </c>
    </row>
    <row r="83" spans="29:114" ht="22.9" customHeight="1" thickTop="1" thickBot="1" x14ac:dyDescent="0.3">
      <c r="AC83" s="239"/>
      <c r="AD83" s="240"/>
      <c r="AE83" s="240"/>
      <c r="AF83" s="241"/>
      <c r="BX83" s="77">
        <v>-25</v>
      </c>
      <c r="BY83" s="78">
        <v>0</v>
      </c>
      <c r="BZ83" s="79">
        <v>5</v>
      </c>
      <c r="CA83" s="185">
        <v>0</v>
      </c>
      <c r="CC83" s="77">
        <v>1</v>
      </c>
      <c r="CD83" s="78"/>
      <c r="CE83" s="79">
        <v>10</v>
      </c>
      <c r="CF83" s="184">
        <v>4</v>
      </c>
      <c r="DB83" s="77">
        <v>1</v>
      </c>
      <c r="DC83" s="78"/>
      <c r="DD83" s="79">
        <v>10</v>
      </c>
      <c r="DE83" s="80">
        <v>5</v>
      </c>
      <c r="DG83" s="77">
        <v>2</v>
      </c>
      <c r="DH83" s="78"/>
      <c r="DI83" s="79">
        <v>20</v>
      </c>
      <c r="DJ83" s="80">
        <v>10</v>
      </c>
    </row>
    <row r="84" spans="29:114" ht="22.9" customHeight="1" thickTop="1" x14ac:dyDescent="0.25">
      <c r="AC84" s="242" t="s">
        <v>357</v>
      </c>
      <c r="AD84" s="243"/>
      <c r="AE84" s="244"/>
      <c r="AF84" s="122"/>
    </row>
    <row r="85" spans="29:114" ht="22.9" customHeight="1" x14ac:dyDescent="0.25">
      <c r="AC85" s="81">
        <f ca="1">Min_1</f>
        <v>1</v>
      </c>
      <c r="AD85" s="82">
        <f ca="1">Mid_1</f>
        <v>2.5</v>
      </c>
      <c r="AE85" s="83">
        <f ca="1">Max_1</f>
        <v>4</v>
      </c>
      <c r="AF85" s="76">
        <f ca="1">Приведение</f>
        <v>1.625</v>
      </c>
    </row>
    <row r="86" spans="29:114" ht="22.9" customHeight="1" thickBot="1" x14ac:dyDescent="0.3">
      <c r="AC86" s="77">
        <v>-2</v>
      </c>
      <c r="AD86" s="78"/>
      <c r="AE86" s="79">
        <v>22</v>
      </c>
      <c r="AF86" s="80">
        <v>3</v>
      </c>
    </row>
    <row r="87" spans="29:114" ht="22.9" customHeight="1" thickTop="1" x14ac:dyDescent="0.25"/>
    <row r="100" spans="73:82" ht="22.9" customHeight="1" thickBot="1" x14ac:dyDescent="0.3"/>
    <row r="101" spans="73:82" ht="22.9" customHeight="1" thickTop="1" thickBot="1" x14ac:dyDescent="0.3">
      <c r="BW101" s="239">
        <v>1</v>
      </c>
      <c r="BX101" s="240"/>
      <c r="BY101" s="240"/>
      <c r="BZ101" s="240"/>
      <c r="CA101" s="240"/>
      <c r="CB101" s="240"/>
      <c r="CC101" s="241"/>
    </row>
    <row r="102" spans="73:82" ht="22.9" customHeight="1" thickTop="1" x14ac:dyDescent="0.25">
      <c r="BW102" s="115" t="str">
        <f>BX108</f>
        <v>!!!</v>
      </c>
      <c r="BX102" s="116" t="s">
        <v>106</v>
      </c>
      <c r="BY102" s="117" t="s">
        <v>106</v>
      </c>
      <c r="BZ102" s="118" t="s">
        <v>106</v>
      </c>
      <c r="CA102" s="119" t="str">
        <f>Изопрайса</f>
        <v>R</v>
      </c>
      <c r="CB102" s="120" t="str">
        <f>Изопрайса</f>
        <v>R</v>
      </c>
      <c r="CC102" s="121" t="str">
        <f>Изопрайса</f>
        <v>R</v>
      </c>
    </row>
    <row r="103" spans="73:82" ht="22.9" customHeight="1" thickBot="1" x14ac:dyDescent="0.3">
      <c r="BW103" s="46">
        <f ca="1">CD108</f>
        <v>1</v>
      </c>
      <c r="BX103" s="47" t="s">
        <v>106</v>
      </c>
      <c r="BY103" s="48" t="s">
        <v>106</v>
      </c>
      <c r="BZ103" s="49" t="s">
        <v>106</v>
      </c>
      <c r="CA103" s="50" t="str">
        <f>Изопрайса</f>
        <v>R</v>
      </c>
      <c r="CB103" s="51" t="str">
        <f>Изопрайса</f>
        <v>R</v>
      </c>
      <c r="CC103" s="52" t="str">
        <f>Изопрайса</f>
        <v>R</v>
      </c>
    </row>
    <row r="104" spans="73:82" ht="22.9" customHeight="1" thickBot="1" x14ac:dyDescent="0.3">
      <c r="BW104" s="53">
        <f ca="1">Матрица_Расчёт</f>
        <v>0</v>
      </c>
      <c r="BX104" s="54" t="s">
        <v>106</v>
      </c>
      <c r="BY104" s="55" t="s">
        <v>106</v>
      </c>
      <c r="BZ104" s="56" t="s">
        <v>106</v>
      </c>
      <c r="CA104" s="57" t="str">
        <f>Изопрайса</f>
        <v>R</v>
      </c>
      <c r="CB104" s="58" t="str">
        <f>Изопрайса</f>
        <v>R</v>
      </c>
      <c r="CC104" s="59" t="str">
        <f>Изопрайса</f>
        <v>R</v>
      </c>
    </row>
    <row r="105" spans="73:82" ht="22.9" customHeight="1" thickTop="1" thickBot="1" x14ac:dyDescent="0.3"/>
    <row r="106" spans="73:82" ht="22.9" customHeight="1" thickTop="1" thickBot="1" x14ac:dyDescent="0.3">
      <c r="BU106" s="239">
        <v>1</v>
      </c>
      <c r="BV106" s="240"/>
      <c r="BW106" s="240"/>
      <c r="BX106" s="241"/>
      <c r="BY106" s="5">
        <v>3</v>
      </c>
      <c r="CA106" s="239">
        <v>2</v>
      </c>
      <c r="CB106" s="240"/>
      <c r="CC106" s="240"/>
      <c r="CD106" s="241"/>
    </row>
    <row r="107" spans="73:82" ht="22.9" customHeight="1" thickTop="1" x14ac:dyDescent="0.25">
      <c r="BU107" s="242" t="s">
        <v>359</v>
      </c>
      <c r="BV107" s="243"/>
      <c r="BW107" s="244"/>
      <c r="BX107" s="122"/>
      <c r="BY107" s="66"/>
      <c r="CA107" s="242" t="s">
        <v>357</v>
      </c>
      <c r="CB107" s="243"/>
      <c r="CC107" s="244"/>
      <c r="CD107" s="122"/>
    </row>
    <row r="108" spans="73:82" ht="22.9" customHeight="1" x14ac:dyDescent="0.25">
      <c r="BU108" s="214">
        <f ca="1">Min_1</f>
        <v>1</v>
      </c>
      <c r="BV108" s="215">
        <f ca="1">Mid_1</f>
        <v>4</v>
      </c>
      <c r="BW108" s="216">
        <f ca="1">Max_1</f>
        <v>1</v>
      </c>
      <c r="BX108" s="217" t="str">
        <f>Приведение</f>
        <v>!!!</v>
      </c>
      <c r="BY108" s="66"/>
      <c r="CA108" s="81">
        <f ca="1">Min_1</f>
        <v>1</v>
      </c>
      <c r="CB108" s="82">
        <f ca="1">Mid_1</f>
        <v>2.5</v>
      </c>
      <c r="CC108" s="83">
        <f ca="1">Max_1</f>
        <v>4</v>
      </c>
      <c r="CD108" s="76">
        <f ca="1">Приведение</f>
        <v>1</v>
      </c>
    </row>
    <row r="109" spans="73:82" ht="22.9" customHeight="1" thickBot="1" x14ac:dyDescent="0.3">
      <c r="BU109" s="218" t="e">
        <f>VLOOKUP(BW101,#REF!,2,FALSE)</f>
        <v>#REF!</v>
      </c>
      <c r="BV109" s="219" t="e">
        <f>VLOOKUP(BW101,#REF!,3,FALSE)</f>
        <v>#REF!</v>
      </c>
      <c r="BW109" s="220" t="e">
        <f>VLOOKUP(BW101,#REF!,4,FALSE)</f>
        <v>#REF!</v>
      </c>
      <c r="BX109" s="221">
        <v>-2</v>
      </c>
      <c r="BY109" s="66"/>
      <c r="CA109" s="77">
        <v>1</v>
      </c>
      <c r="CB109" s="78"/>
      <c r="CC109" s="79">
        <v>4</v>
      </c>
      <c r="CD109" s="80">
        <v>1</v>
      </c>
    </row>
    <row r="110" spans="73:82" ht="22.9" customHeight="1" thickTop="1" thickBot="1" x14ac:dyDescent="0.3"/>
    <row r="111" spans="73:82" ht="22.9" customHeight="1" thickTop="1" thickBot="1" x14ac:dyDescent="0.3">
      <c r="BW111" s="239">
        <f>BW101+1</f>
        <v>2</v>
      </c>
      <c r="BX111" s="240"/>
      <c r="BY111" s="240"/>
      <c r="BZ111" s="240"/>
      <c r="CA111" s="240"/>
      <c r="CB111" s="240"/>
      <c r="CC111" s="241"/>
    </row>
    <row r="112" spans="73:82" ht="22.9" customHeight="1" thickTop="1" x14ac:dyDescent="0.25">
      <c r="BW112" s="115" t="str">
        <f>BX118</f>
        <v>!!!</v>
      </c>
      <c r="BX112" s="116" t="s">
        <v>106</v>
      </c>
      <c r="BY112" s="117" t="s">
        <v>106</v>
      </c>
      <c r="BZ112" s="118" t="s">
        <v>106</v>
      </c>
      <c r="CA112" s="119" t="str">
        <f>Изопрайса</f>
        <v>R</v>
      </c>
      <c r="CB112" s="120" t="str">
        <f>Изопрайса</f>
        <v>R</v>
      </c>
      <c r="CC112" s="121" t="str">
        <f>Изопрайса</f>
        <v>R</v>
      </c>
    </row>
    <row r="113" spans="73:82" ht="22.9" customHeight="1" thickBot="1" x14ac:dyDescent="0.3">
      <c r="BW113" s="46">
        <f ca="1">CD118</f>
        <v>1</v>
      </c>
      <c r="BX113" s="47" t="s">
        <v>106</v>
      </c>
      <c r="BY113" s="48" t="s">
        <v>106</v>
      </c>
      <c r="BZ113" s="49" t="s">
        <v>106</v>
      </c>
      <c r="CA113" s="50" t="str">
        <f>Изопрайса</f>
        <v>R</v>
      </c>
      <c r="CB113" s="51" t="str">
        <f>Изопрайса</f>
        <v>R</v>
      </c>
      <c r="CC113" s="52" t="str">
        <f>Изопрайса</f>
        <v>R</v>
      </c>
    </row>
    <row r="114" spans="73:82" ht="22.9" customHeight="1" thickBot="1" x14ac:dyDescent="0.3">
      <c r="BW114" s="53">
        <f ca="1">Матрица_Расчёт</f>
        <v>0</v>
      </c>
      <c r="BX114" s="54" t="s">
        <v>106</v>
      </c>
      <c r="BY114" s="55" t="s">
        <v>106</v>
      </c>
      <c r="BZ114" s="56" t="s">
        <v>106</v>
      </c>
      <c r="CA114" s="57" t="str">
        <f>Изопрайса</f>
        <v>R</v>
      </c>
      <c r="CB114" s="58" t="str">
        <f>Изопрайса</f>
        <v>R</v>
      </c>
      <c r="CC114" s="59" t="str">
        <f>Изопрайса</f>
        <v>R</v>
      </c>
    </row>
    <row r="115" spans="73:82" ht="22.9" customHeight="1" thickTop="1" thickBot="1" x14ac:dyDescent="0.3"/>
    <row r="116" spans="73:82" ht="22.9" customHeight="1" thickTop="1" thickBot="1" x14ac:dyDescent="0.3">
      <c r="BU116" s="239">
        <f>BU106+2</f>
        <v>3</v>
      </c>
      <c r="BV116" s="240"/>
      <c r="BW116" s="240"/>
      <c r="BX116" s="241"/>
      <c r="BY116" s="5">
        <v>3</v>
      </c>
      <c r="CA116" s="239">
        <f>CA106+2</f>
        <v>4</v>
      </c>
      <c r="CB116" s="240"/>
      <c r="CC116" s="240"/>
      <c r="CD116" s="241"/>
    </row>
    <row r="117" spans="73:82" ht="22.9" customHeight="1" thickTop="1" x14ac:dyDescent="0.25">
      <c r="BU117" s="242" t="s">
        <v>359</v>
      </c>
      <c r="BV117" s="243"/>
      <c r="BW117" s="244"/>
      <c r="BX117" s="122"/>
      <c r="BY117" s="66"/>
      <c r="CA117" s="242" t="s">
        <v>357</v>
      </c>
      <c r="CB117" s="243"/>
      <c r="CC117" s="244"/>
      <c r="CD117" s="122"/>
    </row>
    <row r="118" spans="73:82" ht="22.9" customHeight="1" x14ac:dyDescent="0.25">
      <c r="BU118" s="214">
        <f ca="1">Min_1</f>
        <v>1</v>
      </c>
      <c r="BV118" s="215">
        <f ca="1">Mid_1</f>
        <v>4</v>
      </c>
      <c r="BW118" s="216">
        <f ca="1">Max_1</f>
        <v>1</v>
      </c>
      <c r="BX118" s="217" t="str">
        <f>Приведение</f>
        <v>!!!</v>
      </c>
      <c r="BY118" s="66"/>
      <c r="CA118" s="81">
        <f ca="1">Min_1</f>
        <v>1</v>
      </c>
      <c r="CB118" s="82">
        <f ca="1">Mid_1</f>
        <v>2.5</v>
      </c>
      <c r="CC118" s="83">
        <f ca="1">Max_1</f>
        <v>4</v>
      </c>
      <c r="CD118" s="76">
        <f ca="1">Приведение</f>
        <v>1</v>
      </c>
    </row>
    <row r="119" spans="73:82" ht="22.9" customHeight="1" thickBot="1" x14ac:dyDescent="0.3">
      <c r="BU119" s="218" t="e">
        <f>VLOOKUP(BW111,#REF!,2,FALSE)</f>
        <v>#REF!</v>
      </c>
      <c r="BV119" s="219" t="e">
        <f>VLOOKUP(BW111,#REF!,3,FALSE)</f>
        <v>#REF!</v>
      </c>
      <c r="BW119" s="220" t="e">
        <f>VLOOKUP(BW111,#REF!,4,FALSE)</f>
        <v>#REF!</v>
      </c>
      <c r="BX119" s="221">
        <v>-1</v>
      </c>
      <c r="BY119" s="66"/>
      <c r="CA119" s="77">
        <v>1</v>
      </c>
      <c r="CB119" s="78"/>
      <c r="CC119" s="79">
        <v>4</v>
      </c>
      <c r="CD119" s="80">
        <v>1</v>
      </c>
    </row>
    <row r="120" spans="73:82" ht="22.9" customHeight="1" thickTop="1" thickBot="1" x14ac:dyDescent="0.3"/>
    <row r="121" spans="73:82" ht="22.9" customHeight="1" thickTop="1" thickBot="1" x14ac:dyDescent="0.3">
      <c r="BW121" s="239">
        <f>BW111+1</f>
        <v>3</v>
      </c>
      <c r="BX121" s="240"/>
      <c r="BY121" s="240"/>
      <c r="BZ121" s="240"/>
      <c r="CA121" s="240"/>
      <c r="CB121" s="240"/>
      <c r="CC121" s="241"/>
    </row>
    <row r="122" spans="73:82" ht="22.9" customHeight="1" thickTop="1" x14ac:dyDescent="0.25">
      <c r="BW122" s="115" t="str">
        <f>BX128</f>
        <v>!!!</v>
      </c>
      <c r="BX122" s="116" t="s">
        <v>106</v>
      </c>
      <c r="BY122" s="117" t="s">
        <v>106</v>
      </c>
      <c r="BZ122" s="118" t="s">
        <v>106</v>
      </c>
      <c r="CA122" s="119" t="str">
        <f>Изопрайса</f>
        <v>R</v>
      </c>
      <c r="CB122" s="120" t="str">
        <f>Изопрайса</f>
        <v>R</v>
      </c>
      <c r="CC122" s="121" t="str">
        <f>Изопрайса</f>
        <v>R</v>
      </c>
    </row>
    <row r="123" spans="73:82" ht="22.9" customHeight="1" thickBot="1" x14ac:dyDescent="0.3">
      <c r="BW123" s="46">
        <f ca="1">CD128</f>
        <v>1</v>
      </c>
      <c r="BX123" s="47" t="s">
        <v>106</v>
      </c>
      <c r="BY123" s="48" t="s">
        <v>106</v>
      </c>
      <c r="BZ123" s="49" t="s">
        <v>106</v>
      </c>
      <c r="CA123" s="50" t="str">
        <f>Изопрайса</f>
        <v>R</v>
      </c>
      <c r="CB123" s="51" t="str">
        <f>Изопрайса</f>
        <v>R</v>
      </c>
      <c r="CC123" s="52" t="str">
        <f>Изопрайса</f>
        <v>R</v>
      </c>
    </row>
    <row r="124" spans="73:82" ht="22.9" customHeight="1" thickBot="1" x14ac:dyDescent="0.3">
      <c r="BW124" s="53">
        <f ca="1">Матрица_Расчёт</f>
        <v>0</v>
      </c>
      <c r="BX124" s="54" t="s">
        <v>106</v>
      </c>
      <c r="BY124" s="55" t="s">
        <v>106</v>
      </c>
      <c r="BZ124" s="56" t="s">
        <v>106</v>
      </c>
      <c r="CA124" s="57" t="str">
        <f>Изопрайса</f>
        <v>R</v>
      </c>
      <c r="CB124" s="58" t="str">
        <f>Изопрайса</f>
        <v>R</v>
      </c>
      <c r="CC124" s="59" t="str">
        <f>Изопрайса</f>
        <v>R</v>
      </c>
    </row>
    <row r="125" spans="73:82" ht="22.9" customHeight="1" thickTop="1" thickBot="1" x14ac:dyDescent="0.3"/>
    <row r="126" spans="73:82" ht="22.9" customHeight="1" thickTop="1" thickBot="1" x14ac:dyDescent="0.3">
      <c r="BU126" s="239">
        <f>BU116+2</f>
        <v>5</v>
      </c>
      <c r="BV126" s="240"/>
      <c r="BW126" s="240"/>
      <c r="BX126" s="241"/>
      <c r="BY126" s="5">
        <v>3</v>
      </c>
      <c r="CA126" s="239">
        <f>CA116+2</f>
        <v>6</v>
      </c>
      <c r="CB126" s="240"/>
      <c r="CC126" s="240"/>
      <c r="CD126" s="241"/>
    </row>
    <row r="127" spans="73:82" ht="22.9" customHeight="1" thickTop="1" x14ac:dyDescent="0.25">
      <c r="BU127" s="242" t="s">
        <v>359</v>
      </c>
      <c r="BV127" s="243"/>
      <c r="BW127" s="244"/>
      <c r="BX127" s="122"/>
      <c r="BY127" s="66"/>
      <c r="CA127" s="242" t="s">
        <v>357</v>
      </c>
      <c r="CB127" s="243"/>
      <c r="CC127" s="244"/>
      <c r="CD127" s="122"/>
    </row>
    <row r="128" spans="73:82" ht="22.9" customHeight="1" x14ac:dyDescent="0.25">
      <c r="BU128" s="214">
        <f ca="1">Min_1</f>
        <v>1</v>
      </c>
      <c r="BV128" s="215">
        <f ca="1">Mid_1</f>
        <v>4</v>
      </c>
      <c r="BW128" s="216">
        <f ca="1">Max_1</f>
        <v>1</v>
      </c>
      <c r="BX128" s="217" t="str">
        <f>Приведение</f>
        <v>!!!</v>
      </c>
      <c r="BY128" s="66"/>
      <c r="CA128" s="81">
        <f ca="1">Min_1</f>
        <v>1</v>
      </c>
      <c r="CB128" s="82">
        <f ca="1">Mid_1</f>
        <v>2.5</v>
      </c>
      <c r="CC128" s="83">
        <f ca="1">Max_1</f>
        <v>4</v>
      </c>
      <c r="CD128" s="76">
        <f ca="1">Приведение</f>
        <v>1</v>
      </c>
    </row>
    <row r="129" spans="73:82" ht="22.9" customHeight="1" thickBot="1" x14ac:dyDescent="0.3">
      <c r="BU129" s="218" t="e">
        <f>VLOOKUP(BW121,#REF!,2,FALSE)</f>
        <v>#REF!</v>
      </c>
      <c r="BV129" s="219" t="e">
        <f>VLOOKUP(BW121,#REF!,3,FALSE)</f>
        <v>#REF!</v>
      </c>
      <c r="BW129" s="220" t="e">
        <f>VLOOKUP(BW121,#REF!,4,FALSE)</f>
        <v>#REF!</v>
      </c>
      <c r="BX129" s="221">
        <v>-1</v>
      </c>
      <c r="BY129" s="66"/>
      <c r="CA129" s="77">
        <v>1</v>
      </c>
      <c r="CB129" s="78"/>
      <c r="CC129" s="79">
        <v>4</v>
      </c>
      <c r="CD129" s="80">
        <v>1</v>
      </c>
    </row>
    <row r="130" spans="73:82" ht="22.9" customHeight="1" thickTop="1" thickBot="1" x14ac:dyDescent="0.3"/>
    <row r="131" spans="73:82" ht="22.9" customHeight="1" thickTop="1" thickBot="1" x14ac:dyDescent="0.3">
      <c r="BW131" s="239">
        <f>BW121+1</f>
        <v>4</v>
      </c>
      <c r="BX131" s="240"/>
      <c r="BY131" s="240"/>
      <c r="BZ131" s="240"/>
      <c r="CA131" s="240"/>
      <c r="CB131" s="240"/>
      <c r="CC131" s="241"/>
    </row>
    <row r="132" spans="73:82" ht="22.9" customHeight="1" thickTop="1" x14ac:dyDescent="0.25">
      <c r="BW132" s="115" t="str">
        <f>BX138</f>
        <v>!!!</v>
      </c>
      <c r="BX132" s="116" t="s">
        <v>106</v>
      </c>
      <c r="BY132" s="117" t="s">
        <v>106</v>
      </c>
      <c r="BZ132" s="118" t="s">
        <v>106</v>
      </c>
      <c r="CA132" s="119" t="str">
        <f>Изопрайса</f>
        <v>R</v>
      </c>
      <c r="CB132" s="120" t="str">
        <f>Изопрайса</f>
        <v>R</v>
      </c>
      <c r="CC132" s="121" t="str">
        <f>Изопрайса</f>
        <v>R</v>
      </c>
    </row>
    <row r="133" spans="73:82" ht="22.9" customHeight="1" thickBot="1" x14ac:dyDescent="0.3">
      <c r="BW133" s="46">
        <f ca="1">CD138</f>
        <v>1</v>
      </c>
      <c r="BX133" s="47" t="s">
        <v>106</v>
      </c>
      <c r="BY133" s="48" t="s">
        <v>106</v>
      </c>
      <c r="BZ133" s="49" t="s">
        <v>106</v>
      </c>
      <c r="CA133" s="50" t="str">
        <f>Изопрайса</f>
        <v>R</v>
      </c>
      <c r="CB133" s="51" t="str">
        <f>Изопрайса</f>
        <v>R</v>
      </c>
      <c r="CC133" s="52" t="str">
        <f>Изопрайса</f>
        <v>R</v>
      </c>
    </row>
    <row r="134" spans="73:82" ht="22.9" customHeight="1" thickBot="1" x14ac:dyDescent="0.3">
      <c r="BW134" s="53">
        <f ca="1">Матрица_Расчёт</f>
        <v>0</v>
      </c>
      <c r="BX134" s="54" t="s">
        <v>106</v>
      </c>
      <c r="BY134" s="55" t="s">
        <v>106</v>
      </c>
      <c r="BZ134" s="56" t="s">
        <v>106</v>
      </c>
      <c r="CA134" s="57" t="str">
        <f>Изопрайса</f>
        <v>R</v>
      </c>
      <c r="CB134" s="58" t="str">
        <f>Изопрайса</f>
        <v>R</v>
      </c>
      <c r="CC134" s="59" t="str">
        <f>Изопрайса</f>
        <v>R</v>
      </c>
    </row>
    <row r="135" spans="73:82" ht="22.9" customHeight="1" thickTop="1" thickBot="1" x14ac:dyDescent="0.3"/>
    <row r="136" spans="73:82" ht="22.9" customHeight="1" thickTop="1" thickBot="1" x14ac:dyDescent="0.3">
      <c r="BU136" s="239">
        <f>BU126+2</f>
        <v>7</v>
      </c>
      <c r="BV136" s="240"/>
      <c r="BW136" s="240"/>
      <c r="BX136" s="241"/>
      <c r="BY136" s="5">
        <v>3</v>
      </c>
      <c r="CA136" s="239">
        <f>CA126+2</f>
        <v>8</v>
      </c>
      <c r="CB136" s="240"/>
      <c r="CC136" s="240"/>
      <c r="CD136" s="241"/>
    </row>
    <row r="137" spans="73:82" ht="22.9" customHeight="1" thickTop="1" x14ac:dyDescent="0.25">
      <c r="BU137" s="242" t="s">
        <v>359</v>
      </c>
      <c r="BV137" s="243"/>
      <c r="BW137" s="244"/>
      <c r="BX137" s="122"/>
      <c r="BY137" s="66"/>
      <c r="CA137" s="242" t="s">
        <v>357</v>
      </c>
      <c r="CB137" s="243"/>
      <c r="CC137" s="244"/>
      <c r="CD137" s="122"/>
    </row>
    <row r="138" spans="73:82" ht="22.9" customHeight="1" x14ac:dyDescent="0.25">
      <c r="BU138" s="214">
        <f ca="1">Min_1</f>
        <v>1</v>
      </c>
      <c r="BV138" s="215">
        <f ca="1">Mid_1</f>
        <v>4</v>
      </c>
      <c r="BW138" s="216">
        <f ca="1">Max_1</f>
        <v>1</v>
      </c>
      <c r="BX138" s="217" t="str">
        <f>Приведение</f>
        <v>!!!</v>
      </c>
      <c r="BY138" s="66"/>
      <c r="CA138" s="81">
        <f ca="1">Min_1</f>
        <v>1</v>
      </c>
      <c r="CB138" s="82">
        <f ca="1">Mid_1</f>
        <v>2.5</v>
      </c>
      <c r="CC138" s="83">
        <f ca="1">Max_1</f>
        <v>4</v>
      </c>
      <c r="CD138" s="76">
        <f ca="1">Приведение</f>
        <v>1</v>
      </c>
    </row>
    <row r="139" spans="73:82" ht="22.9" customHeight="1" thickBot="1" x14ac:dyDescent="0.3">
      <c r="BU139" s="218" t="e">
        <f>VLOOKUP(BW131,#REF!,2,FALSE)</f>
        <v>#REF!</v>
      </c>
      <c r="BV139" s="219" t="e">
        <f>VLOOKUP(BW131,#REF!,3,FALSE)</f>
        <v>#REF!</v>
      </c>
      <c r="BW139" s="220" t="e">
        <f>VLOOKUP(BW131,#REF!,4,FALSE)</f>
        <v>#REF!</v>
      </c>
      <c r="BX139" s="221">
        <v>-1</v>
      </c>
      <c r="BY139" s="66"/>
      <c r="CA139" s="77">
        <v>1</v>
      </c>
      <c r="CB139" s="78"/>
      <c r="CC139" s="79">
        <v>4</v>
      </c>
      <c r="CD139" s="80">
        <v>1</v>
      </c>
    </row>
    <row r="140" spans="73:82" ht="22.9" customHeight="1" thickTop="1" thickBot="1" x14ac:dyDescent="0.3"/>
    <row r="141" spans="73:82" ht="22.9" customHeight="1" thickTop="1" thickBot="1" x14ac:dyDescent="0.3">
      <c r="BW141" s="239">
        <f>BW131+1</f>
        <v>5</v>
      </c>
      <c r="BX141" s="240"/>
      <c r="BY141" s="240"/>
      <c r="BZ141" s="240"/>
      <c r="CA141" s="240"/>
      <c r="CB141" s="240"/>
      <c r="CC141" s="241"/>
    </row>
    <row r="142" spans="73:82" ht="22.9" customHeight="1" thickTop="1" x14ac:dyDescent="0.25">
      <c r="BW142" s="115" t="str">
        <f>BX148</f>
        <v>!!!</v>
      </c>
      <c r="BX142" s="116" t="s">
        <v>106</v>
      </c>
      <c r="BY142" s="117" t="s">
        <v>106</v>
      </c>
      <c r="BZ142" s="118" t="s">
        <v>106</v>
      </c>
      <c r="CA142" s="119" t="str">
        <f>Изопрайса</f>
        <v>R</v>
      </c>
      <c r="CB142" s="120" t="str">
        <f>Изопрайса</f>
        <v>R</v>
      </c>
      <c r="CC142" s="121" t="str">
        <f>Изопрайса</f>
        <v>R</v>
      </c>
    </row>
    <row r="143" spans="73:82" ht="22.9" customHeight="1" thickBot="1" x14ac:dyDescent="0.3">
      <c r="BW143" s="46">
        <f ca="1">CD148</f>
        <v>1</v>
      </c>
      <c r="BX143" s="47" t="s">
        <v>106</v>
      </c>
      <c r="BY143" s="48" t="s">
        <v>106</v>
      </c>
      <c r="BZ143" s="49" t="s">
        <v>106</v>
      </c>
      <c r="CA143" s="50" t="str">
        <f>Изопрайса</f>
        <v>R</v>
      </c>
      <c r="CB143" s="51" t="str">
        <f>Изопрайса</f>
        <v>R</v>
      </c>
      <c r="CC143" s="52" t="str">
        <f>Изопрайса</f>
        <v>R</v>
      </c>
    </row>
    <row r="144" spans="73:82" ht="22.9" customHeight="1" thickBot="1" x14ac:dyDescent="0.3">
      <c r="BW144" s="53">
        <f ca="1">Матрица_Расчёт</f>
        <v>0</v>
      </c>
      <c r="BX144" s="54" t="s">
        <v>106</v>
      </c>
      <c r="BY144" s="55" t="s">
        <v>106</v>
      </c>
      <c r="BZ144" s="56" t="s">
        <v>106</v>
      </c>
      <c r="CA144" s="57" t="str">
        <f>Изопрайса</f>
        <v>R</v>
      </c>
      <c r="CB144" s="58" t="str">
        <f>Изопрайса</f>
        <v>R</v>
      </c>
      <c r="CC144" s="59" t="str">
        <f>Изопрайса</f>
        <v>R</v>
      </c>
    </row>
    <row r="145" spans="73:82" ht="22.9" customHeight="1" thickTop="1" thickBot="1" x14ac:dyDescent="0.3"/>
    <row r="146" spans="73:82" ht="22.9" customHeight="1" thickTop="1" thickBot="1" x14ac:dyDescent="0.3">
      <c r="BU146" s="239">
        <f>BU136+2</f>
        <v>9</v>
      </c>
      <c r="BV146" s="240"/>
      <c r="BW146" s="240"/>
      <c r="BX146" s="241"/>
      <c r="BY146" s="5">
        <v>3</v>
      </c>
      <c r="CA146" s="239">
        <f>CA136+2</f>
        <v>10</v>
      </c>
      <c r="CB146" s="240"/>
      <c r="CC146" s="240"/>
      <c r="CD146" s="241"/>
    </row>
    <row r="147" spans="73:82" ht="22.9" customHeight="1" thickTop="1" x14ac:dyDescent="0.25">
      <c r="BU147" s="242" t="s">
        <v>359</v>
      </c>
      <c r="BV147" s="243"/>
      <c r="BW147" s="244"/>
      <c r="BX147" s="122"/>
      <c r="BY147" s="66"/>
      <c r="CA147" s="242" t="s">
        <v>357</v>
      </c>
      <c r="CB147" s="243"/>
      <c r="CC147" s="244"/>
      <c r="CD147" s="122"/>
    </row>
    <row r="148" spans="73:82" ht="22.9" customHeight="1" x14ac:dyDescent="0.25">
      <c r="BU148" s="214">
        <f ca="1">Min_1</f>
        <v>1</v>
      </c>
      <c r="BV148" s="215">
        <f ca="1">Mid_1</f>
        <v>4</v>
      </c>
      <c r="BW148" s="216">
        <f ca="1">Max_1</f>
        <v>1</v>
      </c>
      <c r="BX148" s="217" t="str">
        <f>Приведение</f>
        <v>!!!</v>
      </c>
      <c r="BY148" s="66"/>
      <c r="CA148" s="81">
        <f ca="1">Min_1</f>
        <v>1</v>
      </c>
      <c r="CB148" s="82">
        <f ca="1">Mid_1</f>
        <v>2.5</v>
      </c>
      <c r="CC148" s="83">
        <f ca="1">Max_1</f>
        <v>4</v>
      </c>
      <c r="CD148" s="76">
        <f ca="1">Приведение</f>
        <v>1</v>
      </c>
    </row>
    <row r="149" spans="73:82" ht="22.9" customHeight="1" thickBot="1" x14ac:dyDescent="0.3">
      <c r="BU149" s="218" t="e">
        <f>VLOOKUP(BW141,#REF!,2,FALSE)</f>
        <v>#REF!</v>
      </c>
      <c r="BV149" s="219" t="e">
        <f>VLOOKUP(BW141,#REF!,3,FALSE)</f>
        <v>#REF!</v>
      </c>
      <c r="BW149" s="220" t="e">
        <f>VLOOKUP(BW141,#REF!,4,FALSE)</f>
        <v>#REF!</v>
      </c>
      <c r="BX149" s="221">
        <v>-1</v>
      </c>
      <c r="BY149" s="66"/>
      <c r="CA149" s="77">
        <v>1</v>
      </c>
      <c r="CB149" s="78"/>
      <c r="CC149" s="79">
        <v>4</v>
      </c>
      <c r="CD149" s="80">
        <v>1</v>
      </c>
    </row>
    <row r="150" spans="73:82" ht="22.9" customHeight="1" thickTop="1" thickBot="1" x14ac:dyDescent="0.3"/>
    <row r="151" spans="73:82" ht="22.9" customHeight="1" thickTop="1" thickBot="1" x14ac:dyDescent="0.3">
      <c r="BW151" s="239">
        <f>BW141+1</f>
        <v>6</v>
      </c>
      <c r="BX151" s="240"/>
      <c r="BY151" s="240"/>
      <c r="BZ151" s="240"/>
      <c r="CA151" s="240"/>
      <c r="CB151" s="240"/>
      <c r="CC151" s="241"/>
    </row>
    <row r="152" spans="73:82" ht="22.9" customHeight="1" thickTop="1" x14ac:dyDescent="0.25">
      <c r="BW152" s="115" t="str">
        <f>BX158</f>
        <v>!!!</v>
      </c>
      <c r="BX152" s="116" t="s">
        <v>106</v>
      </c>
      <c r="BY152" s="117" t="s">
        <v>106</v>
      </c>
      <c r="BZ152" s="118" t="s">
        <v>106</v>
      </c>
      <c r="CA152" s="119" t="str">
        <f>Изопрайса</f>
        <v>R</v>
      </c>
      <c r="CB152" s="120" t="str">
        <f>Изопрайса</f>
        <v>R</v>
      </c>
      <c r="CC152" s="121" t="str">
        <f>Изопрайса</f>
        <v>R</v>
      </c>
    </row>
    <row r="153" spans="73:82" ht="22.9" customHeight="1" thickBot="1" x14ac:dyDescent="0.3">
      <c r="BW153" s="46">
        <f ca="1">CD158</f>
        <v>1</v>
      </c>
      <c r="BX153" s="47" t="s">
        <v>106</v>
      </c>
      <c r="BY153" s="48" t="s">
        <v>106</v>
      </c>
      <c r="BZ153" s="49" t="s">
        <v>106</v>
      </c>
      <c r="CA153" s="50" t="str">
        <f>Изопрайса</f>
        <v>R</v>
      </c>
      <c r="CB153" s="51" t="str">
        <f>Изопрайса</f>
        <v>R</v>
      </c>
      <c r="CC153" s="52" t="str">
        <f>Изопрайса</f>
        <v>R</v>
      </c>
    </row>
    <row r="154" spans="73:82" ht="22.9" customHeight="1" thickBot="1" x14ac:dyDescent="0.3">
      <c r="BW154" s="53">
        <f ca="1">Матрица_Расчёт</f>
        <v>0</v>
      </c>
      <c r="BX154" s="54" t="s">
        <v>106</v>
      </c>
      <c r="BY154" s="55" t="s">
        <v>106</v>
      </c>
      <c r="BZ154" s="56" t="s">
        <v>106</v>
      </c>
      <c r="CA154" s="57" t="str">
        <f>Изопрайса</f>
        <v>R</v>
      </c>
      <c r="CB154" s="58" t="str">
        <f>Изопрайса</f>
        <v>R</v>
      </c>
      <c r="CC154" s="59" t="str">
        <f>Изопрайса</f>
        <v>R</v>
      </c>
    </row>
    <row r="155" spans="73:82" ht="22.9" customHeight="1" thickTop="1" thickBot="1" x14ac:dyDescent="0.3"/>
    <row r="156" spans="73:82" ht="22.9" customHeight="1" thickTop="1" thickBot="1" x14ac:dyDescent="0.3">
      <c r="BU156" s="239">
        <f>BU146+2</f>
        <v>11</v>
      </c>
      <c r="BV156" s="240"/>
      <c r="BW156" s="240"/>
      <c r="BX156" s="241"/>
      <c r="BY156" s="5">
        <v>3</v>
      </c>
      <c r="CA156" s="239">
        <f>CA146+2</f>
        <v>12</v>
      </c>
      <c r="CB156" s="240"/>
      <c r="CC156" s="240"/>
      <c r="CD156" s="241"/>
    </row>
    <row r="157" spans="73:82" ht="22.9" customHeight="1" thickTop="1" x14ac:dyDescent="0.25">
      <c r="BU157" s="242" t="s">
        <v>359</v>
      </c>
      <c r="BV157" s="243"/>
      <c r="BW157" s="244"/>
      <c r="BX157" s="122"/>
      <c r="BY157" s="66"/>
      <c r="CA157" s="242" t="s">
        <v>357</v>
      </c>
      <c r="CB157" s="243"/>
      <c r="CC157" s="244"/>
      <c r="CD157" s="122"/>
    </row>
    <row r="158" spans="73:82" ht="22.9" customHeight="1" x14ac:dyDescent="0.25">
      <c r="BU158" s="214">
        <f ca="1">Min_1</f>
        <v>1</v>
      </c>
      <c r="BV158" s="215">
        <f ca="1">Mid_1</f>
        <v>4</v>
      </c>
      <c r="BW158" s="216">
        <f ca="1">Max_1</f>
        <v>1</v>
      </c>
      <c r="BX158" s="217" t="str">
        <f>Приведение</f>
        <v>!!!</v>
      </c>
      <c r="BY158" s="66"/>
      <c r="CA158" s="81">
        <f ca="1">Min_1</f>
        <v>1</v>
      </c>
      <c r="CB158" s="82">
        <f ca="1">Mid_1</f>
        <v>2.5</v>
      </c>
      <c r="CC158" s="83">
        <f ca="1">Max_1</f>
        <v>4</v>
      </c>
      <c r="CD158" s="76">
        <f ca="1">Приведение</f>
        <v>1</v>
      </c>
    </row>
    <row r="159" spans="73:82" ht="22.9" customHeight="1" thickBot="1" x14ac:dyDescent="0.3">
      <c r="BU159" s="218" t="e">
        <f>VLOOKUP(BW151,#REF!,2,FALSE)</f>
        <v>#REF!</v>
      </c>
      <c r="BV159" s="219" t="e">
        <f>VLOOKUP(BW151,#REF!,3,FALSE)</f>
        <v>#REF!</v>
      </c>
      <c r="BW159" s="220" t="e">
        <f>VLOOKUP(BW151,#REF!,4,FALSE)</f>
        <v>#REF!</v>
      </c>
      <c r="BX159" s="221">
        <v>1</v>
      </c>
      <c r="BY159" s="66"/>
      <c r="CA159" s="77">
        <v>1</v>
      </c>
      <c r="CB159" s="78"/>
      <c r="CC159" s="79">
        <v>4</v>
      </c>
      <c r="CD159" s="80">
        <v>1</v>
      </c>
    </row>
    <row r="160" spans="73:82" ht="22.9" customHeight="1" thickTop="1" thickBot="1" x14ac:dyDescent="0.3"/>
    <row r="161" spans="73:82" ht="22.9" customHeight="1" thickTop="1" thickBot="1" x14ac:dyDescent="0.3">
      <c r="BW161" s="239">
        <f>BW151+1</f>
        <v>7</v>
      </c>
      <c r="BX161" s="240"/>
      <c r="BY161" s="240"/>
      <c r="BZ161" s="240"/>
      <c r="CA161" s="240"/>
      <c r="CB161" s="240"/>
      <c r="CC161" s="241"/>
    </row>
    <row r="162" spans="73:82" ht="22.9" customHeight="1" thickTop="1" x14ac:dyDescent="0.25">
      <c r="BW162" s="115" t="str">
        <f>BX168</f>
        <v>!!!</v>
      </c>
      <c r="BX162" s="116" t="s">
        <v>106</v>
      </c>
      <c r="BY162" s="117" t="s">
        <v>106</v>
      </c>
      <c r="BZ162" s="118" t="s">
        <v>106</v>
      </c>
      <c r="CA162" s="119" t="str">
        <f>Изопрайса</f>
        <v>R</v>
      </c>
      <c r="CB162" s="120" t="str">
        <f>Изопрайса</f>
        <v>R</v>
      </c>
      <c r="CC162" s="121" t="str">
        <f>Изопрайса</f>
        <v>R</v>
      </c>
    </row>
    <row r="163" spans="73:82" ht="22.9" customHeight="1" thickBot="1" x14ac:dyDescent="0.3">
      <c r="BW163" s="46">
        <f ca="1">CD168</f>
        <v>1</v>
      </c>
      <c r="BX163" s="47" t="s">
        <v>106</v>
      </c>
      <c r="BY163" s="48" t="s">
        <v>106</v>
      </c>
      <c r="BZ163" s="49" t="s">
        <v>106</v>
      </c>
      <c r="CA163" s="50" t="str">
        <f>Изопрайса</f>
        <v>R</v>
      </c>
      <c r="CB163" s="51" t="str">
        <f>Изопрайса</f>
        <v>R</v>
      </c>
      <c r="CC163" s="52" t="str">
        <f>Изопрайса</f>
        <v>R</v>
      </c>
    </row>
    <row r="164" spans="73:82" ht="22.9" customHeight="1" thickBot="1" x14ac:dyDescent="0.3">
      <c r="BW164" s="53">
        <f ca="1">Матрица_Расчёт</f>
        <v>0</v>
      </c>
      <c r="BX164" s="54" t="s">
        <v>106</v>
      </c>
      <c r="BY164" s="55" t="s">
        <v>106</v>
      </c>
      <c r="BZ164" s="56" t="s">
        <v>106</v>
      </c>
      <c r="CA164" s="57" t="str">
        <f>Изопрайса</f>
        <v>R</v>
      </c>
      <c r="CB164" s="58" t="str">
        <f>Изопрайса</f>
        <v>R</v>
      </c>
      <c r="CC164" s="59" t="str">
        <f>Изопрайса</f>
        <v>R</v>
      </c>
    </row>
    <row r="165" spans="73:82" ht="22.9" customHeight="1" thickTop="1" thickBot="1" x14ac:dyDescent="0.3"/>
    <row r="166" spans="73:82" ht="22.9" customHeight="1" thickTop="1" thickBot="1" x14ac:dyDescent="0.3">
      <c r="BU166" s="239">
        <f>BU156+2</f>
        <v>13</v>
      </c>
      <c r="BV166" s="240"/>
      <c r="BW166" s="240"/>
      <c r="BX166" s="241"/>
      <c r="BY166" s="5">
        <v>3</v>
      </c>
      <c r="CA166" s="239">
        <f>CA156+2</f>
        <v>14</v>
      </c>
      <c r="CB166" s="240"/>
      <c r="CC166" s="240"/>
      <c r="CD166" s="241"/>
    </row>
    <row r="167" spans="73:82" ht="22.9" customHeight="1" thickTop="1" x14ac:dyDescent="0.25">
      <c r="BU167" s="242" t="s">
        <v>359</v>
      </c>
      <c r="BV167" s="243"/>
      <c r="BW167" s="244"/>
      <c r="BX167" s="122"/>
      <c r="BY167" s="66"/>
      <c r="CA167" s="242" t="s">
        <v>357</v>
      </c>
      <c r="CB167" s="243"/>
      <c r="CC167" s="244"/>
      <c r="CD167" s="122"/>
    </row>
    <row r="168" spans="73:82" ht="22.9" customHeight="1" x14ac:dyDescent="0.25">
      <c r="BU168" s="214">
        <f ca="1">Min_1</f>
        <v>1</v>
      </c>
      <c r="BV168" s="215">
        <f ca="1">Mid_1</f>
        <v>4</v>
      </c>
      <c r="BW168" s="216">
        <f ca="1">Max_1</f>
        <v>1</v>
      </c>
      <c r="BX168" s="217" t="str">
        <f>Приведение</f>
        <v>!!!</v>
      </c>
      <c r="BY168" s="66"/>
      <c r="CA168" s="81">
        <f ca="1">Min_1</f>
        <v>1</v>
      </c>
      <c r="CB168" s="82">
        <f ca="1">Mid_1</f>
        <v>2.5</v>
      </c>
      <c r="CC168" s="83">
        <f ca="1">Max_1</f>
        <v>4</v>
      </c>
      <c r="CD168" s="76">
        <f ca="1">Приведение</f>
        <v>1</v>
      </c>
    </row>
    <row r="169" spans="73:82" ht="22.9" customHeight="1" thickBot="1" x14ac:dyDescent="0.3">
      <c r="BU169" s="218" t="e">
        <f>VLOOKUP(BW161,#REF!,2,FALSE)</f>
        <v>#REF!</v>
      </c>
      <c r="BV169" s="219" t="e">
        <f>VLOOKUP(BW161,#REF!,3,FALSE)</f>
        <v>#REF!</v>
      </c>
      <c r="BW169" s="220" t="e">
        <f>VLOOKUP(BW161,#REF!,4,FALSE)</f>
        <v>#REF!</v>
      </c>
      <c r="BX169" s="221">
        <v>1</v>
      </c>
      <c r="BY169" s="66"/>
      <c r="CA169" s="77">
        <v>1</v>
      </c>
      <c r="CB169" s="78"/>
      <c r="CC169" s="79">
        <v>4</v>
      </c>
      <c r="CD169" s="80">
        <v>1</v>
      </c>
    </row>
    <row r="170" spans="73:82" ht="22.9" customHeight="1" thickTop="1" thickBot="1" x14ac:dyDescent="0.3"/>
    <row r="171" spans="73:82" ht="22.9" customHeight="1" thickTop="1" thickBot="1" x14ac:dyDescent="0.3">
      <c r="BW171" s="239">
        <f>BW161+1</f>
        <v>8</v>
      </c>
      <c r="BX171" s="240"/>
      <c r="BY171" s="240"/>
      <c r="BZ171" s="240"/>
      <c r="CA171" s="240"/>
      <c r="CB171" s="240"/>
      <c r="CC171" s="241"/>
    </row>
    <row r="172" spans="73:82" ht="22.9" customHeight="1" thickTop="1" x14ac:dyDescent="0.25">
      <c r="BW172" s="115" t="str">
        <f>BX178</f>
        <v>!!!</v>
      </c>
      <c r="BX172" s="116" t="s">
        <v>106</v>
      </c>
      <c r="BY172" s="117" t="s">
        <v>106</v>
      </c>
      <c r="BZ172" s="118" t="s">
        <v>106</v>
      </c>
      <c r="CA172" s="119" t="str">
        <f>Изопрайса</f>
        <v>R</v>
      </c>
      <c r="CB172" s="120" t="str">
        <f>Изопрайса</f>
        <v>R</v>
      </c>
      <c r="CC172" s="121" t="str">
        <f>Изопрайса</f>
        <v>R</v>
      </c>
    </row>
    <row r="173" spans="73:82" ht="22.9" customHeight="1" thickBot="1" x14ac:dyDescent="0.3">
      <c r="BW173" s="46">
        <f ca="1">CD178</f>
        <v>1</v>
      </c>
      <c r="BX173" s="47" t="s">
        <v>106</v>
      </c>
      <c r="BY173" s="48" t="s">
        <v>106</v>
      </c>
      <c r="BZ173" s="49" t="s">
        <v>106</v>
      </c>
      <c r="CA173" s="50" t="str">
        <f>Изопрайса</f>
        <v>R</v>
      </c>
      <c r="CB173" s="51" t="str">
        <f>Изопрайса</f>
        <v>R</v>
      </c>
      <c r="CC173" s="52" t="str">
        <f>Изопрайса</f>
        <v>R</v>
      </c>
    </row>
    <row r="174" spans="73:82" ht="22.9" customHeight="1" thickBot="1" x14ac:dyDescent="0.3">
      <c r="BW174" s="53">
        <f ca="1">Матрица_Расчёт</f>
        <v>0</v>
      </c>
      <c r="BX174" s="54" t="s">
        <v>106</v>
      </c>
      <c r="BY174" s="55" t="s">
        <v>106</v>
      </c>
      <c r="BZ174" s="56" t="s">
        <v>106</v>
      </c>
      <c r="CA174" s="57" t="str">
        <f>Изопрайса</f>
        <v>R</v>
      </c>
      <c r="CB174" s="58" t="str">
        <f>Изопрайса</f>
        <v>R</v>
      </c>
      <c r="CC174" s="59" t="str">
        <f>Изопрайса</f>
        <v>R</v>
      </c>
    </row>
    <row r="175" spans="73:82" ht="22.9" customHeight="1" thickTop="1" thickBot="1" x14ac:dyDescent="0.3"/>
    <row r="176" spans="73:82" ht="22.9" customHeight="1" thickTop="1" thickBot="1" x14ac:dyDescent="0.3">
      <c r="BU176" s="239">
        <f>BU166+2</f>
        <v>15</v>
      </c>
      <c r="BV176" s="240"/>
      <c r="BW176" s="240"/>
      <c r="BX176" s="241"/>
      <c r="BY176" s="5">
        <v>3</v>
      </c>
      <c r="CA176" s="239">
        <f>CA166+2</f>
        <v>16</v>
      </c>
      <c r="CB176" s="240"/>
      <c r="CC176" s="240"/>
      <c r="CD176" s="241"/>
    </row>
    <row r="177" spans="73:82" ht="22.9" customHeight="1" thickTop="1" x14ac:dyDescent="0.25">
      <c r="BU177" s="242" t="s">
        <v>359</v>
      </c>
      <c r="BV177" s="243"/>
      <c r="BW177" s="244"/>
      <c r="BX177" s="122"/>
      <c r="BY177" s="66"/>
      <c r="CA177" s="242" t="s">
        <v>357</v>
      </c>
      <c r="CB177" s="243"/>
      <c r="CC177" s="244"/>
      <c r="CD177" s="122"/>
    </row>
    <row r="178" spans="73:82" ht="22.9" customHeight="1" x14ac:dyDescent="0.25">
      <c r="BU178" s="214">
        <f ca="1">Min_1</f>
        <v>1</v>
      </c>
      <c r="BV178" s="215">
        <f ca="1">Mid_1</f>
        <v>4</v>
      </c>
      <c r="BW178" s="216">
        <f ca="1">Max_1</f>
        <v>1</v>
      </c>
      <c r="BX178" s="217" t="str">
        <f>Приведение</f>
        <v>!!!</v>
      </c>
      <c r="BY178" s="66"/>
      <c r="CA178" s="81">
        <f ca="1">Min_1</f>
        <v>1</v>
      </c>
      <c r="CB178" s="82">
        <f ca="1">Mid_1</f>
        <v>2.5</v>
      </c>
      <c r="CC178" s="83">
        <f ca="1">Max_1</f>
        <v>4</v>
      </c>
      <c r="CD178" s="76">
        <f ca="1">Приведение</f>
        <v>1</v>
      </c>
    </row>
    <row r="179" spans="73:82" ht="22.9" customHeight="1" thickBot="1" x14ac:dyDescent="0.3">
      <c r="BU179" s="218" t="e">
        <f>VLOOKUP(BW171,#REF!,2,FALSE)</f>
        <v>#REF!</v>
      </c>
      <c r="BV179" s="219" t="e">
        <f>VLOOKUP(BW171,#REF!,3,FALSE)</f>
        <v>#REF!</v>
      </c>
      <c r="BW179" s="220" t="e">
        <f>VLOOKUP(BW171,#REF!,4,FALSE)</f>
        <v>#REF!</v>
      </c>
      <c r="BX179" s="221">
        <v>1</v>
      </c>
      <c r="BY179" s="66"/>
      <c r="CA179" s="77">
        <v>1</v>
      </c>
      <c r="CB179" s="78"/>
      <c r="CC179" s="79">
        <v>4</v>
      </c>
      <c r="CD179" s="80">
        <v>1</v>
      </c>
    </row>
    <row r="180" spans="73:82" ht="22.9" customHeight="1" thickTop="1" thickBot="1" x14ac:dyDescent="0.3"/>
    <row r="181" spans="73:82" ht="22.9" customHeight="1" thickTop="1" thickBot="1" x14ac:dyDescent="0.3">
      <c r="BW181" s="239">
        <f>BW171+1</f>
        <v>9</v>
      </c>
      <c r="BX181" s="240"/>
      <c r="BY181" s="240"/>
      <c r="BZ181" s="240"/>
      <c r="CA181" s="240"/>
      <c r="CB181" s="240"/>
      <c r="CC181" s="241"/>
    </row>
    <row r="182" spans="73:82" ht="22.9" customHeight="1" thickTop="1" x14ac:dyDescent="0.25">
      <c r="BW182" s="115" t="str">
        <f>BX188</f>
        <v>!!!</v>
      </c>
      <c r="BX182" s="116" t="s">
        <v>106</v>
      </c>
      <c r="BY182" s="117" t="s">
        <v>106</v>
      </c>
      <c r="BZ182" s="118" t="s">
        <v>106</v>
      </c>
      <c r="CA182" s="119" t="str">
        <f>Изопрайса</f>
        <v>R</v>
      </c>
      <c r="CB182" s="120" t="str">
        <f>Изопрайса</f>
        <v>R</v>
      </c>
      <c r="CC182" s="121" t="str">
        <f>Изопрайса</f>
        <v>R</v>
      </c>
    </row>
    <row r="183" spans="73:82" ht="22.9" customHeight="1" thickBot="1" x14ac:dyDescent="0.3">
      <c r="BW183" s="46">
        <f ca="1">CD188</f>
        <v>1</v>
      </c>
      <c r="BX183" s="47" t="s">
        <v>106</v>
      </c>
      <c r="BY183" s="48" t="s">
        <v>106</v>
      </c>
      <c r="BZ183" s="49" t="s">
        <v>106</v>
      </c>
      <c r="CA183" s="50" t="str">
        <f>Изопрайса</f>
        <v>R</v>
      </c>
      <c r="CB183" s="51" t="str">
        <f>Изопрайса</f>
        <v>R</v>
      </c>
      <c r="CC183" s="52" t="str">
        <f>Изопрайса</f>
        <v>R</v>
      </c>
    </row>
    <row r="184" spans="73:82" ht="22.9" customHeight="1" thickBot="1" x14ac:dyDescent="0.3">
      <c r="BW184" s="53">
        <f ca="1">Матрица_Расчёт</f>
        <v>0</v>
      </c>
      <c r="BX184" s="54" t="s">
        <v>106</v>
      </c>
      <c r="BY184" s="55" t="s">
        <v>106</v>
      </c>
      <c r="BZ184" s="56" t="s">
        <v>106</v>
      </c>
      <c r="CA184" s="57" t="str">
        <f>Изопрайса</f>
        <v>R</v>
      </c>
      <c r="CB184" s="58" t="str">
        <f>Изопрайса</f>
        <v>R</v>
      </c>
      <c r="CC184" s="59" t="str">
        <f>Изопрайса</f>
        <v>R</v>
      </c>
    </row>
    <row r="185" spans="73:82" ht="22.9" customHeight="1" thickTop="1" thickBot="1" x14ac:dyDescent="0.3"/>
    <row r="186" spans="73:82" ht="22.9" customHeight="1" thickTop="1" thickBot="1" x14ac:dyDescent="0.3">
      <c r="BU186" s="239">
        <f>BU176+2</f>
        <v>17</v>
      </c>
      <c r="BV186" s="240"/>
      <c r="BW186" s="240"/>
      <c r="BX186" s="241"/>
      <c r="BY186" s="5">
        <v>3</v>
      </c>
      <c r="CA186" s="239">
        <f>CA176+2</f>
        <v>18</v>
      </c>
      <c r="CB186" s="240"/>
      <c r="CC186" s="240"/>
      <c r="CD186" s="241"/>
    </row>
    <row r="187" spans="73:82" ht="22.9" customHeight="1" thickTop="1" x14ac:dyDescent="0.25">
      <c r="BU187" s="242" t="s">
        <v>359</v>
      </c>
      <c r="BV187" s="243"/>
      <c r="BW187" s="244"/>
      <c r="BX187" s="122"/>
      <c r="BY187" s="66"/>
      <c r="CA187" s="242" t="s">
        <v>357</v>
      </c>
      <c r="CB187" s="243"/>
      <c r="CC187" s="244"/>
      <c r="CD187" s="122"/>
    </row>
    <row r="188" spans="73:82" ht="22.9" customHeight="1" x14ac:dyDescent="0.25">
      <c r="BU188" s="214">
        <f ca="1">Min_1</f>
        <v>1</v>
      </c>
      <c r="BV188" s="215">
        <f ca="1">Mid_1</f>
        <v>4</v>
      </c>
      <c r="BW188" s="216">
        <f ca="1">Max_1</f>
        <v>1</v>
      </c>
      <c r="BX188" s="217" t="str">
        <f>Приведение</f>
        <v>!!!</v>
      </c>
      <c r="BY188" s="66"/>
      <c r="CA188" s="81">
        <f ca="1">Min_1</f>
        <v>1</v>
      </c>
      <c r="CB188" s="82">
        <f ca="1">Mid_1</f>
        <v>2.5</v>
      </c>
      <c r="CC188" s="83">
        <f ca="1">Max_1</f>
        <v>4</v>
      </c>
      <c r="CD188" s="76">
        <f ca="1">Приведение</f>
        <v>1</v>
      </c>
    </row>
    <row r="189" spans="73:82" ht="22.9" customHeight="1" thickBot="1" x14ac:dyDescent="0.3">
      <c r="BU189" s="218" t="e">
        <f>VLOOKUP(BW181,#REF!,2,FALSE)</f>
        <v>#REF!</v>
      </c>
      <c r="BV189" s="219" t="e">
        <f>VLOOKUP(BW181,#REF!,3,FALSE)</f>
        <v>#REF!</v>
      </c>
      <c r="BW189" s="220" t="e">
        <f>VLOOKUP(BW181,#REF!,4,FALSE)</f>
        <v>#REF!</v>
      </c>
      <c r="BX189" s="221">
        <v>2</v>
      </c>
      <c r="BY189" s="66"/>
      <c r="CA189" s="77">
        <v>1</v>
      </c>
      <c r="CB189" s="78"/>
      <c r="CC189" s="79">
        <v>4</v>
      </c>
      <c r="CD189" s="80">
        <v>1</v>
      </c>
    </row>
    <row r="190" spans="73:82" ht="22.9" customHeight="1" thickTop="1" thickBot="1" x14ac:dyDescent="0.3"/>
    <row r="191" spans="73:82" ht="22.9" customHeight="1" thickTop="1" thickBot="1" x14ac:dyDescent="0.3">
      <c r="BW191" s="239">
        <f>BW181+1</f>
        <v>10</v>
      </c>
      <c r="BX191" s="240"/>
      <c r="BY191" s="240"/>
      <c r="BZ191" s="240"/>
      <c r="CA191" s="240"/>
      <c r="CB191" s="240"/>
      <c r="CC191" s="241"/>
    </row>
    <row r="192" spans="73:82" ht="22.9" customHeight="1" thickTop="1" x14ac:dyDescent="0.25">
      <c r="BW192" s="115" t="str">
        <f>BX198</f>
        <v>!!!</v>
      </c>
      <c r="BX192" s="116" t="s">
        <v>106</v>
      </c>
      <c r="BY192" s="117" t="s">
        <v>106</v>
      </c>
      <c r="BZ192" s="118" t="s">
        <v>106</v>
      </c>
      <c r="CA192" s="119" t="str">
        <f>Изопрайса</f>
        <v>R</v>
      </c>
      <c r="CB192" s="120" t="str">
        <f>Изопрайса</f>
        <v>R</v>
      </c>
      <c r="CC192" s="121" t="str">
        <f>Изопрайса</f>
        <v>R</v>
      </c>
    </row>
    <row r="193" spans="73:82" ht="22.9" customHeight="1" thickBot="1" x14ac:dyDescent="0.3">
      <c r="BW193" s="46">
        <f ca="1">CD198</f>
        <v>1</v>
      </c>
      <c r="BX193" s="47" t="s">
        <v>106</v>
      </c>
      <c r="BY193" s="48" t="s">
        <v>106</v>
      </c>
      <c r="BZ193" s="49" t="s">
        <v>106</v>
      </c>
      <c r="CA193" s="50" t="str">
        <f>Изопрайса</f>
        <v>R</v>
      </c>
      <c r="CB193" s="51" t="str">
        <f>Изопрайса</f>
        <v>R</v>
      </c>
      <c r="CC193" s="52" t="str">
        <f>Изопрайса</f>
        <v>R</v>
      </c>
    </row>
    <row r="194" spans="73:82" ht="22.9" customHeight="1" thickBot="1" x14ac:dyDescent="0.3">
      <c r="BW194" s="53">
        <f ca="1">Матрица_Расчёт</f>
        <v>0</v>
      </c>
      <c r="BX194" s="54" t="s">
        <v>106</v>
      </c>
      <c r="BY194" s="55" t="s">
        <v>106</v>
      </c>
      <c r="BZ194" s="56" t="s">
        <v>106</v>
      </c>
      <c r="CA194" s="57" t="str">
        <f>Изопрайса</f>
        <v>R</v>
      </c>
      <c r="CB194" s="58" t="str">
        <f>Изопрайса</f>
        <v>R</v>
      </c>
      <c r="CC194" s="59" t="str">
        <f>Изопрайса</f>
        <v>R</v>
      </c>
    </row>
    <row r="195" spans="73:82" ht="22.9" customHeight="1" thickTop="1" thickBot="1" x14ac:dyDescent="0.3"/>
    <row r="196" spans="73:82" ht="22.9" customHeight="1" thickTop="1" thickBot="1" x14ac:dyDescent="0.3">
      <c r="BU196" s="239">
        <f>BU186+2</f>
        <v>19</v>
      </c>
      <c r="BV196" s="240"/>
      <c r="BW196" s="240"/>
      <c r="BX196" s="241"/>
      <c r="BY196" s="5">
        <v>3</v>
      </c>
      <c r="CA196" s="239">
        <f>CA186+2</f>
        <v>20</v>
      </c>
      <c r="CB196" s="240"/>
      <c r="CC196" s="240"/>
      <c r="CD196" s="241"/>
    </row>
    <row r="197" spans="73:82" ht="22.9" customHeight="1" thickTop="1" x14ac:dyDescent="0.25">
      <c r="BU197" s="242" t="s">
        <v>359</v>
      </c>
      <c r="BV197" s="243"/>
      <c r="BW197" s="244"/>
      <c r="BX197" s="122"/>
      <c r="BY197" s="66"/>
      <c r="CA197" s="242" t="s">
        <v>357</v>
      </c>
      <c r="CB197" s="243"/>
      <c r="CC197" s="244"/>
      <c r="CD197" s="122"/>
    </row>
    <row r="198" spans="73:82" ht="22.9" customHeight="1" x14ac:dyDescent="0.25">
      <c r="BU198" s="214">
        <f ca="1">Min_1</f>
        <v>1</v>
      </c>
      <c r="BV198" s="215">
        <f ca="1">Mid_1</f>
        <v>4</v>
      </c>
      <c r="BW198" s="216">
        <f ca="1">Max_1</f>
        <v>1</v>
      </c>
      <c r="BX198" s="217" t="str">
        <f>Приведение</f>
        <v>!!!</v>
      </c>
      <c r="BY198" s="66"/>
      <c r="CA198" s="81">
        <f ca="1">Min_1</f>
        <v>1</v>
      </c>
      <c r="CB198" s="82">
        <f ca="1">Mid_1</f>
        <v>2.5</v>
      </c>
      <c r="CC198" s="83">
        <f ca="1">Max_1</f>
        <v>4</v>
      </c>
      <c r="CD198" s="76">
        <f ca="1">Приведение</f>
        <v>1</v>
      </c>
    </row>
    <row r="199" spans="73:82" ht="22.9" customHeight="1" thickBot="1" x14ac:dyDescent="0.3">
      <c r="BU199" s="218" t="e">
        <f>VLOOKUP(BW191,#REF!,2,FALSE)</f>
        <v>#REF!</v>
      </c>
      <c r="BV199" s="219" t="e">
        <f>VLOOKUP(BW191,#REF!,3,FALSE)</f>
        <v>#REF!</v>
      </c>
      <c r="BW199" s="220" t="e">
        <f>VLOOKUP(BW191,#REF!,4,FALSE)</f>
        <v>#REF!</v>
      </c>
      <c r="BX199" s="221">
        <v>2</v>
      </c>
      <c r="BY199" s="66"/>
      <c r="CA199" s="77">
        <v>1</v>
      </c>
      <c r="CB199" s="78"/>
      <c r="CC199" s="79">
        <v>4</v>
      </c>
      <c r="CD199" s="80">
        <v>1</v>
      </c>
    </row>
    <row r="200" spans="73:82" ht="22.9" customHeight="1" thickTop="1" thickBot="1" x14ac:dyDescent="0.3"/>
    <row r="201" spans="73:82" ht="22.9" customHeight="1" thickTop="1" thickBot="1" x14ac:dyDescent="0.3">
      <c r="BW201" s="239">
        <f>BW191+1</f>
        <v>11</v>
      </c>
      <c r="BX201" s="240"/>
      <c r="BY201" s="240"/>
      <c r="BZ201" s="240"/>
      <c r="CA201" s="240"/>
      <c r="CB201" s="240"/>
      <c r="CC201" s="241"/>
    </row>
    <row r="202" spans="73:82" ht="22.9" customHeight="1" thickTop="1" x14ac:dyDescent="0.25">
      <c r="BW202" s="115" t="str">
        <f>BX208</f>
        <v>!!!</v>
      </c>
      <c r="BX202" s="116" t="s">
        <v>106</v>
      </c>
      <c r="BY202" s="117" t="s">
        <v>106</v>
      </c>
      <c r="BZ202" s="118" t="s">
        <v>106</v>
      </c>
      <c r="CA202" s="119" t="str">
        <f>Изопрайса</f>
        <v>R</v>
      </c>
      <c r="CB202" s="120" t="str">
        <f>Изопрайса</f>
        <v>R</v>
      </c>
      <c r="CC202" s="121" t="str">
        <f>Изопрайса</f>
        <v>R</v>
      </c>
    </row>
    <row r="203" spans="73:82" ht="22.9" customHeight="1" thickBot="1" x14ac:dyDescent="0.3">
      <c r="BW203" s="46">
        <f ca="1">CD208</f>
        <v>1</v>
      </c>
      <c r="BX203" s="47" t="s">
        <v>106</v>
      </c>
      <c r="BY203" s="48" t="s">
        <v>106</v>
      </c>
      <c r="BZ203" s="49" t="s">
        <v>106</v>
      </c>
      <c r="CA203" s="50" t="str">
        <f>Изопрайса</f>
        <v>R</v>
      </c>
      <c r="CB203" s="51" t="str">
        <f>Изопрайса</f>
        <v>R</v>
      </c>
      <c r="CC203" s="52" t="str">
        <f>Изопрайса</f>
        <v>R</v>
      </c>
    </row>
    <row r="204" spans="73:82" ht="22.9" customHeight="1" thickBot="1" x14ac:dyDescent="0.3">
      <c r="BW204" s="53">
        <f ca="1">Матрица_Расчёт</f>
        <v>0</v>
      </c>
      <c r="BX204" s="54" t="s">
        <v>106</v>
      </c>
      <c r="BY204" s="55" t="s">
        <v>106</v>
      </c>
      <c r="BZ204" s="56" t="s">
        <v>106</v>
      </c>
      <c r="CA204" s="57" t="str">
        <f>Изопрайса</f>
        <v>R</v>
      </c>
      <c r="CB204" s="58" t="str">
        <f>Изопрайса</f>
        <v>R</v>
      </c>
      <c r="CC204" s="59" t="str">
        <f>Изопрайса</f>
        <v>R</v>
      </c>
    </row>
    <row r="205" spans="73:82" ht="22.9" customHeight="1" thickTop="1" thickBot="1" x14ac:dyDescent="0.3"/>
    <row r="206" spans="73:82" ht="22.9" customHeight="1" thickTop="1" thickBot="1" x14ac:dyDescent="0.3">
      <c r="BU206" s="239">
        <f>BU196+2</f>
        <v>21</v>
      </c>
      <c r="BV206" s="240"/>
      <c r="BW206" s="240"/>
      <c r="BX206" s="241"/>
      <c r="BY206" s="5">
        <v>3</v>
      </c>
      <c r="CA206" s="239">
        <f>CA196+2</f>
        <v>22</v>
      </c>
      <c r="CB206" s="240"/>
      <c r="CC206" s="240"/>
      <c r="CD206" s="241"/>
    </row>
    <row r="207" spans="73:82" ht="22.9" customHeight="1" thickTop="1" x14ac:dyDescent="0.25">
      <c r="BU207" s="242" t="s">
        <v>359</v>
      </c>
      <c r="BV207" s="243"/>
      <c r="BW207" s="244"/>
      <c r="BX207" s="122"/>
      <c r="BY207" s="66"/>
      <c r="CA207" s="242" t="s">
        <v>357</v>
      </c>
      <c r="CB207" s="243"/>
      <c r="CC207" s="244"/>
      <c r="CD207" s="122"/>
    </row>
    <row r="208" spans="73:82" ht="22.9" customHeight="1" x14ac:dyDescent="0.25">
      <c r="BU208" s="214">
        <f ca="1">Min_1</f>
        <v>1</v>
      </c>
      <c r="BV208" s="215">
        <f ca="1">Mid_1</f>
        <v>4</v>
      </c>
      <c r="BW208" s="216">
        <f ca="1">Max_1</f>
        <v>1</v>
      </c>
      <c r="BX208" s="217" t="str">
        <f>Приведение</f>
        <v>!!!</v>
      </c>
      <c r="BY208" s="66"/>
      <c r="CA208" s="81">
        <f ca="1">Min_1</f>
        <v>1</v>
      </c>
      <c r="CB208" s="82">
        <f ca="1">Mid_1</f>
        <v>2.5</v>
      </c>
      <c r="CC208" s="83">
        <f ca="1">Max_1</f>
        <v>4</v>
      </c>
      <c r="CD208" s="76">
        <f ca="1">Приведение</f>
        <v>1</v>
      </c>
    </row>
    <row r="209" spans="73:82" ht="22.9" customHeight="1" thickBot="1" x14ac:dyDescent="0.3">
      <c r="BU209" s="218" t="e">
        <f>VLOOKUP(BW201,#REF!,2,FALSE)</f>
        <v>#REF!</v>
      </c>
      <c r="BV209" s="219" t="e">
        <f>VLOOKUP(BW201,#REF!,3,FALSE)</f>
        <v>#REF!</v>
      </c>
      <c r="BW209" s="220" t="e">
        <f>VLOOKUP(BW201,#REF!,4,FALSE)</f>
        <v>#REF!</v>
      </c>
      <c r="BX209" s="221">
        <v>2</v>
      </c>
      <c r="BY209" s="66"/>
      <c r="CA209" s="77">
        <v>1</v>
      </c>
      <c r="CB209" s="78"/>
      <c r="CC209" s="79">
        <v>4</v>
      </c>
      <c r="CD209" s="80">
        <v>1</v>
      </c>
    </row>
    <row r="210" spans="73:82" ht="22.9" customHeight="1" thickTop="1" thickBot="1" x14ac:dyDescent="0.3"/>
    <row r="211" spans="73:82" ht="22.9" customHeight="1" thickTop="1" thickBot="1" x14ac:dyDescent="0.3">
      <c r="BW211" s="239">
        <f>BW201+1</f>
        <v>12</v>
      </c>
      <c r="BX211" s="240"/>
      <c r="BY211" s="240"/>
      <c r="BZ211" s="240"/>
      <c r="CA211" s="240"/>
      <c r="CB211" s="240"/>
      <c r="CC211" s="241"/>
    </row>
    <row r="212" spans="73:82" ht="22.9" customHeight="1" thickTop="1" x14ac:dyDescent="0.25">
      <c r="BW212" s="115" t="str">
        <f>BX218</f>
        <v>!!!</v>
      </c>
      <c r="BX212" s="116" t="s">
        <v>106</v>
      </c>
      <c r="BY212" s="117" t="s">
        <v>106</v>
      </c>
      <c r="BZ212" s="118" t="s">
        <v>106</v>
      </c>
      <c r="CA212" s="119" t="str">
        <f>Изопрайса</f>
        <v>R</v>
      </c>
      <c r="CB212" s="120" t="str">
        <f>Изопрайса</f>
        <v>R</v>
      </c>
      <c r="CC212" s="121" t="str">
        <f>Изопрайса</f>
        <v>R</v>
      </c>
    </row>
    <row r="213" spans="73:82" ht="22.9" customHeight="1" thickBot="1" x14ac:dyDescent="0.3">
      <c r="BW213" s="46">
        <f ca="1">CD218</f>
        <v>1</v>
      </c>
      <c r="BX213" s="47" t="s">
        <v>106</v>
      </c>
      <c r="BY213" s="48" t="s">
        <v>106</v>
      </c>
      <c r="BZ213" s="49" t="s">
        <v>106</v>
      </c>
      <c r="CA213" s="50" t="str">
        <f>Изопрайса</f>
        <v>R</v>
      </c>
      <c r="CB213" s="51" t="str">
        <f>Изопрайса</f>
        <v>R</v>
      </c>
      <c r="CC213" s="52" t="str">
        <f>Изопрайса</f>
        <v>R</v>
      </c>
    </row>
    <row r="214" spans="73:82" ht="22.9" customHeight="1" thickBot="1" x14ac:dyDescent="0.3">
      <c r="BW214" s="53">
        <f ca="1">Матрица_Расчёт</f>
        <v>0</v>
      </c>
      <c r="BX214" s="54" t="s">
        <v>106</v>
      </c>
      <c r="BY214" s="55" t="s">
        <v>106</v>
      </c>
      <c r="BZ214" s="56" t="s">
        <v>106</v>
      </c>
      <c r="CA214" s="57" t="str">
        <f>Изопрайса</f>
        <v>R</v>
      </c>
      <c r="CB214" s="58" t="str">
        <f>Изопрайса</f>
        <v>R</v>
      </c>
      <c r="CC214" s="59" t="str">
        <f>Изопрайса</f>
        <v>R</v>
      </c>
    </row>
    <row r="215" spans="73:82" ht="22.9" customHeight="1" thickTop="1" thickBot="1" x14ac:dyDescent="0.3"/>
    <row r="216" spans="73:82" ht="22.9" customHeight="1" thickTop="1" thickBot="1" x14ac:dyDescent="0.3">
      <c r="BU216" s="239">
        <f>BU206+2</f>
        <v>23</v>
      </c>
      <c r="BV216" s="240"/>
      <c r="BW216" s="240"/>
      <c r="BX216" s="241"/>
      <c r="BY216" s="5">
        <v>3</v>
      </c>
      <c r="CA216" s="239">
        <f>CA206+2</f>
        <v>24</v>
      </c>
      <c r="CB216" s="240"/>
      <c r="CC216" s="240"/>
      <c r="CD216" s="241"/>
    </row>
    <row r="217" spans="73:82" ht="22.9" customHeight="1" thickTop="1" x14ac:dyDescent="0.25">
      <c r="BU217" s="242" t="s">
        <v>359</v>
      </c>
      <c r="BV217" s="243"/>
      <c r="BW217" s="244"/>
      <c r="BX217" s="122"/>
      <c r="BY217" s="66"/>
      <c r="CA217" s="242" t="s">
        <v>357</v>
      </c>
      <c r="CB217" s="243"/>
      <c r="CC217" s="244"/>
      <c r="CD217" s="122"/>
    </row>
    <row r="218" spans="73:82" ht="22.9" customHeight="1" x14ac:dyDescent="0.25">
      <c r="BU218" s="214">
        <f ca="1">Min_1</f>
        <v>1</v>
      </c>
      <c r="BV218" s="215">
        <f ca="1">Mid_1</f>
        <v>4</v>
      </c>
      <c r="BW218" s="216">
        <f ca="1">Max_1</f>
        <v>1</v>
      </c>
      <c r="BX218" s="217" t="str">
        <f>Приведение</f>
        <v>!!!</v>
      </c>
      <c r="BY218" s="66"/>
      <c r="CA218" s="81">
        <f ca="1">Min_1</f>
        <v>1</v>
      </c>
      <c r="CB218" s="82">
        <f ca="1">Mid_1</f>
        <v>2.5</v>
      </c>
      <c r="CC218" s="83">
        <f ca="1">Max_1</f>
        <v>4</v>
      </c>
      <c r="CD218" s="76">
        <f ca="1">Приведение</f>
        <v>1</v>
      </c>
    </row>
    <row r="219" spans="73:82" ht="22.9" customHeight="1" thickBot="1" x14ac:dyDescent="0.3">
      <c r="BU219" s="218" t="e">
        <f>VLOOKUP(BW211,#REF!,2,FALSE)</f>
        <v>#REF!</v>
      </c>
      <c r="BV219" s="219" t="e">
        <f>VLOOKUP(BW211,#REF!,3,FALSE)</f>
        <v>#REF!</v>
      </c>
      <c r="BW219" s="220" t="e">
        <f>VLOOKUP(BW211,#REF!,4,FALSE)</f>
        <v>#REF!</v>
      </c>
      <c r="BX219" s="221">
        <v>4</v>
      </c>
      <c r="BY219" s="66"/>
      <c r="CA219" s="77">
        <v>1</v>
      </c>
      <c r="CB219" s="78"/>
      <c r="CC219" s="79">
        <v>4</v>
      </c>
      <c r="CD219" s="80">
        <v>1</v>
      </c>
    </row>
    <row r="220" spans="73:82" ht="22.9" customHeight="1" thickTop="1" thickBot="1" x14ac:dyDescent="0.3"/>
    <row r="221" spans="73:82" ht="22.9" customHeight="1" thickTop="1" thickBot="1" x14ac:dyDescent="0.3">
      <c r="BW221" s="239">
        <f>BW211+1</f>
        <v>13</v>
      </c>
      <c r="BX221" s="240"/>
      <c r="BY221" s="240"/>
      <c r="BZ221" s="240"/>
      <c r="CA221" s="240"/>
      <c r="CB221" s="240"/>
      <c r="CC221" s="241"/>
    </row>
    <row r="222" spans="73:82" ht="22.9" customHeight="1" thickTop="1" x14ac:dyDescent="0.25">
      <c r="BW222" s="115" t="str">
        <f>BX228</f>
        <v>!!!</v>
      </c>
      <c r="BX222" s="116" t="s">
        <v>106</v>
      </c>
      <c r="BY222" s="117" t="s">
        <v>106</v>
      </c>
      <c r="BZ222" s="118" t="s">
        <v>106</v>
      </c>
      <c r="CA222" s="119" t="str">
        <f>Изопрайса</f>
        <v>R</v>
      </c>
      <c r="CB222" s="120" t="str">
        <f>Изопрайса</f>
        <v>R</v>
      </c>
      <c r="CC222" s="121" t="str">
        <f>Изопрайса</f>
        <v>R</v>
      </c>
    </row>
    <row r="223" spans="73:82" ht="22.9" customHeight="1" thickBot="1" x14ac:dyDescent="0.3">
      <c r="BW223" s="46">
        <f ca="1">CD228</f>
        <v>1</v>
      </c>
      <c r="BX223" s="47" t="s">
        <v>106</v>
      </c>
      <c r="BY223" s="48" t="s">
        <v>106</v>
      </c>
      <c r="BZ223" s="49" t="s">
        <v>106</v>
      </c>
      <c r="CA223" s="50" t="str">
        <f>Изопрайса</f>
        <v>R</v>
      </c>
      <c r="CB223" s="51" t="str">
        <f>Изопрайса</f>
        <v>R</v>
      </c>
      <c r="CC223" s="52" t="str">
        <f>Изопрайса</f>
        <v>R</v>
      </c>
    </row>
    <row r="224" spans="73:82" ht="22.9" customHeight="1" thickBot="1" x14ac:dyDescent="0.3">
      <c r="BW224" s="53">
        <f ca="1">Матрица_Расчёт</f>
        <v>0</v>
      </c>
      <c r="BX224" s="54" t="s">
        <v>106</v>
      </c>
      <c r="BY224" s="55" t="s">
        <v>106</v>
      </c>
      <c r="BZ224" s="56" t="s">
        <v>106</v>
      </c>
      <c r="CA224" s="57" t="str">
        <f>Изопрайса</f>
        <v>R</v>
      </c>
      <c r="CB224" s="58" t="str">
        <f>Изопрайса</f>
        <v>R</v>
      </c>
      <c r="CC224" s="59" t="str">
        <f>Изопрайса</f>
        <v>R</v>
      </c>
    </row>
    <row r="225" spans="73:82" ht="22.9" customHeight="1" thickTop="1" thickBot="1" x14ac:dyDescent="0.3"/>
    <row r="226" spans="73:82" ht="22.9" customHeight="1" thickTop="1" thickBot="1" x14ac:dyDescent="0.3">
      <c r="BU226" s="239">
        <f>BU216+2</f>
        <v>25</v>
      </c>
      <c r="BV226" s="240"/>
      <c r="BW226" s="240"/>
      <c r="BX226" s="241"/>
      <c r="BY226" s="5">
        <v>3</v>
      </c>
      <c r="CA226" s="239">
        <f>CA216+2</f>
        <v>26</v>
      </c>
      <c r="CB226" s="240"/>
      <c r="CC226" s="240"/>
      <c r="CD226" s="241"/>
    </row>
    <row r="227" spans="73:82" ht="22.9" customHeight="1" thickTop="1" x14ac:dyDescent="0.25">
      <c r="BU227" s="242" t="s">
        <v>359</v>
      </c>
      <c r="BV227" s="243"/>
      <c r="BW227" s="244"/>
      <c r="BX227" s="122"/>
      <c r="BY227" s="66"/>
      <c r="CA227" s="242" t="s">
        <v>357</v>
      </c>
      <c r="CB227" s="243"/>
      <c r="CC227" s="244"/>
      <c r="CD227" s="122"/>
    </row>
    <row r="228" spans="73:82" ht="22.9" customHeight="1" x14ac:dyDescent="0.25">
      <c r="BU228" s="214">
        <f ca="1">Min_1</f>
        <v>1</v>
      </c>
      <c r="BV228" s="215">
        <f ca="1">Mid_1</f>
        <v>4</v>
      </c>
      <c r="BW228" s="216">
        <f ca="1">Max_1</f>
        <v>1</v>
      </c>
      <c r="BX228" s="217" t="str">
        <f>Приведение</f>
        <v>!!!</v>
      </c>
      <c r="BY228" s="66"/>
      <c r="CA228" s="81">
        <f ca="1">Min_1</f>
        <v>1</v>
      </c>
      <c r="CB228" s="82">
        <f ca="1">Mid_1</f>
        <v>2.5</v>
      </c>
      <c r="CC228" s="83">
        <f ca="1">Max_1</f>
        <v>4</v>
      </c>
      <c r="CD228" s="76">
        <f ca="1">Приведение</f>
        <v>1</v>
      </c>
    </row>
    <row r="229" spans="73:82" ht="22.9" customHeight="1" thickBot="1" x14ac:dyDescent="0.3">
      <c r="BU229" s="218" t="e">
        <f>VLOOKUP(BW221,#REF!,2,FALSE)</f>
        <v>#REF!</v>
      </c>
      <c r="BV229" s="219" t="e">
        <f>VLOOKUP(BW221,#REF!,3,FALSE)</f>
        <v>#REF!</v>
      </c>
      <c r="BW229" s="220" t="e">
        <f>VLOOKUP(BW221,#REF!,4,FALSE)</f>
        <v>#REF!</v>
      </c>
      <c r="BX229" s="221">
        <v>5</v>
      </c>
      <c r="BY229" s="66"/>
      <c r="CA229" s="77">
        <v>1</v>
      </c>
      <c r="CB229" s="78"/>
      <c r="CC229" s="79">
        <v>4</v>
      </c>
      <c r="CD229" s="80">
        <v>1</v>
      </c>
    </row>
    <row r="230" spans="73:82" ht="22.9" customHeight="1" thickTop="1" thickBot="1" x14ac:dyDescent="0.3"/>
    <row r="231" spans="73:82" ht="22.9" customHeight="1" thickTop="1" thickBot="1" x14ac:dyDescent="0.3">
      <c r="BW231" s="239">
        <f>BW221+1</f>
        <v>14</v>
      </c>
      <c r="BX231" s="240"/>
      <c r="BY231" s="240"/>
      <c r="BZ231" s="240"/>
      <c r="CA231" s="240"/>
      <c r="CB231" s="240"/>
      <c r="CC231" s="241"/>
    </row>
    <row r="232" spans="73:82" ht="22.9" customHeight="1" thickTop="1" x14ac:dyDescent="0.25">
      <c r="BW232" s="115" t="str">
        <f>BX238</f>
        <v>!!!</v>
      </c>
      <c r="BX232" s="116" t="s">
        <v>106</v>
      </c>
      <c r="BY232" s="117" t="s">
        <v>106</v>
      </c>
      <c r="BZ232" s="118" t="s">
        <v>106</v>
      </c>
      <c r="CA232" s="119" t="str">
        <f>Изопрайса</f>
        <v>R</v>
      </c>
      <c r="CB232" s="120" t="str">
        <f>Изопрайса</f>
        <v>R</v>
      </c>
      <c r="CC232" s="121" t="str">
        <f>Изопрайса</f>
        <v>R</v>
      </c>
    </row>
    <row r="233" spans="73:82" ht="22.9" customHeight="1" thickBot="1" x14ac:dyDescent="0.3">
      <c r="BW233" s="46">
        <f ca="1">CD238</f>
        <v>1</v>
      </c>
      <c r="BX233" s="47" t="s">
        <v>106</v>
      </c>
      <c r="BY233" s="48" t="s">
        <v>106</v>
      </c>
      <c r="BZ233" s="49" t="s">
        <v>106</v>
      </c>
      <c r="CA233" s="50" t="str">
        <f>Изопрайса</f>
        <v>R</v>
      </c>
      <c r="CB233" s="51" t="str">
        <f>Изопрайса</f>
        <v>R</v>
      </c>
      <c r="CC233" s="52" t="str">
        <f>Изопрайса</f>
        <v>R</v>
      </c>
    </row>
    <row r="234" spans="73:82" ht="22.9" customHeight="1" thickBot="1" x14ac:dyDescent="0.3">
      <c r="BW234" s="53">
        <f ca="1">Матрица_Расчёт</f>
        <v>0</v>
      </c>
      <c r="BX234" s="54" t="s">
        <v>106</v>
      </c>
      <c r="BY234" s="55" t="s">
        <v>106</v>
      </c>
      <c r="BZ234" s="56" t="s">
        <v>106</v>
      </c>
      <c r="CA234" s="57" t="str">
        <f>Изопрайса</f>
        <v>R</v>
      </c>
      <c r="CB234" s="58" t="str">
        <f>Изопрайса</f>
        <v>R</v>
      </c>
      <c r="CC234" s="59" t="str">
        <f>Изопрайса</f>
        <v>R</v>
      </c>
    </row>
    <row r="235" spans="73:82" ht="22.9" customHeight="1" thickTop="1" thickBot="1" x14ac:dyDescent="0.3"/>
    <row r="236" spans="73:82" ht="22.9" customHeight="1" thickTop="1" thickBot="1" x14ac:dyDescent="0.3">
      <c r="BU236" s="239">
        <f>BU226+2</f>
        <v>27</v>
      </c>
      <c r="BV236" s="240"/>
      <c r="BW236" s="240"/>
      <c r="BX236" s="241"/>
      <c r="BY236" s="5">
        <v>3</v>
      </c>
      <c r="CA236" s="239">
        <f>CA226+2</f>
        <v>28</v>
      </c>
      <c r="CB236" s="240"/>
      <c r="CC236" s="240"/>
      <c r="CD236" s="241"/>
    </row>
    <row r="237" spans="73:82" ht="22.9" customHeight="1" thickTop="1" x14ac:dyDescent="0.25">
      <c r="BU237" s="242" t="s">
        <v>359</v>
      </c>
      <c r="BV237" s="243"/>
      <c r="BW237" s="244"/>
      <c r="BX237" s="122"/>
      <c r="BY237" s="66"/>
      <c r="CA237" s="242" t="s">
        <v>357</v>
      </c>
      <c r="CB237" s="243"/>
      <c r="CC237" s="244"/>
      <c r="CD237" s="122"/>
    </row>
    <row r="238" spans="73:82" ht="22.9" customHeight="1" x14ac:dyDescent="0.25">
      <c r="BU238" s="214">
        <f ca="1">Min_1</f>
        <v>1</v>
      </c>
      <c r="BV238" s="215">
        <f ca="1">Mid_1</f>
        <v>4</v>
      </c>
      <c r="BW238" s="216">
        <f ca="1">Max_1</f>
        <v>1</v>
      </c>
      <c r="BX238" s="217" t="str">
        <f>Приведение</f>
        <v>!!!</v>
      </c>
      <c r="BY238" s="66"/>
      <c r="CA238" s="81">
        <f ca="1">Min_1</f>
        <v>1</v>
      </c>
      <c r="CB238" s="82">
        <f ca="1">Mid_1</f>
        <v>2.5</v>
      </c>
      <c r="CC238" s="83">
        <f ca="1">Max_1</f>
        <v>4</v>
      </c>
      <c r="CD238" s="76">
        <f ca="1">Приведение</f>
        <v>1</v>
      </c>
    </row>
    <row r="239" spans="73:82" ht="22.9" customHeight="1" thickBot="1" x14ac:dyDescent="0.3">
      <c r="BU239" s="218" t="e">
        <f>VLOOKUP(BW231,#REF!,2,FALSE)</f>
        <v>#REF!</v>
      </c>
      <c r="BV239" s="219" t="e">
        <f>VLOOKUP(BW231,#REF!,3,FALSE)</f>
        <v>#REF!</v>
      </c>
      <c r="BW239" s="220" t="e">
        <f>VLOOKUP(BW231,#REF!,4,FALSE)</f>
        <v>#REF!</v>
      </c>
      <c r="BX239" s="221">
        <v>-3</v>
      </c>
      <c r="BY239" s="66"/>
      <c r="CA239" s="77">
        <v>1</v>
      </c>
      <c r="CB239" s="78"/>
      <c r="CC239" s="79">
        <v>4</v>
      </c>
      <c r="CD239" s="80">
        <v>1</v>
      </c>
    </row>
    <row r="240" spans="73:82" ht="22.9" customHeight="1" thickTop="1" thickBot="1" x14ac:dyDescent="0.3"/>
    <row r="241" spans="73:82" ht="22.9" customHeight="1" thickTop="1" thickBot="1" x14ac:dyDescent="0.3">
      <c r="BW241" s="239">
        <f>BW231+1</f>
        <v>15</v>
      </c>
      <c r="BX241" s="240"/>
      <c r="BY241" s="240"/>
      <c r="BZ241" s="240"/>
      <c r="CA241" s="240"/>
      <c r="CB241" s="240"/>
      <c r="CC241" s="241"/>
    </row>
    <row r="242" spans="73:82" ht="22.9" customHeight="1" thickTop="1" x14ac:dyDescent="0.25">
      <c r="BW242" s="115" t="str">
        <f>BX248</f>
        <v>!!!</v>
      </c>
      <c r="BX242" s="116" t="s">
        <v>106</v>
      </c>
      <c r="BY242" s="117" t="s">
        <v>106</v>
      </c>
      <c r="BZ242" s="118" t="s">
        <v>106</v>
      </c>
      <c r="CA242" s="119" t="str">
        <f>Изопрайса</f>
        <v>R</v>
      </c>
      <c r="CB242" s="120" t="str">
        <f>Изопрайса</f>
        <v>R</v>
      </c>
      <c r="CC242" s="121" t="str">
        <f>Изопрайса</f>
        <v>R</v>
      </c>
    </row>
    <row r="243" spans="73:82" ht="22.9" customHeight="1" thickBot="1" x14ac:dyDescent="0.3">
      <c r="BW243" s="46">
        <f ca="1">CD248</f>
        <v>1</v>
      </c>
      <c r="BX243" s="47" t="s">
        <v>106</v>
      </c>
      <c r="BY243" s="48" t="s">
        <v>106</v>
      </c>
      <c r="BZ243" s="49" t="s">
        <v>106</v>
      </c>
      <c r="CA243" s="50" t="str">
        <f>Изопрайса</f>
        <v>R</v>
      </c>
      <c r="CB243" s="51" t="str">
        <f>Изопрайса</f>
        <v>R</v>
      </c>
      <c r="CC243" s="52" t="str">
        <f>Изопрайса</f>
        <v>R</v>
      </c>
    </row>
    <row r="244" spans="73:82" ht="22.9" customHeight="1" thickBot="1" x14ac:dyDescent="0.3">
      <c r="BW244" s="53">
        <f ca="1">Матрица_Расчёт</f>
        <v>0</v>
      </c>
      <c r="BX244" s="54" t="s">
        <v>106</v>
      </c>
      <c r="BY244" s="55" t="s">
        <v>106</v>
      </c>
      <c r="BZ244" s="56" t="s">
        <v>106</v>
      </c>
      <c r="CA244" s="57" t="str">
        <f>Изопрайса</f>
        <v>R</v>
      </c>
      <c r="CB244" s="58" t="str">
        <f>Изопрайса</f>
        <v>R</v>
      </c>
      <c r="CC244" s="59" t="str">
        <f>Изопрайса</f>
        <v>R</v>
      </c>
    </row>
    <row r="245" spans="73:82" ht="22.9" customHeight="1" thickTop="1" thickBot="1" x14ac:dyDescent="0.3"/>
    <row r="246" spans="73:82" ht="22.9" customHeight="1" thickTop="1" thickBot="1" x14ac:dyDescent="0.3">
      <c r="BU246" s="239">
        <f>BU236+2</f>
        <v>29</v>
      </c>
      <c r="BV246" s="240"/>
      <c r="BW246" s="240"/>
      <c r="BX246" s="241"/>
      <c r="BY246" s="5">
        <v>3</v>
      </c>
      <c r="CA246" s="239">
        <f>CA236+2</f>
        <v>30</v>
      </c>
      <c r="CB246" s="240"/>
      <c r="CC246" s="240"/>
      <c r="CD246" s="241"/>
    </row>
    <row r="247" spans="73:82" ht="22.9" customHeight="1" thickTop="1" x14ac:dyDescent="0.25">
      <c r="BU247" s="242" t="s">
        <v>359</v>
      </c>
      <c r="BV247" s="243"/>
      <c r="BW247" s="244"/>
      <c r="BX247" s="122"/>
      <c r="BY247" s="66"/>
      <c r="CA247" s="242" t="s">
        <v>357</v>
      </c>
      <c r="CB247" s="243"/>
      <c r="CC247" s="244"/>
      <c r="CD247" s="122"/>
    </row>
    <row r="248" spans="73:82" ht="22.9" customHeight="1" x14ac:dyDescent="0.25">
      <c r="BU248" s="214">
        <f ca="1">Min_1</f>
        <v>1</v>
      </c>
      <c r="BV248" s="215">
        <f ca="1">Mid_1</f>
        <v>4</v>
      </c>
      <c r="BW248" s="216">
        <f ca="1">Max_1</f>
        <v>1</v>
      </c>
      <c r="BX248" s="217" t="str">
        <f>Приведение</f>
        <v>!!!</v>
      </c>
      <c r="BY248" s="66"/>
      <c r="CA248" s="81">
        <f ca="1">Min_1</f>
        <v>1</v>
      </c>
      <c r="CB248" s="82">
        <f ca="1">Mid_1</f>
        <v>2.5</v>
      </c>
      <c r="CC248" s="83">
        <f ca="1">Max_1</f>
        <v>4</v>
      </c>
      <c r="CD248" s="76">
        <f ca="1">Приведение</f>
        <v>1</v>
      </c>
    </row>
    <row r="249" spans="73:82" ht="22.9" customHeight="1" thickBot="1" x14ac:dyDescent="0.3">
      <c r="BU249" s="218" t="e">
        <f>VLOOKUP(BW241,#REF!,2,FALSE)</f>
        <v>#REF!</v>
      </c>
      <c r="BV249" s="219" t="e">
        <f>VLOOKUP(BW241,#REF!,3,FALSE)</f>
        <v>#REF!</v>
      </c>
      <c r="BW249" s="220" t="e">
        <f>VLOOKUP(BW241,#REF!,4,FALSE)</f>
        <v>#REF!</v>
      </c>
      <c r="BX249" s="221" t="e">
        <f>IF(BY246=1,BU249,IF(BY246=2,(BV249+BU249)/2,IF(BY246=3, BV249,IF(BY246=4,(BW249+BV249)/2,BW249))))</f>
        <v>#REF!</v>
      </c>
      <c r="BY249" s="66"/>
      <c r="CA249" s="77">
        <v>1</v>
      </c>
      <c r="CB249" s="78"/>
      <c r="CC249" s="79">
        <v>4</v>
      </c>
      <c r="CD249" s="80">
        <v>1</v>
      </c>
    </row>
    <row r="250" spans="73:82" ht="22.9" customHeight="1" thickTop="1" thickBot="1" x14ac:dyDescent="0.3"/>
    <row r="251" spans="73:82" ht="22.9" customHeight="1" thickTop="1" thickBot="1" x14ac:dyDescent="0.3">
      <c r="BW251" s="239">
        <f>BW241+1</f>
        <v>16</v>
      </c>
      <c r="BX251" s="240"/>
      <c r="BY251" s="240"/>
      <c r="BZ251" s="240"/>
      <c r="CA251" s="240"/>
      <c r="CB251" s="240"/>
      <c r="CC251" s="241"/>
    </row>
    <row r="252" spans="73:82" ht="22.9" customHeight="1" thickTop="1" x14ac:dyDescent="0.25">
      <c r="BW252" s="115" t="str">
        <f>BX258</f>
        <v>!!!</v>
      </c>
      <c r="BX252" s="116" t="s">
        <v>106</v>
      </c>
      <c r="BY252" s="117" t="s">
        <v>106</v>
      </c>
      <c r="BZ252" s="118" t="s">
        <v>106</v>
      </c>
      <c r="CA252" s="119" t="str">
        <f>Изопрайса</f>
        <v>R</v>
      </c>
      <c r="CB252" s="120" t="str">
        <f>Изопрайса</f>
        <v>R</v>
      </c>
      <c r="CC252" s="121" t="str">
        <f>Изопрайса</f>
        <v>R</v>
      </c>
    </row>
    <row r="253" spans="73:82" ht="22.9" customHeight="1" thickBot="1" x14ac:dyDescent="0.3">
      <c r="BW253" s="46">
        <f ca="1">CD258</f>
        <v>1</v>
      </c>
      <c r="BX253" s="47" t="s">
        <v>106</v>
      </c>
      <c r="BY253" s="48" t="s">
        <v>106</v>
      </c>
      <c r="BZ253" s="49" t="s">
        <v>106</v>
      </c>
      <c r="CA253" s="50" t="str">
        <f>Изопрайса</f>
        <v>R</v>
      </c>
      <c r="CB253" s="51" t="str">
        <f>Изопрайса</f>
        <v>R</v>
      </c>
      <c r="CC253" s="52" t="str">
        <f>Изопрайса</f>
        <v>R</v>
      </c>
    </row>
    <row r="254" spans="73:82" ht="22.9" customHeight="1" thickBot="1" x14ac:dyDescent="0.3">
      <c r="BW254" s="53">
        <f ca="1">Матрица_Расчёт</f>
        <v>0</v>
      </c>
      <c r="BX254" s="54" t="s">
        <v>106</v>
      </c>
      <c r="BY254" s="55" t="s">
        <v>106</v>
      </c>
      <c r="BZ254" s="56" t="s">
        <v>106</v>
      </c>
      <c r="CA254" s="57" t="str">
        <f>Изопрайса</f>
        <v>R</v>
      </c>
      <c r="CB254" s="58" t="str">
        <f>Изопрайса</f>
        <v>R</v>
      </c>
      <c r="CC254" s="59" t="str">
        <f>Изопрайса</f>
        <v>R</v>
      </c>
    </row>
    <row r="255" spans="73:82" ht="22.9" customHeight="1" thickTop="1" thickBot="1" x14ac:dyDescent="0.3"/>
    <row r="256" spans="73:82" ht="22.9" customHeight="1" thickTop="1" thickBot="1" x14ac:dyDescent="0.3">
      <c r="BU256" s="239">
        <f>BU246+2</f>
        <v>31</v>
      </c>
      <c r="BV256" s="240"/>
      <c r="BW256" s="240"/>
      <c r="BX256" s="241"/>
      <c r="BY256" s="5">
        <v>3</v>
      </c>
      <c r="CA256" s="239">
        <f>CA246+2</f>
        <v>32</v>
      </c>
      <c r="CB256" s="240"/>
      <c r="CC256" s="240"/>
      <c r="CD256" s="241"/>
    </row>
    <row r="257" spans="73:82" ht="22.9" customHeight="1" thickTop="1" x14ac:dyDescent="0.25">
      <c r="BU257" s="242" t="s">
        <v>359</v>
      </c>
      <c r="BV257" s="243"/>
      <c r="BW257" s="244"/>
      <c r="BX257" s="122"/>
      <c r="BY257" s="66"/>
      <c r="CA257" s="242" t="s">
        <v>357</v>
      </c>
      <c r="CB257" s="243"/>
      <c r="CC257" s="244"/>
      <c r="CD257" s="122"/>
    </row>
    <row r="258" spans="73:82" ht="22.9" customHeight="1" x14ac:dyDescent="0.25">
      <c r="BU258" s="214">
        <f ca="1">Min_1</f>
        <v>1</v>
      </c>
      <c r="BV258" s="215">
        <f ca="1">Mid_1</f>
        <v>4</v>
      </c>
      <c r="BW258" s="216">
        <f ca="1">Max_1</f>
        <v>1</v>
      </c>
      <c r="BX258" s="217" t="str">
        <f>Приведение</f>
        <v>!!!</v>
      </c>
      <c r="BY258" s="66"/>
      <c r="CA258" s="81">
        <f ca="1">Min_1</f>
        <v>1</v>
      </c>
      <c r="CB258" s="82">
        <f ca="1">Mid_1</f>
        <v>2.5</v>
      </c>
      <c r="CC258" s="83">
        <f ca="1">Max_1</f>
        <v>4</v>
      </c>
      <c r="CD258" s="76">
        <f ca="1">Приведение</f>
        <v>1</v>
      </c>
    </row>
    <row r="259" spans="73:82" ht="22.9" customHeight="1" thickBot="1" x14ac:dyDescent="0.3">
      <c r="BU259" s="218" t="e">
        <f>VLOOKUP(BW251,#REF!,2,FALSE)</f>
        <v>#REF!</v>
      </c>
      <c r="BV259" s="219" t="e">
        <f>VLOOKUP(BW251,#REF!,3,FALSE)</f>
        <v>#REF!</v>
      </c>
      <c r="BW259" s="220" t="e">
        <f>VLOOKUP(BW251,#REF!,4,FALSE)</f>
        <v>#REF!</v>
      </c>
      <c r="BX259" s="221">
        <v>-1</v>
      </c>
      <c r="BY259" s="66"/>
      <c r="CA259" s="77">
        <v>1</v>
      </c>
      <c r="CB259" s="78"/>
      <c r="CC259" s="79">
        <v>4</v>
      </c>
      <c r="CD259" s="80">
        <v>1</v>
      </c>
    </row>
    <row r="260" spans="73:82" ht="22.9" customHeight="1" thickTop="1" thickBot="1" x14ac:dyDescent="0.3"/>
    <row r="261" spans="73:82" ht="22.9" customHeight="1" thickTop="1" thickBot="1" x14ac:dyDescent="0.3">
      <c r="BW261" s="239">
        <f>BW251+1</f>
        <v>17</v>
      </c>
      <c r="BX261" s="240"/>
      <c r="BY261" s="240"/>
      <c r="BZ261" s="240"/>
      <c r="CA261" s="240"/>
      <c r="CB261" s="240"/>
      <c r="CC261" s="241"/>
    </row>
    <row r="262" spans="73:82" ht="22.9" customHeight="1" thickTop="1" x14ac:dyDescent="0.25">
      <c r="BW262" s="115" t="str">
        <f>BX268</f>
        <v>!!!</v>
      </c>
      <c r="BX262" s="116" t="s">
        <v>106</v>
      </c>
      <c r="BY262" s="117" t="s">
        <v>106</v>
      </c>
      <c r="BZ262" s="118" t="s">
        <v>106</v>
      </c>
      <c r="CA262" s="119" t="str">
        <f>Изопрайса</f>
        <v>R</v>
      </c>
      <c r="CB262" s="120" t="str">
        <f>Изопрайса</f>
        <v>R</v>
      </c>
      <c r="CC262" s="121" t="str">
        <f>Изопрайса</f>
        <v>R</v>
      </c>
    </row>
    <row r="263" spans="73:82" ht="22.9" customHeight="1" thickBot="1" x14ac:dyDescent="0.3">
      <c r="BW263" s="46">
        <f ca="1">CD268</f>
        <v>1</v>
      </c>
      <c r="BX263" s="47" t="s">
        <v>106</v>
      </c>
      <c r="BY263" s="48" t="s">
        <v>106</v>
      </c>
      <c r="BZ263" s="49" t="s">
        <v>106</v>
      </c>
      <c r="CA263" s="50" t="str">
        <f>Изопрайса</f>
        <v>R</v>
      </c>
      <c r="CB263" s="51" t="str">
        <f>Изопрайса</f>
        <v>R</v>
      </c>
      <c r="CC263" s="52" t="str">
        <f>Изопрайса</f>
        <v>R</v>
      </c>
    </row>
    <row r="264" spans="73:82" ht="22.9" customHeight="1" thickBot="1" x14ac:dyDescent="0.3">
      <c r="BW264" s="53">
        <f ca="1">Матрица_Расчёт</f>
        <v>0</v>
      </c>
      <c r="BX264" s="54" t="s">
        <v>106</v>
      </c>
      <c r="BY264" s="55" t="s">
        <v>106</v>
      </c>
      <c r="BZ264" s="56" t="s">
        <v>106</v>
      </c>
      <c r="CA264" s="57" t="str">
        <f>Изопрайса</f>
        <v>R</v>
      </c>
      <c r="CB264" s="58" t="str">
        <f>Изопрайса</f>
        <v>R</v>
      </c>
      <c r="CC264" s="59" t="str">
        <f>Изопрайса</f>
        <v>R</v>
      </c>
    </row>
    <row r="265" spans="73:82" ht="22.9" customHeight="1" thickTop="1" thickBot="1" x14ac:dyDescent="0.3"/>
    <row r="266" spans="73:82" ht="22.9" customHeight="1" thickTop="1" thickBot="1" x14ac:dyDescent="0.3">
      <c r="BU266" s="239">
        <f>BU256+2</f>
        <v>33</v>
      </c>
      <c r="BV266" s="240"/>
      <c r="BW266" s="240"/>
      <c r="BX266" s="241"/>
      <c r="BY266" s="5">
        <v>3</v>
      </c>
      <c r="CA266" s="239">
        <f>CA256+2</f>
        <v>34</v>
      </c>
      <c r="CB266" s="240"/>
      <c r="CC266" s="240"/>
      <c r="CD266" s="241"/>
    </row>
    <row r="267" spans="73:82" ht="22.9" customHeight="1" thickTop="1" x14ac:dyDescent="0.25">
      <c r="BU267" s="242" t="s">
        <v>359</v>
      </c>
      <c r="BV267" s="243"/>
      <c r="BW267" s="244"/>
      <c r="BX267" s="122"/>
      <c r="BY267" s="66"/>
      <c r="CA267" s="242" t="s">
        <v>357</v>
      </c>
      <c r="CB267" s="243"/>
      <c r="CC267" s="244"/>
      <c r="CD267" s="122"/>
    </row>
    <row r="268" spans="73:82" ht="22.9" customHeight="1" x14ac:dyDescent="0.25">
      <c r="BU268" s="214">
        <f ca="1">Min_1</f>
        <v>1</v>
      </c>
      <c r="BV268" s="215">
        <f ca="1">Mid_1</f>
        <v>4</v>
      </c>
      <c r="BW268" s="216">
        <f ca="1">Max_1</f>
        <v>1</v>
      </c>
      <c r="BX268" s="217" t="str">
        <f>Приведение</f>
        <v>!!!</v>
      </c>
      <c r="BY268" s="66"/>
      <c r="CA268" s="81">
        <f ca="1">Min_1</f>
        <v>1</v>
      </c>
      <c r="CB268" s="82">
        <f ca="1">Mid_1</f>
        <v>2.5</v>
      </c>
      <c r="CC268" s="83">
        <f ca="1">Max_1</f>
        <v>4</v>
      </c>
      <c r="CD268" s="76">
        <f ca="1">Приведение</f>
        <v>1</v>
      </c>
    </row>
    <row r="269" spans="73:82" ht="22.9" customHeight="1" thickBot="1" x14ac:dyDescent="0.3">
      <c r="BU269" s="218" t="e">
        <f>VLOOKUP(BW261,#REF!,2,FALSE)</f>
        <v>#REF!</v>
      </c>
      <c r="BV269" s="219" t="e">
        <f>VLOOKUP(BW261,#REF!,3,FALSE)</f>
        <v>#REF!</v>
      </c>
      <c r="BW269" s="220" t="e">
        <f>VLOOKUP(BW261,#REF!,4,FALSE)</f>
        <v>#REF!</v>
      </c>
      <c r="BX269" s="221">
        <v>2</v>
      </c>
      <c r="BY269" s="66"/>
      <c r="CA269" s="77">
        <v>1</v>
      </c>
      <c r="CB269" s="78"/>
      <c r="CC269" s="79">
        <v>4</v>
      </c>
      <c r="CD269" s="80">
        <v>1</v>
      </c>
    </row>
    <row r="270" spans="73:82" ht="22.9" customHeight="1" thickTop="1" thickBot="1" x14ac:dyDescent="0.3"/>
    <row r="271" spans="73:82" ht="22.9" customHeight="1" thickTop="1" thickBot="1" x14ac:dyDescent="0.3">
      <c r="BW271" s="239">
        <f>BW261+1</f>
        <v>18</v>
      </c>
      <c r="BX271" s="240"/>
      <c r="BY271" s="240"/>
      <c r="BZ271" s="240"/>
      <c r="CA271" s="240"/>
      <c r="CB271" s="240"/>
      <c r="CC271" s="241"/>
    </row>
    <row r="272" spans="73:82" ht="22.9" customHeight="1" thickTop="1" x14ac:dyDescent="0.25">
      <c r="BW272" s="115" t="str">
        <f>BX278</f>
        <v>!!!</v>
      </c>
      <c r="BX272" s="116" t="s">
        <v>106</v>
      </c>
      <c r="BY272" s="117" t="s">
        <v>106</v>
      </c>
      <c r="BZ272" s="118" t="s">
        <v>106</v>
      </c>
      <c r="CA272" s="119" t="str">
        <f>Изопрайса</f>
        <v>R</v>
      </c>
      <c r="CB272" s="120" t="str">
        <f>Изопрайса</f>
        <v>R</v>
      </c>
      <c r="CC272" s="121" t="str">
        <f>Изопрайса</f>
        <v>R</v>
      </c>
    </row>
    <row r="273" spans="73:82" ht="22.9" customHeight="1" thickBot="1" x14ac:dyDescent="0.3">
      <c r="BW273" s="46">
        <f ca="1">CD278</f>
        <v>1</v>
      </c>
      <c r="BX273" s="47" t="s">
        <v>106</v>
      </c>
      <c r="BY273" s="48" t="s">
        <v>106</v>
      </c>
      <c r="BZ273" s="49" t="s">
        <v>106</v>
      </c>
      <c r="CA273" s="50" t="str">
        <f>Изопрайса</f>
        <v>R</v>
      </c>
      <c r="CB273" s="51" t="str">
        <f>Изопрайса</f>
        <v>R</v>
      </c>
      <c r="CC273" s="52" t="str">
        <f>Изопрайса</f>
        <v>R</v>
      </c>
    </row>
    <row r="274" spans="73:82" ht="22.9" customHeight="1" thickBot="1" x14ac:dyDescent="0.3">
      <c r="BW274" s="53">
        <f ca="1">Матрица_Расчёт</f>
        <v>0</v>
      </c>
      <c r="BX274" s="54" t="s">
        <v>106</v>
      </c>
      <c r="BY274" s="55" t="s">
        <v>106</v>
      </c>
      <c r="BZ274" s="56" t="s">
        <v>106</v>
      </c>
      <c r="CA274" s="57" t="str">
        <f>Изопрайса</f>
        <v>R</v>
      </c>
      <c r="CB274" s="58" t="str">
        <f>Изопрайса</f>
        <v>R</v>
      </c>
      <c r="CC274" s="59" t="str">
        <f>Изопрайса</f>
        <v>R</v>
      </c>
    </row>
    <row r="275" spans="73:82" ht="22.9" customHeight="1" thickTop="1" thickBot="1" x14ac:dyDescent="0.3"/>
    <row r="276" spans="73:82" ht="22.9" customHeight="1" thickTop="1" thickBot="1" x14ac:dyDescent="0.3">
      <c r="BU276" s="239">
        <f>BU266+2</f>
        <v>35</v>
      </c>
      <c r="BV276" s="240"/>
      <c r="BW276" s="240"/>
      <c r="BX276" s="241"/>
      <c r="BY276" s="5">
        <v>3</v>
      </c>
      <c r="CA276" s="239">
        <f>CA266+2</f>
        <v>36</v>
      </c>
      <c r="CB276" s="240"/>
      <c r="CC276" s="240"/>
      <c r="CD276" s="241"/>
    </row>
    <row r="277" spans="73:82" ht="22.9" customHeight="1" thickTop="1" x14ac:dyDescent="0.25">
      <c r="BU277" s="242" t="s">
        <v>359</v>
      </c>
      <c r="BV277" s="243"/>
      <c r="BW277" s="244"/>
      <c r="BX277" s="122"/>
      <c r="BY277" s="66"/>
      <c r="CA277" s="242" t="s">
        <v>357</v>
      </c>
      <c r="CB277" s="243"/>
      <c r="CC277" s="244"/>
      <c r="CD277" s="122"/>
    </row>
    <row r="278" spans="73:82" ht="22.9" customHeight="1" x14ac:dyDescent="0.25">
      <c r="BU278" s="214">
        <f ca="1">Min_1</f>
        <v>1</v>
      </c>
      <c r="BV278" s="215">
        <f ca="1">Mid_1</f>
        <v>4</v>
      </c>
      <c r="BW278" s="216">
        <f ca="1">Max_1</f>
        <v>1</v>
      </c>
      <c r="BX278" s="217" t="str">
        <f>Приведение</f>
        <v>!!!</v>
      </c>
      <c r="BY278" s="66"/>
      <c r="CA278" s="81">
        <f ca="1">Min_1</f>
        <v>1</v>
      </c>
      <c r="CB278" s="82">
        <f ca="1">Mid_1</f>
        <v>2.5</v>
      </c>
      <c r="CC278" s="83">
        <f ca="1">Max_1</f>
        <v>4</v>
      </c>
      <c r="CD278" s="76">
        <f ca="1">Приведение</f>
        <v>1</v>
      </c>
    </row>
    <row r="279" spans="73:82" ht="22.9" customHeight="1" thickBot="1" x14ac:dyDescent="0.3">
      <c r="BU279" s="218" t="e">
        <f>VLOOKUP(BW271,#REF!,2,FALSE)</f>
        <v>#REF!</v>
      </c>
      <c r="BV279" s="219" t="e">
        <f>VLOOKUP(BW271,#REF!,3,FALSE)</f>
        <v>#REF!</v>
      </c>
      <c r="BW279" s="220" t="e">
        <f>VLOOKUP(BW271,#REF!,4,FALSE)</f>
        <v>#REF!</v>
      </c>
      <c r="BX279" s="221">
        <v>2</v>
      </c>
      <c r="BY279" s="66"/>
      <c r="CA279" s="77">
        <v>1</v>
      </c>
      <c r="CB279" s="78"/>
      <c r="CC279" s="79">
        <v>4</v>
      </c>
      <c r="CD279" s="80">
        <v>1</v>
      </c>
    </row>
    <row r="280" spans="73:82" ht="22.9" customHeight="1" thickTop="1" thickBot="1" x14ac:dyDescent="0.3"/>
    <row r="281" spans="73:82" ht="22.9" customHeight="1" thickTop="1" thickBot="1" x14ac:dyDescent="0.3">
      <c r="BW281" s="239">
        <f>BW271+1</f>
        <v>19</v>
      </c>
      <c r="BX281" s="240"/>
      <c r="BY281" s="240"/>
      <c r="BZ281" s="240"/>
      <c r="CA281" s="240"/>
      <c r="CB281" s="240"/>
      <c r="CC281" s="241"/>
    </row>
    <row r="282" spans="73:82" ht="22.9" customHeight="1" thickTop="1" x14ac:dyDescent="0.25">
      <c r="BW282" s="115" t="str">
        <f>BX288</f>
        <v>!!!</v>
      </c>
      <c r="BX282" s="116" t="s">
        <v>106</v>
      </c>
      <c r="BY282" s="117" t="s">
        <v>106</v>
      </c>
      <c r="BZ282" s="118" t="s">
        <v>106</v>
      </c>
      <c r="CA282" s="119" t="str">
        <f>Изопрайса</f>
        <v>R</v>
      </c>
      <c r="CB282" s="120" t="str">
        <f>Изопрайса</f>
        <v>R</v>
      </c>
      <c r="CC282" s="121" t="str">
        <f>Изопрайса</f>
        <v>R</v>
      </c>
    </row>
    <row r="283" spans="73:82" ht="22.9" customHeight="1" thickBot="1" x14ac:dyDescent="0.3">
      <c r="BW283" s="46">
        <f ca="1">CD288</f>
        <v>1</v>
      </c>
      <c r="BX283" s="47" t="s">
        <v>106</v>
      </c>
      <c r="BY283" s="48" t="s">
        <v>106</v>
      </c>
      <c r="BZ283" s="49" t="s">
        <v>106</v>
      </c>
      <c r="CA283" s="50" t="str">
        <f>Изопрайса</f>
        <v>R</v>
      </c>
      <c r="CB283" s="51" t="str">
        <f>Изопрайса</f>
        <v>R</v>
      </c>
      <c r="CC283" s="52" t="str">
        <f>Изопрайса</f>
        <v>R</v>
      </c>
    </row>
    <row r="284" spans="73:82" ht="22.9" customHeight="1" thickBot="1" x14ac:dyDescent="0.3">
      <c r="BW284" s="53">
        <f ca="1">Матрица_Расчёт</f>
        <v>0</v>
      </c>
      <c r="BX284" s="54" t="s">
        <v>106</v>
      </c>
      <c r="BY284" s="55" t="s">
        <v>106</v>
      </c>
      <c r="BZ284" s="56" t="s">
        <v>106</v>
      </c>
      <c r="CA284" s="57" t="str">
        <f>Изопрайса</f>
        <v>R</v>
      </c>
      <c r="CB284" s="58" t="str">
        <f>Изопрайса</f>
        <v>R</v>
      </c>
      <c r="CC284" s="59" t="str">
        <f>Изопрайса</f>
        <v>R</v>
      </c>
    </row>
    <row r="285" spans="73:82" ht="22.9" customHeight="1" thickTop="1" thickBot="1" x14ac:dyDescent="0.3"/>
    <row r="286" spans="73:82" ht="22.9" customHeight="1" thickTop="1" thickBot="1" x14ac:dyDescent="0.3">
      <c r="BU286" s="239">
        <f>BU276+2</f>
        <v>37</v>
      </c>
      <c r="BV286" s="240"/>
      <c r="BW286" s="240"/>
      <c r="BX286" s="241"/>
      <c r="BY286" s="5">
        <v>3</v>
      </c>
      <c r="CA286" s="239">
        <f>CA276+2</f>
        <v>38</v>
      </c>
      <c r="CB286" s="240"/>
      <c r="CC286" s="240"/>
      <c r="CD286" s="241"/>
    </row>
    <row r="287" spans="73:82" ht="22.9" customHeight="1" thickTop="1" x14ac:dyDescent="0.25">
      <c r="BU287" s="242" t="s">
        <v>359</v>
      </c>
      <c r="BV287" s="243"/>
      <c r="BW287" s="244"/>
      <c r="BX287" s="122"/>
      <c r="BY287" s="66"/>
      <c r="CA287" s="242" t="s">
        <v>357</v>
      </c>
      <c r="CB287" s="243"/>
      <c r="CC287" s="244"/>
      <c r="CD287" s="122"/>
    </row>
    <row r="288" spans="73:82" ht="22.9" customHeight="1" x14ac:dyDescent="0.25">
      <c r="BU288" s="214">
        <f ca="1">Min_1</f>
        <v>1</v>
      </c>
      <c r="BV288" s="215">
        <f ca="1">Mid_1</f>
        <v>4</v>
      </c>
      <c r="BW288" s="216">
        <f ca="1">Max_1</f>
        <v>1</v>
      </c>
      <c r="BX288" s="217" t="str">
        <f>Приведение</f>
        <v>!!!</v>
      </c>
      <c r="BY288" s="66"/>
      <c r="CA288" s="81">
        <f ca="1">Min_1</f>
        <v>1</v>
      </c>
      <c r="CB288" s="82">
        <f ca="1">Mid_1</f>
        <v>2.5</v>
      </c>
      <c r="CC288" s="83">
        <f ca="1">Max_1</f>
        <v>4</v>
      </c>
      <c r="CD288" s="76">
        <f ca="1">Приведение</f>
        <v>1</v>
      </c>
    </row>
    <row r="289" spans="73:82" ht="22.9" customHeight="1" thickBot="1" x14ac:dyDescent="0.3">
      <c r="BU289" s="218" t="e">
        <f>VLOOKUP(BW281,#REF!,2,FALSE)</f>
        <v>#REF!</v>
      </c>
      <c r="BV289" s="219" t="e">
        <f>VLOOKUP(BW281,#REF!,3,FALSE)</f>
        <v>#REF!</v>
      </c>
      <c r="BW289" s="220" t="e">
        <f>VLOOKUP(BW281,#REF!,4,FALSE)</f>
        <v>#REF!</v>
      </c>
      <c r="BX289" s="221">
        <v>2</v>
      </c>
      <c r="BY289" s="66"/>
      <c r="CA289" s="77">
        <v>1</v>
      </c>
      <c r="CB289" s="78"/>
      <c r="CC289" s="79">
        <v>4</v>
      </c>
      <c r="CD289" s="80">
        <v>1</v>
      </c>
    </row>
    <row r="290" spans="73:82" ht="22.9" customHeight="1" thickTop="1" thickBot="1" x14ac:dyDescent="0.3"/>
    <row r="291" spans="73:82" ht="22.9" customHeight="1" thickTop="1" thickBot="1" x14ac:dyDescent="0.3">
      <c r="BW291" s="239">
        <f>BW281+1</f>
        <v>20</v>
      </c>
      <c r="BX291" s="240"/>
      <c r="BY291" s="240"/>
      <c r="BZ291" s="240"/>
      <c r="CA291" s="240"/>
      <c r="CB291" s="240"/>
      <c r="CC291" s="241"/>
    </row>
    <row r="292" spans="73:82" ht="22.9" customHeight="1" thickTop="1" x14ac:dyDescent="0.25">
      <c r="BW292" s="115" t="str">
        <f>BX298</f>
        <v>!!!</v>
      </c>
      <c r="BX292" s="116" t="s">
        <v>106</v>
      </c>
      <c r="BY292" s="117" t="s">
        <v>106</v>
      </c>
      <c r="BZ292" s="118" t="s">
        <v>106</v>
      </c>
      <c r="CA292" s="119" t="str">
        <f>Изопрайса</f>
        <v>R</v>
      </c>
      <c r="CB292" s="120" t="str">
        <f>Изопрайса</f>
        <v>R</v>
      </c>
      <c r="CC292" s="121" t="str">
        <f>Изопрайса</f>
        <v>R</v>
      </c>
    </row>
    <row r="293" spans="73:82" ht="22.9" customHeight="1" thickBot="1" x14ac:dyDescent="0.3">
      <c r="BW293" s="46">
        <f ca="1">CD298</f>
        <v>1</v>
      </c>
      <c r="BX293" s="47" t="s">
        <v>106</v>
      </c>
      <c r="BY293" s="48" t="s">
        <v>106</v>
      </c>
      <c r="BZ293" s="49" t="s">
        <v>106</v>
      </c>
      <c r="CA293" s="50" t="str">
        <f>Изопрайса</f>
        <v>R</v>
      </c>
      <c r="CB293" s="51" t="str">
        <f>Изопрайса</f>
        <v>R</v>
      </c>
      <c r="CC293" s="52" t="str">
        <f>Изопрайса</f>
        <v>R</v>
      </c>
    </row>
    <row r="294" spans="73:82" ht="22.9" customHeight="1" thickBot="1" x14ac:dyDescent="0.3">
      <c r="BW294" s="53">
        <f ca="1">Матрица_Расчёт</f>
        <v>0</v>
      </c>
      <c r="BX294" s="54" t="s">
        <v>106</v>
      </c>
      <c r="BY294" s="55" t="s">
        <v>106</v>
      </c>
      <c r="BZ294" s="56" t="s">
        <v>106</v>
      </c>
      <c r="CA294" s="57" t="str">
        <f>Изопрайса</f>
        <v>R</v>
      </c>
      <c r="CB294" s="58" t="str">
        <f>Изопрайса</f>
        <v>R</v>
      </c>
      <c r="CC294" s="59" t="str">
        <f>Изопрайса</f>
        <v>R</v>
      </c>
    </row>
    <row r="295" spans="73:82" ht="22.9" customHeight="1" thickTop="1" thickBot="1" x14ac:dyDescent="0.3"/>
    <row r="296" spans="73:82" ht="22.9" customHeight="1" thickTop="1" thickBot="1" x14ac:dyDescent="0.3">
      <c r="BU296" s="239">
        <f>BU286+2</f>
        <v>39</v>
      </c>
      <c r="BV296" s="240"/>
      <c r="BW296" s="240"/>
      <c r="BX296" s="241"/>
      <c r="BY296" s="5">
        <v>3</v>
      </c>
      <c r="CA296" s="239">
        <f>CA286+2</f>
        <v>40</v>
      </c>
      <c r="CB296" s="240"/>
      <c r="CC296" s="240"/>
      <c r="CD296" s="241"/>
    </row>
    <row r="297" spans="73:82" ht="22.9" customHeight="1" thickTop="1" x14ac:dyDescent="0.25">
      <c r="BU297" s="242" t="s">
        <v>359</v>
      </c>
      <c r="BV297" s="243"/>
      <c r="BW297" s="244"/>
      <c r="BX297" s="122"/>
      <c r="BY297" s="66"/>
      <c r="CA297" s="242" t="s">
        <v>357</v>
      </c>
      <c r="CB297" s="243"/>
      <c r="CC297" s="244"/>
      <c r="CD297" s="122"/>
    </row>
    <row r="298" spans="73:82" ht="22.9" customHeight="1" x14ac:dyDescent="0.25">
      <c r="BU298" s="214">
        <f ca="1">Min_1</f>
        <v>1</v>
      </c>
      <c r="BV298" s="215">
        <f ca="1">Mid_1</f>
        <v>4</v>
      </c>
      <c r="BW298" s="216">
        <f ca="1">Max_1</f>
        <v>1</v>
      </c>
      <c r="BX298" s="217" t="str">
        <f>Приведение</f>
        <v>!!!</v>
      </c>
      <c r="BY298" s="66"/>
      <c r="CA298" s="81">
        <f ca="1">Min_1</f>
        <v>1</v>
      </c>
      <c r="CB298" s="82">
        <f ca="1">Mid_1</f>
        <v>2.5</v>
      </c>
      <c r="CC298" s="83">
        <f ca="1">Max_1</f>
        <v>4</v>
      </c>
      <c r="CD298" s="76">
        <f ca="1">Приведение</f>
        <v>1</v>
      </c>
    </row>
    <row r="299" spans="73:82" ht="22.9" customHeight="1" thickBot="1" x14ac:dyDescent="0.3">
      <c r="BU299" s="218" t="e">
        <f>VLOOKUP(BW291,#REF!,2,FALSE)</f>
        <v>#REF!</v>
      </c>
      <c r="BV299" s="219" t="e">
        <f>VLOOKUP(BW291,#REF!,3,FALSE)</f>
        <v>#REF!</v>
      </c>
      <c r="BW299" s="220" t="e">
        <f>VLOOKUP(BW291,#REF!,4,FALSE)</f>
        <v>#REF!</v>
      </c>
      <c r="BX299" s="221">
        <v>4</v>
      </c>
      <c r="BY299" s="66"/>
      <c r="CA299" s="77">
        <v>1</v>
      </c>
      <c r="CB299" s="78"/>
      <c r="CC299" s="79">
        <v>4</v>
      </c>
      <c r="CD299" s="80">
        <v>1</v>
      </c>
    </row>
    <row r="300" spans="73:82" ht="22.9" customHeight="1" thickTop="1" thickBot="1" x14ac:dyDescent="0.3"/>
    <row r="301" spans="73:82" ht="22.9" customHeight="1" thickTop="1" thickBot="1" x14ac:dyDescent="0.3">
      <c r="BW301" s="239">
        <f>BW291+1</f>
        <v>21</v>
      </c>
      <c r="BX301" s="240"/>
      <c r="BY301" s="240"/>
      <c r="BZ301" s="240"/>
      <c r="CA301" s="240"/>
      <c r="CB301" s="240"/>
      <c r="CC301" s="241"/>
    </row>
    <row r="302" spans="73:82" ht="22.9" customHeight="1" thickTop="1" x14ac:dyDescent="0.25">
      <c r="BW302" s="115" t="str">
        <f>BX308</f>
        <v>!!!</v>
      </c>
      <c r="BX302" s="116" t="s">
        <v>106</v>
      </c>
      <c r="BY302" s="117" t="s">
        <v>106</v>
      </c>
      <c r="BZ302" s="118" t="s">
        <v>106</v>
      </c>
      <c r="CA302" s="119" t="str">
        <f>Изопрайса</f>
        <v>R</v>
      </c>
      <c r="CB302" s="120" t="str">
        <f>Изопрайса</f>
        <v>R</v>
      </c>
      <c r="CC302" s="121" t="str">
        <f>Изопрайса</f>
        <v>R</v>
      </c>
    </row>
    <row r="303" spans="73:82" ht="22.9" customHeight="1" thickBot="1" x14ac:dyDescent="0.3">
      <c r="BW303" s="46">
        <f ca="1">CD308</f>
        <v>1</v>
      </c>
      <c r="BX303" s="47" t="s">
        <v>106</v>
      </c>
      <c r="BY303" s="48" t="s">
        <v>106</v>
      </c>
      <c r="BZ303" s="49" t="s">
        <v>106</v>
      </c>
      <c r="CA303" s="50" t="str">
        <f>Изопрайса</f>
        <v>R</v>
      </c>
      <c r="CB303" s="51" t="str">
        <f>Изопрайса</f>
        <v>R</v>
      </c>
      <c r="CC303" s="52" t="str">
        <f>Изопрайса</f>
        <v>R</v>
      </c>
    </row>
    <row r="304" spans="73:82" ht="22.9" customHeight="1" thickBot="1" x14ac:dyDescent="0.3">
      <c r="BW304" s="53">
        <f ca="1">Матрица_Расчёт</f>
        <v>0</v>
      </c>
      <c r="BX304" s="54" t="s">
        <v>106</v>
      </c>
      <c r="BY304" s="55" t="s">
        <v>106</v>
      </c>
      <c r="BZ304" s="56" t="s">
        <v>106</v>
      </c>
      <c r="CA304" s="57" t="str">
        <f>Изопрайса</f>
        <v>R</v>
      </c>
      <c r="CB304" s="58" t="str">
        <f>Изопрайса</f>
        <v>R</v>
      </c>
      <c r="CC304" s="59" t="str">
        <f>Изопрайса</f>
        <v>R</v>
      </c>
    </row>
    <row r="305" spans="73:82" ht="22.9" customHeight="1" thickTop="1" thickBot="1" x14ac:dyDescent="0.3"/>
    <row r="306" spans="73:82" ht="22.9" customHeight="1" thickTop="1" thickBot="1" x14ac:dyDescent="0.3">
      <c r="BU306" s="239">
        <f>BU296+2</f>
        <v>41</v>
      </c>
      <c r="BV306" s="240"/>
      <c r="BW306" s="240"/>
      <c r="BX306" s="241"/>
      <c r="BY306" s="5">
        <v>3</v>
      </c>
      <c r="CA306" s="239">
        <f>CA296+2</f>
        <v>42</v>
      </c>
      <c r="CB306" s="240"/>
      <c r="CC306" s="240"/>
      <c r="CD306" s="241"/>
    </row>
    <row r="307" spans="73:82" ht="22.9" customHeight="1" thickTop="1" x14ac:dyDescent="0.25">
      <c r="BU307" s="242" t="s">
        <v>359</v>
      </c>
      <c r="BV307" s="243"/>
      <c r="BW307" s="244"/>
      <c r="BX307" s="122"/>
      <c r="BY307" s="66"/>
      <c r="CA307" s="242" t="s">
        <v>357</v>
      </c>
      <c r="CB307" s="243"/>
      <c r="CC307" s="244"/>
      <c r="CD307" s="122"/>
    </row>
    <row r="308" spans="73:82" ht="22.9" customHeight="1" x14ac:dyDescent="0.25">
      <c r="BU308" s="214">
        <f ca="1">Min_1</f>
        <v>1</v>
      </c>
      <c r="BV308" s="215">
        <f ca="1">Mid_1</f>
        <v>4</v>
      </c>
      <c r="BW308" s="216">
        <f ca="1">Max_1</f>
        <v>1</v>
      </c>
      <c r="BX308" s="217" t="str">
        <f>Приведение</f>
        <v>!!!</v>
      </c>
      <c r="BY308" s="66"/>
      <c r="CA308" s="81">
        <f ca="1">Min_1</f>
        <v>1</v>
      </c>
      <c r="CB308" s="82">
        <f ca="1">Mid_1</f>
        <v>2.5</v>
      </c>
      <c r="CC308" s="83">
        <f ca="1">Max_1</f>
        <v>4</v>
      </c>
      <c r="CD308" s="76">
        <f ca="1">Приведение</f>
        <v>1</v>
      </c>
    </row>
    <row r="309" spans="73:82" ht="22.9" customHeight="1" thickBot="1" x14ac:dyDescent="0.3">
      <c r="BU309" s="218" t="e">
        <f>VLOOKUP(BW301,#REF!,2,FALSE)</f>
        <v>#REF!</v>
      </c>
      <c r="BV309" s="219" t="e">
        <f>VLOOKUP(BW301,#REF!,3,FALSE)</f>
        <v>#REF!</v>
      </c>
      <c r="BW309" s="220" t="e">
        <f>VLOOKUP(BW301,#REF!,4,FALSE)</f>
        <v>#REF!</v>
      </c>
      <c r="BX309" s="221">
        <v>5</v>
      </c>
      <c r="BY309" s="66"/>
      <c r="CA309" s="77">
        <v>1</v>
      </c>
      <c r="CB309" s="78"/>
      <c r="CC309" s="79">
        <v>4</v>
      </c>
      <c r="CD309" s="80">
        <v>1</v>
      </c>
    </row>
    <row r="310" spans="73:82" ht="22.9" customHeight="1" thickTop="1" thickBot="1" x14ac:dyDescent="0.3"/>
    <row r="311" spans="73:82" ht="22.9" customHeight="1" thickTop="1" thickBot="1" x14ac:dyDescent="0.3">
      <c r="BW311" s="239">
        <f>BW301+1</f>
        <v>22</v>
      </c>
      <c r="BX311" s="240"/>
      <c r="BY311" s="240"/>
      <c r="BZ311" s="240"/>
      <c r="CA311" s="240"/>
      <c r="CB311" s="240"/>
      <c r="CC311" s="241"/>
    </row>
    <row r="312" spans="73:82" ht="22.9" customHeight="1" thickTop="1" x14ac:dyDescent="0.25">
      <c r="BW312" s="115" t="str">
        <f>BX318</f>
        <v>!!!</v>
      </c>
      <c r="BX312" s="116" t="s">
        <v>106</v>
      </c>
      <c r="BY312" s="117" t="s">
        <v>106</v>
      </c>
      <c r="BZ312" s="118" t="s">
        <v>106</v>
      </c>
      <c r="CA312" s="119" t="str">
        <f>Изопрайса</f>
        <v>R</v>
      </c>
      <c r="CB312" s="120" t="str">
        <f>Изопрайса</f>
        <v>R</v>
      </c>
      <c r="CC312" s="121" t="str">
        <f>Изопрайса</f>
        <v>R</v>
      </c>
    </row>
    <row r="313" spans="73:82" ht="22.9" customHeight="1" thickBot="1" x14ac:dyDescent="0.3">
      <c r="BW313" s="46">
        <f ca="1">CD318</f>
        <v>1</v>
      </c>
      <c r="BX313" s="47" t="s">
        <v>106</v>
      </c>
      <c r="BY313" s="48" t="s">
        <v>106</v>
      </c>
      <c r="BZ313" s="49" t="s">
        <v>106</v>
      </c>
      <c r="CA313" s="50" t="str">
        <f>Изопрайса</f>
        <v>R</v>
      </c>
      <c r="CB313" s="51" t="str">
        <f>Изопрайса</f>
        <v>R</v>
      </c>
      <c r="CC313" s="52" t="str">
        <f>Изопрайса</f>
        <v>R</v>
      </c>
    </row>
    <row r="314" spans="73:82" ht="22.9" customHeight="1" thickBot="1" x14ac:dyDescent="0.3">
      <c r="BW314" s="53">
        <f ca="1">Матрица_Расчёт</f>
        <v>0</v>
      </c>
      <c r="BX314" s="54" t="s">
        <v>106</v>
      </c>
      <c r="BY314" s="55" t="s">
        <v>106</v>
      </c>
      <c r="BZ314" s="56" t="s">
        <v>106</v>
      </c>
      <c r="CA314" s="57" t="str">
        <f>Изопрайса</f>
        <v>R</v>
      </c>
      <c r="CB314" s="58" t="str">
        <f>Изопрайса</f>
        <v>R</v>
      </c>
      <c r="CC314" s="59" t="str">
        <f>Изопрайса</f>
        <v>R</v>
      </c>
    </row>
    <row r="315" spans="73:82" ht="22.9" customHeight="1" thickTop="1" thickBot="1" x14ac:dyDescent="0.3"/>
    <row r="316" spans="73:82" ht="22.9" customHeight="1" thickTop="1" thickBot="1" x14ac:dyDescent="0.3">
      <c r="BU316" s="239">
        <f>BU306+2</f>
        <v>43</v>
      </c>
      <c r="BV316" s="240"/>
      <c r="BW316" s="240"/>
      <c r="BX316" s="241"/>
      <c r="BY316" s="5">
        <v>3</v>
      </c>
      <c r="CA316" s="239">
        <f>CA306+2</f>
        <v>44</v>
      </c>
      <c r="CB316" s="240"/>
      <c r="CC316" s="240"/>
      <c r="CD316" s="241"/>
    </row>
    <row r="317" spans="73:82" ht="22.9" customHeight="1" thickTop="1" x14ac:dyDescent="0.25">
      <c r="BU317" s="242" t="s">
        <v>359</v>
      </c>
      <c r="BV317" s="243"/>
      <c r="BW317" s="244"/>
      <c r="BX317" s="122"/>
      <c r="BY317" s="66"/>
      <c r="CA317" s="242" t="s">
        <v>357</v>
      </c>
      <c r="CB317" s="243"/>
      <c r="CC317" s="244"/>
      <c r="CD317" s="122"/>
    </row>
    <row r="318" spans="73:82" ht="22.9" customHeight="1" x14ac:dyDescent="0.25">
      <c r="BU318" s="214">
        <f ca="1">Min_1</f>
        <v>1</v>
      </c>
      <c r="BV318" s="215">
        <f ca="1">Mid_1</f>
        <v>4</v>
      </c>
      <c r="BW318" s="216">
        <f ca="1">Max_1</f>
        <v>1</v>
      </c>
      <c r="BX318" s="217" t="str">
        <f>Приведение</f>
        <v>!!!</v>
      </c>
      <c r="BY318" s="66"/>
      <c r="CA318" s="81">
        <f ca="1">Min_1</f>
        <v>1</v>
      </c>
      <c r="CB318" s="82">
        <f ca="1">Mid_1</f>
        <v>2.5</v>
      </c>
      <c r="CC318" s="83">
        <f ca="1">Max_1</f>
        <v>4</v>
      </c>
      <c r="CD318" s="76">
        <f ca="1">Приведение</f>
        <v>1</v>
      </c>
    </row>
    <row r="319" spans="73:82" ht="22.9" customHeight="1" thickBot="1" x14ac:dyDescent="0.3">
      <c r="BU319" s="218" t="e">
        <f>VLOOKUP(BW311,#REF!,2,FALSE)</f>
        <v>#REF!</v>
      </c>
      <c r="BV319" s="219" t="e">
        <f>VLOOKUP(BW311,#REF!,3,FALSE)</f>
        <v>#REF!</v>
      </c>
      <c r="BW319" s="220" t="e">
        <f>VLOOKUP(BW311,#REF!,4,FALSE)</f>
        <v>#REF!</v>
      </c>
      <c r="BX319" s="221">
        <v>2</v>
      </c>
      <c r="BY319" s="66"/>
      <c r="CA319" s="77">
        <v>1</v>
      </c>
      <c r="CB319" s="78"/>
      <c r="CC319" s="79">
        <v>4</v>
      </c>
      <c r="CD319" s="80">
        <v>1</v>
      </c>
    </row>
    <row r="320" spans="73:82" ht="22.9" customHeight="1" thickTop="1" thickBot="1" x14ac:dyDescent="0.3"/>
    <row r="321" spans="73:82" ht="22.9" customHeight="1" thickTop="1" thickBot="1" x14ac:dyDescent="0.3">
      <c r="BW321" s="239">
        <f>BW311+1</f>
        <v>23</v>
      </c>
      <c r="BX321" s="240"/>
      <c r="BY321" s="240"/>
      <c r="BZ321" s="240"/>
      <c r="CA321" s="240"/>
      <c r="CB321" s="240"/>
      <c r="CC321" s="241"/>
    </row>
    <row r="322" spans="73:82" ht="22.9" customHeight="1" thickTop="1" x14ac:dyDescent="0.25">
      <c r="BW322" s="115" t="str">
        <f>BX328</f>
        <v>!!!</v>
      </c>
      <c r="BX322" s="116" t="s">
        <v>106</v>
      </c>
      <c r="BY322" s="117" t="s">
        <v>106</v>
      </c>
      <c r="BZ322" s="118" t="s">
        <v>106</v>
      </c>
      <c r="CA322" s="119" t="str">
        <f>Изопрайса</f>
        <v>R</v>
      </c>
      <c r="CB322" s="120" t="str">
        <f>Изопрайса</f>
        <v>R</v>
      </c>
      <c r="CC322" s="121" t="str">
        <f>Изопрайса</f>
        <v>R</v>
      </c>
    </row>
    <row r="323" spans="73:82" ht="22.9" customHeight="1" thickBot="1" x14ac:dyDescent="0.3">
      <c r="BW323" s="46">
        <f ca="1">CD328</f>
        <v>1</v>
      </c>
      <c r="BX323" s="47" t="s">
        <v>106</v>
      </c>
      <c r="BY323" s="48" t="s">
        <v>106</v>
      </c>
      <c r="BZ323" s="49" t="s">
        <v>106</v>
      </c>
      <c r="CA323" s="50" t="str">
        <f>Изопрайса</f>
        <v>R</v>
      </c>
      <c r="CB323" s="51" t="str">
        <f>Изопрайса</f>
        <v>R</v>
      </c>
      <c r="CC323" s="52" t="str">
        <f>Изопрайса</f>
        <v>R</v>
      </c>
    </row>
    <row r="324" spans="73:82" ht="22.9" customHeight="1" thickBot="1" x14ac:dyDescent="0.3">
      <c r="BW324" s="53">
        <f ca="1">Матрица_Расчёт</f>
        <v>0</v>
      </c>
      <c r="BX324" s="54" t="s">
        <v>106</v>
      </c>
      <c r="BY324" s="55" t="s">
        <v>106</v>
      </c>
      <c r="BZ324" s="56" t="s">
        <v>106</v>
      </c>
      <c r="CA324" s="57" t="str">
        <f>Изопрайса</f>
        <v>R</v>
      </c>
      <c r="CB324" s="58" t="str">
        <f>Изопрайса</f>
        <v>R</v>
      </c>
      <c r="CC324" s="59" t="str">
        <f>Изопрайса</f>
        <v>R</v>
      </c>
    </row>
    <row r="325" spans="73:82" ht="22.9" customHeight="1" thickTop="1" thickBot="1" x14ac:dyDescent="0.3"/>
    <row r="326" spans="73:82" ht="22.9" customHeight="1" thickTop="1" thickBot="1" x14ac:dyDescent="0.3">
      <c r="BU326" s="239">
        <f>BU316+2</f>
        <v>45</v>
      </c>
      <c r="BV326" s="240"/>
      <c r="BW326" s="240"/>
      <c r="BX326" s="241"/>
      <c r="BY326" s="5">
        <v>3</v>
      </c>
      <c r="CA326" s="239">
        <f>CA316+2</f>
        <v>46</v>
      </c>
      <c r="CB326" s="240"/>
      <c r="CC326" s="240"/>
      <c r="CD326" s="241"/>
    </row>
    <row r="327" spans="73:82" ht="22.9" customHeight="1" thickTop="1" x14ac:dyDescent="0.25">
      <c r="BU327" s="242" t="s">
        <v>359</v>
      </c>
      <c r="BV327" s="243"/>
      <c r="BW327" s="244"/>
      <c r="BX327" s="122"/>
      <c r="BY327" s="66"/>
      <c r="CA327" s="242" t="s">
        <v>357</v>
      </c>
      <c r="CB327" s="243"/>
      <c r="CC327" s="244"/>
      <c r="CD327" s="122"/>
    </row>
    <row r="328" spans="73:82" ht="22.9" customHeight="1" x14ac:dyDescent="0.25">
      <c r="BU328" s="214">
        <f ca="1">Min_1</f>
        <v>1</v>
      </c>
      <c r="BV328" s="215">
        <f ca="1">Mid_1</f>
        <v>4</v>
      </c>
      <c r="BW328" s="216">
        <f ca="1">Max_1</f>
        <v>1</v>
      </c>
      <c r="BX328" s="217" t="str">
        <f>Приведение</f>
        <v>!!!</v>
      </c>
      <c r="BY328" s="66"/>
      <c r="CA328" s="81">
        <f ca="1">Min_1</f>
        <v>1</v>
      </c>
      <c r="CB328" s="82">
        <f ca="1">Mid_1</f>
        <v>2.5</v>
      </c>
      <c r="CC328" s="83">
        <f ca="1">Max_1</f>
        <v>4</v>
      </c>
      <c r="CD328" s="76">
        <f ca="1">Приведение</f>
        <v>1</v>
      </c>
    </row>
    <row r="329" spans="73:82" ht="22.9" customHeight="1" thickBot="1" x14ac:dyDescent="0.3">
      <c r="BU329" s="218" t="e">
        <f>VLOOKUP(BW321,#REF!,2,FALSE)</f>
        <v>#REF!</v>
      </c>
      <c r="BV329" s="219" t="e">
        <f>VLOOKUP(BW321,#REF!,3,FALSE)</f>
        <v>#REF!</v>
      </c>
      <c r="BW329" s="220" t="e">
        <f>VLOOKUP(BW321,#REF!,4,FALSE)</f>
        <v>#REF!</v>
      </c>
      <c r="BX329" s="221" t="e">
        <f>IF(BY326=1,BU329,IF(BY326=2,(BV329+BU329)/2,IF(BY326=3, BV329,IF(BY326=4,(BW329+BV329)/2,BW329))))</f>
        <v>#REF!</v>
      </c>
      <c r="BY329" s="66"/>
      <c r="CA329" s="77">
        <v>1</v>
      </c>
      <c r="CB329" s="78"/>
      <c r="CC329" s="79">
        <v>4</v>
      </c>
      <c r="CD329" s="80">
        <v>1</v>
      </c>
    </row>
    <row r="330" spans="73:82" ht="22.9" customHeight="1" thickTop="1" thickBot="1" x14ac:dyDescent="0.3"/>
    <row r="331" spans="73:82" ht="22.9" customHeight="1" thickTop="1" thickBot="1" x14ac:dyDescent="0.3">
      <c r="BW331" s="239">
        <f>BW321+1</f>
        <v>24</v>
      </c>
      <c r="BX331" s="240"/>
      <c r="BY331" s="240"/>
      <c r="BZ331" s="240"/>
      <c r="CA331" s="240"/>
      <c r="CB331" s="240"/>
      <c r="CC331" s="241"/>
    </row>
    <row r="332" spans="73:82" ht="22.9" customHeight="1" thickTop="1" x14ac:dyDescent="0.25">
      <c r="BW332" s="115" t="str">
        <f>BX338</f>
        <v>!!!</v>
      </c>
      <c r="BX332" s="116" t="s">
        <v>106</v>
      </c>
      <c r="BY332" s="117" t="s">
        <v>106</v>
      </c>
      <c r="BZ332" s="118" t="s">
        <v>106</v>
      </c>
      <c r="CA332" s="119" t="str">
        <f>Изопрайса</f>
        <v>R</v>
      </c>
      <c r="CB332" s="120" t="str">
        <f>Изопрайса</f>
        <v>R</v>
      </c>
      <c r="CC332" s="121" t="str">
        <f>Изопрайса</f>
        <v>R</v>
      </c>
    </row>
    <row r="333" spans="73:82" ht="22.9" customHeight="1" thickBot="1" x14ac:dyDescent="0.3">
      <c r="BW333" s="46">
        <f ca="1">CD338</f>
        <v>1</v>
      </c>
      <c r="BX333" s="47" t="s">
        <v>106</v>
      </c>
      <c r="BY333" s="48" t="s">
        <v>106</v>
      </c>
      <c r="BZ333" s="49" t="s">
        <v>106</v>
      </c>
      <c r="CA333" s="50" t="str">
        <f>Изопрайса</f>
        <v>R</v>
      </c>
      <c r="CB333" s="51" t="str">
        <f>Изопрайса</f>
        <v>R</v>
      </c>
      <c r="CC333" s="52" t="str">
        <f>Изопрайса</f>
        <v>R</v>
      </c>
    </row>
    <row r="334" spans="73:82" ht="22.9" customHeight="1" thickBot="1" x14ac:dyDescent="0.3">
      <c r="BW334" s="53">
        <f ca="1">Матрица_Расчёт</f>
        <v>0</v>
      </c>
      <c r="BX334" s="54" t="s">
        <v>106</v>
      </c>
      <c r="BY334" s="55" t="s">
        <v>106</v>
      </c>
      <c r="BZ334" s="56" t="s">
        <v>106</v>
      </c>
      <c r="CA334" s="57" t="str">
        <f>Изопрайса</f>
        <v>R</v>
      </c>
      <c r="CB334" s="58" t="str">
        <f>Изопрайса</f>
        <v>R</v>
      </c>
      <c r="CC334" s="59" t="str">
        <f>Изопрайса</f>
        <v>R</v>
      </c>
    </row>
    <row r="335" spans="73:82" ht="22.9" customHeight="1" thickTop="1" thickBot="1" x14ac:dyDescent="0.3"/>
    <row r="336" spans="73:82" ht="22.9" customHeight="1" thickTop="1" thickBot="1" x14ac:dyDescent="0.3">
      <c r="BU336" s="239">
        <f>BU326+2</f>
        <v>47</v>
      </c>
      <c r="BV336" s="240"/>
      <c r="BW336" s="240"/>
      <c r="BX336" s="241"/>
      <c r="BY336" s="5">
        <v>3</v>
      </c>
      <c r="CA336" s="239">
        <f>CA326+2</f>
        <v>48</v>
      </c>
      <c r="CB336" s="240"/>
      <c r="CC336" s="240"/>
      <c r="CD336" s="241"/>
    </row>
    <row r="337" spans="73:82" ht="22.9" customHeight="1" thickTop="1" x14ac:dyDescent="0.25">
      <c r="BU337" s="242" t="s">
        <v>359</v>
      </c>
      <c r="BV337" s="243"/>
      <c r="BW337" s="244"/>
      <c r="BX337" s="122"/>
      <c r="BY337" s="66"/>
      <c r="CA337" s="242" t="s">
        <v>357</v>
      </c>
      <c r="CB337" s="243"/>
      <c r="CC337" s="244"/>
      <c r="CD337" s="122"/>
    </row>
    <row r="338" spans="73:82" ht="22.9" customHeight="1" x14ac:dyDescent="0.25">
      <c r="BU338" s="214">
        <f ca="1">Min_1</f>
        <v>1</v>
      </c>
      <c r="BV338" s="215">
        <f ca="1">Mid_1</f>
        <v>4</v>
      </c>
      <c r="BW338" s="216">
        <f ca="1">Max_1</f>
        <v>1</v>
      </c>
      <c r="BX338" s="217" t="str">
        <f>Приведение</f>
        <v>!!!</v>
      </c>
      <c r="BY338" s="66"/>
      <c r="CA338" s="81">
        <f ca="1">Min_1</f>
        <v>1</v>
      </c>
      <c r="CB338" s="82">
        <f ca="1">Mid_1</f>
        <v>2.5</v>
      </c>
      <c r="CC338" s="83">
        <f ca="1">Max_1</f>
        <v>4</v>
      </c>
      <c r="CD338" s="76">
        <f ca="1">Приведение</f>
        <v>1</v>
      </c>
    </row>
    <row r="339" spans="73:82" ht="22.9" customHeight="1" thickBot="1" x14ac:dyDescent="0.3">
      <c r="BU339" s="218" t="e">
        <f>VLOOKUP(BW331,#REF!,2,FALSE)</f>
        <v>#REF!</v>
      </c>
      <c r="BV339" s="219" t="e">
        <f>VLOOKUP(BW331,#REF!,3,FALSE)</f>
        <v>#REF!</v>
      </c>
      <c r="BW339" s="220" t="e">
        <f>VLOOKUP(BW331,#REF!,4,FALSE)</f>
        <v>#REF!</v>
      </c>
      <c r="BX339" s="221">
        <v>1</v>
      </c>
      <c r="BY339" s="66"/>
      <c r="CA339" s="77">
        <v>1</v>
      </c>
      <c r="CB339" s="78"/>
      <c r="CC339" s="79">
        <v>4</v>
      </c>
      <c r="CD339" s="80">
        <v>1</v>
      </c>
    </row>
    <row r="340" spans="73:82" ht="22.9" customHeight="1" thickTop="1" thickBot="1" x14ac:dyDescent="0.3"/>
    <row r="341" spans="73:82" ht="22.9" customHeight="1" thickTop="1" thickBot="1" x14ac:dyDescent="0.3">
      <c r="BW341" s="239">
        <f>BW331+1</f>
        <v>25</v>
      </c>
      <c r="BX341" s="240"/>
      <c r="BY341" s="240"/>
      <c r="BZ341" s="240"/>
      <c r="CA341" s="240"/>
      <c r="CB341" s="240"/>
      <c r="CC341" s="241"/>
    </row>
    <row r="342" spans="73:82" ht="22.9" customHeight="1" thickTop="1" x14ac:dyDescent="0.25">
      <c r="BW342" s="115" t="str">
        <f>BX348</f>
        <v>!!!</v>
      </c>
      <c r="BX342" s="116" t="s">
        <v>106</v>
      </c>
      <c r="BY342" s="117" t="s">
        <v>106</v>
      </c>
      <c r="BZ342" s="118" t="s">
        <v>106</v>
      </c>
      <c r="CA342" s="119" t="str">
        <f>Изопрайса</f>
        <v>R</v>
      </c>
      <c r="CB342" s="120" t="str">
        <f>Изопрайса</f>
        <v>R</v>
      </c>
      <c r="CC342" s="121" t="str">
        <f>Изопрайса</f>
        <v>R</v>
      </c>
    </row>
    <row r="343" spans="73:82" ht="22.9" customHeight="1" thickBot="1" x14ac:dyDescent="0.3">
      <c r="BW343" s="46">
        <f ca="1">CD348</f>
        <v>1</v>
      </c>
      <c r="BX343" s="47" t="s">
        <v>106</v>
      </c>
      <c r="BY343" s="48" t="s">
        <v>106</v>
      </c>
      <c r="BZ343" s="49" t="s">
        <v>106</v>
      </c>
      <c r="CA343" s="50" t="str">
        <f>Изопрайса</f>
        <v>R</v>
      </c>
      <c r="CB343" s="51" t="str">
        <f>Изопрайса</f>
        <v>R</v>
      </c>
      <c r="CC343" s="52" t="str">
        <f>Изопрайса</f>
        <v>R</v>
      </c>
    </row>
    <row r="344" spans="73:82" ht="22.9" customHeight="1" thickBot="1" x14ac:dyDescent="0.3">
      <c r="BW344" s="53">
        <f ca="1">Матрица_Расчёт</f>
        <v>0</v>
      </c>
      <c r="BX344" s="54" t="s">
        <v>106</v>
      </c>
      <c r="BY344" s="55" t="s">
        <v>106</v>
      </c>
      <c r="BZ344" s="56" t="s">
        <v>106</v>
      </c>
      <c r="CA344" s="57" t="str">
        <f>Изопрайса</f>
        <v>R</v>
      </c>
      <c r="CB344" s="58" t="str">
        <f>Изопрайса</f>
        <v>R</v>
      </c>
      <c r="CC344" s="59" t="str">
        <f>Изопрайса</f>
        <v>R</v>
      </c>
    </row>
    <row r="345" spans="73:82" ht="22.9" customHeight="1" thickTop="1" thickBot="1" x14ac:dyDescent="0.3"/>
    <row r="346" spans="73:82" ht="22.9" customHeight="1" thickTop="1" thickBot="1" x14ac:dyDescent="0.3">
      <c r="BU346" s="239">
        <f>BU336+2</f>
        <v>49</v>
      </c>
      <c r="BV346" s="240"/>
      <c r="BW346" s="240"/>
      <c r="BX346" s="241"/>
      <c r="BY346" s="5">
        <v>3</v>
      </c>
      <c r="CA346" s="239">
        <f>CA336+2</f>
        <v>50</v>
      </c>
      <c r="CB346" s="240"/>
      <c r="CC346" s="240"/>
      <c r="CD346" s="241"/>
    </row>
    <row r="347" spans="73:82" ht="22.9" customHeight="1" thickTop="1" x14ac:dyDescent="0.25">
      <c r="BU347" s="242" t="s">
        <v>359</v>
      </c>
      <c r="BV347" s="243"/>
      <c r="BW347" s="244"/>
      <c r="BX347" s="122"/>
      <c r="BY347" s="66"/>
      <c r="CA347" s="242" t="s">
        <v>357</v>
      </c>
      <c r="CB347" s="243"/>
      <c r="CC347" s="244"/>
      <c r="CD347" s="122"/>
    </row>
    <row r="348" spans="73:82" ht="22.9" customHeight="1" x14ac:dyDescent="0.25">
      <c r="BU348" s="214">
        <f ca="1">Min_1</f>
        <v>1</v>
      </c>
      <c r="BV348" s="215">
        <f ca="1">Mid_1</f>
        <v>4</v>
      </c>
      <c r="BW348" s="216">
        <f ca="1">Max_1</f>
        <v>1</v>
      </c>
      <c r="BX348" s="217" t="str">
        <f>Приведение</f>
        <v>!!!</v>
      </c>
      <c r="BY348" s="66"/>
      <c r="CA348" s="81">
        <f ca="1">Min_1</f>
        <v>1</v>
      </c>
      <c r="CB348" s="82">
        <f ca="1">Mid_1</f>
        <v>2.5</v>
      </c>
      <c r="CC348" s="83">
        <f ca="1">Max_1</f>
        <v>4</v>
      </c>
      <c r="CD348" s="76">
        <f ca="1">Приведение</f>
        <v>1</v>
      </c>
    </row>
    <row r="349" spans="73:82" ht="22.9" customHeight="1" thickBot="1" x14ac:dyDescent="0.3">
      <c r="BU349" s="218" t="e">
        <f>VLOOKUP(BW341,#REF!,2,FALSE)</f>
        <v>#REF!</v>
      </c>
      <c r="BV349" s="219" t="e">
        <f>VLOOKUP(BW341,#REF!,3,FALSE)</f>
        <v>#REF!</v>
      </c>
      <c r="BW349" s="220" t="e">
        <f>VLOOKUP(BW341,#REF!,4,FALSE)</f>
        <v>#REF!</v>
      </c>
      <c r="BX349" s="221">
        <v>2</v>
      </c>
      <c r="BY349" s="66"/>
      <c r="CA349" s="77">
        <v>1</v>
      </c>
      <c r="CB349" s="78"/>
      <c r="CC349" s="79">
        <v>4</v>
      </c>
      <c r="CD349" s="80">
        <v>1</v>
      </c>
    </row>
    <row r="350" spans="73:82" ht="22.9" customHeight="1" thickTop="1" thickBot="1" x14ac:dyDescent="0.3"/>
    <row r="351" spans="73:82" ht="22.9" customHeight="1" thickTop="1" thickBot="1" x14ac:dyDescent="0.3">
      <c r="BW351" s="239">
        <f>BW341+1</f>
        <v>26</v>
      </c>
      <c r="BX351" s="240"/>
      <c r="BY351" s="240"/>
      <c r="BZ351" s="240"/>
      <c r="CA351" s="240"/>
      <c r="CB351" s="240"/>
      <c r="CC351" s="241"/>
    </row>
    <row r="352" spans="73:82" ht="22.9" customHeight="1" thickTop="1" x14ac:dyDescent="0.25">
      <c r="BW352" s="115" t="str">
        <f>BX358</f>
        <v>!!!</v>
      </c>
      <c r="BX352" s="116" t="s">
        <v>106</v>
      </c>
      <c r="BY352" s="117" t="s">
        <v>106</v>
      </c>
      <c r="BZ352" s="118" t="s">
        <v>106</v>
      </c>
      <c r="CA352" s="119" t="str">
        <f>Изопрайса</f>
        <v>R</v>
      </c>
      <c r="CB352" s="120" t="str">
        <f>Изопрайса</f>
        <v>R</v>
      </c>
      <c r="CC352" s="121" t="str">
        <f>Изопрайса</f>
        <v>R</v>
      </c>
    </row>
    <row r="353" spans="73:82" ht="22.9" customHeight="1" thickBot="1" x14ac:dyDescent="0.3">
      <c r="BW353" s="46">
        <f ca="1">CD358</f>
        <v>1</v>
      </c>
      <c r="BX353" s="47" t="s">
        <v>106</v>
      </c>
      <c r="BY353" s="48" t="s">
        <v>106</v>
      </c>
      <c r="BZ353" s="49" t="s">
        <v>106</v>
      </c>
      <c r="CA353" s="50" t="str">
        <f>Изопрайса</f>
        <v>R</v>
      </c>
      <c r="CB353" s="51" t="str">
        <f>Изопрайса</f>
        <v>R</v>
      </c>
      <c r="CC353" s="52" t="str">
        <f>Изопрайса</f>
        <v>R</v>
      </c>
    </row>
    <row r="354" spans="73:82" ht="22.9" customHeight="1" thickBot="1" x14ac:dyDescent="0.3">
      <c r="BW354" s="53">
        <f ca="1">Матрица_Расчёт</f>
        <v>0</v>
      </c>
      <c r="BX354" s="54" t="s">
        <v>106</v>
      </c>
      <c r="BY354" s="55" t="s">
        <v>106</v>
      </c>
      <c r="BZ354" s="56" t="s">
        <v>106</v>
      </c>
      <c r="CA354" s="57" t="str">
        <f>Изопрайса</f>
        <v>R</v>
      </c>
      <c r="CB354" s="58" t="str">
        <f>Изопрайса</f>
        <v>R</v>
      </c>
      <c r="CC354" s="59" t="str">
        <f>Изопрайса</f>
        <v>R</v>
      </c>
    </row>
    <row r="355" spans="73:82" ht="22.9" customHeight="1" thickTop="1" thickBot="1" x14ac:dyDescent="0.3"/>
    <row r="356" spans="73:82" ht="22.9" customHeight="1" thickTop="1" thickBot="1" x14ac:dyDescent="0.3">
      <c r="BU356" s="239">
        <f>BU346+2</f>
        <v>51</v>
      </c>
      <c r="BV356" s="240"/>
      <c r="BW356" s="240"/>
      <c r="BX356" s="241"/>
      <c r="BY356" s="5">
        <v>3</v>
      </c>
      <c r="CA356" s="239">
        <f>CA346+2</f>
        <v>52</v>
      </c>
      <c r="CB356" s="240"/>
      <c r="CC356" s="240"/>
      <c r="CD356" s="241"/>
    </row>
    <row r="357" spans="73:82" ht="22.9" customHeight="1" thickTop="1" x14ac:dyDescent="0.25">
      <c r="BU357" s="242" t="s">
        <v>359</v>
      </c>
      <c r="BV357" s="243"/>
      <c r="BW357" s="244"/>
      <c r="BX357" s="122"/>
      <c r="BY357" s="66"/>
      <c r="CA357" s="242" t="s">
        <v>357</v>
      </c>
      <c r="CB357" s="243"/>
      <c r="CC357" s="244"/>
      <c r="CD357" s="122"/>
    </row>
    <row r="358" spans="73:82" ht="22.9" customHeight="1" x14ac:dyDescent="0.25">
      <c r="BU358" s="214">
        <f ca="1">Min_1</f>
        <v>1</v>
      </c>
      <c r="BV358" s="215">
        <f ca="1">Mid_1</f>
        <v>4</v>
      </c>
      <c r="BW358" s="216">
        <f ca="1">Max_1</f>
        <v>1</v>
      </c>
      <c r="BX358" s="217" t="str">
        <f>Приведение</f>
        <v>!!!</v>
      </c>
      <c r="BY358" s="66"/>
      <c r="CA358" s="81">
        <f ca="1">Min_1</f>
        <v>1</v>
      </c>
      <c r="CB358" s="82">
        <f ca="1">Mid_1</f>
        <v>2.5</v>
      </c>
      <c r="CC358" s="83">
        <f ca="1">Max_1</f>
        <v>4</v>
      </c>
      <c r="CD358" s="76">
        <f ca="1">Приведение</f>
        <v>1</v>
      </c>
    </row>
    <row r="359" spans="73:82" ht="22.9" customHeight="1" thickBot="1" x14ac:dyDescent="0.3">
      <c r="BU359" s="218" t="e">
        <f>VLOOKUP(BW351,#REF!,2,FALSE)</f>
        <v>#REF!</v>
      </c>
      <c r="BV359" s="219" t="e">
        <f>VLOOKUP(BW351,#REF!,3,FALSE)</f>
        <v>#REF!</v>
      </c>
      <c r="BW359" s="220" t="e">
        <f>VLOOKUP(BW351,#REF!,4,FALSE)</f>
        <v>#REF!</v>
      </c>
      <c r="BX359" s="221">
        <v>2.5</v>
      </c>
      <c r="BY359" s="66"/>
      <c r="CA359" s="77">
        <v>1</v>
      </c>
      <c r="CB359" s="78"/>
      <c r="CC359" s="79">
        <v>4</v>
      </c>
      <c r="CD359" s="80">
        <v>1</v>
      </c>
    </row>
    <row r="360" spans="73:82" ht="22.9" customHeight="1" thickTop="1" thickBot="1" x14ac:dyDescent="0.3"/>
    <row r="361" spans="73:82" ht="22.9" customHeight="1" thickTop="1" thickBot="1" x14ac:dyDescent="0.3">
      <c r="BW361" s="239">
        <f>BW351+1</f>
        <v>27</v>
      </c>
      <c r="BX361" s="240"/>
      <c r="BY361" s="240"/>
      <c r="BZ361" s="240"/>
      <c r="CA361" s="240"/>
      <c r="CB361" s="240"/>
      <c r="CC361" s="241"/>
    </row>
    <row r="362" spans="73:82" ht="22.9" customHeight="1" thickTop="1" x14ac:dyDescent="0.25">
      <c r="BW362" s="115" t="str">
        <f>BX368</f>
        <v>!!!</v>
      </c>
      <c r="BX362" s="116" t="s">
        <v>106</v>
      </c>
      <c r="BY362" s="117" t="s">
        <v>106</v>
      </c>
      <c r="BZ362" s="118" t="s">
        <v>106</v>
      </c>
      <c r="CA362" s="119" t="str">
        <f>Изопрайса</f>
        <v>R</v>
      </c>
      <c r="CB362" s="120" t="str">
        <f>Изопрайса</f>
        <v>R</v>
      </c>
      <c r="CC362" s="121" t="str">
        <f>Изопрайса</f>
        <v>R</v>
      </c>
    </row>
    <row r="363" spans="73:82" ht="22.9" customHeight="1" thickBot="1" x14ac:dyDescent="0.3">
      <c r="BW363" s="46">
        <f ca="1">CD368</f>
        <v>1</v>
      </c>
      <c r="BX363" s="47" t="s">
        <v>106</v>
      </c>
      <c r="BY363" s="48" t="s">
        <v>106</v>
      </c>
      <c r="BZ363" s="49" t="s">
        <v>106</v>
      </c>
      <c r="CA363" s="50" t="str">
        <f>Изопрайса</f>
        <v>R</v>
      </c>
      <c r="CB363" s="51" t="str">
        <f>Изопрайса</f>
        <v>R</v>
      </c>
      <c r="CC363" s="52" t="str">
        <f>Изопрайса</f>
        <v>R</v>
      </c>
    </row>
    <row r="364" spans="73:82" ht="22.9" customHeight="1" thickBot="1" x14ac:dyDescent="0.3">
      <c r="BW364" s="53">
        <f ca="1">Матрица_Расчёт</f>
        <v>0</v>
      </c>
      <c r="BX364" s="54" t="s">
        <v>106</v>
      </c>
      <c r="BY364" s="55" t="s">
        <v>106</v>
      </c>
      <c r="BZ364" s="56" t="s">
        <v>106</v>
      </c>
      <c r="CA364" s="57" t="str">
        <f>Изопрайса</f>
        <v>R</v>
      </c>
      <c r="CB364" s="58" t="str">
        <f>Изопрайса</f>
        <v>R</v>
      </c>
      <c r="CC364" s="59" t="str">
        <f>Изопрайса</f>
        <v>R</v>
      </c>
    </row>
    <row r="365" spans="73:82" ht="22.9" customHeight="1" thickTop="1" thickBot="1" x14ac:dyDescent="0.3"/>
    <row r="366" spans="73:82" ht="22.9" customHeight="1" thickTop="1" thickBot="1" x14ac:dyDescent="0.3">
      <c r="BU366" s="239">
        <f>BU356+2</f>
        <v>53</v>
      </c>
      <c r="BV366" s="240"/>
      <c r="BW366" s="240"/>
      <c r="BX366" s="241"/>
      <c r="BY366" s="5">
        <v>3</v>
      </c>
      <c r="CA366" s="239">
        <f>CA356+2</f>
        <v>54</v>
      </c>
      <c r="CB366" s="240"/>
      <c r="CC366" s="240"/>
      <c r="CD366" s="241"/>
    </row>
    <row r="367" spans="73:82" ht="22.9" customHeight="1" thickTop="1" x14ac:dyDescent="0.25">
      <c r="BU367" s="242" t="s">
        <v>359</v>
      </c>
      <c r="BV367" s="243"/>
      <c r="BW367" s="244"/>
      <c r="BX367" s="122"/>
      <c r="BY367" s="66"/>
      <c r="CA367" s="242" t="s">
        <v>357</v>
      </c>
      <c r="CB367" s="243"/>
      <c r="CC367" s="244"/>
      <c r="CD367" s="122"/>
    </row>
    <row r="368" spans="73:82" ht="22.9" customHeight="1" x14ac:dyDescent="0.25">
      <c r="BU368" s="214">
        <f ca="1">Min_1</f>
        <v>1</v>
      </c>
      <c r="BV368" s="215">
        <f ca="1">Mid_1</f>
        <v>4</v>
      </c>
      <c r="BW368" s="216">
        <f ca="1">Max_1</f>
        <v>1</v>
      </c>
      <c r="BX368" s="217" t="str">
        <f>Приведение</f>
        <v>!!!</v>
      </c>
      <c r="BY368" s="66"/>
      <c r="CA368" s="81">
        <f ca="1">Min_1</f>
        <v>1</v>
      </c>
      <c r="CB368" s="82">
        <f ca="1">Mid_1</f>
        <v>2.5</v>
      </c>
      <c r="CC368" s="83">
        <f ca="1">Max_1</f>
        <v>4</v>
      </c>
      <c r="CD368" s="76">
        <f ca="1">Приведение</f>
        <v>1</v>
      </c>
    </row>
    <row r="369" spans="73:82" ht="22.9" customHeight="1" thickBot="1" x14ac:dyDescent="0.3">
      <c r="BU369" s="218" t="e">
        <f>VLOOKUP(BW361,#REF!,2,FALSE)</f>
        <v>#REF!</v>
      </c>
      <c r="BV369" s="219" t="e">
        <f>VLOOKUP(BW361,#REF!,3,FALSE)</f>
        <v>#REF!</v>
      </c>
      <c r="BW369" s="220" t="e">
        <f>VLOOKUP(BW361,#REF!,4,FALSE)</f>
        <v>#REF!</v>
      </c>
      <c r="BX369" s="221">
        <v>3</v>
      </c>
      <c r="BY369" s="66"/>
      <c r="CA369" s="77">
        <v>1</v>
      </c>
      <c r="CB369" s="78"/>
      <c r="CC369" s="79">
        <v>4</v>
      </c>
      <c r="CD369" s="80">
        <v>1</v>
      </c>
    </row>
    <row r="370" spans="73:82" ht="22.9" customHeight="1" thickTop="1" thickBot="1" x14ac:dyDescent="0.3"/>
    <row r="371" spans="73:82" ht="22.9" customHeight="1" thickTop="1" thickBot="1" x14ac:dyDescent="0.3">
      <c r="BW371" s="239">
        <f>BW361+1</f>
        <v>28</v>
      </c>
      <c r="BX371" s="240"/>
      <c r="BY371" s="240"/>
      <c r="BZ371" s="240"/>
      <c r="CA371" s="240"/>
      <c r="CB371" s="240"/>
      <c r="CC371" s="241"/>
    </row>
    <row r="372" spans="73:82" ht="22.9" customHeight="1" thickTop="1" x14ac:dyDescent="0.25">
      <c r="BW372" s="115" t="str">
        <f>BX378</f>
        <v>!!!</v>
      </c>
      <c r="BX372" s="116" t="s">
        <v>106</v>
      </c>
      <c r="BY372" s="117" t="s">
        <v>106</v>
      </c>
      <c r="BZ372" s="118" t="s">
        <v>106</v>
      </c>
      <c r="CA372" s="119" t="str">
        <f>Изопрайса</f>
        <v>R</v>
      </c>
      <c r="CB372" s="120" t="str">
        <f>Изопрайса</f>
        <v>R</v>
      </c>
      <c r="CC372" s="121" t="str">
        <f>Изопрайса</f>
        <v>R</v>
      </c>
    </row>
    <row r="373" spans="73:82" ht="22.9" customHeight="1" thickBot="1" x14ac:dyDescent="0.3">
      <c r="BW373" s="46">
        <f ca="1">CD378</f>
        <v>1</v>
      </c>
      <c r="BX373" s="47" t="s">
        <v>106</v>
      </c>
      <c r="BY373" s="48" t="s">
        <v>106</v>
      </c>
      <c r="BZ373" s="49" t="s">
        <v>106</v>
      </c>
      <c r="CA373" s="50" t="str">
        <f>Изопрайса</f>
        <v>R</v>
      </c>
      <c r="CB373" s="51" t="str">
        <f>Изопрайса</f>
        <v>R</v>
      </c>
      <c r="CC373" s="52" t="str">
        <f>Изопрайса</f>
        <v>R</v>
      </c>
    </row>
    <row r="374" spans="73:82" ht="22.9" customHeight="1" thickBot="1" x14ac:dyDescent="0.3">
      <c r="BW374" s="53">
        <f ca="1">Матрица_Расчёт</f>
        <v>0</v>
      </c>
      <c r="BX374" s="54" t="s">
        <v>106</v>
      </c>
      <c r="BY374" s="55" t="s">
        <v>106</v>
      </c>
      <c r="BZ374" s="56" t="s">
        <v>106</v>
      </c>
      <c r="CA374" s="57" t="str">
        <f>Изопрайса</f>
        <v>R</v>
      </c>
      <c r="CB374" s="58" t="str">
        <f>Изопрайса</f>
        <v>R</v>
      </c>
      <c r="CC374" s="59" t="str">
        <f>Изопрайса</f>
        <v>R</v>
      </c>
    </row>
    <row r="375" spans="73:82" ht="22.9" customHeight="1" thickTop="1" thickBot="1" x14ac:dyDescent="0.3"/>
    <row r="376" spans="73:82" ht="22.9" customHeight="1" thickTop="1" thickBot="1" x14ac:dyDescent="0.3">
      <c r="BU376" s="239">
        <f>BU366+2</f>
        <v>55</v>
      </c>
      <c r="BV376" s="240"/>
      <c r="BW376" s="240"/>
      <c r="BX376" s="241"/>
      <c r="BY376" s="5">
        <v>3</v>
      </c>
      <c r="CA376" s="239">
        <f>CA366+2</f>
        <v>56</v>
      </c>
      <c r="CB376" s="240"/>
      <c r="CC376" s="240"/>
      <c r="CD376" s="241"/>
    </row>
    <row r="377" spans="73:82" ht="22.9" customHeight="1" thickTop="1" x14ac:dyDescent="0.25">
      <c r="BU377" s="242" t="s">
        <v>359</v>
      </c>
      <c r="BV377" s="243"/>
      <c r="BW377" s="244"/>
      <c r="BX377" s="122"/>
      <c r="BY377" s="66"/>
      <c r="CA377" s="242" t="s">
        <v>357</v>
      </c>
      <c r="CB377" s="243"/>
      <c r="CC377" s="244"/>
      <c r="CD377" s="122"/>
    </row>
    <row r="378" spans="73:82" ht="22.9" customHeight="1" x14ac:dyDescent="0.25">
      <c r="BU378" s="214">
        <f ca="1">Min_1</f>
        <v>1</v>
      </c>
      <c r="BV378" s="215">
        <f ca="1">Mid_1</f>
        <v>4</v>
      </c>
      <c r="BW378" s="216">
        <f ca="1">Max_1</f>
        <v>1</v>
      </c>
      <c r="BX378" s="217" t="str">
        <f>Приведение</f>
        <v>!!!</v>
      </c>
      <c r="BY378" s="66"/>
      <c r="CA378" s="81">
        <f ca="1">Min_1</f>
        <v>1</v>
      </c>
      <c r="CB378" s="82">
        <f ca="1">Mid_1</f>
        <v>2.5</v>
      </c>
      <c r="CC378" s="83">
        <f ca="1">Max_1</f>
        <v>4</v>
      </c>
      <c r="CD378" s="76">
        <f ca="1">Приведение</f>
        <v>1</v>
      </c>
    </row>
    <row r="379" spans="73:82" ht="22.9" customHeight="1" thickBot="1" x14ac:dyDescent="0.3">
      <c r="BU379" s="218" t="e">
        <f>VLOOKUP(BW371,#REF!,2,FALSE)</f>
        <v>#REF!</v>
      </c>
      <c r="BV379" s="219" t="e">
        <f>VLOOKUP(BW371,#REF!,3,FALSE)</f>
        <v>#REF!</v>
      </c>
      <c r="BW379" s="220" t="e">
        <f>VLOOKUP(BW371,#REF!,4,FALSE)</f>
        <v>#REF!</v>
      </c>
      <c r="BX379" s="221">
        <v>3</v>
      </c>
      <c r="BY379" s="66"/>
      <c r="CA379" s="77">
        <v>1</v>
      </c>
      <c r="CB379" s="78"/>
      <c r="CC379" s="79">
        <v>4</v>
      </c>
      <c r="CD379" s="80">
        <v>1</v>
      </c>
    </row>
    <row r="380" spans="73:82" ht="22.9" customHeight="1" thickTop="1" thickBot="1" x14ac:dyDescent="0.3"/>
    <row r="381" spans="73:82" ht="22.9" customHeight="1" thickTop="1" thickBot="1" x14ac:dyDescent="0.3">
      <c r="BW381" s="239">
        <f>BW371+1</f>
        <v>29</v>
      </c>
      <c r="BX381" s="240"/>
      <c r="BY381" s="240"/>
      <c r="BZ381" s="240"/>
      <c r="CA381" s="240"/>
      <c r="CB381" s="240"/>
      <c r="CC381" s="241"/>
    </row>
    <row r="382" spans="73:82" ht="22.9" customHeight="1" thickTop="1" x14ac:dyDescent="0.25">
      <c r="BW382" s="115" t="str">
        <f>BX388</f>
        <v>!!!</v>
      </c>
      <c r="BX382" s="116" t="s">
        <v>106</v>
      </c>
      <c r="BY382" s="117" t="s">
        <v>106</v>
      </c>
      <c r="BZ382" s="118" t="s">
        <v>106</v>
      </c>
      <c r="CA382" s="119" t="str">
        <f>Изопрайса</f>
        <v>R</v>
      </c>
      <c r="CB382" s="120" t="str">
        <f>Изопрайса</f>
        <v>R</v>
      </c>
      <c r="CC382" s="121" t="str">
        <f>Изопрайса</f>
        <v>R</v>
      </c>
    </row>
    <row r="383" spans="73:82" ht="22.9" customHeight="1" thickBot="1" x14ac:dyDescent="0.3">
      <c r="BW383" s="46">
        <f ca="1">CD388</f>
        <v>1</v>
      </c>
      <c r="BX383" s="47" t="s">
        <v>106</v>
      </c>
      <c r="BY383" s="48" t="s">
        <v>106</v>
      </c>
      <c r="BZ383" s="49" t="s">
        <v>106</v>
      </c>
      <c r="CA383" s="50" t="str">
        <f>Изопрайса</f>
        <v>R</v>
      </c>
      <c r="CB383" s="51" t="str">
        <f>Изопрайса</f>
        <v>R</v>
      </c>
      <c r="CC383" s="52" t="str">
        <f>Изопрайса</f>
        <v>R</v>
      </c>
    </row>
    <row r="384" spans="73:82" ht="22.9" customHeight="1" thickBot="1" x14ac:dyDescent="0.3">
      <c r="BW384" s="53">
        <f ca="1">Матрица_Расчёт</f>
        <v>0</v>
      </c>
      <c r="BX384" s="54" t="s">
        <v>106</v>
      </c>
      <c r="BY384" s="55" t="s">
        <v>106</v>
      </c>
      <c r="BZ384" s="56" t="s">
        <v>106</v>
      </c>
      <c r="CA384" s="57" t="str">
        <f>Изопрайса</f>
        <v>R</v>
      </c>
      <c r="CB384" s="58" t="str">
        <f>Изопрайса</f>
        <v>R</v>
      </c>
      <c r="CC384" s="59" t="str">
        <f>Изопрайса</f>
        <v>R</v>
      </c>
    </row>
    <row r="385" spans="73:82" ht="22.9" customHeight="1" thickTop="1" thickBot="1" x14ac:dyDescent="0.3"/>
    <row r="386" spans="73:82" ht="22.9" customHeight="1" thickTop="1" thickBot="1" x14ac:dyDescent="0.3">
      <c r="BU386" s="239">
        <f>BU376+2</f>
        <v>57</v>
      </c>
      <c r="BV386" s="240"/>
      <c r="BW386" s="240"/>
      <c r="BX386" s="241"/>
      <c r="BY386" s="5">
        <v>3</v>
      </c>
      <c r="CA386" s="239">
        <f>CA376+2</f>
        <v>58</v>
      </c>
      <c r="CB386" s="240"/>
      <c r="CC386" s="240"/>
      <c r="CD386" s="241"/>
    </row>
    <row r="387" spans="73:82" ht="22.9" customHeight="1" thickTop="1" x14ac:dyDescent="0.25">
      <c r="BU387" s="242" t="s">
        <v>359</v>
      </c>
      <c r="BV387" s="243"/>
      <c r="BW387" s="244"/>
      <c r="BX387" s="122"/>
      <c r="BY387" s="66"/>
      <c r="CA387" s="242" t="s">
        <v>357</v>
      </c>
      <c r="CB387" s="243"/>
      <c r="CC387" s="244"/>
      <c r="CD387" s="122"/>
    </row>
    <row r="388" spans="73:82" ht="22.9" customHeight="1" x14ac:dyDescent="0.25">
      <c r="BU388" s="214">
        <f ca="1">Min_1</f>
        <v>1</v>
      </c>
      <c r="BV388" s="215">
        <f ca="1">Mid_1</f>
        <v>4</v>
      </c>
      <c r="BW388" s="216">
        <f ca="1">Max_1</f>
        <v>1</v>
      </c>
      <c r="BX388" s="217" t="str">
        <f>Приведение</f>
        <v>!!!</v>
      </c>
      <c r="BY388" s="66"/>
      <c r="CA388" s="81">
        <f ca="1">Min_1</f>
        <v>1</v>
      </c>
      <c r="CB388" s="82">
        <f ca="1">Mid_1</f>
        <v>2.5</v>
      </c>
      <c r="CC388" s="83">
        <f ca="1">Max_1</f>
        <v>4</v>
      </c>
      <c r="CD388" s="76">
        <f ca="1">Приведение</f>
        <v>1</v>
      </c>
    </row>
    <row r="389" spans="73:82" ht="22.9" customHeight="1" thickBot="1" x14ac:dyDescent="0.3">
      <c r="BU389" s="218" t="e">
        <f>VLOOKUP(BW381,#REF!,2,FALSE)</f>
        <v>#REF!</v>
      </c>
      <c r="BV389" s="219" t="e">
        <f>VLOOKUP(BW381,#REF!,3,FALSE)</f>
        <v>#REF!</v>
      </c>
      <c r="BW389" s="220" t="e">
        <f>VLOOKUP(BW381,#REF!,4,FALSE)</f>
        <v>#REF!</v>
      </c>
      <c r="BX389" s="221">
        <v>4</v>
      </c>
      <c r="BY389" s="66"/>
      <c r="CA389" s="77">
        <v>1</v>
      </c>
      <c r="CB389" s="78"/>
      <c r="CC389" s="79">
        <v>4</v>
      </c>
      <c r="CD389" s="80">
        <v>1</v>
      </c>
    </row>
    <row r="390" spans="73:82" ht="22.9" customHeight="1" thickTop="1" thickBot="1" x14ac:dyDescent="0.3"/>
    <row r="391" spans="73:82" ht="22.9" customHeight="1" thickTop="1" thickBot="1" x14ac:dyDescent="0.3">
      <c r="BW391" s="239">
        <f>BW381+1</f>
        <v>30</v>
      </c>
      <c r="BX391" s="240"/>
      <c r="BY391" s="240"/>
      <c r="BZ391" s="240"/>
      <c r="CA391" s="240"/>
      <c r="CB391" s="240"/>
      <c r="CC391" s="241"/>
    </row>
    <row r="392" spans="73:82" ht="22.9" customHeight="1" thickTop="1" x14ac:dyDescent="0.25">
      <c r="BW392" s="115" t="str">
        <f>BX398</f>
        <v>!!!</v>
      </c>
      <c r="BX392" s="116" t="s">
        <v>106</v>
      </c>
      <c r="BY392" s="117" t="s">
        <v>106</v>
      </c>
      <c r="BZ392" s="118" t="s">
        <v>106</v>
      </c>
      <c r="CA392" s="119" t="str">
        <f>Изопрайса</f>
        <v>R</v>
      </c>
      <c r="CB392" s="120" t="str">
        <f>Изопрайса</f>
        <v>R</v>
      </c>
      <c r="CC392" s="121" t="str">
        <f>Изопрайса</f>
        <v>R</v>
      </c>
    </row>
    <row r="393" spans="73:82" ht="22.9" customHeight="1" thickBot="1" x14ac:dyDescent="0.3">
      <c r="BW393" s="46">
        <f ca="1">CD398</f>
        <v>1</v>
      </c>
      <c r="BX393" s="47" t="s">
        <v>106</v>
      </c>
      <c r="BY393" s="48" t="s">
        <v>106</v>
      </c>
      <c r="BZ393" s="49" t="s">
        <v>106</v>
      </c>
      <c r="CA393" s="50" t="str">
        <f>Изопрайса</f>
        <v>R</v>
      </c>
      <c r="CB393" s="51" t="str">
        <f>Изопрайса</f>
        <v>R</v>
      </c>
      <c r="CC393" s="52" t="str">
        <f>Изопрайса</f>
        <v>R</v>
      </c>
    </row>
    <row r="394" spans="73:82" ht="22.9" customHeight="1" thickBot="1" x14ac:dyDescent="0.3">
      <c r="BW394" s="53">
        <f ca="1">Матрица_Расчёт</f>
        <v>0</v>
      </c>
      <c r="BX394" s="54" t="s">
        <v>106</v>
      </c>
      <c r="BY394" s="55" t="s">
        <v>106</v>
      </c>
      <c r="BZ394" s="56" t="s">
        <v>106</v>
      </c>
      <c r="CA394" s="57" t="str">
        <f>Изопрайса</f>
        <v>R</v>
      </c>
      <c r="CB394" s="58" t="str">
        <f>Изопрайса</f>
        <v>R</v>
      </c>
      <c r="CC394" s="59" t="str">
        <f>Изопрайса</f>
        <v>R</v>
      </c>
    </row>
    <row r="395" spans="73:82" ht="22.9" customHeight="1" thickTop="1" thickBot="1" x14ac:dyDescent="0.3"/>
    <row r="396" spans="73:82" ht="22.9" customHeight="1" thickTop="1" thickBot="1" x14ac:dyDescent="0.3">
      <c r="BU396" s="239">
        <f>BU386+2</f>
        <v>59</v>
      </c>
      <c r="BV396" s="240"/>
      <c r="BW396" s="240"/>
      <c r="BX396" s="241"/>
      <c r="BY396" s="5">
        <v>3</v>
      </c>
      <c r="CA396" s="239">
        <f>CA386+2</f>
        <v>60</v>
      </c>
      <c r="CB396" s="240"/>
      <c r="CC396" s="240"/>
      <c r="CD396" s="241"/>
    </row>
    <row r="397" spans="73:82" ht="22.9" customHeight="1" thickTop="1" x14ac:dyDescent="0.25">
      <c r="BU397" s="242" t="s">
        <v>359</v>
      </c>
      <c r="BV397" s="243"/>
      <c r="BW397" s="244"/>
      <c r="BX397" s="122"/>
      <c r="BY397" s="66"/>
      <c r="CA397" s="242" t="s">
        <v>357</v>
      </c>
      <c r="CB397" s="243"/>
      <c r="CC397" s="244"/>
      <c r="CD397" s="122"/>
    </row>
    <row r="398" spans="73:82" ht="22.9" customHeight="1" x14ac:dyDescent="0.25">
      <c r="BU398" s="214">
        <f ca="1">Min_1</f>
        <v>1</v>
      </c>
      <c r="BV398" s="215">
        <f ca="1">Mid_1</f>
        <v>4</v>
      </c>
      <c r="BW398" s="216">
        <f ca="1">Max_1</f>
        <v>1</v>
      </c>
      <c r="BX398" s="217" t="str">
        <f>Приведение</f>
        <v>!!!</v>
      </c>
      <c r="BY398" s="66"/>
      <c r="CA398" s="81">
        <f ca="1">Min_1</f>
        <v>1</v>
      </c>
      <c r="CB398" s="82">
        <f ca="1">Mid_1</f>
        <v>2.5</v>
      </c>
      <c r="CC398" s="83">
        <f ca="1">Max_1</f>
        <v>4</v>
      </c>
      <c r="CD398" s="76">
        <f ca="1">Приведение</f>
        <v>1</v>
      </c>
    </row>
    <row r="399" spans="73:82" ht="22.9" customHeight="1" thickBot="1" x14ac:dyDescent="0.3">
      <c r="BU399" s="218" t="e">
        <f>VLOOKUP(BW391,#REF!,2,FALSE)</f>
        <v>#REF!</v>
      </c>
      <c r="BV399" s="219" t="e">
        <f>VLOOKUP(BW391,#REF!,3,FALSE)</f>
        <v>#REF!</v>
      </c>
      <c r="BW399" s="220" t="e">
        <f>VLOOKUP(BW391,#REF!,4,FALSE)</f>
        <v>#REF!</v>
      </c>
      <c r="BX399" s="221">
        <v>5</v>
      </c>
      <c r="BY399" s="66"/>
      <c r="CA399" s="77">
        <v>1</v>
      </c>
      <c r="CB399" s="78"/>
      <c r="CC399" s="79">
        <v>4</v>
      </c>
      <c r="CD399" s="80">
        <v>1</v>
      </c>
    </row>
    <row r="400" spans="73:82" ht="22.9" customHeight="1" thickTop="1" thickBot="1" x14ac:dyDescent="0.3"/>
    <row r="401" spans="73:82" ht="22.9" customHeight="1" thickTop="1" thickBot="1" x14ac:dyDescent="0.3">
      <c r="BW401" s="239">
        <f>BW391+1</f>
        <v>31</v>
      </c>
      <c r="BX401" s="240"/>
      <c r="BY401" s="240"/>
      <c r="BZ401" s="240"/>
      <c r="CA401" s="240"/>
      <c r="CB401" s="240"/>
      <c r="CC401" s="241"/>
    </row>
    <row r="402" spans="73:82" ht="22.9" customHeight="1" thickTop="1" x14ac:dyDescent="0.25">
      <c r="BW402" s="115" t="str">
        <f>BX408</f>
        <v>!!!</v>
      </c>
      <c r="BX402" s="116" t="s">
        <v>106</v>
      </c>
      <c r="BY402" s="117" t="s">
        <v>106</v>
      </c>
      <c r="BZ402" s="118" t="s">
        <v>106</v>
      </c>
      <c r="CA402" s="119" t="str">
        <f>Изопрайса</f>
        <v>R</v>
      </c>
      <c r="CB402" s="120" t="str">
        <f>Изопрайса</f>
        <v>R</v>
      </c>
      <c r="CC402" s="121" t="str">
        <f>Изопрайса</f>
        <v>R</v>
      </c>
    </row>
    <row r="403" spans="73:82" ht="22.9" customHeight="1" thickBot="1" x14ac:dyDescent="0.3">
      <c r="BW403" s="46">
        <f ca="1">CD408</f>
        <v>1</v>
      </c>
      <c r="BX403" s="47" t="s">
        <v>106</v>
      </c>
      <c r="BY403" s="48" t="s">
        <v>106</v>
      </c>
      <c r="BZ403" s="49" t="s">
        <v>106</v>
      </c>
      <c r="CA403" s="50" t="str">
        <f>Изопрайса</f>
        <v>R</v>
      </c>
      <c r="CB403" s="51" t="str">
        <f>Изопрайса</f>
        <v>R</v>
      </c>
      <c r="CC403" s="52" t="str">
        <f>Изопрайса</f>
        <v>R</v>
      </c>
    </row>
    <row r="404" spans="73:82" ht="22.9" customHeight="1" thickBot="1" x14ac:dyDescent="0.3">
      <c r="BW404" s="53">
        <f ca="1">Матрица_Расчёт</f>
        <v>0</v>
      </c>
      <c r="BX404" s="54" t="s">
        <v>106</v>
      </c>
      <c r="BY404" s="55" t="s">
        <v>106</v>
      </c>
      <c r="BZ404" s="56" t="s">
        <v>106</v>
      </c>
      <c r="CA404" s="57" t="str">
        <f>Изопрайса</f>
        <v>R</v>
      </c>
      <c r="CB404" s="58" t="str">
        <f>Изопрайса</f>
        <v>R</v>
      </c>
      <c r="CC404" s="59" t="str">
        <f>Изопрайса</f>
        <v>R</v>
      </c>
    </row>
    <row r="405" spans="73:82" ht="22.9" customHeight="1" thickTop="1" thickBot="1" x14ac:dyDescent="0.3"/>
    <row r="406" spans="73:82" ht="22.9" customHeight="1" thickTop="1" thickBot="1" x14ac:dyDescent="0.3">
      <c r="BU406" s="239">
        <f>BU396+2</f>
        <v>61</v>
      </c>
      <c r="BV406" s="240"/>
      <c r="BW406" s="240"/>
      <c r="BX406" s="241"/>
      <c r="BY406" s="5">
        <v>3</v>
      </c>
      <c r="CA406" s="239">
        <f>CA396+2</f>
        <v>62</v>
      </c>
      <c r="CB406" s="240"/>
      <c r="CC406" s="240"/>
      <c r="CD406" s="241"/>
    </row>
    <row r="407" spans="73:82" ht="22.9" customHeight="1" thickTop="1" x14ac:dyDescent="0.25">
      <c r="BU407" s="242" t="s">
        <v>359</v>
      </c>
      <c r="BV407" s="243"/>
      <c r="BW407" s="244"/>
      <c r="BX407" s="122"/>
      <c r="BY407" s="66"/>
      <c r="CA407" s="242" t="s">
        <v>357</v>
      </c>
      <c r="CB407" s="243"/>
      <c r="CC407" s="244"/>
      <c r="CD407" s="122"/>
    </row>
    <row r="408" spans="73:82" ht="22.9" customHeight="1" x14ac:dyDescent="0.25">
      <c r="BU408" s="214">
        <f ca="1">Min_1</f>
        <v>1</v>
      </c>
      <c r="BV408" s="215">
        <f ca="1">Mid_1</f>
        <v>4</v>
      </c>
      <c r="BW408" s="216">
        <f ca="1">Max_1</f>
        <v>1</v>
      </c>
      <c r="BX408" s="217" t="str">
        <f>Приведение</f>
        <v>!!!</v>
      </c>
      <c r="BY408" s="66"/>
      <c r="CA408" s="81">
        <f ca="1">Min_1</f>
        <v>1</v>
      </c>
      <c r="CB408" s="82">
        <f ca="1">Mid_1</f>
        <v>2.5</v>
      </c>
      <c r="CC408" s="83">
        <f ca="1">Max_1</f>
        <v>4</v>
      </c>
      <c r="CD408" s="76">
        <f ca="1">Приведение</f>
        <v>1</v>
      </c>
    </row>
    <row r="409" spans="73:82" ht="22.9" customHeight="1" thickBot="1" x14ac:dyDescent="0.3">
      <c r="BU409" s="218" t="e">
        <f>VLOOKUP(BW401,#REF!,2,FALSE)</f>
        <v>#REF!</v>
      </c>
      <c r="BV409" s="219" t="e">
        <f>VLOOKUP(BW401,#REF!,3,FALSE)</f>
        <v>#REF!</v>
      </c>
      <c r="BW409" s="220" t="e">
        <f>VLOOKUP(BW401,#REF!,4,FALSE)</f>
        <v>#REF!</v>
      </c>
      <c r="BX409" s="221">
        <v>-1</v>
      </c>
      <c r="BY409" s="66"/>
      <c r="CA409" s="77">
        <v>1</v>
      </c>
      <c r="CB409" s="78"/>
      <c r="CC409" s="79">
        <v>4</v>
      </c>
      <c r="CD409" s="80">
        <v>1</v>
      </c>
    </row>
    <row r="410" spans="73:82" ht="22.9" customHeight="1" thickTop="1" thickBot="1" x14ac:dyDescent="0.3"/>
    <row r="411" spans="73:82" ht="22.9" customHeight="1" thickTop="1" thickBot="1" x14ac:dyDescent="0.3">
      <c r="BW411" s="239">
        <f>BW401+1</f>
        <v>32</v>
      </c>
      <c r="BX411" s="240"/>
      <c r="BY411" s="240"/>
      <c r="BZ411" s="240"/>
      <c r="CA411" s="240"/>
      <c r="CB411" s="240"/>
      <c r="CC411" s="241"/>
    </row>
    <row r="412" spans="73:82" ht="22.9" customHeight="1" thickTop="1" x14ac:dyDescent="0.25">
      <c r="BW412" s="115" t="str">
        <f>BX418</f>
        <v>!!!</v>
      </c>
      <c r="BX412" s="116" t="s">
        <v>106</v>
      </c>
      <c r="BY412" s="117" t="s">
        <v>106</v>
      </c>
      <c r="BZ412" s="118" t="s">
        <v>106</v>
      </c>
      <c r="CA412" s="119" t="str">
        <f>Изопрайса</f>
        <v>R</v>
      </c>
      <c r="CB412" s="120" t="str">
        <f>Изопрайса</f>
        <v>R</v>
      </c>
      <c r="CC412" s="121" t="str">
        <f>Изопрайса</f>
        <v>R</v>
      </c>
    </row>
    <row r="413" spans="73:82" ht="22.9" customHeight="1" thickBot="1" x14ac:dyDescent="0.3">
      <c r="BW413" s="46">
        <f ca="1">CD418</f>
        <v>1</v>
      </c>
      <c r="BX413" s="47" t="s">
        <v>106</v>
      </c>
      <c r="BY413" s="48" t="s">
        <v>106</v>
      </c>
      <c r="BZ413" s="49" t="s">
        <v>106</v>
      </c>
      <c r="CA413" s="50" t="str">
        <f>Изопрайса</f>
        <v>R</v>
      </c>
      <c r="CB413" s="51" t="str">
        <f>Изопрайса</f>
        <v>R</v>
      </c>
      <c r="CC413" s="52" t="str">
        <f>Изопрайса</f>
        <v>R</v>
      </c>
    </row>
    <row r="414" spans="73:82" ht="22.9" customHeight="1" thickBot="1" x14ac:dyDescent="0.3">
      <c r="BW414" s="53">
        <f ca="1">Матрица_Расчёт</f>
        <v>0</v>
      </c>
      <c r="BX414" s="54" t="s">
        <v>106</v>
      </c>
      <c r="BY414" s="55" t="s">
        <v>106</v>
      </c>
      <c r="BZ414" s="56" t="s">
        <v>106</v>
      </c>
      <c r="CA414" s="57" t="str">
        <f>Изопрайса</f>
        <v>R</v>
      </c>
      <c r="CB414" s="58" t="str">
        <f>Изопрайса</f>
        <v>R</v>
      </c>
      <c r="CC414" s="59" t="str">
        <f>Изопрайса</f>
        <v>R</v>
      </c>
    </row>
    <row r="415" spans="73:82" ht="22.9" customHeight="1" thickTop="1" thickBot="1" x14ac:dyDescent="0.3"/>
    <row r="416" spans="73:82" ht="22.9" customHeight="1" thickTop="1" thickBot="1" x14ac:dyDescent="0.3">
      <c r="BU416" s="239">
        <f>BU406+2</f>
        <v>63</v>
      </c>
      <c r="BV416" s="240"/>
      <c r="BW416" s="240"/>
      <c r="BX416" s="241"/>
      <c r="BY416" s="5">
        <v>3</v>
      </c>
      <c r="CA416" s="239">
        <f>CA406+2</f>
        <v>64</v>
      </c>
      <c r="CB416" s="240"/>
      <c r="CC416" s="240"/>
      <c r="CD416" s="241"/>
    </row>
    <row r="417" spans="73:82" ht="22.9" customHeight="1" thickTop="1" x14ac:dyDescent="0.25">
      <c r="BU417" s="242" t="s">
        <v>359</v>
      </c>
      <c r="BV417" s="243"/>
      <c r="BW417" s="244"/>
      <c r="BX417" s="122"/>
      <c r="BY417" s="66"/>
      <c r="CA417" s="242" t="s">
        <v>357</v>
      </c>
      <c r="CB417" s="243"/>
      <c r="CC417" s="244"/>
      <c r="CD417" s="122"/>
    </row>
    <row r="418" spans="73:82" ht="22.9" customHeight="1" x14ac:dyDescent="0.25">
      <c r="BU418" s="214">
        <f ca="1">Min_1</f>
        <v>1</v>
      </c>
      <c r="BV418" s="215">
        <f ca="1">Mid_1</f>
        <v>4</v>
      </c>
      <c r="BW418" s="216">
        <f ca="1">Max_1</f>
        <v>1</v>
      </c>
      <c r="BX418" s="217" t="str">
        <f>Приведение</f>
        <v>!!!</v>
      </c>
      <c r="BY418" s="66"/>
      <c r="CA418" s="81">
        <f ca="1">Min_1</f>
        <v>1</v>
      </c>
      <c r="CB418" s="82">
        <f ca="1">Mid_1</f>
        <v>2.5</v>
      </c>
      <c r="CC418" s="83">
        <f ca="1">Max_1</f>
        <v>4</v>
      </c>
      <c r="CD418" s="76">
        <f ca="1">Приведение</f>
        <v>1</v>
      </c>
    </row>
    <row r="419" spans="73:82" ht="22.9" customHeight="1" thickBot="1" x14ac:dyDescent="0.3">
      <c r="BU419" s="218" t="e">
        <f>VLOOKUP(BW411,#REF!,2,FALSE)</f>
        <v>#REF!</v>
      </c>
      <c r="BV419" s="219" t="e">
        <f>VLOOKUP(BW411,#REF!,3,FALSE)</f>
        <v>#REF!</v>
      </c>
      <c r="BW419" s="220" t="e">
        <f>VLOOKUP(BW411,#REF!,4,FALSE)</f>
        <v>#REF!</v>
      </c>
      <c r="BX419" s="221" t="e">
        <f>IF(BY416=1,BU419,IF(BY416=2,(BV419+BU419)/2,IF(BY416=3, BV419,IF(BY416=4,(BW419+BV419)/2,BW419))))</f>
        <v>#REF!</v>
      </c>
      <c r="BY419" s="66"/>
      <c r="CA419" s="77">
        <v>1</v>
      </c>
      <c r="CB419" s="78"/>
      <c r="CC419" s="79">
        <v>4</v>
      </c>
      <c r="CD419" s="80">
        <v>1</v>
      </c>
    </row>
    <row r="420" spans="73:82" ht="22.9" customHeight="1" thickTop="1" thickBot="1" x14ac:dyDescent="0.3"/>
    <row r="421" spans="73:82" ht="22.9" customHeight="1" thickTop="1" thickBot="1" x14ac:dyDescent="0.3">
      <c r="BW421" s="239">
        <f>BW411+1</f>
        <v>33</v>
      </c>
      <c r="BX421" s="240"/>
      <c r="BY421" s="240"/>
      <c r="BZ421" s="240"/>
      <c r="CA421" s="240"/>
      <c r="CB421" s="240"/>
      <c r="CC421" s="241"/>
    </row>
    <row r="422" spans="73:82" ht="22.9" customHeight="1" thickTop="1" x14ac:dyDescent="0.25">
      <c r="BW422" s="115" t="str">
        <f>BX428</f>
        <v>!!!</v>
      </c>
      <c r="BX422" s="116" t="s">
        <v>106</v>
      </c>
      <c r="BY422" s="117" t="s">
        <v>106</v>
      </c>
      <c r="BZ422" s="118" t="s">
        <v>106</v>
      </c>
      <c r="CA422" s="119" t="str">
        <f>Изопрайса</f>
        <v>R</v>
      </c>
      <c r="CB422" s="120" t="str">
        <f>Изопрайса</f>
        <v>R</v>
      </c>
      <c r="CC422" s="121" t="str">
        <f>Изопрайса</f>
        <v>R</v>
      </c>
    </row>
    <row r="423" spans="73:82" ht="22.9" customHeight="1" thickBot="1" x14ac:dyDescent="0.3">
      <c r="BW423" s="46">
        <f ca="1">CD428</f>
        <v>1</v>
      </c>
      <c r="BX423" s="47" t="s">
        <v>106</v>
      </c>
      <c r="BY423" s="48" t="s">
        <v>106</v>
      </c>
      <c r="BZ423" s="49" t="s">
        <v>106</v>
      </c>
      <c r="CA423" s="50" t="str">
        <f>Изопрайса</f>
        <v>R</v>
      </c>
      <c r="CB423" s="51" t="str">
        <f>Изопрайса</f>
        <v>R</v>
      </c>
      <c r="CC423" s="52" t="str">
        <f>Изопрайса</f>
        <v>R</v>
      </c>
    </row>
    <row r="424" spans="73:82" ht="22.9" customHeight="1" thickBot="1" x14ac:dyDescent="0.3">
      <c r="BW424" s="53">
        <f ca="1">Матрица_Расчёт</f>
        <v>0</v>
      </c>
      <c r="BX424" s="54" t="s">
        <v>106</v>
      </c>
      <c r="BY424" s="55" t="s">
        <v>106</v>
      </c>
      <c r="BZ424" s="56" t="s">
        <v>106</v>
      </c>
      <c r="CA424" s="57" t="str">
        <f>Изопрайса</f>
        <v>R</v>
      </c>
      <c r="CB424" s="58" t="str">
        <f>Изопрайса</f>
        <v>R</v>
      </c>
      <c r="CC424" s="59" t="str">
        <f>Изопрайса</f>
        <v>R</v>
      </c>
    </row>
    <row r="425" spans="73:82" ht="22.9" customHeight="1" thickTop="1" thickBot="1" x14ac:dyDescent="0.3"/>
    <row r="426" spans="73:82" ht="22.9" customHeight="1" thickTop="1" thickBot="1" x14ac:dyDescent="0.3">
      <c r="BU426" s="239">
        <f>BU416+2</f>
        <v>65</v>
      </c>
      <c r="BV426" s="240"/>
      <c r="BW426" s="240"/>
      <c r="BX426" s="241"/>
      <c r="BY426" s="5">
        <v>3</v>
      </c>
      <c r="CA426" s="239">
        <f>CA416+2</f>
        <v>66</v>
      </c>
      <c r="CB426" s="240"/>
      <c r="CC426" s="240"/>
      <c r="CD426" s="241"/>
    </row>
    <row r="427" spans="73:82" ht="22.9" customHeight="1" thickTop="1" x14ac:dyDescent="0.25">
      <c r="BU427" s="242" t="s">
        <v>359</v>
      </c>
      <c r="BV427" s="243"/>
      <c r="BW427" s="244"/>
      <c r="BX427" s="122"/>
      <c r="BY427" s="66"/>
      <c r="CA427" s="242" t="s">
        <v>357</v>
      </c>
      <c r="CB427" s="243"/>
      <c r="CC427" s="244"/>
      <c r="CD427" s="122"/>
    </row>
    <row r="428" spans="73:82" ht="22.9" customHeight="1" x14ac:dyDescent="0.25">
      <c r="BU428" s="214">
        <f ca="1">Min_1</f>
        <v>1</v>
      </c>
      <c r="BV428" s="215">
        <f ca="1">Mid_1</f>
        <v>4</v>
      </c>
      <c r="BW428" s="216">
        <f ca="1">Max_1</f>
        <v>1</v>
      </c>
      <c r="BX428" s="217" t="str">
        <f>Приведение</f>
        <v>!!!</v>
      </c>
      <c r="BY428" s="66"/>
      <c r="CA428" s="81">
        <f ca="1">Min_1</f>
        <v>1</v>
      </c>
      <c r="CB428" s="82">
        <f ca="1">Mid_1</f>
        <v>2.5</v>
      </c>
      <c r="CC428" s="83">
        <f ca="1">Max_1</f>
        <v>4</v>
      </c>
      <c r="CD428" s="76">
        <f ca="1">Приведение</f>
        <v>1</v>
      </c>
    </row>
    <row r="429" spans="73:82" ht="22.9" customHeight="1" thickBot="1" x14ac:dyDescent="0.3">
      <c r="BU429" s="218" t="e">
        <f>VLOOKUP(BW421,#REF!,2,FALSE)</f>
        <v>#REF!</v>
      </c>
      <c r="BV429" s="219" t="e">
        <f>VLOOKUP(BW421,#REF!,3,FALSE)</f>
        <v>#REF!</v>
      </c>
      <c r="BW429" s="220" t="e">
        <f>VLOOKUP(BW421,#REF!,4,FALSE)</f>
        <v>#REF!</v>
      </c>
      <c r="BX429" s="221">
        <v>2</v>
      </c>
      <c r="BY429" s="66"/>
      <c r="CA429" s="77">
        <v>1</v>
      </c>
      <c r="CB429" s="78"/>
      <c r="CC429" s="79">
        <v>4</v>
      </c>
      <c r="CD429" s="80">
        <v>1</v>
      </c>
    </row>
    <row r="430" spans="73:82" ht="22.9" customHeight="1" thickTop="1" thickBot="1" x14ac:dyDescent="0.3"/>
    <row r="431" spans="73:82" ht="22.9" customHeight="1" thickTop="1" thickBot="1" x14ac:dyDescent="0.3">
      <c r="BW431" s="239">
        <f>BW421+1</f>
        <v>34</v>
      </c>
      <c r="BX431" s="240"/>
      <c r="BY431" s="240"/>
      <c r="BZ431" s="240"/>
      <c r="CA431" s="240"/>
      <c r="CB431" s="240"/>
      <c r="CC431" s="241"/>
    </row>
    <row r="432" spans="73:82" ht="22.9" customHeight="1" thickTop="1" x14ac:dyDescent="0.25">
      <c r="BW432" s="115" t="str">
        <f>BX438</f>
        <v>!!!</v>
      </c>
      <c r="BX432" s="116" t="s">
        <v>106</v>
      </c>
      <c r="BY432" s="117" t="s">
        <v>106</v>
      </c>
      <c r="BZ432" s="118" t="s">
        <v>106</v>
      </c>
      <c r="CA432" s="119" t="str">
        <f>Изопрайса</f>
        <v>R</v>
      </c>
      <c r="CB432" s="120" t="str">
        <f>Изопрайса</f>
        <v>R</v>
      </c>
      <c r="CC432" s="121" t="str">
        <f>Изопрайса</f>
        <v>R</v>
      </c>
    </row>
    <row r="433" spans="73:82" ht="22.9" customHeight="1" thickBot="1" x14ac:dyDescent="0.3">
      <c r="BW433" s="46">
        <f ca="1">CD438</f>
        <v>1</v>
      </c>
      <c r="BX433" s="47" t="s">
        <v>106</v>
      </c>
      <c r="BY433" s="48" t="s">
        <v>106</v>
      </c>
      <c r="BZ433" s="49" t="s">
        <v>106</v>
      </c>
      <c r="CA433" s="50" t="str">
        <f>Изопрайса</f>
        <v>R</v>
      </c>
      <c r="CB433" s="51" t="str">
        <f>Изопрайса</f>
        <v>R</v>
      </c>
      <c r="CC433" s="52" t="str">
        <f>Изопрайса</f>
        <v>R</v>
      </c>
    </row>
    <row r="434" spans="73:82" ht="22.9" customHeight="1" thickBot="1" x14ac:dyDescent="0.3">
      <c r="BW434" s="53">
        <f ca="1">Матрица_Расчёт</f>
        <v>0</v>
      </c>
      <c r="BX434" s="54" t="s">
        <v>106</v>
      </c>
      <c r="BY434" s="55" t="s">
        <v>106</v>
      </c>
      <c r="BZ434" s="56" t="s">
        <v>106</v>
      </c>
      <c r="CA434" s="57" t="str">
        <f>Изопрайса</f>
        <v>R</v>
      </c>
      <c r="CB434" s="58" t="str">
        <f>Изопрайса</f>
        <v>R</v>
      </c>
      <c r="CC434" s="59" t="str">
        <f>Изопрайса</f>
        <v>R</v>
      </c>
    </row>
    <row r="435" spans="73:82" ht="22.9" customHeight="1" thickTop="1" thickBot="1" x14ac:dyDescent="0.3"/>
    <row r="436" spans="73:82" ht="22.9" customHeight="1" thickTop="1" thickBot="1" x14ac:dyDescent="0.3">
      <c r="BU436" s="239">
        <f>BU426+2</f>
        <v>67</v>
      </c>
      <c r="BV436" s="240"/>
      <c r="BW436" s="240"/>
      <c r="BX436" s="241"/>
      <c r="BY436" s="5">
        <v>3</v>
      </c>
      <c r="CA436" s="239">
        <f>CA426+2</f>
        <v>68</v>
      </c>
      <c r="CB436" s="240"/>
      <c r="CC436" s="240"/>
      <c r="CD436" s="241"/>
    </row>
    <row r="437" spans="73:82" ht="22.9" customHeight="1" thickTop="1" x14ac:dyDescent="0.25">
      <c r="BU437" s="242" t="s">
        <v>359</v>
      </c>
      <c r="BV437" s="243"/>
      <c r="BW437" s="244"/>
      <c r="BX437" s="122"/>
      <c r="BY437" s="66"/>
      <c r="CA437" s="242" t="s">
        <v>357</v>
      </c>
      <c r="CB437" s="243"/>
      <c r="CC437" s="244"/>
      <c r="CD437" s="122"/>
    </row>
    <row r="438" spans="73:82" ht="22.9" customHeight="1" x14ac:dyDescent="0.25">
      <c r="BU438" s="214">
        <f ca="1">Min_1</f>
        <v>1</v>
      </c>
      <c r="BV438" s="215">
        <f ca="1">Mid_1</f>
        <v>4</v>
      </c>
      <c r="BW438" s="216">
        <f ca="1">Max_1</f>
        <v>1</v>
      </c>
      <c r="BX438" s="217" t="str">
        <f>Приведение</f>
        <v>!!!</v>
      </c>
      <c r="BY438" s="66"/>
      <c r="CA438" s="81">
        <f ca="1">Min_1</f>
        <v>1</v>
      </c>
      <c r="CB438" s="82">
        <f ca="1">Mid_1</f>
        <v>2.5</v>
      </c>
      <c r="CC438" s="83">
        <f ca="1">Max_1</f>
        <v>4</v>
      </c>
      <c r="CD438" s="76">
        <f ca="1">Приведение</f>
        <v>1</v>
      </c>
    </row>
    <row r="439" spans="73:82" ht="22.9" customHeight="1" thickBot="1" x14ac:dyDescent="0.3">
      <c r="BU439" s="218" t="e">
        <f>VLOOKUP(BW431,#REF!,2,FALSE)</f>
        <v>#REF!</v>
      </c>
      <c r="BV439" s="219" t="e">
        <f>VLOOKUP(BW431,#REF!,3,FALSE)</f>
        <v>#REF!</v>
      </c>
      <c r="BW439" s="220" t="e">
        <f>VLOOKUP(BW431,#REF!,4,FALSE)</f>
        <v>#REF!</v>
      </c>
      <c r="BX439" s="221">
        <v>2</v>
      </c>
      <c r="BY439" s="66"/>
      <c r="CA439" s="77">
        <v>1</v>
      </c>
      <c r="CB439" s="78"/>
      <c r="CC439" s="79">
        <v>4</v>
      </c>
      <c r="CD439" s="80">
        <v>1</v>
      </c>
    </row>
    <row r="440" spans="73:82" ht="22.9" customHeight="1" thickTop="1" thickBot="1" x14ac:dyDescent="0.3"/>
    <row r="441" spans="73:82" ht="22.9" customHeight="1" thickTop="1" thickBot="1" x14ac:dyDescent="0.3">
      <c r="BW441" s="239">
        <f>BW431+1</f>
        <v>35</v>
      </c>
      <c r="BX441" s="240"/>
      <c r="BY441" s="240"/>
      <c r="BZ441" s="240"/>
      <c r="CA441" s="240"/>
      <c r="CB441" s="240"/>
      <c r="CC441" s="241"/>
    </row>
    <row r="442" spans="73:82" ht="22.9" customHeight="1" thickTop="1" x14ac:dyDescent="0.25">
      <c r="BW442" s="115" t="str">
        <f>BX448</f>
        <v>!!!</v>
      </c>
      <c r="BX442" s="116" t="s">
        <v>106</v>
      </c>
      <c r="BY442" s="117" t="s">
        <v>106</v>
      </c>
      <c r="BZ442" s="118" t="s">
        <v>106</v>
      </c>
      <c r="CA442" s="119" t="str">
        <f>Изопрайса</f>
        <v>R</v>
      </c>
      <c r="CB442" s="120" t="str">
        <f>Изопрайса</f>
        <v>R</v>
      </c>
      <c r="CC442" s="121" t="str">
        <f>Изопрайса</f>
        <v>R</v>
      </c>
    </row>
    <row r="443" spans="73:82" ht="22.9" customHeight="1" thickBot="1" x14ac:dyDescent="0.3">
      <c r="BW443" s="46">
        <f ca="1">CD448</f>
        <v>1</v>
      </c>
      <c r="BX443" s="47" t="s">
        <v>106</v>
      </c>
      <c r="BY443" s="48" t="s">
        <v>106</v>
      </c>
      <c r="BZ443" s="49" t="s">
        <v>106</v>
      </c>
      <c r="CA443" s="50" t="str">
        <f>Изопрайса</f>
        <v>R</v>
      </c>
      <c r="CB443" s="51" t="str">
        <f>Изопрайса</f>
        <v>R</v>
      </c>
      <c r="CC443" s="52" t="str">
        <f>Изопрайса</f>
        <v>R</v>
      </c>
    </row>
    <row r="444" spans="73:82" ht="22.9" customHeight="1" thickBot="1" x14ac:dyDescent="0.3">
      <c r="BW444" s="53">
        <f ca="1">Матрица_Расчёт</f>
        <v>0</v>
      </c>
      <c r="BX444" s="54" t="s">
        <v>106</v>
      </c>
      <c r="BY444" s="55" t="s">
        <v>106</v>
      </c>
      <c r="BZ444" s="56" t="s">
        <v>106</v>
      </c>
      <c r="CA444" s="57" t="str">
        <f>Изопрайса</f>
        <v>R</v>
      </c>
      <c r="CB444" s="58" t="str">
        <f>Изопрайса</f>
        <v>R</v>
      </c>
      <c r="CC444" s="59" t="str">
        <f>Изопрайса</f>
        <v>R</v>
      </c>
    </row>
    <row r="445" spans="73:82" ht="22.9" customHeight="1" thickTop="1" thickBot="1" x14ac:dyDescent="0.3"/>
    <row r="446" spans="73:82" ht="22.9" customHeight="1" thickTop="1" thickBot="1" x14ac:dyDescent="0.3">
      <c r="BU446" s="239">
        <f>BU436+2</f>
        <v>69</v>
      </c>
      <c r="BV446" s="240"/>
      <c r="BW446" s="240"/>
      <c r="BX446" s="241"/>
      <c r="BY446" s="5">
        <v>3</v>
      </c>
      <c r="CA446" s="239">
        <f>CA436+2</f>
        <v>70</v>
      </c>
      <c r="CB446" s="240"/>
      <c r="CC446" s="240"/>
      <c r="CD446" s="241"/>
    </row>
    <row r="447" spans="73:82" ht="22.9" customHeight="1" thickTop="1" x14ac:dyDescent="0.25">
      <c r="BU447" s="242" t="s">
        <v>359</v>
      </c>
      <c r="BV447" s="243"/>
      <c r="BW447" s="244"/>
      <c r="BX447" s="122"/>
      <c r="BY447" s="66"/>
      <c r="CA447" s="242" t="s">
        <v>357</v>
      </c>
      <c r="CB447" s="243"/>
      <c r="CC447" s="244"/>
      <c r="CD447" s="122"/>
    </row>
    <row r="448" spans="73:82" ht="22.9" customHeight="1" x14ac:dyDescent="0.25">
      <c r="BU448" s="214">
        <f ca="1">Min_1</f>
        <v>1</v>
      </c>
      <c r="BV448" s="215">
        <f ca="1">Mid_1</f>
        <v>4</v>
      </c>
      <c r="BW448" s="216">
        <f ca="1">Max_1</f>
        <v>1</v>
      </c>
      <c r="BX448" s="217" t="str">
        <f>Приведение</f>
        <v>!!!</v>
      </c>
      <c r="BY448" s="66"/>
      <c r="CA448" s="81">
        <f ca="1">Min_1</f>
        <v>1</v>
      </c>
      <c r="CB448" s="82">
        <f ca="1">Mid_1</f>
        <v>2.5</v>
      </c>
      <c r="CC448" s="83">
        <f ca="1">Max_1</f>
        <v>4</v>
      </c>
      <c r="CD448" s="76">
        <f ca="1">Приведение</f>
        <v>1</v>
      </c>
    </row>
    <row r="449" spans="73:82" ht="22.9" customHeight="1" thickBot="1" x14ac:dyDescent="0.3">
      <c r="BU449" s="218" t="e">
        <f>VLOOKUP(BW441,#REF!,2,FALSE)</f>
        <v>#REF!</v>
      </c>
      <c r="BV449" s="219" t="e">
        <f>VLOOKUP(BW441,#REF!,3,FALSE)</f>
        <v>#REF!</v>
      </c>
      <c r="BW449" s="220" t="e">
        <f>VLOOKUP(BW441,#REF!,4,FALSE)</f>
        <v>#REF!</v>
      </c>
      <c r="BX449" s="221">
        <v>2.5</v>
      </c>
      <c r="BY449" s="66"/>
      <c r="CA449" s="77">
        <v>1</v>
      </c>
      <c r="CB449" s="78"/>
      <c r="CC449" s="79">
        <v>4</v>
      </c>
      <c r="CD449" s="80">
        <v>1</v>
      </c>
    </row>
    <row r="450" spans="73:82" ht="22.9" customHeight="1" thickTop="1" thickBot="1" x14ac:dyDescent="0.3"/>
    <row r="451" spans="73:82" ht="22.9" customHeight="1" thickTop="1" thickBot="1" x14ac:dyDescent="0.3">
      <c r="BW451" s="239">
        <f>BW441+1</f>
        <v>36</v>
      </c>
      <c r="BX451" s="240"/>
      <c r="BY451" s="240"/>
      <c r="BZ451" s="240"/>
      <c r="CA451" s="240"/>
      <c r="CB451" s="240"/>
      <c r="CC451" s="241"/>
    </row>
    <row r="452" spans="73:82" ht="22.9" customHeight="1" thickTop="1" x14ac:dyDescent="0.25">
      <c r="BW452" s="115" t="str">
        <f>BX458</f>
        <v>!!!</v>
      </c>
      <c r="BX452" s="116" t="s">
        <v>106</v>
      </c>
      <c r="BY452" s="117" t="s">
        <v>106</v>
      </c>
      <c r="BZ452" s="118" t="s">
        <v>106</v>
      </c>
      <c r="CA452" s="119" t="str">
        <f>Изопрайса</f>
        <v>R</v>
      </c>
      <c r="CB452" s="120" t="str">
        <f>Изопрайса</f>
        <v>R</v>
      </c>
      <c r="CC452" s="121" t="str">
        <f>Изопрайса</f>
        <v>R</v>
      </c>
    </row>
    <row r="453" spans="73:82" ht="22.9" customHeight="1" thickBot="1" x14ac:dyDescent="0.3">
      <c r="BW453" s="46">
        <f ca="1">CD458</f>
        <v>1</v>
      </c>
      <c r="BX453" s="47" t="s">
        <v>106</v>
      </c>
      <c r="BY453" s="48" t="s">
        <v>106</v>
      </c>
      <c r="BZ453" s="49" t="s">
        <v>106</v>
      </c>
      <c r="CA453" s="50" t="str">
        <f>Изопрайса</f>
        <v>R</v>
      </c>
      <c r="CB453" s="51" t="str">
        <f>Изопрайса</f>
        <v>R</v>
      </c>
      <c r="CC453" s="52" t="str">
        <f>Изопрайса</f>
        <v>R</v>
      </c>
    </row>
    <row r="454" spans="73:82" ht="22.9" customHeight="1" thickBot="1" x14ac:dyDescent="0.3">
      <c r="BW454" s="53">
        <f ca="1">Матрица_Расчёт</f>
        <v>0</v>
      </c>
      <c r="BX454" s="54" t="s">
        <v>106</v>
      </c>
      <c r="BY454" s="55" t="s">
        <v>106</v>
      </c>
      <c r="BZ454" s="56" t="s">
        <v>106</v>
      </c>
      <c r="CA454" s="57" t="str">
        <f>Изопрайса</f>
        <v>R</v>
      </c>
      <c r="CB454" s="58" t="str">
        <f>Изопрайса</f>
        <v>R</v>
      </c>
      <c r="CC454" s="59" t="str">
        <f>Изопрайса</f>
        <v>R</v>
      </c>
    </row>
    <row r="455" spans="73:82" ht="22.9" customHeight="1" thickTop="1" thickBot="1" x14ac:dyDescent="0.3"/>
    <row r="456" spans="73:82" ht="22.9" customHeight="1" thickTop="1" thickBot="1" x14ac:dyDescent="0.3">
      <c r="BU456" s="239">
        <f>BU446+2</f>
        <v>71</v>
      </c>
      <c r="BV456" s="240"/>
      <c r="BW456" s="240"/>
      <c r="BX456" s="241"/>
      <c r="BY456" s="5">
        <v>3</v>
      </c>
      <c r="CA456" s="239">
        <f>CA446+2</f>
        <v>72</v>
      </c>
      <c r="CB456" s="240"/>
      <c r="CC456" s="240"/>
      <c r="CD456" s="241"/>
    </row>
    <row r="457" spans="73:82" ht="22.9" customHeight="1" thickTop="1" x14ac:dyDescent="0.25">
      <c r="BU457" s="242" t="s">
        <v>359</v>
      </c>
      <c r="BV457" s="243"/>
      <c r="BW457" s="244"/>
      <c r="BX457" s="122"/>
      <c r="BY457" s="66"/>
      <c r="CA457" s="242" t="s">
        <v>357</v>
      </c>
      <c r="CB457" s="243"/>
      <c r="CC457" s="244"/>
      <c r="CD457" s="122"/>
    </row>
    <row r="458" spans="73:82" ht="22.9" customHeight="1" x14ac:dyDescent="0.25">
      <c r="BU458" s="214">
        <f ca="1">Min_1</f>
        <v>1</v>
      </c>
      <c r="BV458" s="215">
        <f ca="1">Mid_1</f>
        <v>4</v>
      </c>
      <c r="BW458" s="216">
        <f ca="1">Max_1</f>
        <v>1</v>
      </c>
      <c r="BX458" s="217" t="str">
        <f>Приведение</f>
        <v>!!!</v>
      </c>
      <c r="BY458" s="66"/>
      <c r="CA458" s="81">
        <f ca="1">Min_1</f>
        <v>1</v>
      </c>
      <c r="CB458" s="82">
        <f ca="1">Mid_1</f>
        <v>2.5</v>
      </c>
      <c r="CC458" s="83">
        <f ca="1">Max_1</f>
        <v>4</v>
      </c>
      <c r="CD458" s="76">
        <f ca="1">Приведение</f>
        <v>1</v>
      </c>
    </row>
    <row r="459" spans="73:82" ht="22.9" customHeight="1" thickBot="1" x14ac:dyDescent="0.3">
      <c r="BU459" s="218" t="e">
        <f>VLOOKUP(BW451,#REF!,2,FALSE)</f>
        <v>#REF!</v>
      </c>
      <c r="BV459" s="219" t="e">
        <f>VLOOKUP(BW451,#REF!,3,FALSE)</f>
        <v>#REF!</v>
      </c>
      <c r="BW459" s="220" t="e">
        <f>VLOOKUP(BW451,#REF!,4,FALSE)</f>
        <v>#REF!</v>
      </c>
      <c r="BX459" s="221">
        <v>-1</v>
      </c>
      <c r="BY459" s="66"/>
      <c r="CA459" s="77">
        <v>1</v>
      </c>
      <c r="CB459" s="78"/>
      <c r="CC459" s="79">
        <v>4</v>
      </c>
      <c r="CD459" s="80">
        <v>1</v>
      </c>
    </row>
    <row r="460" spans="73:82" ht="22.9" customHeight="1" thickTop="1" thickBot="1" x14ac:dyDescent="0.3"/>
    <row r="461" spans="73:82" ht="22.9" customHeight="1" thickTop="1" thickBot="1" x14ac:dyDescent="0.3">
      <c r="BW461" s="239">
        <f>BW451+1</f>
        <v>37</v>
      </c>
      <c r="BX461" s="240"/>
      <c r="BY461" s="240"/>
      <c r="BZ461" s="240"/>
      <c r="CA461" s="240"/>
      <c r="CB461" s="240"/>
      <c r="CC461" s="241"/>
    </row>
    <row r="462" spans="73:82" ht="22.9" customHeight="1" thickTop="1" x14ac:dyDescent="0.25">
      <c r="BW462" s="115" t="str">
        <f>BX468</f>
        <v>!!!</v>
      </c>
      <c r="BX462" s="116" t="s">
        <v>106</v>
      </c>
      <c r="BY462" s="117" t="s">
        <v>106</v>
      </c>
      <c r="BZ462" s="118" t="s">
        <v>106</v>
      </c>
      <c r="CA462" s="119" t="str">
        <f>Изопрайса</f>
        <v>R</v>
      </c>
      <c r="CB462" s="120" t="str">
        <f>Изопрайса</f>
        <v>R</v>
      </c>
      <c r="CC462" s="121" t="str">
        <f>Изопрайса</f>
        <v>R</v>
      </c>
    </row>
    <row r="463" spans="73:82" ht="22.9" customHeight="1" thickBot="1" x14ac:dyDescent="0.3">
      <c r="BW463" s="46">
        <f ca="1">CD468</f>
        <v>1</v>
      </c>
      <c r="BX463" s="47" t="s">
        <v>106</v>
      </c>
      <c r="BY463" s="48" t="s">
        <v>106</v>
      </c>
      <c r="BZ463" s="49" t="s">
        <v>106</v>
      </c>
      <c r="CA463" s="50" t="str">
        <f>Изопрайса</f>
        <v>R</v>
      </c>
      <c r="CB463" s="51" t="str">
        <f>Изопрайса</f>
        <v>R</v>
      </c>
      <c r="CC463" s="52" t="str">
        <f>Изопрайса</f>
        <v>R</v>
      </c>
    </row>
    <row r="464" spans="73:82" ht="22.9" customHeight="1" thickBot="1" x14ac:dyDescent="0.3">
      <c r="BW464" s="53">
        <f ca="1">Матрица_Расчёт</f>
        <v>0</v>
      </c>
      <c r="BX464" s="54" t="s">
        <v>106</v>
      </c>
      <c r="BY464" s="55" t="s">
        <v>106</v>
      </c>
      <c r="BZ464" s="56" t="s">
        <v>106</v>
      </c>
      <c r="CA464" s="57" t="str">
        <f>Изопрайса</f>
        <v>R</v>
      </c>
      <c r="CB464" s="58" t="str">
        <f>Изопрайса</f>
        <v>R</v>
      </c>
      <c r="CC464" s="59" t="str">
        <f>Изопрайса</f>
        <v>R</v>
      </c>
    </row>
    <row r="465" spans="73:82" ht="22.9" customHeight="1" thickTop="1" thickBot="1" x14ac:dyDescent="0.3"/>
    <row r="466" spans="73:82" ht="22.9" customHeight="1" thickTop="1" thickBot="1" x14ac:dyDescent="0.3">
      <c r="BU466" s="239">
        <f>BU456+2</f>
        <v>73</v>
      </c>
      <c r="BV466" s="240"/>
      <c r="BW466" s="240"/>
      <c r="BX466" s="241"/>
      <c r="BY466" s="5">
        <v>3</v>
      </c>
      <c r="CA466" s="239">
        <f>CA456+2</f>
        <v>74</v>
      </c>
      <c r="CB466" s="240"/>
      <c r="CC466" s="240"/>
      <c r="CD466" s="241"/>
    </row>
    <row r="467" spans="73:82" ht="22.9" customHeight="1" thickTop="1" x14ac:dyDescent="0.25">
      <c r="BU467" s="242" t="s">
        <v>359</v>
      </c>
      <c r="BV467" s="243"/>
      <c r="BW467" s="244"/>
      <c r="BX467" s="122"/>
      <c r="BY467" s="66"/>
      <c r="CA467" s="242" t="s">
        <v>357</v>
      </c>
      <c r="CB467" s="243"/>
      <c r="CC467" s="244"/>
      <c r="CD467" s="122"/>
    </row>
    <row r="468" spans="73:82" ht="22.9" customHeight="1" x14ac:dyDescent="0.25">
      <c r="BU468" s="214">
        <f ca="1">Min_1</f>
        <v>1</v>
      </c>
      <c r="BV468" s="215">
        <f ca="1">Mid_1</f>
        <v>4</v>
      </c>
      <c r="BW468" s="216">
        <f ca="1">Max_1</f>
        <v>1</v>
      </c>
      <c r="BX468" s="217" t="str">
        <f>Приведение</f>
        <v>!!!</v>
      </c>
      <c r="BY468" s="66"/>
      <c r="CA468" s="81">
        <f ca="1">Min_1</f>
        <v>1</v>
      </c>
      <c r="CB468" s="82">
        <f ca="1">Mid_1</f>
        <v>2.5</v>
      </c>
      <c r="CC468" s="83">
        <f ca="1">Max_1</f>
        <v>4</v>
      </c>
      <c r="CD468" s="76">
        <f ca="1">Приведение</f>
        <v>1</v>
      </c>
    </row>
    <row r="469" spans="73:82" ht="22.9" customHeight="1" thickBot="1" x14ac:dyDescent="0.3">
      <c r="BU469" s="218" t="e">
        <f>VLOOKUP(BW461,#REF!,2,FALSE)</f>
        <v>#REF!</v>
      </c>
      <c r="BV469" s="219" t="e">
        <f>VLOOKUP(BW461,#REF!,3,FALSE)</f>
        <v>#REF!</v>
      </c>
      <c r="BW469" s="220" t="e">
        <f>VLOOKUP(BW461,#REF!,4,FALSE)</f>
        <v>#REF!</v>
      </c>
      <c r="BX469" s="221">
        <v>1</v>
      </c>
      <c r="BY469" s="66"/>
      <c r="CA469" s="77">
        <v>1</v>
      </c>
      <c r="CB469" s="78"/>
      <c r="CC469" s="79">
        <v>4</v>
      </c>
      <c r="CD469" s="80">
        <v>1</v>
      </c>
    </row>
    <row r="470" spans="73:82" ht="22.9" customHeight="1" thickTop="1" thickBot="1" x14ac:dyDescent="0.3"/>
    <row r="471" spans="73:82" ht="22.9" customHeight="1" thickTop="1" thickBot="1" x14ac:dyDescent="0.3">
      <c r="BW471" s="239">
        <f>BW461+1</f>
        <v>38</v>
      </c>
      <c r="BX471" s="240"/>
      <c r="BY471" s="240"/>
      <c r="BZ471" s="240"/>
      <c r="CA471" s="240"/>
      <c r="CB471" s="240"/>
      <c r="CC471" s="241"/>
    </row>
    <row r="472" spans="73:82" ht="22.9" customHeight="1" thickTop="1" x14ac:dyDescent="0.25">
      <c r="BW472" s="115" t="str">
        <f>BX478</f>
        <v>!!!</v>
      </c>
      <c r="BX472" s="116" t="s">
        <v>106</v>
      </c>
      <c r="BY472" s="117" t="s">
        <v>106</v>
      </c>
      <c r="BZ472" s="118" t="s">
        <v>106</v>
      </c>
      <c r="CA472" s="119" t="str">
        <f>Изопрайса</f>
        <v>R</v>
      </c>
      <c r="CB472" s="120" t="str">
        <f>Изопрайса</f>
        <v>R</v>
      </c>
      <c r="CC472" s="121" t="str">
        <f>Изопрайса</f>
        <v>R</v>
      </c>
    </row>
    <row r="473" spans="73:82" ht="22.9" customHeight="1" thickBot="1" x14ac:dyDescent="0.3">
      <c r="BW473" s="46">
        <f ca="1">CD478</f>
        <v>1</v>
      </c>
      <c r="BX473" s="47" t="s">
        <v>106</v>
      </c>
      <c r="BY473" s="48" t="s">
        <v>106</v>
      </c>
      <c r="BZ473" s="49" t="s">
        <v>106</v>
      </c>
      <c r="CA473" s="50" t="str">
        <f>Изопрайса</f>
        <v>R</v>
      </c>
      <c r="CB473" s="51" t="str">
        <f>Изопрайса</f>
        <v>R</v>
      </c>
      <c r="CC473" s="52" t="str">
        <f>Изопрайса</f>
        <v>R</v>
      </c>
    </row>
    <row r="474" spans="73:82" ht="22.9" customHeight="1" thickBot="1" x14ac:dyDescent="0.3">
      <c r="BW474" s="53">
        <f ca="1">Матрица_Расчёт</f>
        <v>0</v>
      </c>
      <c r="BX474" s="54" t="s">
        <v>106</v>
      </c>
      <c r="BY474" s="55" t="s">
        <v>106</v>
      </c>
      <c r="BZ474" s="56" t="s">
        <v>106</v>
      </c>
      <c r="CA474" s="57" t="str">
        <f>Изопрайса</f>
        <v>R</v>
      </c>
      <c r="CB474" s="58" t="str">
        <f>Изопрайса</f>
        <v>R</v>
      </c>
      <c r="CC474" s="59" t="str">
        <f>Изопрайса</f>
        <v>R</v>
      </c>
    </row>
    <row r="475" spans="73:82" ht="22.9" customHeight="1" thickTop="1" thickBot="1" x14ac:dyDescent="0.3"/>
    <row r="476" spans="73:82" ht="22.9" customHeight="1" thickTop="1" thickBot="1" x14ac:dyDescent="0.3">
      <c r="BU476" s="239">
        <f>BU466+2</f>
        <v>75</v>
      </c>
      <c r="BV476" s="240"/>
      <c r="BW476" s="240"/>
      <c r="BX476" s="241"/>
      <c r="BY476" s="5">
        <v>3</v>
      </c>
      <c r="CA476" s="239">
        <f>CA466+2</f>
        <v>76</v>
      </c>
      <c r="CB476" s="240"/>
      <c r="CC476" s="240"/>
      <c r="CD476" s="241"/>
    </row>
    <row r="477" spans="73:82" ht="22.9" customHeight="1" thickTop="1" x14ac:dyDescent="0.25">
      <c r="BU477" s="242" t="s">
        <v>359</v>
      </c>
      <c r="BV477" s="243"/>
      <c r="BW477" s="244"/>
      <c r="BX477" s="122"/>
      <c r="BY477" s="66"/>
      <c r="CA477" s="242" t="s">
        <v>357</v>
      </c>
      <c r="CB477" s="243"/>
      <c r="CC477" s="244"/>
      <c r="CD477" s="122"/>
    </row>
    <row r="478" spans="73:82" ht="22.9" customHeight="1" x14ac:dyDescent="0.25">
      <c r="BU478" s="214">
        <f ca="1">Min_1</f>
        <v>1</v>
      </c>
      <c r="BV478" s="215">
        <f ca="1">Mid_1</f>
        <v>4</v>
      </c>
      <c r="BW478" s="216">
        <f ca="1">Max_1</f>
        <v>1</v>
      </c>
      <c r="BX478" s="217" t="str">
        <f>Приведение</f>
        <v>!!!</v>
      </c>
      <c r="BY478" s="66"/>
      <c r="CA478" s="81">
        <f ca="1">Min_1</f>
        <v>1</v>
      </c>
      <c r="CB478" s="82">
        <f ca="1">Mid_1</f>
        <v>2.5</v>
      </c>
      <c r="CC478" s="83">
        <f ca="1">Max_1</f>
        <v>4</v>
      </c>
      <c r="CD478" s="76">
        <f ca="1">Приведение</f>
        <v>1</v>
      </c>
    </row>
    <row r="479" spans="73:82" ht="22.9" customHeight="1" thickBot="1" x14ac:dyDescent="0.3">
      <c r="BU479" s="218" t="e">
        <f>VLOOKUP(BW471,#REF!,2,FALSE)</f>
        <v>#REF!</v>
      </c>
      <c r="BV479" s="219" t="e">
        <f>VLOOKUP(BW471,#REF!,3,FALSE)</f>
        <v>#REF!</v>
      </c>
      <c r="BW479" s="220" t="e">
        <f>VLOOKUP(BW471,#REF!,4,FALSE)</f>
        <v>#REF!</v>
      </c>
      <c r="BX479" s="221">
        <v>2</v>
      </c>
      <c r="BY479" s="66"/>
      <c r="CA479" s="77">
        <v>1</v>
      </c>
      <c r="CB479" s="78"/>
      <c r="CC479" s="79">
        <v>4</v>
      </c>
      <c r="CD479" s="80">
        <v>1</v>
      </c>
    </row>
    <row r="480" spans="73:82" ht="22.9" customHeight="1" thickTop="1" thickBot="1" x14ac:dyDescent="0.3"/>
    <row r="481" spans="73:82" ht="22.9" customHeight="1" thickTop="1" thickBot="1" x14ac:dyDescent="0.3">
      <c r="BW481" s="239">
        <f>BW471+1</f>
        <v>39</v>
      </c>
      <c r="BX481" s="240"/>
      <c r="BY481" s="240"/>
      <c r="BZ481" s="240"/>
      <c r="CA481" s="240"/>
      <c r="CB481" s="240"/>
      <c r="CC481" s="241"/>
    </row>
    <row r="482" spans="73:82" ht="22.9" customHeight="1" thickTop="1" x14ac:dyDescent="0.25">
      <c r="BW482" s="115" t="str">
        <f>BX488</f>
        <v>!!!</v>
      </c>
      <c r="BX482" s="116" t="s">
        <v>106</v>
      </c>
      <c r="BY482" s="117" t="s">
        <v>106</v>
      </c>
      <c r="BZ482" s="118" t="s">
        <v>106</v>
      </c>
      <c r="CA482" s="119" t="str">
        <f>Изопрайса</f>
        <v>R</v>
      </c>
      <c r="CB482" s="120" t="str">
        <f>Изопрайса</f>
        <v>R</v>
      </c>
      <c r="CC482" s="121" t="str">
        <f>Изопрайса</f>
        <v>R</v>
      </c>
    </row>
    <row r="483" spans="73:82" ht="22.9" customHeight="1" thickBot="1" x14ac:dyDescent="0.3">
      <c r="BW483" s="46">
        <f ca="1">CD488</f>
        <v>1</v>
      </c>
      <c r="BX483" s="47" t="s">
        <v>106</v>
      </c>
      <c r="BY483" s="48" t="s">
        <v>106</v>
      </c>
      <c r="BZ483" s="49" t="s">
        <v>106</v>
      </c>
      <c r="CA483" s="50" t="str">
        <f>Изопрайса</f>
        <v>R</v>
      </c>
      <c r="CB483" s="51" t="str">
        <f>Изопрайса</f>
        <v>R</v>
      </c>
      <c r="CC483" s="52" t="str">
        <f>Изопрайса</f>
        <v>R</v>
      </c>
    </row>
    <row r="484" spans="73:82" ht="22.9" customHeight="1" thickBot="1" x14ac:dyDescent="0.3">
      <c r="BW484" s="53">
        <f ca="1">Матрица_Расчёт</f>
        <v>0</v>
      </c>
      <c r="BX484" s="54" t="s">
        <v>106</v>
      </c>
      <c r="BY484" s="55" t="s">
        <v>106</v>
      </c>
      <c r="BZ484" s="56" t="s">
        <v>106</v>
      </c>
      <c r="CA484" s="57" t="str">
        <f>Изопрайса</f>
        <v>R</v>
      </c>
      <c r="CB484" s="58" t="str">
        <f>Изопрайса</f>
        <v>R</v>
      </c>
      <c r="CC484" s="59" t="str">
        <f>Изопрайса</f>
        <v>R</v>
      </c>
    </row>
    <row r="485" spans="73:82" ht="22.9" customHeight="1" thickTop="1" thickBot="1" x14ac:dyDescent="0.3"/>
    <row r="486" spans="73:82" ht="22.9" customHeight="1" thickTop="1" thickBot="1" x14ac:dyDescent="0.3">
      <c r="BU486" s="239">
        <f>BU476+2</f>
        <v>77</v>
      </c>
      <c r="BV486" s="240"/>
      <c r="BW486" s="240"/>
      <c r="BX486" s="241"/>
      <c r="BY486" s="5">
        <v>3</v>
      </c>
      <c r="CA486" s="239">
        <f>CA476+2</f>
        <v>78</v>
      </c>
      <c r="CB486" s="240"/>
      <c r="CC486" s="240"/>
      <c r="CD486" s="241"/>
    </row>
    <row r="487" spans="73:82" ht="22.9" customHeight="1" thickTop="1" x14ac:dyDescent="0.25">
      <c r="BU487" s="242" t="s">
        <v>359</v>
      </c>
      <c r="BV487" s="243"/>
      <c r="BW487" s="244"/>
      <c r="BX487" s="122"/>
      <c r="BY487" s="66"/>
      <c r="CA487" s="242" t="s">
        <v>357</v>
      </c>
      <c r="CB487" s="243"/>
      <c r="CC487" s="244"/>
      <c r="CD487" s="122"/>
    </row>
    <row r="488" spans="73:82" ht="22.9" customHeight="1" x14ac:dyDescent="0.25">
      <c r="BU488" s="214">
        <f ca="1">Min_1</f>
        <v>1</v>
      </c>
      <c r="BV488" s="215">
        <f ca="1">Mid_1</f>
        <v>4</v>
      </c>
      <c r="BW488" s="216">
        <f ca="1">Max_1</f>
        <v>1</v>
      </c>
      <c r="BX488" s="217" t="str">
        <f>Приведение</f>
        <v>!!!</v>
      </c>
      <c r="BY488" s="66"/>
      <c r="CA488" s="81">
        <f ca="1">Min_1</f>
        <v>1</v>
      </c>
      <c r="CB488" s="82">
        <f ca="1">Mid_1</f>
        <v>2.5</v>
      </c>
      <c r="CC488" s="83">
        <f ca="1">Max_1</f>
        <v>4</v>
      </c>
      <c r="CD488" s="76">
        <f ca="1">Приведение</f>
        <v>1</v>
      </c>
    </row>
    <row r="489" spans="73:82" ht="22.9" customHeight="1" thickBot="1" x14ac:dyDescent="0.3">
      <c r="BU489" s="218" t="e">
        <f>VLOOKUP(BW481,#REF!,2,FALSE)</f>
        <v>#REF!</v>
      </c>
      <c r="BV489" s="219" t="e">
        <f>VLOOKUP(BW481,#REF!,3,FALSE)</f>
        <v>#REF!</v>
      </c>
      <c r="BW489" s="220" t="e">
        <f>VLOOKUP(BW481,#REF!,4,FALSE)</f>
        <v>#REF!</v>
      </c>
      <c r="BX489" s="221">
        <v>2</v>
      </c>
      <c r="BY489" s="66"/>
      <c r="CA489" s="77">
        <v>1</v>
      </c>
      <c r="CB489" s="78"/>
      <c r="CC489" s="79">
        <v>4</v>
      </c>
      <c r="CD489" s="80">
        <v>1</v>
      </c>
    </row>
    <row r="490" spans="73:82" ht="22.9" customHeight="1" thickTop="1" thickBot="1" x14ac:dyDescent="0.3"/>
    <row r="491" spans="73:82" ht="22.9" customHeight="1" thickTop="1" thickBot="1" x14ac:dyDescent="0.3">
      <c r="BW491" s="239">
        <f>BW481+1</f>
        <v>40</v>
      </c>
      <c r="BX491" s="240"/>
      <c r="BY491" s="240"/>
      <c r="BZ491" s="240"/>
      <c r="CA491" s="240"/>
      <c r="CB491" s="240"/>
      <c r="CC491" s="241"/>
    </row>
    <row r="492" spans="73:82" ht="22.9" customHeight="1" thickTop="1" x14ac:dyDescent="0.25">
      <c r="BW492" s="115" t="str">
        <f>BX498</f>
        <v>!!!</v>
      </c>
      <c r="BX492" s="116" t="s">
        <v>106</v>
      </c>
      <c r="BY492" s="117" t="s">
        <v>106</v>
      </c>
      <c r="BZ492" s="118" t="s">
        <v>106</v>
      </c>
      <c r="CA492" s="119" t="str">
        <f>Изопрайса</f>
        <v>R</v>
      </c>
      <c r="CB492" s="120" t="str">
        <f>Изопрайса</f>
        <v>R</v>
      </c>
      <c r="CC492" s="121" t="str">
        <f>Изопрайса</f>
        <v>R</v>
      </c>
    </row>
    <row r="493" spans="73:82" ht="22.9" customHeight="1" thickBot="1" x14ac:dyDescent="0.3">
      <c r="BW493" s="46">
        <f ca="1">CD498</f>
        <v>1</v>
      </c>
      <c r="BX493" s="47" t="s">
        <v>106</v>
      </c>
      <c r="BY493" s="48" t="s">
        <v>106</v>
      </c>
      <c r="BZ493" s="49" t="s">
        <v>106</v>
      </c>
      <c r="CA493" s="50" t="str">
        <f>Изопрайса</f>
        <v>R</v>
      </c>
      <c r="CB493" s="51" t="str">
        <f>Изопрайса</f>
        <v>R</v>
      </c>
      <c r="CC493" s="52" t="str">
        <f>Изопрайса</f>
        <v>R</v>
      </c>
    </row>
    <row r="494" spans="73:82" ht="22.9" customHeight="1" thickBot="1" x14ac:dyDescent="0.3">
      <c r="BW494" s="53">
        <f ca="1">Матрица_Расчёт</f>
        <v>0</v>
      </c>
      <c r="BX494" s="54" t="s">
        <v>106</v>
      </c>
      <c r="BY494" s="55" t="s">
        <v>106</v>
      </c>
      <c r="BZ494" s="56" t="s">
        <v>106</v>
      </c>
      <c r="CA494" s="57" t="str">
        <f>Изопрайса</f>
        <v>R</v>
      </c>
      <c r="CB494" s="58" t="str">
        <f>Изопрайса</f>
        <v>R</v>
      </c>
      <c r="CC494" s="59" t="str">
        <f>Изопрайса</f>
        <v>R</v>
      </c>
    </row>
    <row r="495" spans="73:82" ht="22.9" customHeight="1" thickTop="1" thickBot="1" x14ac:dyDescent="0.3"/>
    <row r="496" spans="73:82" ht="22.9" customHeight="1" thickTop="1" thickBot="1" x14ac:dyDescent="0.3">
      <c r="BU496" s="239">
        <f>BU486+2</f>
        <v>79</v>
      </c>
      <c r="BV496" s="240"/>
      <c r="BW496" s="240"/>
      <c r="BX496" s="241"/>
      <c r="BY496" s="5">
        <v>3</v>
      </c>
      <c r="CA496" s="239">
        <f>CA486+2</f>
        <v>80</v>
      </c>
      <c r="CB496" s="240"/>
      <c r="CC496" s="240"/>
      <c r="CD496" s="241"/>
    </row>
    <row r="497" spans="73:82" ht="22.9" customHeight="1" thickTop="1" x14ac:dyDescent="0.25">
      <c r="BU497" s="242" t="s">
        <v>359</v>
      </c>
      <c r="BV497" s="243"/>
      <c r="BW497" s="244"/>
      <c r="BX497" s="122"/>
      <c r="BY497" s="66"/>
      <c r="CA497" s="242" t="s">
        <v>357</v>
      </c>
      <c r="CB497" s="243"/>
      <c r="CC497" s="244"/>
      <c r="CD497" s="122"/>
    </row>
    <row r="498" spans="73:82" ht="22.9" customHeight="1" x14ac:dyDescent="0.25">
      <c r="BU498" s="214">
        <f ca="1">Min_1</f>
        <v>1</v>
      </c>
      <c r="BV498" s="215">
        <f ca="1">Mid_1</f>
        <v>4</v>
      </c>
      <c r="BW498" s="216">
        <f ca="1">Max_1</f>
        <v>1</v>
      </c>
      <c r="BX498" s="217" t="str">
        <f>Приведение</f>
        <v>!!!</v>
      </c>
      <c r="BY498" s="66"/>
      <c r="CA498" s="81">
        <f ca="1">Min_1</f>
        <v>1</v>
      </c>
      <c r="CB498" s="82">
        <f ca="1">Mid_1</f>
        <v>2.5</v>
      </c>
      <c r="CC498" s="83">
        <f ca="1">Max_1</f>
        <v>4</v>
      </c>
      <c r="CD498" s="76">
        <f ca="1">Приведение</f>
        <v>1</v>
      </c>
    </row>
    <row r="499" spans="73:82" ht="22.9" customHeight="1" thickBot="1" x14ac:dyDescent="0.3">
      <c r="BU499" s="218" t="e">
        <f>VLOOKUP(BW491,#REF!,2,FALSE)</f>
        <v>#REF!</v>
      </c>
      <c r="BV499" s="219" t="e">
        <f>VLOOKUP(BW491,#REF!,3,FALSE)</f>
        <v>#REF!</v>
      </c>
      <c r="BW499" s="220" t="e">
        <f>VLOOKUP(BW491,#REF!,4,FALSE)</f>
        <v>#REF!</v>
      </c>
      <c r="BX499" s="221" t="e">
        <f>IF(BY496=1,BU499,IF(BY496=2,(BV499+BU499)/2,IF(BY496=3, BV499,IF(BY496=4,(BW499+BV499)/2,BW499))))</f>
        <v>#REF!</v>
      </c>
      <c r="BY499" s="66"/>
      <c r="CA499" s="77">
        <v>1</v>
      </c>
      <c r="CB499" s="78"/>
      <c r="CC499" s="79">
        <v>4</v>
      </c>
      <c r="CD499" s="80">
        <v>1</v>
      </c>
    </row>
    <row r="500" spans="73:82" ht="22.9" customHeight="1" thickTop="1" thickBot="1" x14ac:dyDescent="0.3"/>
    <row r="501" spans="73:82" ht="22.9" customHeight="1" thickTop="1" thickBot="1" x14ac:dyDescent="0.3">
      <c r="BW501" s="239">
        <f>BW491+1</f>
        <v>41</v>
      </c>
      <c r="BX501" s="240"/>
      <c r="BY501" s="240"/>
      <c r="BZ501" s="240"/>
      <c r="CA501" s="240"/>
      <c r="CB501" s="240"/>
      <c r="CC501" s="241"/>
    </row>
    <row r="502" spans="73:82" ht="22.9" customHeight="1" thickTop="1" x14ac:dyDescent="0.25">
      <c r="BW502" s="115" t="str">
        <f>BX508</f>
        <v>!!!</v>
      </c>
      <c r="BX502" s="116" t="s">
        <v>106</v>
      </c>
      <c r="BY502" s="117" t="s">
        <v>106</v>
      </c>
      <c r="BZ502" s="118" t="s">
        <v>106</v>
      </c>
      <c r="CA502" s="119" t="str">
        <f>Изопрайса</f>
        <v>R</v>
      </c>
      <c r="CB502" s="120" t="str">
        <f>Изопрайса</f>
        <v>R</v>
      </c>
      <c r="CC502" s="121" t="str">
        <f>Изопрайса</f>
        <v>R</v>
      </c>
    </row>
    <row r="503" spans="73:82" ht="22.9" customHeight="1" thickBot="1" x14ac:dyDescent="0.3">
      <c r="BW503" s="46">
        <f ca="1">CD508</f>
        <v>1</v>
      </c>
      <c r="BX503" s="47" t="s">
        <v>106</v>
      </c>
      <c r="BY503" s="48" t="s">
        <v>106</v>
      </c>
      <c r="BZ503" s="49" t="s">
        <v>106</v>
      </c>
      <c r="CA503" s="50" t="str">
        <f>Изопрайса</f>
        <v>R</v>
      </c>
      <c r="CB503" s="51" t="str">
        <f>Изопрайса</f>
        <v>R</v>
      </c>
      <c r="CC503" s="52" t="str">
        <f>Изопрайса</f>
        <v>R</v>
      </c>
    </row>
    <row r="504" spans="73:82" ht="22.9" customHeight="1" thickBot="1" x14ac:dyDescent="0.3">
      <c r="BW504" s="53">
        <f ca="1">Матрица_Расчёт</f>
        <v>0</v>
      </c>
      <c r="BX504" s="54" t="s">
        <v>106</v>
      </c>
      <c r="BY504" s="55" t="s">
        <v>106</v>
      </c>
      <c r="BZ504" s="56" t="s">
        <v>106</v>
      </c>
      <c r="CA504" s="57" t="str">
        <f>Изопрайса</f>
        <v>R</v>
      </c>
      <c r="CB504" s="58" t="str">
        <f>Изопрайса</f>
        <v>R</v>
      </c>
      <c r="CC504" s="59" t="str">
        <f>Изопрайса</f>
        <v>R</v>
      </c>
    </row>
    <row r="505" spans="73:82" ht="22.9" customHeight="1" thickTop="1" thickBot="1" x14ac:dyDescent="0.3"/>
    <row r="506" spans="73:82" ht="22.9" customHeight="1" thickTop="1" thickBot="1" x14ac:dyDescent="0.3">
      <c r="BU506" s="239">
        <f>BU496+2</f>
        <v>81</v>
      </c>
      <c r="BV506" s="240"/>
      <c r="BW506" s="240"/>
      <c r="BX506" s="241"/>
      <c r="BY506" s="5">
        <v>3</v>
      </c>
      <c r="CA506" s="239">
        <f>CA496+2</f>
        <v>82</v>
      </c>
      <c r="CB506" s="240"/>
      <c r="CC506" s="240"/>
      <c r="CD506" s="241"/>
    </row>
    <row r="507" spans="73:82" ht="22.9" customHeight="1" thickTop="1" x14ac:dyDescent="0.25">
      <c r="BU507" s="242" t="s">
        <v>359</v>
      </c>
      <c r="BV507" s="243"/>
      <c r="BW507" s="244"/>
      <c r="BX507" s="122"/>
      <c r="BY507" s="66"/>
      <c r="CA507" s="242" t="s">
        <v>357</v>
      </c>
      <c r="CB507" s="243"/>
      <c r="CC507" s="244"/>
      <c r="CD507" s="122"/>
    </row>
    <row r="508" spans="73:82" ht="22.9" customHeight="1" x14ac:dyDescent="0.25">
      <c r="BU508" s="214">
        <f ca="1">Min_1</f>
        <v>1</v>
      </c>
      <c r="BV508" s="215">
        <f ca="1">Mid_1</f>
        <v>4</v>
      </c>
      <c r="BW508" s="216">
        <f ca="1">Max_1</f>
        <v>1</v>
      </c>
      <c r="BX508" s="217" t="str">
        <f>Приведение</f>
        <v>!!!</v>
      </c>
      <c r="BY508" s="66"/>
      <c r="CA508" s="81">
        <f ca="1">Min_1</f>
        <v>1</v>
      </c>
      <c r="CB508" s="82">
        <f ca="1">Mid_1</f>
        <v>2.5</v>
      </c>
      <c r="CC508" s="83">
        <f ca="1">Max_1</f>
        <v>4</v>
      </c>
      <c r="CD508" s="76">
        <f ca="1">Приведение</f>
        <v>1</v>
      </c>
    </row>
    <row r="509" spans="73:82" ht="22.9" customHeight="1" thickBot="1" x14ac:dyDescent="0.3">
      <c r="BU509" s="218" t="e">
        <f>VLOOKUP(BW501,#REF!,2,FALSE)</f>
        <v>#REF!</v>
      </c>
      <c r="BV509" s="219" t="e">
        <f>VLOOKUP(BW501,#REF!,3,FALSE)</f>
        <v>#REF!</v>
      </c>
      <c r="BW509" s="220" t="e">
        <f>VLOOKUP(BW501,#REF!,4,FALSE)</f>
        <v>#REF!</v>
      </c>
      <c r="BX509" s="221">
        <v>5</v>
      </c>
      <c r="BY509" s="66"/>
      <c r="CA509" s="77">
        <v>1</v>
      </c>
      <c r="CB509" s="78"/>
      <c r="CC509" s="79">
        <v>4</v>
      </c>
      <c r="CD509" s="80">
        <v>1</v>
      </c>
    </row>
    <row r="510" spans="73:82" ht="22.9" customHeight="1" thickTop="1" thickBot="1" x14ac:dyDescent="0.3"/>
    <row r="511" spans="73:82" ht="22.9" customHeight="1" thickTop="1" thickBot="1" x14ac:dyDescent="0.3">
      <c r="BW511" s="239">
        <f>BW501+1</f>
        <v>42</v>
      </c>
      <c r="BX511" s="240"/>
      <c r="BY511" s="240"/>
      <c r="BZ511" s="240"/>
      <c r="CA511" s="240"/>
      <c r="CB511" s="240"/>
      <c r="CC511" s="241"/>
    </row>
    <row r="512" spans="73:82" ht="22.9" customHeight="1" thickTop="1" x14ac:dyDescent="0.25">
      <c r="BW512" s="115" t="str">
        <f>BX518</f>
        <v>!!!</v>
      </c>
      <c r="BX512" s="116" t="s">
        <v>106</v>
      </c>
      <c r="BY512" s="117" t="s">
        <v>106</v>
      </c>
      <c r="BZ512" s="118" t="s">
        <v>106</v>
      </c>
      <c r="CA512" s="119" t="str">
        <f>Изопрайса</f>
        <v>R</v>
      </c>
      <c r="CB512" s="120" t="str">
        <f>Изопрайса</f>
        <v>R</v>
      </c>
      <c r="CC512" s="121" t="str">
        <f>Изопрайса</f>
        <v>R</v>
      </c>
    </row>
    <row r="513" spans="73:82" ht="22.9" customHeight="1" thickBot="1" x14ac:dyDescent="0.3">
      <c r="BW513" s="46">
        <f ca="1">CD518</f>
        <v>1</v>
      </c>
      <c r="BX513" s="47" t="s">
        <v>106</v>
      </c>
      <c r="BY513" s="48" t="s">
        <v>106</v>
      </c>
      <c r="BZ513" s="49" t="s">
        <v>106</v>
      </c>
      <c r="CA513" s="50" t="str">
        <f>Изопрайса</f>
        <v>R</v>
      </c>
      <c r="CB513" s="51" t="str">
        <f>Изопрайса</f>
        <v>R</v>
      </c>
      <c r="CC513" s="52" t="str">
        <f>Изопрайса</f>
        <v>R</v>
      </c>
    </row>
    <row r="514" spans="73:82" ht="22.9" customHeight="1" thickBot="1" x14ac:dyDescent="0.3">
      <c r="BW514" s="53">
        <f ca="1">Матрица_Расчёт</f>
        <v>0</v>
      </c>
      <c r="BX514" s="54" t="s">
        <v>106</v>
      </c>
      <c r="BY514" s="55" t="s">
        <v>106</v>
      </c>
      <c r="BZ514" s="56" t="s">
        <v>106</v>
      </c>
      <c r="CA514" s="57" t="str">
        <f>Изопрайса</f>
        <v>R</v>
      </c>
      <c r="CB514" s="58" t="str">
        <f>Изопрайса</f>
        <v>R</v>
      </c>
      <c r="CC514" s="59" t="str">
        <f>Изопрайса</f>
        <v>R</v>
      </c>
    </row>
    <row r="515" spans="73:82" ht="22.9" customHeight="1" thickTop="1" thickBot="1" x14ac:dyDescent="0.3"/>
    <row r="516" spans="73:82" ht="22.9" customHeight="1" thickTop="1" thickBot="1" x14ac:dyDescent="0.3">
      <c r="BU516" s="239">
        <f>BU506+2</f>
        <v>83</v>
      </c>
      <c r="BV516" s="240"/>
      <c r="BW516" s="240"/>
      <c r="BX516" s="241"/>
      <c r="BY516" s="5">
        <v>3</v>
      </c>
      <c r="CA516" s="239">
        <f>CA506+2</f>
        <v>84</v>
      </c>
      <c r="CB516" s="240"/>
      <c r="CC516" s="240"/>
      <c r="CD516" s="241"/>
    </row>
    <row r="517" spans="73:82" ht="22.9" customHeight="1" thickTop="1" x14ac:dyDescent="0.25">
      <c r="BU517" s="242" t="s">
        <v>359</v>
      </c>
      <c r="BV517" s="243"/>
      <c r="BW517" s="244"/>
      <c r="BX517" s="122"/>
      <c r="BY517" s="66"/>
      <c r="CA517" s="242" t="s">
        <v>357</v>
      </c>
      <c r="CB517" s="243"/>
      <c r="CC517" s="244"/>
      <c r="CD517" s="122"/>
    </row>
    <row r="518" spans="73:82" ht="22.9" customHeight="1" x14ac:dyDescent="0.25">
      <c r="BU518" s="214">
        <f ca="1">Min_1</f>
        <v>1</v>
      </c>
      <c r="BV518" s="215">
        <f ca="1">Mid_1</f>
        <v>4</v>
      </c>
      <c r="BW518" s="216">
        <f ca="1">Max_1</f>
        <v>1</v>
      </c>
      <c r="BX518" s="217" t="str">
        <f>Приведение</f>
        <v>!!!</v>
      </c>
      <c r="BY518" s="66"/>
      <c r="CA518" s="81">
        <f ca="1">Min_1</f>
        <v>1</v>
      </c>
      <c r="CB518" s="82">
        <f ca="1">Mid_1</f>
        <v>2.5</v>
      </c>
      <c r="CC518" s="83">
        <f ca="1">Max_1</f>
        <v>4</v>
      </c>
      <c r="CD518" s="76">
        <f ca="1">Приведение</f>
        <v>1</v>
      </c>
    </row>
    <row r="519" spans="73:82" ht="22.9" customHeight="1" thickBot="1" x14ac:dyDescent="0.3">
      <c r="BU519" s="218" t="e">
        <f>VLOOKUP(BW511,#REF!,2,FALSE)</f>
        <v>#REF!</v>
      </c>
      <c r="BV519" s="219" t="e">
        <f>VLOOKUP(BW511,#REF!,3,FALSE)</f>
        <v>#REF!</v>
      </c>
      <c r="BW519" s="220" t="e">
        <f>VLOOKUP(BW511,#REF!,4,FALSE)</f>
        <v>#REF!</v>
      </c>
      <c r="BX519" s="221">
        <v>3</v>
      </c>
      <c r="BY519" s="66"/>
      <c r="CA519" s="77">
        <v>1</v>
      </c>
      <c r="CB519" s="78"/>
      <c r="CC519" s="79">
        <v>4</v>
      </c>
      <c r="CD519" s="80">
        <v>1</v>
      </c>
    </row>
    <row r="520" spans="73:82" ht="22.9" customHeight="1" thickTop="1" thickBot="1" x14ac:dyDescent="0.3"/>
    <row r="521" spans="73:82" ht="22.9" customHeight="1" thickTop="1" thickBot="1" x14ac:dyDescent="0.3">
      <c r="BW521" s="239">
        <f>BW511+1</f>
        <v>43</v>
      </c>
      <c r="BX521" s="240"/>
      <c r="BY521" s="240"/>
      <c r="BZ521" s="240"/>
      <c r="CA521" s="240"/>
      <c r="CB521" s="240"/>
      <c r="CC521" s="241"/>
    </row>
    <row r="522" spans="73:82" ht="22.9" customHeight="1" thickTop="1" x14ac:dyDescent="0.25">
      <c r="BW522" s="115" t="str">
        <f>BX528</f>
        <v>!!!</v>
      </c>
      <c r="BX522" s="116" t="s">
        <v>106</v>
      </c>
      <c r="BY522" s="117" t="s">
        <v>106</v>
      </c>
      <c r="BZ522" s="118" t="s">
        <v>106</v>
      </c>
      <c r="CA522" s="119" t="str">
        <f>Изопрайса</f>
        <v>R</v>
      </c>
      <c r="CB522" s="120" t="str">
        <f>Изопрайса</f>
        <v>R</v>
      </c>
      <c r="CC522" s="121" t="str">
        <f>Изопрайса</f>
        <v>R</v>
      </c>
    </row>
    <row r="523" spans="73:82" ht="22.9" customHeight="1" thickBot="1" x14ac:dyDescent="0.3">
      <c r="BW523" s="46">
        <f ca="1">CD528</f>
        <v>1</v>
      </c>
      <c r="BX523" s="47" t="s">
        <v>106</v>
      </c>
      <c r="BY523" s="48" t="s">
        <v>106</v>
      </c>
      <c r="BZ523" s="49" t="s">
        <v>106</v>
      </c>
      <c r="CA523" s="50" t="str">
        <f>Изопрайса</f>
        <v>R</v>
      </c>
      <c r="CB523" s="51" t="str">
        <f>Изопрайса</f>
        <v>R</v>
      </c>
      <c r="CC523" s="52" t="str">
        <f>Изопрайса</f>
        <v>R</v>
      </c>
    </row>
    <row r="524" spans="73:82" ht="22.9" customHeight="1" thickBot="1" x14ac:dyDescent="0.3">
      <c r="BW524" s="53">
        <f ca="1">Матрица_Расчёт</f>
        <v>0</v>
      </c>
      <c r="BX524" s="54" t="s">
        <v>106</v>
      </c>
      <c r="BY524" s="55" t="s">
        <v>106</v>
      </c>
      <c r="BZ524" s="56" t="s">
        <v>106</v>
      </c>
      <c r="CA524" s="57" t="str">
        <f>Изопрайса</f>
        <v>R</v>
      </c>
      <c r="CB524" s="58" t="str">
        <f>Изопрайса</f>
        <v>R</v>
      </c>
      <c r="CC524" s="59" t="str">
        <f>Изопрайса</f>
        <v>R</v>
      </c>
    </row>
    <row r="525" spans="73:82" ht="22.9" customHeight="1" thickTop="1" thickBot="1" x14ac:dyDescent="0.3"/>
    <row r="526" spans="73:82" ht="22.9" customHeight="1" thickTop="1" thickBot="1" x14ac:dyDescent="0.3">
      <c r="BU526" s="239">
        <f>BU516+2</f>
        <v>85</v>
      </c>
      <c r="BV526" s="240"/>
      <c r="BW526" s="240"/>
      <c r="BX526" s="241"/>
      <c r="BY526" s="5">
        <v>3</v>
      </c>
      <c r="CA526" s="239">
        <f>CA516+2</f>
        <v>86</v>
      </c>
      <c r="CB526" s="240"/>
      <c r="CC526" s="240"/>
      <c r="CD526" s="241"/>
    </row>
    <row r="527" spans="73:82" ht="22.9" customHeight="1" thickTop="1" x14ac:dyDescent="0.25">
      <c r="BU527" s="242" t="s">
        <v>359</v>
      </c>
      <c r="BV527" s="243"/>
      <c r="BW527" s="244"/>
      <c r="BX527" s="122"/>
      <c r="BY527" s="66"/>
      <c r="CA527" s="242" t="s">
        <v>357</v>
      </c>
      <c r="CB527" s="243"/>
      <c r="CC527" s="244"/>
      <c r="CD527" s="122"/>
    </row>
    <row r="528" spans="73:82" ht="22.9" customHeight="1" x14ac:dyDescent="0.25">
      <c r="BU528" s="214">
        <f ca="1">Min_1</f>
        <v>1</v>
      </c>
      <c r="BV528" s="215">
        <f ca="1">Mid_1</f>
        <v>4</v>
      </c>
      <c r="BW528" s="216">
        <f ca="1">Max_1</f>
        <v>1</v>
      </c>
      <c r="BX528" s="217" t="str">
        <f>Приведение</f>
        <v>!!!</v>
      </c>
      <c r="BY528" s="66"/>
      <c r="CA528" s="81">
        <f ca="1">Min_1</f>
        <v>1</v>
      </c>
      <c r="CB528" s="82">
        <f ca="1">Mid_1</f>
        <v>2.5</v>
      </c>
      <c r="CC528" s="83">
        <f ca="1">Max_1</f>
        <v>4</v>
      </c>
      <c r="CD528" s="76">
        <f ca="1">Приведение</f>
        <v>1</v>
      </c>
    </row>
    <row r="529" spans="73:82" ht="22.9" customHeight="1" thickBot="1" x14ac:dyDescent="0.3">
      <c r="BU529" s="218" t="e">
        <f>VLOOKUP(BW521,#REF!,2,FALSE)</f>
        <v>#REF!</v>
      </c>
      <c r="BV529" s="219" t="e">
        <f>VLOOKUP(BW521,#REF!,3,FALSE)</f>
        <v>#REF!</v>
      </c>
      <c r="BW529" s="220" t="e">
        <f>VLOOKUP(BW521,#REF!,4,FALSE)</f>
        <v>#REF!</v>
      </c>
      <c r="BX529" s="221">
        <v>-1</v>
      </c>
      <c r="BY529" s="66"/>
      <c r="CA529" s="77">
        <v>1</v>
      </c>
      <c r="CB529" s="78"/>
      <c r="CC529" s="79">
        <v>4</v>
      </c>
      <c r="CD529" s="80">
        <v>1</v>
      </c>
    </row>
    <row r="530" spans="73:82" ht="22.9" customHeight="1" thickTop="1" thickBot="1" x14ac:dyDescent="0.3"/>
    <row r="531" spans="73:82" ht="22.9" customHeight="1" thickTop="1" thickBot="1" x14ac:dyDescent="0.3">
      <c r="BW531" s="239">
        <f>BW521+1</f>
        <v>44</v>
      </c>
      <c r="BX531" s="240"/>
      <c r="BY531" s="240"/>
      <c r="BZ531" s="240"/>
      <c r="CA531" s="240"/>
      <c r="CB531" s="240"/>
      <c r="CC531" s="241"/>
    </row>
    <row r="532" spans="73:82" ht="22.9" customHeight="1" thickTop="1" x14ac:dyDescent="0.25">
      <c r="BW532" s="115" t="str">
        <f>BX538</f>
        <v>!!!</v>
      </c>
      <c r="BX532" s="116" t="s">
        <v>106</v>
      </c>
      <c r="BY532" s="117" t="s">
        <v>106</v>
      </c>
      <c r="BZ532" s="118" t="s">
        <v>106</v>
      </c>
      <c r="CA532" s="119" t="str">
        <f>Изопрайса</f>
        <v>R</v>
      </c>
      <c r="CB532" s="120" t="str">
        <f>Изопрайса</f>
        <v>R</v>
      </c>
      <c r="CC532" s="121" t="str">
        <f>Изопрайса</f>
        <v>R</v>
      </c>
    </row>
    <row r="533" spans="73:82" ht="22.9" customHeight="1" thickBot="1" x14ac:dyDescent="0.3">
      <c r="BW533" s="46">
        <f ca="1">CD538</f>
        <v>1</v>
      </c>
      <c r="BX533" s="47" t="s">
        <v>106</v>
      </c>
      <c r="BY533" s="48" t="s">
        <v>106</v>
      </c>
      <c r="BZ533" s="49" t="s">
        <v>106</v>
      </c>
      <c r="CA533" s="50" t="str">
        <f>Изопрайса</f>
        <v>R</v>
      </c>
      <c r="CB533" s="51" t="str">
        <f>Изопрайса</f>
        <v>R</v>
      </c>
      <c r="CC533" s="52" t="str">
        <f>Изопрайса</f>
        <v>R</v>
      </c>
    </row>
    <row r="534" spans="73:82" ht="22.9" customHeight="1" thickBot="1" x14ac:dyDescent="0.3">
      <c r="BW534" s="53">
        <f ca="1">Матрица_Расчёт</f>
        <v>0</v>
      </c>
      <c r="BX534" s="54" t="s">
        <v>106</v>
      </c>
      <c r="BY534" s="55" t="s">
        <v>106</v>
      </c>
      <c r="BZ534" s="56" t="s">
        <v>106</v>
      </c>
      <c r="CA534" s="57" t="str">
        <f>Изопрайса</f>
        <v>R</v>
      </c>
      <c r="CB534" s="58" t="str">
        <f>Изопрайса</f>
        <v>R</v>
      </c>
      <c r="CC534" s="59" t="str">
        <f>Изопрайса</f>
        <v>R</v>
      </c>
    </row>
    <row r="535" spans="73:82" ht="22.9" customHeight="1" thickTop="1" thickBot="1" x14ac:dyDescent="0.3"/>
    <row r="536" spans="73:82" ht="22.9" customHeight="1" thickTop="1" thickBot="1" x14ac:dyDescent="0.3">
      <c r="BU536" s="239">
        <f>BU526+2</f>
        <v>87</v>
      </c>
      <c r="BV536" s="240"/>
      <c r="BW536" s="240"/>
      <c r="BX536" s="241"/>
      <c r="BY536" s="5">
        <v>3</v>
      </c>
      <c r="CA536" s="239">
        <f>CA526+2</f>
        <v>88</v>
      </c>
      <c r="CB536" s="240"/>
      <c r="CC536" s="240"/>
      <c r="CD536" s="241"/>
    </row>
    <row r="537" spans="73:82" ht="22.9" customHeight="1" thickTop="1" x14ac:dyDescent="0.25">
      <c r="BU537" s="242" t="s">
        <v>359</v>
      </c>
      <c r="BV537" s="243"/>
      <c r="BW537" s="244"/>
      <c r="BX537" s="122"/>
      <c r="BY537" s="66"/>
      <c r="CA537" s="242" t="s">
        <v>357</v>
      </c>
      <c r="CB537" s="243"/>
      <c r="CC537" s="244"/>
      <c r="CD537" s="122"/>
    </row>
    <row r="538" spans="73:82" ht="22.9" customHeight="1" x14ac:dyDescent="0.25">
      <c r="BU538" s="214">
        <f ca="1">Min_1</f>
        <v>1</v>
      </c>
      <c r="BV538" s="215">
        <f ca="1">Mid_1</f>
        <v>4</v>
      </c>
      <c r="BW538" s="216">
        <f ca="1">Max_1</f>
        <v>1</v>
      </c>
      <c r="BX538" s="217" t="str">
        <f>Приведение</f>
        <v>!!!</v>
      </c>
      <c r="BY538" s="66"/>
      <c r="CA538" s="81">
        <f ca="1">Min_1</f>
        <v>1</v>
      </c>
      <c r="CB538" s="82">
        <f ca="1">Mid_1</f>
        <v>2.5</v>
      </c>
      <c r="CC538" s="83">
        <f ca="1">Max_1</f>
        <v>4</v>
      </c>
      <c r="CD538" s="76">
        <f ca="1">Приведение</f>
        <v>1</v>
      </c>
    </row>
    <row r="539" spans="73:82" ht="22.9" customHeight="1" thickBot="1" x14ac:dyDescent="0.3">
      <c r="BU539" s="218" t="e">
        <f>VLOOKUP(BW531,#REF!,2,FALSE)</f>
        <v>#REF!</v>
      </c>
      <c r="BV539" s="219" t="e">
        <f>VLOOKUP(BW531,#REF!,3,FALSE)</f>
        <v>#REF!</v>
      </c>
      <c r="BW539" s="220" t="e">
        <f>VLOOKUP(BW531,#REF!,4,FALSE)</f>
        <v>#REF!</v>
      </c>
      <c r="BX539" s="221">
        <v>1</v>
      </c>
      <c r="BY539" s="66"/>
      <c r="CA539" s="77">
        <v>1</v>
      </c>
      <c r="CB539" s="78"/>
      <c r="CC539" s="79">
        <v>4</v>
      </c>
      <c r="CD539" s="80">
        <v>1</v>
      </c>
    </row>
    <row r="540" spans="73:82" ht="22.9" customHeight="1" thickTop="1" thickBot="1" x14ac:dyDescent="0.3"/>
    <row r="541" spans="73:82" ht="22.9" customHeight="1" thickTop="1" thickBot="1" x14ac:dyDescent="0.3">
      <c r="BW541" s="239">
        <f>BW531+1</f>
        <v>45</v>
      </c>
      <c r="BX541" s="240"/>
      <c r="BY541" s="240"/>
      <c r="BZ541" s="240"/>
      <c r="CA541" s="240"/>
      <c r="CB541" s="240"/>
      <c r="CC541" s="241"/>
    </row>
    <row r="542" spans="73:82" ht="22.9" customHeight="1" thickTop="1" x14ac:dyDescent="0.25">
      <c r="BW542" s="115" t="str">
        <f>BX548</f>
        <v>!!!</v>
      </c>
      <c r="BX542" s="116" t="s">
        <v>106</v>
      </c>
      <c r="BY542" s="117" t="s">
        <v>106</v>
      </c>
      <c r="BZ542" s="118" t="s">
        <v>106</v>
      </c>
      <c r="CA542" s="119" t="str">
        <f>Изопрайса</f>
        <v>R</v>
      </c>
      <c r="CB542" s="120" t="str">
        <f>Изопрайса</f>
        <v>R</v>
      </c>
      <c r="CC542" s="121" t="str">
        <f>Изопрайса</f>
        <v>R</v>
      </c>
    </row>
    <row r="543" spans="73:82" ht="22.9" customHeight="1" thickBot="1" x14ac:dyDescent="0.3">
      <c r="BW543" s="46">
        <f ca="1">CD548</f>
        <v>1</v>
      </c>
      <c r="BX543" s="47" t="s">
        <v>106</v>
      </c>
      <c r="BY543" s="48" t="s">
        <v>106</v>
      </c>
      <c r="BZ543" s="49" t="s">
        <v>106</v>
      </c>
      <c r="CA543" s="50" t="str">
        <f>Изопрайса</f>
        <v>R</v>
      </c>
      <c r="CB543" s="51" t="str">
        <f>Изопрайса</f>
        <v>R</v>
      </c>
      <c r="CC543" s="52" t="str">
        <f>Изопрайса</f>
        <v>R</v>
      </c>
    </row>
    <row r="544" spans="73:82" ht="22.9" customHeight="1" thickBot="1" x14ac:dyDescent="0.3">
      <c r="BW544" s="53">
        <f ca="1">Матрица_Расчёт</f>
        <v>0</v>
      </c>
      <c r="BX544" s="54" t="s">
        <v>106</v>
      </c>
      <c r="BY544" s="55" t="s">
        <v>106</v>
      </c>
      <c r="BZ544" s="56" t="s">
        <v>106</v>
      </c>
      <c r="CA544" s="57" t="str">
        <f>Изопрайса</f>
        <v>R</v>
      </c>
      <c r="CB544" s="58" t="str">
        <f>Изопрайса</f>
        <v>R</v>
      </c>
      <c r="CC544" s="59" t="str">
        <f>Изопрайса</f>
        <v>R</v>
      </c>
    </row>
    <row r="545" spans="73:82" ht="22.9" customHeight="1" thickTop="1" thickBot="1" x14ac:dyDescent="0.3"/>
    <row r="546" spans="73:82" ht="22.9" customHeight="1" thickTop="1" thickBot="1" x14ac:dyDescent="0.3">
      <c r="BU546" s="239">
        <f>BU536+2</f>
        <v>89</v>
      </c>
      <c r="BV546" s="240"/>
      <c r="BW546" s="240"/>
      <c r="BX546" s="241"/>
      <c r="BY546" s="5">
        <v>3</v>
      </c>
      <c r="CA546" s="239">
        <f>CA536+2</f>
        <v>90</v>
      </c>
      <c r="CB546" s="240"/>
      <c r="CC546" s="240"/>
      <c r="CD546" s="241"/>
    </row>
    <row r="547" spans="73:82" ht="22.9" customHeight="1" thickTop="1" x14ac:dyDescent="0.25">
      <c r="BU547" s="242" t="s">
        <v>359</v>
      </c>
      <c r="BV547" s="243"/>
      <c r="BW547" s="244"/>
      <c r="BX547" s="122"/>
      <c r="BY547" s="66"/>
      <c r="CA547" s="242" t="s">
        <v>357</v>
      </c>
      <c r="CB547" s="243"/>
      <c r="CC547" s="244"/>
      <c r="CD547" s="122"/>
    </row>
    <row r="548" spans="73:82" ht="22.9" customHeight="1" x14ac:dyDescent="0.25">
      <c r="BU548" s="214">
        <f ca="1">Min_1</f>
        <v>1</v>
      </c>
      <c r="BV548" s="215">
        <f ca="1">Mid_1</f>
        <v>4</v>
      </c>
      <c r="BW548" s="216">
        <f ca="1">Max_1</f>
        <v>1</v>
      </c>
      <c r="BX548" s="217" t="str">
        <f>Приведение</f>
        <v>!!!</v>
      </c>
      <c r="BY548" s="66"/>
      <c r="CA548" s="81">
        <f ca="1">Min_1</f>
        <v>1</v>
      </c>
      <c r="CB548" s="82">
        <f ca="1">Mid_1</f>
        <v>2.5</v>
      </c>
      <c r="CC548" s="83">
        <f ca="1">Max_1</f>
        <v>4</v>
      </c>
      <c r="CD548" s="76">
        <f ca="1">Приведение</f>
        <v>1</v>
      </c>
    </row>
    <row r="549" spans="73:82" ht="22.9" customHeight="1" thickBot="1" x14ac:dyDescent="0.3">
      <c r="BU549" s="218" t="e">
        <f>VLOOKUP(BW541,#REF!,2,FALSE)</f>
        <v>#REF!</v>
      </c>
      <c r="BV549" s="219" t="e">
        <f>VLOOKUP(BW541,#REF!,3,FALSE)</f>
        <v>#REF!</v>
      </c>
      <c r="BW549" s="220" t="e">
        <f>VLOOKUP(BW541,#REF!,4,FALSE)</f>
        <v>#REF!</v>
      </c>
      <c r="BX549" s="221">
        <v>2</v>
      </c>
      <c r="BY549" s="66"/>
      <c r="CA549" s="77">
        <v>1</v>
      </c>
      <c r="CB549" s="78"/>
      <c r="CC549" s="79">
        <v>4</v>
      </c>
      <c r="CD549" s="80">
        <v>1</v>
      </c>
    </row>
    <row r="550" spans="73:82" ht="22.9" customHeight="1" thickTop="1" thickBot="1" x14ac:dyDescent="0.3"/>
    <row r="551" spans="73:82" ht="22.9" customHeight="1" thickTop="1" thickBot="1" x14ac:dyDescent="0.3">
      <c r="BW551" s="239">
        <f>BW541+1</f>
        <v>46</v>
      </c>
      <c r="BX551" s="240"/>
      <c r="BY551" s="240"/>
      <c r="BZ551" s="240"/>
      <c r="CA551" s="240"/>
      <c r="CB551" s="240"/>
      <c r="CC551" s="241"/>
    </row>
    <row r="552" spans="73:82" ht="22.9" customHeight="1" thickTop="1" x14ac:dyDescent="0.25">
      <c r="BW552" s="115" t="str">
        <f>BX558</f>
        <v>!!!</v>
      </c>
      <c r="BX552" s="116" t="s">
        <v>106</v>
      </c>
      <c r="BY552" s="117" t="s">
        <v>106</v>
      </c>
      <c r="BZ552" s="118" t="s">
        <v>106</v>
      </c>
      <c r="CA552" s="119" t="str">
        <f>Изопрайса</f>
        <v>R</v>
      </c>
      <c r="CB552" s="120" t="str">
        <f>Изопрайса</f>
        <v>R</v>
      </c>
      <c r="CC552" s="121" t="str">
        <f>Изопрайса</f>
        <v>R</v>
      </c>
    </row>
    <row r="553" spans="73:82" ht="22.9" customHeight="1" thickBot="1" x14ac:dyDescent="0.3">
      <c r="BW553" s="46">
        <f ca="1">CD558</f>
        <v>1</v>
      </c>
      <c r="BX553" s="47" t="s">
        <v>106</v>
      </c>
      <c r="BY553" s="48" t="s">
        <v>106</v>
      </c>
      <c r="BZ553" s="49" t="s">
        <v>106</v>
      </c>
      <c r="CA553" s="50" t="str">
        <f>Изопрайса</f>
        <v>R</v>
      </c>
      <c r="CB553" s="51" t="str">
        <f>Изопрайса</f>
        <v>R</v>
      </c>
      <c r="CC553" s="52" t="str">
        <f>Изопрайса</f>
        <v>R</v>
      </c>
    </row>
    <row r="554" spans="73:82" ht="22.9" customHeight="1" thickBot="1" x14ac:dyDescent="0.3">
      <c r="BW554" s="53">
        <f ca="1">Матрица_Расчёт</f>
        <v>0</v>
      </c>
      <c r="BX554" s="54" t="s">
        <v>106</v>
      </c>
      <c r="BY554" s="55" t="s">
        <v>106</v>
      </c>
      <c r="BZ554" s="56" t="s">
        <v>106</v>
      </c>
      <c r="CA554" s="57" t="str">
        <f>Изопрайса</f>
        <v>R</v>
      </c>
      <c r="CB554" s="58" t="str">
        <f>Изопрайса</f>
        <v>R</v>
      </c>
      <c r="CC554" s="59" t="str">
        <f>Изопрайса</f>
        <v>R</v>
      </c>
    </row>
    <row r="555" spans="73:82" ht="22.9" customHeight="1" thickTop="1" thickBot="1" x14ac:dyDescent="0.3"/>
    <row r="556" spans="73:82" ht="22.9" customHeight="1" thickTop="1" thickBot="1" x14ac:dyDescent="0.3">
      <c r="BU556" s="239">
        <f>BU546+2</f>
        <v>91</v>
      </c>
      <c r="BV556" s="240"/>
      <c r="BW556" s="240"/>
      <c r="BX556" s="241"/>
      <c r="BY556" s="5">
        <v>3</v>
      </c>
      <c r="CA556" s="239">
        <f>CA546+2</f>
        <v>92</v>
      </c>
      <c r="CB556" s="240"/>
      <c r="CC556" s="240"/>
      <c r="CD556" s="241"/>
    </row>
    <row r="557" spans="73:82" ht="22.9" customHeight="1" thickTop="1" x14ac:dyDescent="0.25">
      <c r="BU557" s="242" t="s">
        <v>359</v>
      </c>
      <c r="BV557" s="243"/>
      <c r="BW557" s="244"/>
      <c r="BX557" s="122"/>
      <c r="BY557" s="66"/>
      <c r="CA557" s="242" t="s">
        <v>357</v>
      </c>
      <c r="CB557" s="243"/>
      <c r="CC557" s="244"/>
      <c r="CD557" s="122"/>
    </row>
    <row r="558" spans="73:82" ht="22.9" customHeight="1" x14ac:dyDescent="0.25">
      <c r="BU558" s="214">
        <f ca="1">Min_1</f>
        <v>1</v>
      </c>
      <c r="BV558" s="215">
        <f ca="1">Mid_1</f>
        <v>4</v>
      </c>
      <c r="BW558" s="216">
        <f ca="1">Max_1</f>
        <v>1</v>
      </c>
      <c r="BX558" s="217" t="str">
        <f>Приведение</f>
        <v>!!!</v>
      </c>
      <c r="BY558" s="66"/>
      <c r="CA558" s="81">
        <f ca="1">Min_1</f>
        <v>1</v>
      </c>
      <c r="CB558" s="82">
        <f ca="1">Mid_1</f>
        <v>2.5</v>
      </c>
      <c r="CC558" s="83">
        <f ca="1">Max_1</f>
        <v>4</v>
      </c>
      <c r="CD558" s="76">
        <f ca="1">Приведение</f>
        <v>1</v>
      </c>
    </row>
    <row r="559" spans="73:82" ht="22.9" customHeight="1" thickBot="1" x14ac:dyDescent="0.3">
      <c r="BU559" s="218" t="e">
        <f>VLOOKUP(BW551,#REF!,2,FALSE)</f>
        <v>#REF!</v>
      </c>
      <c r="BV559" s="219" t="e">
        <f>VLOOKUP(BW551,#REF!,3,FALSE)</f>
        <v>#REF!</v>
      </c>
      <c r="BW559" s="220" t="e">
        <f>VLOOKUP(BW551,#REF!,4,FALSE)</f>
        <v>#REF!</v>
      </c>
      <c r="BX559" s="221">
        <v>2</v>
      </c>
      <c r="BY559" s="66"/>
      <c r="CA559" s="77">
        <v>1</v>
      </c>
      <c r="CB559" s="78"/>
      <c r="CC559" s="79">
        <v>4</v>
      </c>
      <c r="CD559" s="80">
        <v>1</v>
      </c>
    </row>
    <row r="560" spans="73:82" ht="22.9" customHeight="1" thickTop="1" thickBot="1" x14ac:dyDescent="0.3"/>
    <row r="561" spans="73:82" ht="22.9" customHeight="1" thickTop="1" thickBot="1" x14ac:dyDescent="0.3">
      <c r="BW561" s="239">
        <f>BW551+1</f>
        <v>47</v>
      </c>
      <c r="BX561" s="240"/>
      <c r="BY561" s="240"/>
      <c r="BZ561" s="240"/>
      <c r="CA561" s="240"/>
      <c r="CB561" s="240"/>
      <c r="CC561" s="241"/>
    </row>
    <row r="562" spans="73:82" ht="22.9" customHeight="1" thickTop="1" x14ac:dyDescent="0.25">
      <c r="BW562" s="115" t="str">
        <f>BX568</f>
        <v>!!!</v>
      </c>
      <c r="BX562" s="116" t="s">
        <v>106</v>
      </c>
      <c r="BY562" s="117" t="s">
        <v>106</v>
      </c>
      <c r="BZ562" s="118" t="s">
        <v>106</v>
      </c>
      <c r="CA562" s="119" t="str">
        <f>Изопрайса</f>
        <v>R</v>
      </c>
      <c r="CB562" s="120" t="str">
        <f>Изопрайса</f>
        <v>R</v>
      </c>
      <c r="CC562" s="121" t="str">
        <f>Изопрайса</f>
        <v>R</v>
      </c>
    </row>
    <row r="563" spans="73:82" ht="22.9" customHeight="1" thickBot="1" x14ac:dyDescent="0.3">
      <c r="BW563" s="46">
        <f ca="1">CD568</f>
        <v>1</v>
      </c>
      <c r="BX563" s="47" t="s">
        <v>106</v>
      </c>
      <c r="BY563" s="48" t="s">
        <v>106</v>
      </c>
      <c r="BZ563" s="49" t="s">
        <v>106</v>
      </c>
      <c r="CA563" s="50" t="str">
        <f>Изопрайса</f>
        <v>R</v>
      </c>
      <c r="CB563" s="51" t="str">
        <f>Изопрайса</f>
        <v>R</v>
      </c>
      <c r="CC563" s="52" t="str">
        <f>Изопрайса</f>
        <v>R</v>
      </c>
    </row>
    <row r="564" spans="73:82" ht="22.9" customHeight="1" thickBot="1" x14ac:dyDescent="0.3">
      <c r="BW564" s="53">
        <f ca="1">Матрица_Расчёт</f>
        <v>0</v>
      </c>
      <c r="BX564" s="54" t="s">
        <v>106</v>
      </c>
      <c r="BY564" s="55" t="s">
        <v>106</v>
      </c>
      <c r="BZ564" s="56" t="s">
        <v>106</v>
      </c>
      <c r="CA564" s="57" t="str">
        <f>Изопрайса</f>
        <v>R</v>
      </c>
      <c r="CB564" s="58" t="str">
        <f>Изопрайса</f>
        <v>R</v>
      </c>
      <c r="CC564" s="59" t="str">
        <f>Изопрайса</f>
        <v>R</v>
      </c>
    </row>
    <row r="565" spans="73:82" ht="22.9" customHeight="1" thickTop="1" thickBot="1" x14ac:dyDescent="0.3"/>
    <row r="566" spans="73:82" ht="22.9" customHeight="1" thickTop="1" thickBot="1" x14ac:dyDescent="0.3">
      <c r="BU566" s="239">
        <f>BU556+2</f>
        <v>93</v>
      </c>
      <c r="BV566" s="240"/>
      <c r="BW566" s="240"/>
      <c r="BX566" s="241"/>
      <c r="BY566" s="5">
        <v>3</v>
      </c>
      <c r="CA566" s="239">
        <f>CA556+2</f>
        <v>94</v>
      </c>
      <c r="CB566" s="240"/>
      <c r="CC566" s="240"/>
      <c r="CD566" s="241"/>
    </row>
    <row r="567" spans="73:82" ht="22.9" customHeight="1" thickTop="1" x14ac:dyDescent="0.25">
      <c r="BU567" s="242" t="s">
        <v>359</v>
      </c>
      <c r="BV567" s="243"/>
      <c r="BW567" s="244"/>
      <c r="BX567" s="122"/>
      <c r="BY567" s="66"/>
      <c r="CA567" s="242" t="s">
        <v>357</v>
      </c>
      <c r="CB567" s="243"/>
      <c r="CC567" s="244"/>
      <c r="CD567" s="122"/>
    </row>
    <row r="568" spans="73:82" ht="22.9" customHeight="1" x14ac:dyDescent="0.25">
      <c r="BU568" s="214">
        <f ca="1">Min_1</f>
        <v>1</v>
      </c>
      <c r="BV568" s="215">
        <f ca="1">Mid_1</f>
        <v>4</v>
      </c>
      <c r="BW568" s="216">
        <f ca="1">Max_1</f>
        <v>1</v>
      </c>
      <c r="BX568" s="217" t="str">
        <f>Приведение</f>
        <v>!!!</v>
      </c>
      <c r="BY568" s="66"/>
      <c r="CA568" s="81">
        <f ca="1">Min_1</f>
        <v>1</v>
      </c>
      <c r="CB568" s="82">
        <f ca="1">Mid_1</f>
        <v>2.5</v>
      </c>
      <c r="CC568" s="83">
        <f ca="1">Max_1</f>
        <v>4</v>
      </c>
      <c r="CD568" s="76">
        <f ca="1">Приведение</f>
        <v>1</v>
      </c>
    </row>
    <row r="569" spans="73:82" ht="22.9" customHeight="1" thickBot="1" x14ac:dyDescent="0.3">
      <c r="BU569" s="218" t="e">
        <f>VLOOKUP(BW561,#REF!,2,FALSE)</f>
        <v>#REF!</v>
      </c>
      <c r="BV569" s="219" t="e">
        <f>VLOOKUP(BW561,#REF!,3,FALSE)</f>
        <v>#REF!</v>
      </c>
      <c r="BW569" s="220" t="e">
        <f>VLOOKUP(BW561,#REF!,4,FALSE)</f>
        <v>#REF!</v>
      </c>
      <c r="BX569" s="221">
        <v>3</v>
      </c>
      <c r="BY569" s="66"/>
      <c r="CA569" s="77">
        <v>1</v>
      </c>
      <c r="CB569" s="78"/>
      <c r="CC569" s="79">
        <v>4</v>
      </c>
      <c r="CD569" s="80">
        <v>1</v>
      </c>
    </row>
    <row r="570" spans="73:82" ht="22.9" customHeight="1" thickTop="1" thickBot="1" x14ac:dyDescent="0.3"/>
    <row r="571" spans="73:82" ht="22.9" customHeight="1" thickTop="1" thickBot="1" x14ac:dyDescent="0.3">
      <c r="BW571" s="239">
        <f>BW561+1</f>
        <v>48</v>
      </c>
      <c r="BX571" s="240"/>
      <c r="BY571" s="240"/>
      <c r="BZ571" s="240"/>
      <c r="CA571" s="240"/>
      <c r="CB571" s="240"/>
      <c r="CC571" s="241"/>
    </row>
    <row r="572" spans="73:82" ht="22.9" customHeight="1" thickTop="1" x14ac:dyDescent="0.25">
      <c r="BW572" s="115" t="str">
        <f>BX578</f>
        <v>!!!</v>
      </c>
      <c r="BX572" s="116" t="s">
        <v>106</v>
      </c>
      <c r="BY572" s="117" t="s">
        <v>106</v>
      </c>
      <c r="BZ572" s="118" t="s">
        <v>106</v>
      </c>
      <c r="CA572" s="119" t="str">
        <f>Изопрайса</f>
        <v>R</v>
      </c>
      <c r="CB572" s="120" t="str">
        <f>Изопрайса</f>
        <v>R</v>
      </c>
      <c r="CC572" s="121" t="str">
        <f>Изопрайса</f>
        <v>R</v>
      </c>
    </row>
    <row r="573" spans="73:82" ht="22.9" customHeight="1" thickBot="1" x14ac:dyDescent="0.3">
      <c r="BW573" s="46">
        <f ca="1">CD578</f>
        <v>1</v>
      </c>
      <c r="BX573" s="47" t="s">
        <v>106</v>
      </c>
      <c r="BY573" s="48" t="s">
        <v>106</v>
      </c>
      <c r="BZ573" s="49" t="s">
        <v>106</v>
      </c>
      <c r="CA573" s="50" t="str">
        <f>Изопрайса</f>
        <v>R</v>
      </c>
      <c r="CB573" s="51" t="str">
        <f>Изопрайса</f>
        <v>R</v>
      </c>
      <c r="CC573" s="52" t="str">
        <f>Изопрайса</f>
        <v>R</v>
      </c>
    </row>
    <row r="574" spans="73:82" ht="22.9" customHeight="1" thickBot="1" x14ac:dyDescent="0.3">
      <c r="BW574" s="53">
        <f ca="1">Матрица_Расчёт</f>
        <v>0</v>
      </c>
      <c r="BX574" s="54" t="s">
        <v>106</v>
      </c>
      <c r="BY574" s="55" t="s">
        <v>106</v>
      </c>
      <c r="BZ574" s="56" t="s">
        <v>106</v>
      </c>
      <c r="CA574" s="57" t="str">
        <f>Изопрайса</f>
        <v>R</v>
      </c>
      <c r="CB574" s="58" t="str">
        <f>Изопрайса</f>
        <v>R</v>
      </c>
      <c r="CC574" s="59" t="str">
        <f>Изопрайса</f>
        <v>R</v>
      </c>
    </row>
    <row r="575" spans="73:82" ht="22.9" customHeight="1" thickTop="1" thickBot="1" x14ac:dyDescent="0.3"/>
    <row r="576" spans="73:82" ht="22.9" customHeight="1" thickTop="1" thickBot="1" x14ac:dyDescent="0.3">
      <c r="BU576" s="239">
        <f>BU566+2</f>
        <v>95</v>
      </c>
      <c r="BV576" s="240"/>
      <c r="BW576" s="240"/>
      <c r="BX576" s="241"/>
      <c r="BY576" s="5">
        <v>3</v>
      </c>
      <c r="CA576" s="239">
        <f>CA566+2</f>
        <v>96</v>
      </c>
      <c r="CB576" s="240"/>
      <c r="CC576" s="240"/>
      <c r="CD576" s="241"/>
    </row>
    <row r="577" spans="73:82" ht="22.9" customHeight="1" thickTop="1" x14ac:dyDescent="0.25">
      <c r="BU577" s="242" t="s">
        <v>359</v>
      </c>
      <c r="BV577" s="243"/>
      <c r="BW577" s="244"/>
      <c r="BX577" s="122"/>
      <c r="BY577" s="66"/>
      <c r="CA577" s="242" t="s">
        <v>357</v>
      </c>
      <c r="CB577" s="243"/>
      <c r="CC577" s="244"/>
      <c r="CD577" s="122"/>
    </row>
    <row r="578" spans="73:82" ht="22.9" customHeight="1" x14ac:dyDescent="0.25">
      <c r="BU578" s="214">
        <f ca="1">Min_1</f>
        <v>1</v>
      </c>
      <c r="BV578" s="215">
        <f ca="1">Mid_1</f>
        <v>4</v>
      </c>
      <c r="BW578" s="216">
        <f ca="1">Max_1</f>
        <v>1</v>
      </c>
      <c r="BX578" s="217" t="str">
        <f>Приведение</f>
        <v>!!!</v>
      </c>
      <c r="BY578" s="66"/>
      <c r="CA578" s="81">
        <f ca="1">Min_1</f>
        <v>1</v>
      </c>
      <c r="CB578" s="82">
        <f ca="1">Mid_1</f>
        <v>2.5</v>
      </c>
      <c r="CC578" s="83">
        <f ca="1">Max_1</f>
        <v>4</v>
      </c>
      <c r="CD578" s="76">
        <f ca="1">Приведение</f>
        <v>1</v>
      </c>
    </row>
    <row r="579" spans="73:82" ht="22.9" customHeight="1" thickBot="1" x14ac:dyDescent="0.3">
      <c r="BU579" s="218" t="e">
        <f>VLOOKUP(BW571,#REF!,2,FALSE)</f>
        <v>#REF!</v>
      </c>
      <c r="BV579" s="219" t="e">
        <f>VLOOKUP(BW571,#REF!,3,FALSE)</f>
        <v>#REF!</v>
      </c>
      <c r="BW579" s="220" t="e">
        <f>VLOOKUP(BW571,#REF!,4,FALSE)</f>
        <v>#REF!</v>
      </c>
      <c r="BX579" s="221">
        <v>4</v>
      </c>
      <c r="BY579" s="66"/>
      <c r="CA579" s="77">
        <v>1</v>
      </c>
      <c r="CB579" s="78"/>
      <c r="CC579" s="79">
        <v>4</v>
      </c>
      <c r="CD579" s="80">
        <v>1</v>
      </c>
    </row>
    <row r="580" spans="73:82" ht="22.9" customHeight="1" thickTop="1" thickBot="1" x14ac:dyDescent="0.3"/>
    <row r="581" spans="73:82" ht="22.9" customHeight="1" thickTop="1" thickBot="1" x14ac:dyDescent="0.3">
      <c r="BW581" s="239">
        <f>BW571+1</f>
        <v>49</v>
      </c>
      <c r="BX581" s="240"/>
      <c r="BY581" s="240"/>
      <c r="BZ581" s="240"/>
      <c r="CA581" s="240"/>
      <c r="CB581" s="240"/>
      <c r="CC581" s="241"/>
    </row>
    <row r="582" spans="73:82" ht="22.9" customHeight="1" thickTop="1" x14ac:dyDescent="0.25">
      <c r="BW582" s="115" t="str">
        <f>BX588</f>
        <v>!!!</v>
      </c>
      <c r="BX582" s="116" t="s">
        <v>106</v>
      </c>
      <c r="BY582" s="117" t="s">
        <v>106</v>
      </c>
      <c r="BZ582" s="118" t="s">
        <v>106</v>
      </c>
      <c r="CA582" s="119" t="str">
        <f>Изопрайса</f>
        <v>R</v>
      </c>
      <c r="CB582" s="120" t="str">
        <f>Изопрайса</f>
        <v>R</v>
      </c>
      <c r="CC582" s="121" t="str">
        <f>Изопрайса</f>
        <v>R</v>
      </c>
    </row>
    <row r="583" spans="73:82" ht="22.9" customHeight="1" thickBot="1" x14ac:dyDescent="0.3">
      <c r="BW583" s="46">
        <f ca="1">CD588</f>
        <v>1</v>
      </c>
      <c r="BX583" s="47" t="s">
        <v>106</v>
      </c>
      <c r="BY583" s="48" t="s">
        <v>106</v>
      </c>
      <c r="BZ583" s="49" t="s">
        <v>106</v>
      </c>
      <c r="CA583" s="50" t="str">
        <f>Изопрайса</f>
        <v>R</v>
      </c>
      <c r="CB583" s="51" t="str">
        <f>Изопрайса</f>
        <v>R</v>
      </c>
      <c r="CC583" s="52" t="str">
        <f>Изопрайса</f>
        <v>R</v>
      </c>
    </row>
    <row r="584" spans="73:82" ht="22.9" customHeight="1" thickBot="1" x14ac:dyDescent="0.3">
      <c r="BW584" s="53">
        <f ca="1">Матрица_Расчёт</f>
        <v>0</v>
      </c>
      <c r="BX584" s="54" t="s">
        <v>106</v>
      </c>
      <c r="BY584" s="55" t="s">
        <v>106</v>
      </c>
      <c r="BZ584" s="56" t="s">
        <v>106</v>
      </c>
      <c r="CA584" s="57" t="str">
        <f>Изопрайса</f>
        <v>R</v>
      </c>
      <c r="CB584" s="58" t="str">
        <f>Изопрайса</f>
        <v>R</v>
      </c>
      <c r="CC584" s="59" t="str">
        <f>Изопрайса</f>
        <v>R</v>
      </c>
    </row>
    <row r="585" spans="73:82" ht="22.9" customHeight="1" thickTop="1" thickBot="1" x14ac:dyDescent="0.3"/>
    <row r="586" spans="73:82" ht="22.9" customHeight="1" thickTop="1" thickBot="1" x14ac:dyDescent="0.3">
      <c r="BU586" s="239">
        <f>BU576+2</f>
        <v>97</v>
      </c>
      <c r="BV586" s="240"/>
      <c r="BW586" s="240"/>
      <c r="BX586" s="241"/>
      <c r="BY586" s="5">
        <v>3</v>
      </c>
      <c r="CA586" s="239">
        <f>CA576+2</f>
        <v>98</v>
      </c>
      <c r="CB586" s="240"/>
      <c r="CC586" s="240"/>
      <c r="CD586" s="241"/>
    </row>
    <row r="587" spans="73:82" ht="22.9" customHeight="1" thickTop="1" x14ac:dyDescent="0.25">
      <c r="BU587" s="242" t="s">
        <v>359</v>
      </c>
      <c r="BV587" s="243"/>
      <c r="BW587" s="244"/>
      <c r="BX587" s="122"/>
      <c r="BY587" s="66"/>
      <c r="CA587" s="242" t="s">
        <v>357</v>
      </c>
      <c r="CB587" s="243"/>
      <c r="CC587" s="244"/>
      <c r="CD587" s="122"/>
    </row>
    <row r="588" spans="73:82" ht="22.9" customHeight="1" x14ac:dyDescent="0.25">
      <c r="BU588" s="214">
        <f ca="1">Min_1</f>
        <v>1</v>
      </c>
      <c r="BV588" s="215">
        <f ca="1">Mid_1</f>
        <v>4</v>
      </c>
      <c r="BW588" s="216">
        <f ca="1">Max_1</f>
        <v>1</v>
      </c>
      <c r="BX588" s="217" t="str">
        <f>Приведение</f>
        <v>!!!</v>
      </c>
      <c r="BY588" s="66"/>
      <c r="CA588" s="81">
        <f ca="1">Min_1</f>
        <v>1</v>
      </c>
      <c r="CB588" s="82">
        <f ca="1">Mid_1</f>
        <v>2.5</v>
      </c>
      <c r="CC588" s="83">
        <f ca="1">Max_1</f>
        <v>4</v>
      </c>
      <c r="CD588" s="76">
        <f ca="1">Приведение</f>
        <v>1</v>
      </c>
    </row>
    <row r="589" spans="73:82" ht="22.9" customHeight="1" thickBot="1" x14ac:dyDescent="0.3">
      <c r="BU589" s="218" t="e">
        <f>VLOOKUP(BW581,#REF!,2,FALSE)</f>
        <v>#REF!</v>
      </c>
      <c r="BV589" s="219" t="e">
        <f>VLOOKUP(BW581,#REF!,3,FALSE)</f>
        <v>#REF!</v>
      </c>
      <c r="BW589" s="220" t="e">
        <f>VLOOKUP(BW581,#REF!,4,FALSE)</f>
        <v>#REF!</v>
      </c>
      <c r="BX589" s="221">
        <v>4</v>
      </c>
      <c r="BY589" s="66"/>
      <c r="CA589" s="77">
        <v>1</v>
      </c>
      <c r="CB589" s="78"/>
      <c r="CC589" s="79">
        <v>4</v>
      </c>
      <c r="CD589" s="80">
        <v>1</v>
      </c>
    </row>
    <row r="590" spans="73:82" ht="22.9" customHeight="1" thickTop="1" thickBot="1" x14ac:dyDescent="0.3"/>
    <row r="591" spans="73:82" ht="22.9" customHeight="1" thickTop="1" thickBot="1" x14ac:dyDescent="0.3">
      <c r="BW591" s="239">
        <f>BW581+1</f>
        <v>50</v>
      </c>
      <c r="BX591" s="240"/>
      <c r="BY591" s="240"/>
      <c r="BZ591" s="240"/>
      <c r="CA591" s="240"/>
      <c r="CB591" s="240"/>
      <c r="CC591" s="241"/>
    </row>
    <row r="592" spans="73:82" ht="22.9" customHeight="1" thickTop="1" x14ac:dyDescent="0.25">
      <c r="BW592" s="115" t="str">
        <f>BX598</f>
        <v>!!!</v>
      </c>
      <c r="BX592" s="116" t="s">
        <v>106</v>
      </c>
      <c r="BY592" s="117" t="s">
        <v>106</v>
      </c>
      <c r="BZ592" s="118" t="s">
        <v>106</v>
      </c>
      <c r="CA592" s="119" t="str">
        <f>Изопрайса</f>
        <v>R</v>
      </c>
      <c r="CB592" s="120" t="str">
        <f>Изопрайса</f>
        <v>R</v>
      </c>
      <c r="CC592" s="121" t="str">
        <f>Изопрайса</f>
        <v>R</v>
      </c>
    </row>
    <row r="593" spans="73:82" ht="22.9" customHeight="1" thickBot="1" x14ac:dyDescent="0.3">
      <c r="BW593" s="46">
        <f ca="1">CD598</f>
        <v>1</v>
      </c>
      <c r="BX593" s="47" t="s">
        <v>106</v>
      </c>
      <c r="BY593" s="48" t="s">
        <v>106</v>
      </c>
      <c r="BZ593" s="49" t="s">
        <v>106</v>
      </c>
      <c r="CA593" s="50" t="str">
        <f>Изопрайса</f>
        <v>R</v>
      </c>
      <c r="CB593" s="51" t="str">
        <f>Изопрайса</f>
        <v>R</v>
      </c>
      <c r="CC593" s="52" t="str">
        <f>Изопрайса</f>
        <v>R</v>
      </c>
    </row>
    <row r="594" spans="73:82" ht="22.9" customHeight="1" thickBot="1" x14ac:dyDescent="0.3">
      <c r="BW594" s="53">
        <f ca="1">Матрица_Расчёт</f>
        <v>0</v>
      </c>
      <c r="BX594" s="54" t="s">
        <v>106</v>
      </c>
      <c r="BY594" s="55" t="s">
        <v>106</v>
      </c>
      <c r="BZ594" s="56" t="s">
        <v>106</v>
      </c>
      <c r="CA594" s="57" t="str">
        <f>Изопрайса</f>
        <v>R</v>
      </c>
      <c r="CB594" s="58" t="str">
        <f>Изопрайса</f>
        <v>R</v>
      </c>
      <c r="CC594" s="59" t="str">
        <f>Изопрайса</f>
        <v>R</v>
      </c>
    </row>
    <row r="595" spans="73:82" ht="22.9" customHeight="1" thickTop="1" thickBot="1" x14ac:dyDescent="0.3"/>
    <row r="596" spans="73:82" ht="22.9" customHeight="1" thickTop="1" thickBot="1" x14ac:dyDescent="0.3">
      <c r="BU596" s="239">
        <f>BU586+2</f>
        <v>99</v>
      </c>
      <c r="BV596" s="240"/>
      <c r="BW596" s="240"/>
      <c r="BX596" s="241"/>
      <c r="BY596" s="5">
        <v>3</v>
      </c>
      <c r="CA596" s="239">
        <f>CA586+2</f>
        <v>100</v>
      </c>
      <c r="CB596" s="240"/>
      <c r="CC596" s="240"/>
      <c r="CD596" s="241"/>
    </row>
    <row r="597" spans="73:82" ht="22.9" customHeight="1" thickTop="1" x14ac:dyDescent="0.25">
      <c r="BU597" s="242" t="s">
        <v>359</v>
      </c>
      <c r="BV597" s="243"/>
      <c r="BW597" s="244"/>
      <c r="BX597" s="122"/>
      <c r="BY597" s="66"/>
      <c r="CA597" s="242" t="s">
        <v>357</v>
      </c>
      <c r="CB597" s="243"/>
      <c r="CC597" s="244"/>
      <c r="CD597" s="122"/>
    </row>
    <row r="598" spans="73:82" ht="22.9" customHeight="1" x14ac:dyDescent="0.25">
      <c r="BU598" s="214">
        <f ca="1">Min_1</f>
        <v>1</v>
      </c>
      <c r="BV598" s="215">
        <f ca="1">Mid_1</f>
        <v>4</v>
      </c>
      <c r="BW598" s="216">
        <f ca="1">Max_1</f>
        <v>1</v>
      </c>
      <c r="BX598" s="217" t="str">
        <f>Приведение</f>
        <v>!!!</v>
      </c>
      <c r="BY598" s="66"/>
      <c r="CA598" s="81">
        <f ca="1">Min_1</f>
        <v>1</v>
      </c>
      <c r="CB598" s="82">
        <f ca="1">Mid_1</f>
        <v>2.5</v>
      </c>
      <c r="CC598" s="83">
        <f ca="1">Max_1</f>
        <v>4</v>
      </c>
      <c r="CD598" s="76">
        <f ca="1">Приведение</f>
        <v>1</v>
      </c>
    </row>
    <row r="599" spans="73:82" ht="22.9" customHeight="1" thickBot="1" x14ac:dyDescent="0.3">
      <c r="BU599" s="218" t="e">
        <f>VLOOKUP(BW591,#REF!,2,FALSE)</f>
        <v>#REF!</v>
      </c>
      <c r="BV599" s="219" t="e">
        <f>VLOOKUP(BW591,#REF!,3,FALSE)</f>
        <v>#REF!</v>
      </c>
      <c r="BW599" s="220" t="e">
        <f>VLOOKUP(BW591,#REF!,4,FALSE)</f>
        <v>#REF!</v>
      </c>
      <c r="BX599" s="221">
        <v>4</v>
      </c>
      <c r="BY599" s="66"/>
      <c r="CA599" s="77">
        <v>1</v>
      </c>
      <c r="CB599" s="78"/>
      <c r="CC599" s="79">
        <v>4</v>
      </c>
      <c r="CD599" s="80">
        <v>1</v>
      </c>
    </row>
    <row r="600" spans="73:82" ht="22.9" customHeight="1" thickTop="1" thickBot="1" x14ac:dyDescent="0.3"/>
    <row r="601" spans="73:82" ht="22.9" customHeight="1" thickTop="1" thickBot="1" x14ac:dyDescent="0.3">
      <c r="BW601" s="239">
        <f>BW591+1</f>
        <v>51</v>
      </c>
      <c r="BX601" s="240"/>
      <c r="BY601" s="240"/>
      <c r="BZ601" s="240"/>
      <c r="CA601" s="240"/>
      <c r="CB601" s="240"/>
      <c r="CC601" s="241"/>
    </row>
    <row r="602" spans="73:82" ht="22.9" customHeight="1" thickTop="1" x14ac:dyDescent="0.25">
      <c r="BW602" s="115" t="str">
        <f>BX608</f>
        <v>!!!</v>
      </c>
      <c r="BX602" s="116" t="s">
        <v>106</v>
      </c>
      <c r="BY602" s="117" t="s">
        <v>106</v>
      </c>
      <c r="BZ602" s="118" t="s">
        <v>106</v>
      </c>
      <c r="CA602" s="119" t="str">
        <f>Изопрайса</f>
        <v>R</v>
      </c>
      <c r="CB602" s="120" t="str">
        <f>Изопрайса</f>
        <v>R</v>
      </c>
      <c r="CC602" s="121" t="str">
        <f>Изопрайса</f>
        <v>R</v>
      </c>
    </row>
    <row r="603" spans="73:82" ht="22.9" customHeight="1" thickBot="1" x14ac:dyDescent="0.3">
      <c r="BW603" s="46">
        <f ca="1">CD608</f>
        <v>1</v>
      </c>
      <c r="BX603" s="47" t="s">
        <v>106</v>
      </c>
      <c r="BY603" s="48" t="s">
        <v>106</v>
      </c>
      <c r="BZ603" s="49" t="s">
        <v>106</v>
      </c>
      <c r="CA603" s="50" t="str">
        <f>Изопрайса</f>
        <v>R</v>
      </c>
      <c r="CB603" s="51" t="str">
        <f>Изопрайса</f>
        <v>R</v>
      </c>
      <c r="CC603" s="52" t="str">
        <f>Изопрайса</f>
        <v>R</v>
      </c>
    </row>
    <row r="604" spans="73:82" ht="22.9" customHeight="1" thickBot="1" x14ac:dyDescent="0.3">
      <c r="BW604" s="53">
        <f ca="1">Матрица_Расчёт</f>
        <v>0</v>
      </c>
      <c r="BX604" s="54" t="s">
        <v>106</v>
      </c>
      <c r="BY604" s="55" t="s">
        <v>106</v>
      </c>
      <c r="BZ604" s="56" t="s">
        <v>106</v>
      </c>
      <c r="CA604" s="57" t="str">
        <f>Изопрайса</f>
        <v>R</v>
      </c>
      <c r="CB604" s="58" t="str">
        <f>Изопрайса</f>
        <v>R</v>
      </c>
      <c r="CC604" s="59" t="str">
        <f>Изопрайса</f>
        <v>R</v>
      </c>
    </row>
    <row r="605" spans="73:82" ht="22.9" customHeight="1" thickTop="1" thickBot="1" x14ac:dyDescent="0.3"/>
    <row r="606" spans="73:82" ht="22.9" customHeight="1" thickTop="1" thickBot="1" x14ac:dyDescent="0.3">
      <c r="BU606" s="239">
        <f>BU596+2</f>
        <v>101</v>
      </c>
      <c r="BV606" s="240"/>
      <c r="BW606" s="240"/>
      <c r="BX606" s="241"/>
      <c r="BY606" s="5">
        <v>3</v>
      </c>
      <c r="CA606" s="239">
        <f>CA596+2</f>
        <v>102</v>
      </c>
      <c r="CB606" s="240"/>
      <c r="CC606" s="240"/>
      <c r="CD606" s="241"/>
    </row>
    <row r="607" spans="73:82" ht="22.9" customHeight="1" thickTop="1" x14ac:dyDescent="0.25">
      <c r="BU607" s="242" t="s">
        <v>359</v>
      </c>
      <c r="BV607" s="243"/>
      <c r="BW607" s="244"/>
      <c r="BX607" s="122"/>
      <c r="BY607" s="66"/>
      <c r="CA607" s="242" t="s">
        <v>357</v>
      </c>
      <c r="CB607" s="243"/>
      <c r="CC607" s="244"/>
      <c r="CD607" s="122"/>
    </row>
    <row r="608" spans="73:82" ht="22.9" customHeight="1" x14ac:dyDescent="0.25">
      <c r="BU608" s="214">
        <f ca="1">Min_1</f>
        <v>1</v>
      </c>
      <c r="BV608" s="215">
        <f ca="1">Mid_1</f>
        <v>4</v>
      </c>
      <c r="BW608" s="216">
        <f ca="1">Max_1</f>
        <v>1</v>
      </c>
      <c r="BX608" s="217" t="str">
        <f>Приведение</f>
        <v>!!!</v>
      </c>
      <c r="BY608" s="66"/>
      <c r="CA608" s="81">
        <f ca="1">Min_1</f>
        <v>1</v>
      </c>
      <c r="CB608" s="82">
        <f ca="1">Mid_1</f>
        <v>2.5</v>
      </c>
      <c r="CC608" s="83">
        <f ca="1">Max_1</f>
        <v>4</v>
      </c>
      <c r="CD608" s="76">
        <f ca="1">Приведение</f>
        <v>1</v>
      </c>
    </row>
    <row r="609" spans="73:82" ht="22.9" customHeight="1" thickBot="1" x14ac:dyDescent="0.3">
      <c r="BU609" s="218" t="e">
        <f>VLOOKUP(BW601,#REF!,2,FALSE)</f>
        <v>#REF!</v>
      </c>
      <c r="BV609" s="219" t="e">
        <f>VLOOKUP(BW601,#REF!,3,FALSE)</f>
        <v>#REF!</v>
      </c>
      <c r="BW609" s="220" t="e">
        <f>VLOOKUP(BW601,#REF!,4,FALSE)</f>
        <v>#REF!</v>
      </c>
      <c r="BX609" s="221">
        <v>6</v>
      </c>
      <c r="BY609" s="66"/>
      <c r="CA609" s="77">
        <v>1</v>
      </c>
      <c r="CB609" s="78"/>
      <c r="CC609" s="79">
        <v>4</v>
      </c>
      <c r="CD609" s="80">
        <v>1</v>
      </c>
    </row>
    <row r="610" spans="73:82" ht="22.9" customHeight="1" thickTop="1" thickBot="1" x14ac:dyDescent="0.3"/>
    <row r="611" spans="73:82" ht="22.9" customHeight="1" thickTop="1" thickBot="1" x14ac:dyDescent="0.3">
      <c r="BW611" s="239">
        <f>BW601+1</f>
        <v>52</v>
      </c>
      <c r="BX611" s="240"/>
      <c r="BY611" s="240"/>
      <c r="BZ611" s="240"/>
      <c r="CA611" s="240"/>
      <c r="CB611" s="240"/>
      <c r="CC611" s="241"/>
    </row>
    <row r="612" spans="73:82" ht="22.9" customHeight="1" thickTop="1" x14ac:dyDescent="0.25">
      <c r="BW612" s="115" t="str">
        <f>BX618</f>
        <v>!!!</v>
      </c>
      <c r="BX612" s="116" t="s">
        <v>106</v>
      </c>
      <c r="BY612" s="117" t="s">
        <v>106</v>
      </c>
      <c r="BZ612" s="118" t="s">
        <v>106</v>
      </c>
      <c r="CA612" s="119" t="str">
        <f>Изопрайса</f>
        <v>R</v>
      </c>
      <c r="CB612" s="120" t="str">
        <f>Изопрайса</f>
        <v>R</v>
      </c>
      <c r="CC612" s="121" t="str">
        <f>Изопрайса</f>
        <v>R</v>
      </c>
    </row>
    <row r="613" spans="73:82" ht="22.9" customHeight="1" thickBot="1" x14ac:dyDescent="0.3">
      <c r="BW613" s="46">
        <f ca="1">CD618</f>
        <v>1</v>
      </c>
      <c r="BX613" s="47" t="s">
        <v>106</v>
      </c>
      <c r="BY613" s="48" t="s">
        <v>106</v>
      </c>
      <c r="BZ613" s="49" t="s">
        <v>106</v>
      </c>
      <c r="CA613" s="50" t="str">
        <f>Изопрайса</f>
        <v>R</v>
      </c>
      <c r="CB613" s="51" t="str">
        <f>Изопрайса</f>
        <v>R</v>
      </c>
      <c r="CC613" s="52" t="str">
        <f>Изопрайса</f>
        <v>R</v>
      </c>
    </row>
    <row r="614" spans="73:82" ht="22.9" customHeight="1" thickBot="1" x14ac:dyDescent="0.3">
      <c r="BW614" s="53">
        <f ca="1">Матрица_Расчёт</f>
        <v>0</v>
      </c>
      <c r="BX614" s="54" t="s">
        <v>106</v>
      </c>
      <c r="BY614" s="55" t="s">
        <v>106</v>
      </c>
      <c r="BZ614" s="56" t="s">
        <v>106</v>
      </c>
      <c r="CA614" s="57" t="str">
        <f>Изопрайса</f>
        <v>R</v>
      </c>
      <c r="CB614" s="58" t="str">
        <f>Изопрайса</f>
        <v>R</v>
      </c>
      <c r="CC614" s="59" t="str">
        <f>Изопрайса</f>
        <v>R</v>
      </c>
    </row>
    <row r="615" spans="73:82" ht="22.9" customHeight="1" thickTop="1" thickBot="1" x14ac:dyDescent="0.3"/>
    <row r="616" spans="73:82" ht="22.9" customHeight="1" thickTop="1" thickBot="1" x14ac:dyDescent="0.3">
      <c r="BU616" s="239">
        <f>BU606+2</f>
        <v>103</v>
      </c>
      <c r="BV616" s="240"/>
      <c r="BW616" s="240"/>
      <c r="BX616" s="241"/>
      <c r="BY616" s="5">
        <v>3</v>
      </c>
      <c r="CA616" s="239">
        <f>CA606+2</f>
        <v>104</v>
      </c>
      <c r="CB616" s="240"/>
      <c r="CC616" s="240"/>
      <c r="CD616" s="241"/>
    </row>
    <row r="617" spans="73:82" ht="22.9" customHeight="1" thickTop="1" x14ac:dyDescent="0.25">
      <c r="BU617" s="242" t="s">
        <v>359</v>
      </c>
      <c r="BV617" s="243"/>
      <c r="BW617" s="244"/>
      <c r="BX617" s="122"/>
      <c r="BY617" s="66"/>
      <c r="CA617" s="242" t="s">
        <v>357</v>
      </c>
      <c r="CB617" s="243"/>
      <c r="CC617" s="244"/>
      <c r="CD617" s="122"/>
    </row>
    <row r="618" spans="73:82" ht="22.9" customHeight="1" x14ac:dyDescent="0.25">
      <c r="BU618" s="214">
        <f ca="1">Min_1</f>
        <v>1</v>
      </c>
      <c r="BV618" s="215">
        <f ca="1">Mid_1</f>
        <v>4</v>
      </c>
      <c r="BW618" s="216">
        <f ca="1">Max_1</f>
        <v>1</v>
      </c>
      <c r="BX618" s="217" t="str">
        <f>Приведение</f>
        <v>!!!</v>
      </c>
      <c r="BY618" s="66"/>
      <c r="CA618" s="81">
        <f ca="1">Min_1</f>
        <v>1</v>
      </c>
      <c r="CB618" s="82">
        <f ca="1">Mid_1</f>
        <v>2.5</v>
      </c>
      <c r="CC618" s="83">
        <f ca="1">Max_1</f>
        <v>4</v>
      </c>
      <c r="CD618" s="76">
        <f ca="1">Приведение</f>
        <v>1</v>
      </c>
    </row>
    <row r="619" spans="73:82" ht="22.9" customHeight="1" thickBot="1" x14ac:dyDescent="0.3">
      <c r="BU619" s="218" t="e">
        <f>VLOOKUP(BW611,#REF!,2,FALSE)</f>
        <v>#REF!</v>
      </c>
      <c r="BV619" s="219" t="e">
        <f>VLOOKUP(BW611,#REF!,3,FALSE)</f>
        <v>#REF!</v>
      </c>
      <c r="BW619" s="220" t="e">
        <f>VLOOKUP(BW611,#REF!,4,FALSE)</f>
        <v>#REF!</v>
      </c>
      <c r="BX619" s="221">
        <v>5</v>
      </c>
      <c r="BY619" s="66"/>
      <c r="CA619" s="77">
        <v>1</v>
      </c>
      <c r="CB619" s="78"/>
      <c r="CC619" s="79">
        <v>4</v>
      </c>
      <c r="CD619" s="80">
        <v>1</v>
      </c>
    </row>
    <row r="620" spans="73:82" ht="22.9" customHeight="1" thickTop="1" thickBot="1" x14ac:dyDescent="0.3"/>
    <row r="621" spans="73:82" ht="22.9" customHeight="1" thickTop="1" thickBot="1" x14ac:dyDescent="0.3">
      <c r="BW621" s="239">
        <f>BW611+1</f>
        <v>53</v>
      </c>
      <c r="BX621" s="240"/>
      <c r="BY621" s="240"/>
      <c r="BZ621" s="240"/>
      <c r="CA621" s="240"/>
      <c r="CB621" s="240"/>
      <c r="CC621" s="241"/>
    </row>
    <row r="622" spans="73:82" ht="22.9" customHeight="1" thickTop="1" x14ac:dyDescent="0.25">
      <c r="BW622" s="115" t="str">
        <f>BX628</f>
        <v>!!!</v>
      </c>
      <c r="BX622" s="116" t="s">
        <v>106</v>
      </c>
      <c r="BY622" s="117" t="s">
        <v>106</v>
      </c>
      <c r="BZ622" s="118" t="s">
        <v>106</v>
      </c>
      <c r="CA622" s="119" t="str">
        <f>Изопрайса</f>
        <v>R</v>
      </c>
      <c r="CB622" s="120" t="str">
        <f>Изопрайса</f>
        <v>R</v>
      </c>
      <c r="CC622" s="121" t="str">
        <f>Изопрайса</f>
        <v>R</v>
      </c>
    </row>
    <row r="623" spans="73:82" ht="22.9" customHeight="1" thickBot="1" x14ac:dyDescent="0.3">
      <c r="BW623" s="46">
        <f ca="1">CD628</f>
        <v>1</v>
      </c>
      <c r="BX623" s="47" t="s">
        <v>106</v>
      </c>
      <c r="BY623" s="48" t="s">
        <v>106</v>
      </c>
      <c r="BZ623" s="49" t="s">
        <v>106</v>
      </c>
      <c r="CA623" s="50" t="str">
        <f>Изопрайса</f>
        <v>R</v>
      </c>
      <c r="CB623" s="51" t="str">
        <f>Изопрайса</f>
        <v>R</v>
      </c>
      <c r="CC623" s="52" t="str">
        <f>Изопрайса</f>
        <v>R</v>
      </c>
    </row>
    <row r="624" spans="73:82" ht="22.9" customHeight="1" thickBot="1" x14ac:dyDescent="0.3">
      <c r="BW624" s="53">
        <f ca="1">Матрица_Расчёт</f>
        <v>0</v>
      </c>
      <c r="BX624" s="54" t="s">
        <v>106</v>
      </c>
      <c r="BY624" s="55" t="s">
        <v>106</v>
      </c>
      <c r="BZ624" s="56" t="s">
        <v>106</v>
      </c>
      <c r="CA624" s="57" t="str">
        <f>Изопрайса</f>
        <v>R</v>
      </c>
      <c r="CB624" s="58" t="str">
        <f>Изопрайса</f>
        <v>R</v>
      </c>
      <c r="CC624" s="59" t="str">
        <f>Изопрайса</f>
        <v>R</v>
      </c>
    </row>
    <row r="625" spans="73:82" ht="22.9" customHeight="1" thickTop="1" thickBot="1" x14ac:dyDescent="0.3"/>
    <row r="626" spans="73:82" ht="22.9" customHeight="1" thickTop="1" thickBot="1" x14ac:dyDescent="0.3">
      <c r="BU626" s="239">
        <f>BU616+2</f>
        <v>105</v>
      </c>
      <c r="BV626" s="240"/>
      <c r="BW626" s="240"/>
      <c r="BX626" s="241"/>
      <c r="BY626" s="5">
        <v>3</v>
      </c>
      <c r="CA626" s="239">
        <f>CA616+2</f>
        <v>106</v>
      </c>
      <c r="CB626" s="240"/>
      <c r="CC626" s="240"/>
      <c r="CD626" s="241"/>
    </row>
    <row r="627" spans="73:82" ht="22.9" customHeight="1" thickTop="1" x14ac:dyDescent="0.25">
      <c r="BU627" s="242" t="s">
        <v>359</v>
      </c>
      <c r="BV627" s="243"/>
      <c r="BW627" s="244"/>
      <c r="BX627" s="122"/>
      <c r="BY627" s="66"/>
      <c r="CA627" s="242" t="s">
        <v>357</v>
      </c>
      <c r="CB627" s="243"/>
      <c r="CC627" s="244"/>
      <c r="CD627" s="122"/>
    </row>
    <row r="628" spans="73:82" ht="22.9" customHeight="1" x14ac:dyDescent="0.25">
      <c r="BU628" s="214">
        <f ca="1">Min_1</f>
        <v>1</v>
      </c>
      <c r="BV628" s="215">
        <f ca="1">Mid_1</f>
        <v>4</v>
      </c>
      <c r="BW628" s="216">
        <f ca="1">Max_1</f>
        <v>1</v>
      </c>
      <c r="BX628" s="217" t="str">
        <f>Приведение</f>
        <v>!!!</v>
      </c>
      <c r="BY628" s="66"/>
      <c r="CA628" s="81">
        <f ca="1">Min_1</f>
        <v>1</v>
      </c>
      <c r="CB628" s="82">
        <f ca="1">Mid_1</f>
        <v>2.5</v>
      </c>
      <c r="CC628" s="83">
        <f ca="1">Max_1</f>
        <v>4</v>
      </c>
      <c r="CD628" s="76">
        <f ca="1">Приведение</f>
        <v>1</v>
      </c>
    </row>
    <row r="629" spans="73:82" ht="22.9" customHeight="1" thickBot="1" x14ac:dyDescent="0.3">
      <c r="BU629" s="218" t="e">
        <f>VLOOKUP(BW621,#REF!,2,FALSE)</f>
        <v>#REF!</v>
      </c>
      <c r="BV629" s="219" t="e">
        <f>VLOOKUP(BW621,#REF!,3,FALSE)</f>
        <v>#REF!</v>
      </c>
      <c r="BW629" s="220" t="e">
        <f>VLOOKUP(BW621,#REF!,4,FALSE)</f>
        <v>#REF!</v>
      </c>
      <c r="BX629" s="221">
        <v>5</v>
      </c>
      <c r="BY629" s="66"/>
      <c r="CA629" s="77">
        <v>1</v>
      </c>
      <c r="CB629" s="78"/>
      <c r="CC629" s="79">
        <v>4</v>
      </c>
      <c r="CD629" s="80">
        <v>1</v>
      </c>
    </row>
    <row r="630" spans="73:82" ht="22.9" customHeight="1" thickTop="1" thickBot="1" x14ac:dyDescent="0.3"/>
    <row r="631" spans="73:82" ht="22.9" customHeight="1" thickTop="1" thickBot="1" x14ac:dyDescent="0.3">
      <c r="BW631" s="239">
        <f>BW621+1</f>
        <v>54</v>
      </c>
      <c r="BX631" s="240"/>
      <c r="BY631" s="240"/>
      <c r="BZ631" s="240"/>
      <c r="CA631" s="240"/>
      <c r="CB631" s="240"/>
      <c r="CC631" s="241"/>
    </row>
    <row r="632" spans="73:82" ht="22.9" customHeight="1" thickTop="1" x14ac:dyDescent="0.25">
      <c r="BW632" s="115" t="str">
        <f>BX638</f>
        <v>!!!</v>
      </c>
      <c r="BX632" s="116" t="s">
        <v>106</v>
      </c>
      <c r="BY632" s="117" t="s">
        <v>106</v>
      </c>
      <c r="BZ632" s="118" t="s">
        <v>106</v>
      </c>
      <c r="CA632" s="119" t="str">
        <f>Изопрайса</f>
        <v>R</v>
      </c>
      <c r="CB632" s="120" t="str">
        <f>Изопрайса</f>
        <v>R</v>
      </c>
      <c r="CC632" s="121" t="str">
        <f>Изопрайса</f>
        <v>R</v>
      </c>
    </row>
    <row r="633" spans="73:82" ht="22.9" customHeight="1" thickBot="1" x14ac:dyDescent="0.3">
      <c r="BW633" s="46">
        <f ca="1">CD638</f>
        <v>1</v>
      </c>
      <c r="BX633" s="47" t="s">
        <v>106</v>
      </c>
      <c r="BY633" s="48" t="s">
        <v>106</v>
      </c>
      <c r="BZ633" s="49" t="s">
        <v>106</v>
      </c>
      <c r="CA633" s="50" t="str">
        <f>Изопрайса</f>
        <v>R</v>
      </c>
      <c r="CB633" s="51" t="str">
        <f>Изопрайса</f>
        <v>R</v>
      </c>
      <c r="CC633" s="52" t="str">
        <f>Изопрайса</f>
        <v>R</v>
      </c>
    </row>
    <row r="634" spans="73:82" ht="22.9" customHeight="1" thickBot="1" x14ac:dyDescent="0.3">
      <c r="BW634" s="53">
        <f ca="1">Матрица_Расчёт</f>
        <v>0</v>
      </c>
      <c r="BX634" s="54" t="s">
        <v>106</v>
      </c>
      <c r="BY634" s="55" t="s">
        <v>106</v>
      </c>
      <c r="BZ634" s="56" t="s">
        <v>106</v>
      </c>
      <c r="CA634" s="57" t="str">
        <f>Изопрайса</f>
        <v>R</v>
      </c>
      <c r="CB634" s="58" t="str">
        <f>Изопрайса</f>
        <v>R</v>
      </c>
      <c r="CC634" s="59" t="str">
        <f>Изопрайса</f>
        <v>R</v>
      </c>
    </row>
    <row r="635" spans="73:82" ht="22.9" customHeight="1" thickTop="1" thickBot="1" x14ac:dyDescent="0.3"/>
    <row r="636" spans="73:82" ht="22.9" customHeight="1" thickTop="1" thickBot="1" x14ac:dyDescent="0.3">
      <c r="BU636" s="239">
        <f>BU626+2</f>
        <v>107</v>
      </c>
      <c r="BV636" s="240"/>
      <c r="BW636" s="240"/>
      <c r="BX636" s="241"/>
      <c r="BY636" s="5">
        <v>3</v>
      </c>
      <c r="CA636" s="239">
        <f>CA626+2</f>
        <v>108</v>
      </c>
      <c r="CB636" s="240"/>
      <c r="CC636" s="240"/>
      <c r="CD636" s="241"/>
    </row>
    <row r="637" spans="73:82" ht="22.9" customHeight="1" thickTop="1" x14ac:dyDescent="0.25">
      <c r="BU637" s="242" t="s">
        <v>359</v>
      </c>
      <c r="BV637" s="243"/>
      <c r="BW637" s="244"/>
      <c r="BX637" s="122"/>
      <c r="BY637" s="66"/>
      <c r="CA637" s="242" t="s">
        <v>357</v>
      </c>
      <c r="CB637" s="243"/>
      <c r="CC637" s="244"/>
      <c r="CD637" s="122"/>
    </row>
    <row r="638" spans="73:82" ht="22.9" customHeight="1" x14ac:dyDescent="0.25">
      <c r="BU638" s="214">
        <f ca="1">Min_1</f>
        <v>1</v>
      </c>
      <c r="BV638" s="215">
        <f ca="1">Mid_1</f>
        <v>4</v>
      </c>
      <c r="BW638" s="216">
        <f ca="1">Max_1</f>
        <v>1</v>
      </c>
      <c r="BX638" s="217" t="str">
        <f>Приведение</f>
        <v>!!!</v>
      </c>
      <c r="BY638" s="66"/>
      <c r="CA638" s="81">
        <f ca="1">Min_1</f>
        <v>1</v>
      </c>
      <c r="CB638" s="82">
        <f ca="1">Mid_1</f>
        <v>2.5</v>
      </c>
      <c r="CC638" s="83">
        <f ca="1">Max_1</f>
        <v>4</v>
      </c>
      <c r="CD638" s="76">
        <f ca="1">Приведение</f>
        <v>1</v>
      </c>
    </row>
    <row r="639" spans="73:82" ht="22.9" customHeight="1" thickBot="1" x14ac:dyDescent="0.3">
      <c r="BU639" s="218" t="e">
        <f>VLOOKUP(BW631,#REF!,2,FALSE)</f>
        <v>#REF!</v>
      </c>
      <c r="BV639" s="219" t="e">
        <f>VLOOKUP(BW631,#REF!,3,FALSE)</f>
        <v>#REF!</v>
      </c>
      <c r="BW639" s="220" t="e">
        <f>VLOOKUP(BW631,#REF!,4,FALSE)</f>
        <v>#REF!</v>
      </c>
      <c r="BX639" s="221">
        <v>5</v>
      </c>
      <c r="BY639" s="66"/>
      <c r="CA639" s="77">
        <v>1</v>
      </c>
      <c r="CB639" s="78"/>
      <c r="CC639" s="79">
        <v>4</v>
      </c>
      <c r="CD639" s="80">
        <v>1</v>
      </c>
    </row>
    <row r="640" spans="73:82" ht="22.9" customHeight="1" thickTop="1" thickBot="1" x14ac:dyDescent="0.3"/>
    <row r="641" spans="73:82" ht="22.9" customHeight="1" thickTop="1" thickBot="1" x14ac:dyDescent="0.3">
      <c r="BW641" s="239">
        <f>BW631+1</f>
        <v>55</v>
      </c>
      <c r="BX641" s="240"/>
      <c r="BY641" s="240"/>
      <c r="BZ641" s="240"/>
      <c r="CA641" s="240"/>
      <c r="CB641" s="240"/>
      <c r="CC641" s="241"/>
    </row>
    <row r="642" spans="73:82" ht="22.9" customHeight="1" thickTop="1" x14ac:dyDescent="0.25">
      <c r="BW642" s="115" t="str">
        <f>BX648</f>
        <v>!!!</v>
      </c>
      <c r="BX642" s="116" t="s">
        <v>106</v>
      </c>
      <c r="BY642" s="117" t="s">
        <v>106</v>
      </c>
      <c r="BZ642" s="118" t="s">
        <v>106</v>
      </c>
      <c r="CA642" s="119" t="str">
        <f>Изопрайса</f>
        <v>R</v>
      </c>
      <c r="CB642" s="120" t="str">
        <f>Изопрайса</f>
        <v>R</v>
      </c>
      <c r="CC642" s="121" t="str">
        <f>Изопрайса</f>
        <v>R</v>
      </c>
    </row>
    <row r="643" spans="73:82" ht="22.9" customHeight="1" thickBot="1" x14ac:dyDescent="0.3">
      <c r="BW643" s="46">
        <f ca="1">CD648</f>
        <v>1</v>
      </c>
      <c r="BX643" s="47" t="s">
        <v>106</v>
      </c>
      <c r="BY643" s="48" t="s">
        <v>106</v>
      </c>
      <c r="BZ643" s="49" t="s">
        <v>106</v>
      </c>
      <c r="CA643" s="50" t="str">
        <f>Изопрайса</f>
        <v>R</v>
      </c>
      <c r="CB643" s="51" t="str">
        <f>Изопрайса</f>
        <v>R</v>
      </c>
      <c r="CC643" s="52" t="str">
        <f>Изопрайса</f>
        <v>R</v>
      </c>
    </row>
    <row r="644" spans="73:82" ht="22.9" customHeight="1" thickBot="1" x14ac:dyDescent="0.3">
      <c r="BW644" s="53">
        <f ca="1">Матрица_Расчёт</f>
        <v>0</v>
      </c>
      <c r="BX644" s="54" t="s">
        <v>106</v>
      </c>
      <c r="BY644" s="55" t="s">
        <v>106</v>
      </c>
      <c r="BZ644" s="56" t="s">
        <v>106</v>
      </c>
      <c r="CA644" s="57" t="str">
        <f>Изопрайса</f>
        <v>R</v>
      </c>
      <c r="CB644" s="58" t="str">
        <f>Изопрайса</f>
        <v>R</v>
      </c>
      <c r="CC644" s="59" t="str">
        <f>Изопрайса</f>
        <v>R</v>
      </c>
    </row>
    <row r="645" spans="73:82" ht="22.9" customHeight="1" thickTop="1" thickBot="1" x14ac:dyDescent="0.3"/>
    <row r="646" spans="73:82" ht="22.9" customHeight="1" thickTop="1" thickBot="1" x14ac:dyDescent="0.3">
      <c r="BU646" s="239">
        <f>BU636+2</f>
        <v>109</v>
      </c>
      <c r="BV646" s="240"/>
      <c r="BW646" s="240"/>
      <c r="BX646" s="241"/>
      <c r="BY646" s="5">
        <v>3</v>
      </c>
      <c r="CA646" s="239">
        <f>CA636+2</f>
        <v>110</v>
      </c>
      <c r="CB646" s="240"/>
      <c r="CC646" s="240"/>
      <c r="CD646" s="241"/>
    </row>
    <row r="647" spans="73:82" ht="22.9" customHeight="1" thickTop="1" x14ac:dyDescent="0.25">
      <c r="BU647" s="242" t="s">
        <v>359</v>
      </c>
      <c r="BV647" s="243"/>
      <c r="BW647" s="244"/>
      <c r="BX647" s="122"/>
      <c r="BY647" s="66"/>
      <c r="CA647" s="242" t="s">
        <v>357</v>
      </c>
      <c r="CB647" s="243"/>
      <c r="CC647" s="244"/>
      <c r="CD647" s="122"/>
    </row>
    <row r="648" spans="73:82" ht="22.9" customHeight="1" x14ac:dyDescent="0.25">
      <c r="BU648" s="214">
        <f ca="1">Min_1</f>
        <v>1</v>
      </c>
      <c r="BV648" s="215">
        <f ca="1">Mid_1</f>
        <v>4</v>
      </c>
      <c r="BW648" s="216">
        <f ca="1">Max_1</f>
        <v>1</v>
      </c>
      <c r="BX648" s="217" t="str">
        <f>Приведение</f>
        <v>!!!</v>
      </c>
      <c r="BY648" s="66"/>
      <c r="CA648" s="81">
        <f ca="1">Min_1</f>
        <v>1</v>
      </c>
      <c r="CB648" s="82">
        <f ca="1">Mid_1</f>
        <v>2.5</v>
      </c>
      <c r="CC648" s="83">
        <f ca="1">Max_1</f>
        <v>4</v>
      </c>
      <c r="CD648" s="76">
        <f ca="1">Приведение</f>
        <v>1</v>
      </c>
    </row>
    <row r="649" spans="73:82" ht="22.9" customHeight="1" thickBot="1" x14ac:dyDescent="0.3">
      <c r="BU649" s="218" t="e">
        <f>VLOOKUP(BW641,#REF!,2,FALSE)</f>
        <v>#REF!</v>
      </c>
      <c r="BV649" s="219" t="e">
        <f>VLOOKUP(BW641,#REF!,3,FALSE)</f>
        <v>#REF!</v>
      </c>
      <c r="BW649" s="220" t="e">
        <f>VLOOKUP(BW641,#REF!,4,FALSE)</f>
        <v>#REF!</v>
      </c>
      <c r="BX649" s="221">
        <v>5</v>
      </c>
      <c r="BY649" s="66"/>
      <c r="CA649" s="77">
        <v>1</v>
      </c>
      <c r="CB649" s="78"/>
      <c r="CC649" s="79">
        <v>4</v>
      </c>
      <c r="CD649" s="80">
        <v>1</v>
      </c>
    </row>
    <row r="650" spans="73:82" ht="22.9" customHeight="1" thickTop="1" thickBot="1" x14ac:dyDescent="0.3"/>
    <row r="651" spans="73:82" ht="22.9" customHeight="1" thickTop="1" thickBot="1" x14ac:dyDescent="0.3">
      <c r="BW651" s="239">
        <f>BW641+1</f>
        <v>56</v>
      </c>
      <c r="BX651" s="240"/>
      <c r="BY651" s="240"/>
      <c r="BZ651" s="240"/>
      <c r="CA651" s="240"/>
      <c r="CB651" s="240"/>
      <c r="CC651" s="241"/>
    </row>
    <row r="652" spans="73:82" ht="22.9" customHeight="1" thickTop="1" x14ac:dyDescent="0.25">
      <c r="BW652" s="115" t="str">
        <f>BX658</f>
        <v>!!!</v>
      </c>
      <c r="BX652" s="116" t="s">
        <v>106</v>
      </c>
      <c r="BY652" s="117" t="s">
        <v>106</v>
      </c>
      <c r="BZ652" s="118" t="s">
        <v>106</v>
      </c>
      <c r="CA652" s="119" t="str">
        <f>Изопрайса</f>
        <v>R</v>
      </c>
      <c r="CB652" s="120" t="str">
        <f>Изопрайса</f>
        <v>R</v>
      </c>
      <c r="CC652" s="121" t="str">
        <f>Изопрайса</f>
        <v>R</v>
      </c>
    </row>
    <row r="653" spans="73:82" ht="22.9" customHeight="1" thickBot="1" x14ac:dyDescent="0.3">
      <c r="BW653" s="46">
        <f ca="1">CD658</f>
        <v>1</v>
      </c>
      <c r="BX653" s="47" t="s">
        <v>106</v>
      </c>
      <c r="BY653" s="48" t="s">
        <v>106</v>
      </c>
      <c r="BZ653" s="49" t="s">
        <v>106</v>
      </c>
      <c r="CA653" s="50" t="str">
        <f>Изопрайса</f>
        <v>R</v>
      </c>
      <c r="CB653" s="51" t="str">
        <f>Изопрайса</f>
        <v>R</v>
      </c>
      <c r="CC653" s="52" t="str">
        <f>Изопрайса</f>
        <v>R</v>
      </c>
    </row>
    <row r="654" spans="73:82" ht="22.9" customHeight="1" thickBot="1" x14ac:dyDescent="0.3">
      <c r="BW654" s="53">
        <f ca="1">Матрица_Расчёт</f>
        <v>0</v>
      </c>
      <c r="BX654" s="54" t="s">
        <v>106</v>
      </c>
      <c r="BY654" s="55" t="s">
        <v>106</v>
      </c>
      <c r="BZ654" s="56" t="s">
        <v>106</v>
      </c>
      <c r="CA654" s="57" t="str">
        <f>Изопрайса</f>
        <v>R</v>
      </c>
      <c r="CB654" s="58" t="str">
        <f>Изопрайса</f>
        <v>R</v>
      </c>
      <c r="CC654" s="59" t="str">
        <f>Изопрайса</f>
        <v>R</v>
      </c>
    </row>
    <row r="655" spans="73:82" ht="22.9" customHeight="1" thickTop="1" thickBot="1" x14ac:dyDescent="0.3"/>
    <row r="656" spans="73:82" ht="22.9" customHeight="1" thickTop="1" thickBot="1" x14ac:dyDescent="0.3">
      <c r="BU656" s="239">
        <f>BU646+2</f>
        <v>111</v>
      </c>
      <c r="BV656" s="240"/>
      <c r="BW656" s="240"/>
      <c r="BX656" s="241"/>
      <c r="BY656" s="5">
        <v>3</v>
      </c>
      <c r="CA656" s="239">
        <f>CA646+2</f>
        <v>112</v>
      </c>
      <c r="CB656" s="240"/>
      <c r="CC656" s="240"/>
      <c r="CD656" s="241"/>
    </row>
    <row r="657" spans="73:82" ht="22.9" customHeight="1" thickTop="1" x14ac:dyDescent="0.25">
      <c r="BU657" s="242" t="s">
        <v>359</v>
      </c>
      <c r="BV657" s="243"/>
      <c r="BW657" s="244"/>
      <c r="BX657" s="122"/>
      <c r="BY657" s="66"/>
      <c r="CA657" s="242" t="s">
        <v>357</v>
      </c>
      <c r="CB657" s="243"/>
      <c r="CC657" s="244"/>
      <c r="CD657" s="122"/>
    </row>
    <row r="658" spans="73:82" ht="22.9" customHeight="1" x14ac:dyDescent="0.25">
      <c r="BU658" s="214">
        <f ca="1">Min_1</f>
        <v>1</v>
      </c>
      <c r="BV658" s="215">
        <f ca="1">Mid_1</f>
        <v>4</v>
      </c>
      <c r="BW658" s="216">
        <f ca="1">Max_1</f>
        <v>1</v>
      </c>
      <c r="BX658" s="217" t="str">
        <f>Приведение</f>
        <v>!!!</v>
      </c>
      <c r="BY658" s="66"/>
      <c r="CA658" s="81">
        <f ca="1">Min_1</f>
        <v>1</v>
      </c>
      <c r="CB658" s="82">
        <f ca="1">Mid_1</f>
        <v>2.5</v>
      </c>
      <c r="CC658" s="83">
        <f ca="1">Max_1</f>
        <v>4</v>
      </c>
      <c r="CD658" s="76">
        <f ca="1">Приведение</f>
        <v>1</v>
      </c>
    </row>
    <row r="659" spans="73:82" ht="22.9" customHeight="1" thickBot="1" x14ac:dyDescent="0.3">
      <c r="BU659" s="218" t="e">
        <f>VLOOKUP(BW651,#REF!,2,FALSE)</f>
        <v>#REF!</v>
      </c>
      <c r="BV659" s="219" t="e">
        <f>VLOOKUP(BW651,#REF!,3,FALSE)</f>
        <v>#REF!</v>
      </c>
      <c r="BW659" s="220" t="e">
        <f>VLOOKUP(BW651,#REF!,4,FALSE)</f>
        <v>#REF!</v>
      </c>
      <c r="BX659" s="221">
        <v>6</v>
      </c>
      <c r="BY659" s="66"/>
      <c r="CA659" s="77">
        <v>1</v>
      </c>
      <c r="CB659" s="78"/>
      <c r="CC659" s="79">
        <v>4</v>
      </c>
      <c r="CD659" s="80">
        <v>1</v>
      </c>
    </row>
    <row r="660" spans="73:82" ht="22.9" customHeight="1" thickTop="1" x14ac:dyDescent="0.25"/>
  </sheetData>
  <mergeCells count="430">
    <mergeCell ref="CJ17:CM17"/>
    <mergeCell ref="CJ18:CL18"/>
    <mergeCell ref="AC64:AF64"/>
    <mergeCell ref="AC65:AE65"/>
    <mergeCell ref="AC70:AF70"/>
    <mergeCell ref="AC71:AE71"/>
    <mergeCell ref="AC77:AF77"/>
    <mergeCell ref="AC78:AE78"/>
    <mergeCell ref="AO76:AR76"/>
    <mergeCell ref="AO77:AQ77"/>
    <mergeCell ref="AQ71:AS71"/>
    <mergeCell ref="AQ64:AW64"/>
    <mergeCell ref="AQ70:AT70"/>
    <mergeCell ref="AO30:AQ30"/>
    <mergeCell ref="AW30:AY30"/>
    <mergeCell ref="AL24:AR24"/>
    <mergeCell ref="AJ29:AM29"/>
    <mergeCell ref="AJ30:AL30"/>
    <mergeCell ref="BF35:BL35"/>
    <mergeCell ref="BD40:BG40"/>
    <mergeCell ref="BI40:BL40"/>
    <mergeCell ref="BV17:BY17"/>
    <mergeCell ref="BV18:BX18"/>
    <mergeCell ref="CC17:CF17"/>
    <mergeCell ref="DB80:DE80"/>
    <mergeCell ref="DG80:DJ80"/>
    <mergeCell ref="BW111:CC111"/>
    <mergeCell ref="BU116:BX116"/>
    <mergeCell ref="CA116:CD116"/>
    <mergeCell ref="BU117:BW117"/>
    <mergeCell ref="CA117:CC117"/>
    <mergeCell ref="AC83:AF83"/>
    <mergeCell ref="AC84:AE84"/>
    <mergeCell ref="G77:J77"/>
    <mergeCell ref="G78:I78"/>
    <mergeCell ref="N77:Q77"/>
    <mergeCell ref="N78:P78"/>
    <mergeCell ref="DD65:DJ65"/>
    <mergeCell ref="DD70:DG70"/>
    <mergeCell ref="DI70:DL70"/>
    <mergeCell ref="DI71:DK71"/>
    <mergeCell ref="BX71:BZ71"/>
    <mergeCell ref="DD71:DF71"/>
    <mergeCell ref="DB75:DH75"/>
    <mergeCell ref="AX70:BA70"/>
    <mergeCell ref="AX71:AZ71"/>
    <mergeCell ref="BU65:CA65"/>
    <mergeCell ref="BS70:BV70"/>
    <mergeCell ref="BX70:CA70"/>
    <mergeCell ref="BS71:BU71"/>
    <mergeCell ref="M51:S51"/>
    <mergeCell ref="J57:M57"/>
    <mergeCell ref="J58:L58"/>
    <mergeCell ref="Q57:T57"/>
    <mergeCell ref="Q58:S58"/>
    <mergeCell ref="T65:U65"/>
    <mergeCell ref="Q71:R71"/>
    <mergeCell ref="J64:M64"/>
    <mergeCell ref="J65:L65"/>
    <mergeCell ref="H70:N70"/>
    <mergeCell ref="O42:P42"/>
    <mergeCell ref="R25:U25"/>
    <mergeCell ref="R26:T26"/>
    <mergeCell ref="H31:N31"/>
    <mergeCell ref="O38:P38"/>
    <mergeCell ref="O39:P39"/>
    <mergeCell ref="O40:P40"/>
    <mergeCell ref="O41:P41"/>
    <mergeCell ref="D20:G20"/>
    <mergeCell ref="N20:Q20"/>
    <mergeCell ref="D21:F21"/>
    <mergeCell ref="N21:P21"/>
    <mergeCell ref="H25:N25"/>
    <mergeCell ref="K7:Q7"/>
    <mergeCell ref="S7:V7"/>
    <mergeCell ref="AR13:AX13"/>
    <mergeCell ref="DU7:DX7"/>
    <mergeCell ref="O2:U2"/>
    <mergeCell ref="J12:M12"/>
    <mergeCell ref="O12:R12"/>
    <mergeCell ref="S8:U8"/>
    <mergeCell ref="J13:L13"/>
    <mergeCell ref="O13:Q13"/>
    <mergeCell ref="BA7:BD7"/>
    <mergeCell ref="BA8:BC8"/>
    <mergeCell ref="CF2:CL2"/>
    <mergeCell ref="DU8:DW8"/>
    <mergeCell ref="CD7:CG7"/>
    <mergeCell ref="CD8:CF8"/>
    <mergeCell ref="CK7:CN7"/>
    <mergeCell ref="CK8:CM8"/>
    <mergeCell ref="BZ12:CF12"/>
    <mergeCell ref="CN12:CT12"/>
    <mergeCell ref="EH30:EJ30"/>
    <mergeCell ref="DX29:EA29"/>
    <mergeCell ref="DX30:DZ30"/>
    <mergeCell ref="EC30:EE30"/>
    <mergeCell ref="DR30:DT30"/>
    <mergeCell ref="DN35:DT35"/>
    <mergeCell ref="DN40:DQ40"/>
    <mergeCell ref="DS40:DV40"/>
    <mergeCell ref="DN41:DP41"/>
    <mergeCell ref="DS41:DU41"/>
    <mergeCell ref="EE19:EG19"/>
    <mergeCell ref="DR29:DU29"/>
    <mergeCell ref="BD41:BF41"/>
    <mergeCell ref="BI41:BK41"/>
    <mergeCell ref="BU106:BX106"/>
    <mergeCell ref="BU107:BW107"/>
    <mergeCell ref="BW101:CC101"/>
    <mergeCell ref="CA106:CD106"/>
    <mergeCell ref="CA107:CC107"/>
    <mergeCell ref="DG55:DM55"/>
    <mergeCell ref="DG60:DJ60"/>
    <mergeCell ref="DL60:DO60"/>
    <mergeCell ref="DG61:DI61"/>
    <mergeCell ref="DL61:DN61"/>
    <mergeCell ref="DJ45:DP45"/>
    <mergeCell ref="DJ50:DM50"/>
    <mergeCell ref="DO50:DR50"/>
    <mergeCell ref="DB81:DD81"/>
    <mergeCell ref="DG81:DI81"/>
    <mergeCell ref="BZ75:CF75"/>
    <mergeCell ref="BX80:CA80"/>
    <mergeCell ref="CC80:CF80"/>
    <mergeCell ref="BX81:BZ81"/>
    <mergeCell ref="CC81:CE81"/>
    <mergeCell ref="DY13:EE13"/>
    <mergeCell ref="DU24:EA24"/>
    <mergeCell ref="AK58:AQ58"/>
    <mergeCell ref="DJ51:DL51"/>
    <mergeCell ref="BQ55:BW55"/>
    <mergeCell ref="DO51:DQ51"/>
    <mergeCell ref="BK45:BQ45"/>
    <mergeCell ref="BI50:BL50"/>
    <mergeCell ref="BN50:BQ50"/>
    <mergeCell ref="AQ18:AT18"/>
    <mergeCell ref="AV18:AY18"/>
    <mergeCell ref="AW29:AZ29"/>
    <mergeCell ref="BC29:BF29"/>
    <mergeCell ref="BC30:BE30"/>
    <mergeCell ref="AY24:BE24"/>
    <mergeCell ref="AQ19:AS19"/>
    <mergeCell ref="AV19:AX19"/>
    <mergeCell ref="AO29:AR29"/>
    <mergeCell ref="EC24:EI24"/>
    <mergeCell ref="EC29:EF29"/>
    <mergeCell ref="EH29:EK29"/>
    <mergeCell ref="DX18:EA18"/>
    <mergeCell ref="DX19:DZ19"/>
    <mergeCell ref="EE18:EH18"/>
    <mergeCell ref="BW121:CC121"/>
    <mergeCell ref="BO60:BR60"/>
    <mergeCell ref="BT60:BW60"/>
    <mergeCell ref="BO61:BQ61"/>
    <mergeCell ref="BT61:BV61"/>
    <mergeCell ref="BI51:BK51"/>
    <mergeCell ref="BN51:BP51"/>
    <mergeCell ref="BU126:BX126"/>
    <mergeCell ref="CA126:CD126"/>
    <mergeCell ref="BU127:BW127"/>
    <mergeCell ref="CA127:CC127"/>
    <mergeCell ref="BW131:CC131"/>
    <mergeCell ref="BU136:BX136"/>
    <mergeCell ref="CA136:CD136"/>
    <mergeCell ref="BU137:BW137"/>
    <mergeCell ref="CA137:CC137"/>
    <mergeCell ref="BW141:CC141"/>
    <mergeCell ref="BU146:BX146"/>
    <mergeCell ref="CA146:CD146"/>
    <mergeCell ref="BU147:BW147"/>
    <mergeCell ref="CA147:CC147"/>
    <mergeCell ref="BW151:CC151"/>
    <mergeCell ref="BU156:BX156"/>
    <mergeCell ref="CA156:CD156"/>
    <mergeCell ref="BU157:BW157"/>
    <mergeCell ref="CA157:CC157"/>
    <mergeCell ref="BW161:CC161"/>
    <mergeCell ref="BU166:BX166"/>
    <mergeCell ref="CA166:CD166"/>
    <mergeCell ref="BU167:BW167"/>
    <mergeCell ref="CA167:CC167"/>
    <mergeCell ref="BW171:CC171"/>
    <mergeCell ref="BU176:BX176"/>
    <mergeCell ref="CA176:CD176"/>
    <mergeCell ref="BU177:BW177"/>
    <mergeCell ref="CA177:CC177"/>
    <mergeCell ref="BW181:CC181"/>
    <mergeCell ref="BU186:BX186"/>
    <mergeCell ref="CA186:CD186"/>
    <mergeCell ref="BU187:BW187"/>
    <mergeCell ref="CA187:CC187"/>
    <mergeCell ref="BW191:CC191"/>
    <mergeCell ref="BU196:BX196"/>
    <mergeCell ref="CA196:CD196"/>
    <mergeCell ref="BU197:BW197"/>
    <mergeCell ref="CA197:CC197"/>
    <mergeCell ref="BW201:CC201"/>
    <mergeCell ref="BU206:BX206"/>
    <mergeCell ref="CA206:CD206"/>
    <mergeCell ref="BU207:BW207"/>
    <mergeCell ref="CA207:CC207"/>
    <mergeCell ref="BW211:CC211"/>
    <mergeCell ref="BU216:BX216"/>
    <mergeCell ref="CA216:CD216"/>
    <mergeCell ref="BU217:BW217"/>
    <mergeCell ref="CA217:CC217"/>
    <mergeCell ref="BW221:CC221"/>
    <mergeCell ref="BU226:BX226"/>
    <mergeCell ref="CA226:CD226"/>
    <mergeCell ref="BU227:BW227"/>
    <mergeCell ref="CA227:CC227"/>
    <mergeCell ref="BW231:CC231"/>
    <mergeCell ref="BU236:BX236"/>
    <mergeCell ref="CA236:CD236"/>
    <mergeCell ref="BU237:BW237"/>
    <mergeCell ref="CA237:CC237"/>
    <mergeCell ref="BW241:CC241"/>
    <mergeCell ref="BU246:BX246"/>
    <mergeCell ref="CA246:CD246"/>
    <mergeCell ref="BU247:BW247"/>
    <mergeCell ref="CA247:CC247"/>
    <mergeCell ref="BW251:CC251"/>
    <mergeCell ref="BU256:BX256"/>
    <mergeCell ref="CA256:CD256"/>
    <mergeCell ref="BU257:BW257"/>
    <mergeCell ref="CA257:CC257"/>
    <mergeCell ref="BW261:CC261"/>
    <mergeCell ref="BU266:BX266"/>
    <mergeCell ref="CA266:CD266"/>
    <mergeCell ref="BU267:BW267"/>
    <mergeCell ref="CA267:CC267"/>
    <mergeCell ref="BW271:CC271"/>
    <mergeCell ref="BU276:BX276"/>
    <mergeCell ref="CA276:CD276"/>
    <mergeCell ref="BU277:BW277"/>
    <mergeCell ref="CA277:CC277"/>
    <mergeCell ref="BW281:CC281"/>
    <mergeCell ref="BU286:BX286"/>
    <mergeCell ref="CA286:CD286"/>
    <mergeCell ref="BU287:BW287"/>
    <mergeCell ref="CA287:CC287"/>
    <mergeCell ref="BW291:CC291"/>
    <mergeCell ref="BU296:BX296"/>
    <mergeCell ref="CA296:CD296"/>
    <mergeCell ref="BU297:BW297"/>
    <mergeCell ref="CA297:CC297"/>
    <mergeCell ref="BW301:CC301"/>
    <mergeCell ref="BU306:BX306"/>
    <mergeCell ref="CA306:CD306"/>
    <mergeCell ref="BU307:BW307"/>
    <mergeCell ref="CA307:CC307"/>
    <mergeCell ref="BW311:CC311"/>
    <mergeCell ref="BU316:BX316"/>
    <mergeCell ref="CA316:CD316"/>
    <mergeCell ref="BU317:BW317"/>
    <mergeCell ref="CA317:CC317"/>
    <mergeCell ref="BW321:CC321"/>
    <mergeCell ref="BU326:BX326"/>
    <mergeCell ref="CA326:CD326"/>
    <mergeCell ref="BU327:BW327"/>
    <mergeCell ref="CA327:CC327"/>
    <mergeCell ref="BW331:CC331"/>
    <mergeCell ref="BU336:BX336"/>
    <mergeCell ref="CA336:CD336"/>
    <mergeCell ref="BU337:BW337"/>
    <mergeCell ref="CA337:CC337"/>
    <mergeCell ref="BW341:CC341"/>
    <mergeCell ref="BU346:BX346"/>
    <mergeCell ref="CA346:CD346"/>
    <mergeCell ref="BU347:BW347"/>
    <mergeCell ref="CA347:CC347"/>
    <mergeCell ref="BW351:CC351"/>
    <mergeCell ref="BU356:BX356"/>
    <mergeCell ref="CA356:CD356"/>
    <mergeCell ref="BU357:BW357"/>
    <mergeCell ref="CA357:CC357"/>
    <mergeCell ref="BW361:CC361"/>
    <mergeCell ref="BU366:BX366"/>
    <mergeCell ref="CA366:CD366"/>
    <mergeCell ref="BU367:BW367"/>
    <mergeCell ref="CA367:CC367"/>
    <mergeCell ref="BW371:CC371"/>
    <mergeCell ref="BU376:BX376"/>
    <mergeCell ref="CA376:CD376"/>
    <mergeCell ref="BU377:BW377"/>
    <mergeCell ref="CA377:CC377"/>
    <mergeCell ref="BW381:CC381"/>
    <mergeCell ref="BU386:BX386"/>
    <mergeCell ref="CA386:CD386"/>
    <mergeCell ref="BU387:BW387"/>
    <mergeCell ref="CA387:CC387"/>
    <mergeCell ref="BW391:CC391"/>
    <mergeCell ref="BU396:BX396"/>
    <mergeCell ref="CA396:CD396"/>
    <mergeCell ref="BU397:BW397"/>
    <mergeCell ref="CA397:CC397"/>
    <mergeCell ref="BW401:CC401"/>
    <mergeCell ref="BU406:BX406"/>
    <mergeCell ref="CA406:CD406"/>
    <mergeCell ref="BU407:BW407"/>
    <mergeCell ref="CA407:CC407"/>
    <mergeCell ref="BW411:CC411"/>
    <mergeCell ref="BU416:BX416"/>
    <mergeCell ref="CA416:CD416"/>
    <mergeCell ref="BU417:BW417"/>
    <mergeCell ref="CA417:CC417"/>
    <mergeCell ref="BW421:CC421"/>
    <mergeCell ref="BU426:BX426"/>
    <mergeCell ref="CA426:CD426"/>
    <mergeCell ref="BU427:BW427"/>
    <mergeCell ref="CA427:CC427"/>
    <mergeCell ref="BW431:CC431"/>
    <mergeCell ref="BU436:BX436"/>
    <mergeCell ref="CA436:CD436"/>
    <mergeCell ref="BU437:BW437"/>
    <mergeCell ref="CA437:CC437"/>
    <mergeCell ref="BW441:CC441"/>
    <mergeCell ref="BU446:BX446"/>
    <mergeCell ref="CA446:CD446"/>
    <mergeCell ref="BU447:BW447"/>
    <mergeCell ref="CA447:CC447"/>
    <mergeCell ref="BW451:CC451"/>
    <mergeCell ref="BU456:BX456"/>
    <mergeCell ref="CA456:CD456"/>
    <mergeCell ref="BU457:BW457"/>
    <mergeCell ref="CA457:CC457"/>
    <mergeCell ref="BW461:CC461"/>
    <mergeCell ref="BU466:BX466"/>
    <mergeCell ref="CA466:CD466"/>
    <mergeCell ref="BU467:BW467"/>
    <mergeCell ref="CA467:CC467"/>
    <mergeCell ref="BW471:CC471"/>
    <mergeCell ref="BU476:BX476"/>
    <mergeCell ref="CA476:CD476"/>
    <mergeCell ref="BU477:BW477"/>
    <mergeCell ref="CA477:CC477"/>
    <mergeCell ref="BW481:CC481"/>
    <mergeCell ref="BU486:BX486"/>
    <mergeCell ref="CA486:CD486"/>
    <mergeCell ref="BU487:BW487"/>
    <mergeCell ref="CA487:CC487"/>
    <mergeCell ref="BW491:CC491"/>
    <mergeCell ref="BU496:BX496"/>
    <mergeCell ref="CA496:CD496"/>
    <mergeCell ref="BU497:BW497"/>
    <mergeCell ref="CA497:CC497"/>
    <mergeCell ref="BW501:CC501"/>
    <mergeCell ref="BU506:BX506"/>
    <mergeCell ref="CA506:CD506"/>
    <mergeCell ref="BU507:BW507"/>
    <mergeCell ref="CA507:CC507"/>
    <mergeCell ref="BW511:CC511"/>
    <mergeCell ref="BU516:BX516"/>
    <mergeCell ref="CA516:CD516"/>
    <mergeCell ref="BU517:BW517"/>
    <mergeCell ref="CA517:CC517"/>
    <mergeCell ref="BW521:CC521"/>
    <mergeCell ref="BU526:BX526"/>
    <mergeCell ref="CA526:CD526"/>
    <mergeCell ref="BU527:BW527"/>
    <mergeCell ref="CA527:CC527"/>
    <mergeCell ref="BW531:CC531"/>
    <mergeCell ref="BU536:BX536"/>
    <mergeCell ref="CA536:CD536"/>
    <mergeCell ref="BU537:BW537"/>
    <mergeCell ref="CA537:CC537"/>
    <mergeCell ref="CA567:CC567"/>
    <mergeCell ref="BW571:CC571"/>
    <mergeCell ref="BU576:BX576"/>
    <mergeCell ref="CA576:CD576"/>
    <mergeCell ref="BU577:BW577"/>
    <mergeCell ref="CA577:CC577"/>
    <mergeCell ref="BW541:CC541"/>
    <mergeCell ref="BU546:BX546"/>
    <mergeCell ref="CA546:CD546"/>
    <mergeCell ref="BU547:BW547"/>
    <mergeCell ref="CA547:CC547"/>
    <mergeCell ref="BW551:CC551"/>
    <mergeCell ref="BU556:BX556"/>
    <mergeCell ref="CA556:CD556"/>
    <mergeCell ref="BU557:BW557"/>
    <mergeCell ref="CA557:CC557"/>
    <mergeCell ref="BU657:BW657"/>
    <mergeCell ref="CA657:CC657"/>
    <mergeCell ref="BW621:CC621"/>
    <mergeCell ref="BU626:BX626"/>
    <mergeCell ref="CA626:CD626"/>
    <mergeCell ref="BU627:BW627"/>
    <mergeCell ref="CA627:CC627"/>
    <mergeCell ref="BW631:CC631"/>
    <mergeCell ref="BU636:BX636"/>
    <mergeCell ref="CA636:CD636"/>
    <mergeCell ref="BU637:BW637"/>
    <mergeCell ref="CA637:CC637"/>
    <mergeCell ref="BU647:BW647"/>
    <mergeCell ref="CA647:CC647"/>
    <mergeCell ref="CA607:CC607"/>
    <mergeCell ref="BW611:CC611"/>
    <mergeCell ref="BU616:BX616"/>
    <mergeCell ref="CA616:CD616"/>
    <mergeCell ref="BU617:BW617"/>
    <mergeCell ref="CA617:CC617"/>
    <mergeCell ref="BW651:CC651"/>
    <mergeCell ref="BU656:BX656"/>
    <mergeCell ref="CA656:CD656"/>
    <mergeCell ref="CQ17:CT17"/>
    <mergeCell ref="CQ18:CS18"/>
    <mergeCell ref="CC18:CE18"/>
    <mergeCell ref="BW641:CC641"/>
    <mergeCell ref="BU646:BX646"/>
    <mergeCell ref="CA646:CD646"/>
    <mergeCell ref="BW581:CC581"/>
    <mergeCell ref="BU586:BX586"/>
    <mergeCell ref="CA586:CD586"/>
    <mergeCell ref="BU587:BW587"/>
    <mergeCell ref="CA587:CC587"/>
    <mergeCell ref="BW591:CC591"/>
    <mergeCell ref="BU596:BX596"/>
    <mergeCell ref="CA596:CD596"/>
    <mergeCell ref="BU597:BW597"/>
    <mergeCell ref="CA597:CC597"/>
    <mergeCell ref="BW561:CC561"/>
    <mergeCell ref="BU566:BX566"/>
    <mergeCell ref="CA566:CD566"/>
    <mergeCell ref="BU567:BW567"/>
    <mergeCell ref="BW601:CC601"/>
    <mergeCell ref="BU606:BX606"/>
    <mergeCell ref="CA606:CD606"/>
    <mergeCell ref="BU607:BW607"/>
  </mergeCells>
  <conditionalFormatting sqref="S3:U5 O8:Q10 CJ3:CL5 AV14:AX16 L26:N28 L32:N34">
    <cfRule type="cellIs" dxfId="784" priority="1143" operator="equal">
      <formula>"Q"</formula>
    </cfRule>
  </conditionalFormatting>
  <conditionalFormatting sqref="L10:M10">
    <cfRule type="expression" dxfId="783" priority="1142">
      <formula>M10=""</formula>
    </cfRule>
  </conditionalFormatting>
  <conditionalFormatting sqref="N8:N9">
    <cfRule type="expression" dxfId="782" priority="1141">
      <formula>N9=""</formula>
    </cfRule>
  </conditionalFormatting>
  <conditionalFormatting sqref="L8:M9">
    <cfRule type="expression" dxfId="781" priority="1140">
      <formula>OR(M8="",L9="")</formula>
    </cfRule>
  </conditionalFormatting>
  <conditionalFormatting sqref="T10">
    <cfRule type="expression" dxfId="780" priority="1137">
      <formula>OR(T9=1,T9=4)</formula>
    </cfRule>
    <cfRule type="expression" dxfId="779" priority="1138">
      <formula>OR(T9&lt;&gt;1,T9&lt;&gt;4)</formula>
    </cfRule>
  </conditionalFormatting>
  <conditionalFormatting sqref="T9">
    <cfRule type="expression" dxfId="778" priority="1136">
      <formula>OR(AND(S9=1,U9=4),AND(S9=4,U9=1))</formula>
    </cfRule>
  </conditionalFormatting>
  <conditionalFormatting sqref="P15">
    <cfRule type="expression" dxfId="777" priority="1134">
      <formula>OR(P14=1,P14=4)</formula>
    </cfRule>
    <cfRule type="expression" dxfId="776" priority="1135">
      <formula>OR(P14&lt;&gt;1,P14&lt;&gt;4)</formula>
    </cfRule>
  </conditionalFormatting>
  <conditionalFormatting sqref="P14">
    <cfRule type="expression" dxfId="775" priority="1133">
      <formula>OR(AND(O14=1,Q14=4),AND(O14=4,Q14=1))</formula>
    </cfRule>
  </conditionalFormatting>
  <conditionalFormatting sqref="K15">
    <cfRule type="expression" dxfId="774" priority="1131">
      <formula>OR(K14=1,K14=4)</formula>
    </cfRule>
    <cfRule type="expression" dxfId="773" priority="1132">
      <formula>OR(K14&lt;&gt;1,K14&lt;&gt;4)</formula>
    </cfRule>
  </conditionalFormatting>
  <conditionalFormatting sqref="K14">
    <cfRule type="expression" dxfId="772" priority="1130">
      <formula>OR(AND(J14=1,L14=4),AND(J14=4,L14=1))</formula>
    </cfRule>
  </conditionalFormatting>
  <conditionalFormatting sqref="AS16:AT16">
    <cfRule type="expression" dxfId="771" priority="1128">
      <formula>AT16=""</formula>
    </cfRule>
  </conditionalFormatting>
  <conditionalFormatting sqref="AU14:AU15">
    <cfRule type="expression" dxfId="770" priority="1127">
      <formula>AU15=""</formula>
    </cfRule>
  </conditionalFormatting>
  <conditionalFormatting sqref="AS14:AT15">
    <cfRule type="expression" dxfId="769" priority="1126">
      <formula>OR(AT14="",AS15="")</formula>
    </cfRule>
  </conditionalFormatting>
  <conditionalFormatting sqref="DV10">
    <cfRule type="expression" dxfId="768" priority="1123">
      <formula>OR(DV9=1,DV9=4)</formula>
    </cfRule>
    <cfRule type="expression" dxfId="767" priority="1124">
      <formula>OR(DV9&lt;&gt;1,DV9&lt;&gt;4)</formula>
    </cfRule>
  </conditionalFormatting>
  <conditionalFormatting sqref="DV9">
    <cfRule type="expression" dxfId="766" priority="1122">
      <formula>OR(AND(DU9=1,DW9=4),AND(DU9=4,DW9=1))</formula>
    </cfRule>
  </conditionalFormatting>
  <conditionalFormatting sqref="AW21">
    <cfRule type="expression" dxfId="765" priority="1120">
      <formula>OR(AW20=1,AW20=4)</formula>
    </cfRule>
    <cfRule type="expression" dxfId="764" priority="1121">
      <formula>OR(AW20&lt;&gt;1,AW20&lt;&gt;4)</formula>
    </cfRule>
  </conditionalFormatting>
  <conditionalFormatting sqref="AW20">
    <cfRule type="expression" dxfId="763" priority="1119">
      <formula>OR(AND(AV20=1,AX20=4),AND(AV20=4,AX20=1))</formula>
    </cfRule>
  </conditionalFormatting>
  <conditionalFormatting sqref="AR21">
    <cfRule type="expression" dxfId="762" priority="1117">
      <formula>OR(AR20=1,AR20=4)</formula>
    </cfRule>
    <cfRule type="expression" dxfId="761" priority="1118">
      <formula>OR(AR20&lt;&gt;1,AR20&lt;&gt;4)</formula>
    </cfRule>
  </conditionalFormatting>
  <conditionalFormatting sqref="AR20">
    <cfRule type="expression" dxfId="760" priority="1116">
      <formula>OR(AND(AQ20=1,AS20=4),AND(AQ20=4,AS20=1))</formula>
    </cfRule>
  </conditionalFormatting>
  <conditionalFormatting sqref="P5:Q5">
    <cfRule type="expression" dxfId="759" priority="1115">
      <formula>Q5=""</formula>
    </cfRule>
  </conditionalFormatting>
  <conditionalFormatting sqref="R3:R4">
    <cfRule type="expression" dxfId="758" priority="1114">
      <formula>R4=""</formula>
    </cfRule>
  </conditionalFormatting>
  <conditionalFormatting sqref="P3:Q4">
    <cfRule type="expression" dxfId="757" priority="1113">
      <formula>OR(Q3="",P4="")</formula>
    </cfRule>
  </conditionalFormatting>
  <conditionalFormatting sqref="E23">
    <cfRule type="expression" dxfId="756" priority="1108">
      <formula>OR(E22=1,E22=4)</formula>
    </cfRule>
    <cfRule type="expression" dxfId="755" priority="1109">
      <formula>OR(E22&lt;&gt;1,E22&lt;&gt;4)</formula>
    </cfRule>
  </conditionalFormatting>
  <conditionalFormatting sqref="E22">
    <cfRule type="expression" dxfId="754" priority="1107">
      <formula>OR(AND(D22=1,F22=4),AND(D22=4,F22=1))</formula>
    </cfRule>
  </conditionalFormatting>
  <conditionalFormatting sqref="O23">
    <cfRule type="expression" dxfId="753" priority="1105">
      <formula>OR(O22=1,O22=4)</formula>
    </cfRule>
    <cfRule type="expression" dxfId="752" priority="1106">
      <formula>OR(O22&lt;&gt;1,O22&lt;&gt;4)</formula>
    </cfRule>
  </conditionalFormatting>
  <conditionalFormatting sqref="O22">
    <cfRule type="expression" dxfId="751" priority="1104">
      <formula>OR(AND(N22=1,P22=4),AND(N22=4,P22=1))</formula>
    </cfRule>
  </conditionalFormatting>
  <conditionalFormatting sqref="I28:J28">
    <cfRule type="expression" dxfId="750" priority="1103">
      <formula>J28=""</formula>
    </cfRule>
  </conditionalFormatting>
  <conditionalFormatting sqref="K26:K27">
    <cfRule type="expression" dxfId="749" priority="1102">
      <formula>K27=""</formula>
    </cfRule>
  </conditionalFormatting>
  <conditionalFormatting sqref="I26:J27">
    <cfRule type="expression" dxfId="748" priority="1101">
      <formula>OR(J26="",I27="")</formula>
    </cfRule>
  </conditionalFormatting>
  <conditionalFormatting sqref="S28">
    <cfRule type="expression" dxfId="747" priority="1098">
      <formula>OR(S27=1,S27=4)</formula>
    </cfRule>
    <cfRule type="expression" dxfId="746" priority="1099">
      <formula>OR(S27&lt;&gt;1,S27&lt;&gt;4)</formula>
    </cfRule>
  </conditionalFormatting>
  <conditionalFormatting sqref="S27">
    <cfRule type="expression" dxfId="745" priority="1097">
      <formula>OR(AND(R27=1,T27=4),AND(R27=4,T27=1))</formula>
    </cfRule>
  </conditionalFormatting>
  <conditionalFormatting sqref="I34:J34">
    <cfRule type="expression" dxfId="744" priority="1096">
      <formula>J34=""</formula>
    </cfRule>
  </conditionalFormatting>
  <conditionalFormatting sqref="K32:K33">
    <cfRule type="expression" dxfId="743" priority="1095">
      <formula>K33=""</formula>
    </cfRule>
  </conditionalFormatting>
  <conditionalFormatting sqref="I32:J33">
    <cfRule type="expression" dxfId="742" priority="1094">
      <formula>OR(J32="",I33="")</formula>
    </cfRule>
  </conditionalFormatting>
  <conditionalFormatting sqref="DZ16:EA16">
    <cfRule type="expression" dxfId="741" priority="1092">
      <formula>EA16=""</formula>
    </cfRule>
  </conditionalFormatting>
  <conditionalFormatting sqref="EB14:EB15">
    <cfRule type="expression" dxfId="740" priority="1091">
      <formula>EB15=""</formula>
    </cfRule>
  </conditionalFormatting>
  <conditionalFormatting sqref="DZ14:EA15">
    <cfRule type="expression" dxfId="739" priority="1090">
      <formula>OR(EA14="",DZ15="")</formula>
    </cfRule>
  </conditionalFormatting>
  <conditionalFormatting sqref="DV27:DW27">
    <cfRule type="expression" dxfId="738" priority="1088">
      <formula>DW27=""</formula>
    </cfRule>
  </conditionalFormatting>
  <conditionalFormatting sqref="DX25:DX26">
    <cfRule type="expression" dxfId="737" priority="1087">
      <formula>DX26=""</formula>
    </cfRule>
  </conditionalFormatting>
  <conditionalFormatting sqref="DV25:DW26">
    <cfRule type="expression" dxfId="736" priority="1086">
      <formula>OR(DW25="",DV26="")</formula>
    </cfRule>
  </conditionalFormatting>
  <conditionalFormatting sqref="DY32">
    <cfRule type="expression" dxfId="735" priority="1068">
      <formula>OR(DY31=1,DY31=4)</formula>
    </cfRule>
    <cfRule type="expression" dxfId="734" priority="1069">
      <formula>OR(DY31&lt;&gt;1,DY31&lt;&gt;4)</formula>
    </cfRule>
  </conditionalFormatting>
  <conditionalFormatting sqref="DY31">
    <cfRule type="expression" dxfId="733" priority="1067">
      <formula>OR(AND(DX31=1,DZ31=4),AND(DX31=4,DZ31=1))</formula>
    </cfRule>
  </conditionalFormatting>
  <conditionalFormatting sqref="EI32">
    <cfRule type="expression" dxfId="732" priority="1045">
      <formula>OR(EI31=1,EI31=4)</formula>
    </cfRule>
    <cfRule type="expression" dxfId="731" priority="1046">
      <formula>OR(EI31&lt;&gt;1,EI31&lt;&gt;4)</formula>
    </cfRule>
  </conditionalFormatting>
  <conditionalFormatting sqref="EI31">
    <cfRule type="expression" dxfId="730" priority="1044">
      <formula>OR(AND(EH31=1,EJ31=4),AND(EH31=4,EJ31=1))</formula>
    </cfRule>
  </conditionalFormatting>
  <conditionalFormatting sqref="ED27:EE27">
    <cfRule type="expression" dxfId="729" priority="1052">
      <formula>EE27=""</formula>
    </cfRule>
  </conditionalFormatting>
  <conditionalFormatting sqref="EF25:EF26">
    <cfRule type="expression" dxfId="728" priority="1051">
      <formula>EF26=""</formula>
    </cfRule>
  </conditionalFormatting>
  <conditionalFormatting sqref="ED25:EE26">
    <cfRule type="expression" dxfId="727" priority="1050">
      <formula>OR(EE25="",ED26="")</formula>
    </cfRule>
  </conditionalFormatting>
  <conditionalFormatting sqref="ED32">
    <cfRule type="expression" dxfId="726" priority="1048">
      <formula>OR(ED31=1,ED31=4)</formula>
    </cfRule>
    <cfRule type="expression" dxfId="725" priority="1049">
      <formula>OR(ED31&lt;&gt;1,ED31&lt;&gt;4)</formula>
    </cfRule>
  </conditionalFormatting>
  <conditionalFormatting sqref="ED31">
    <cfRule type="expression" dxfId="724" priority="1047">
      <formula>OR(AND(EC31=1,EE31=4),AND(EC31=4,EE31=1))</formula>
    </cfRule>
  </conditionalFormatting>
  <conditionalFormatting sqref="AZ27:BA27">
    <cfRule type="expression" dxfId="723" priority="1043">
      <formula>BA27=""</formula>
    </cfRule>
  </conditionalFormatting>
  <conditionalFormatting sqref="BB25:BB26">
    <cfRule type="expression" dxfId="722" priority="1042">
      <formula>BB26=""</formula>
    </cfRule>
  </conditionalFormatting>
  <conditionalFormatting sqref="AZ25:BA26">
    <cfRule type="expression" dxfId="721" priority="1041">
      <formula>OR(BA25="",AZ26="")</formula>
    </cfRule>
  </conditionalFormatting>
  <conditionalFormatting sqref="AX32">
    <cfRule type="expression" dxfId="720" priority="1038">
      <formula>OR(AX31=1,AX31=4)</formula>
    </cfRule>
    <cfRule type="expression" dxfId="719" priority="1039">
      <formula>OR(AX31&lt;&gt;1,AX31&lt;&gt;4)</formula>
    </cfRule>
  </conditionalFormatting>
  <conditionalFormatting sqref="AX31">
    <cfRule type="expression" dxfId="718" priority="1037">
      <formula>OR(AND(AW31=1,AY31=4),AND(AW31=4,AY31=1))</formula>
    </cfRule>
  </conditionalFormatting>
  <conditionalFormatting sqref="BD32">
    <cfRule type="expression" dxfId="717" priority="1025">
      <formula>OR(BD31=1,BD31=4)</formula>
    </cfRule>
    <cfRule type="expression" dxfId="716" priority="1026">
      <formula>OR(BD31&lt;&gt;1,BD31&lt;&gt;4)</formula>
    </cfRule>
  </conditionalFormatting>
  <conditionalFormatting sqref="BD31">
    <cfRule type="expression" dxfId="715" priority="1024">
      <formula>OR(AND(BC31=1,BE31=4),AND(BC31=4,BE31=1))</formula>
    </cfRule>
  </conditionalFormatting>
  <conditionalFormatting sqref="N54:O54">
    <cfRule type="expression" dxfId="714" priority="1023">
      <formula>O54=""</formula>
    </cfRule>
  </conditionalFormatting>
  <conditionalFormatting sqref="P52:P53">
    <cfRule type="expression" dxfId="713" priority="1022">
      <formula>P53=""</formula>
    </cfRule>
  </conditionalFormatting>
  <conditionalFormatting sqref="N52:O53">
    <cfRule type="expression" dxfId="712" priority="1021">
      <formula>OR(O52="",N53="")</formula>
    </cfRule>
  </conditionalFormatting>
  <conditionalFormatting sqref="K60">
    <cfRule type="expression" dxfId="711" priority="1018">
      <formula>OR(K59=1,K59=4)</formula>
    </cfRule>
    <cfRule type="expression" dxfId="710" priority="1019">
      <formula>OR(K59&lt;&gt;1,K59&lt;&gt;4)</formula>
    </cfRule>
  </conditionalFormatting>
  <conditionalFormatting sqref="K59">
    <cfRule type="expression" dxfId="709" priority="1017">
      <formula>OR(AND(J59=1,L59=4),AND(J59=4,L59=1))</formula>
    </cfRule>
  </conditionalFormatting>
  <conditionalFormatting sqref="R60">
    <cfRule type="expression" dxfId="708" priority="1015">
      <formula>OR(R59=1,R59=4)</formula>
    </cfRule>
    <cfRule type="expression" dxfId="707" priority="1016">
      <formula>OR(R59&lt;&gt;1,R59&lt;&gt;4)</formula>
    </cfRule>
  </conditionalFormatting>
  <conditionalFormatting sqref="R59">
    <cfRule type="expression" dxfId="706" priority="1014">
      <formula>OR(AND(Q59=1,S59=4),AND(Q59=4,S59=1))</formula>
    </cfRule>
  </conditionalFormatting>
  <conditionalFormatting sqref="K67">
    <cfRule type="expression" dxfId="705" priority="1012">
      <formula>OR(K66=1,K66=4)</formula>
    </cfRule>
    <cfRule type="expression" dxfId="704" priority="1013">
      <formula>OR(K66&lt;&gt;1,K66&lt;&gt;4)</formula>
    </cfRule>
  </conditionalFormatting>
  <conditionalFormatting sqref="K66">
    <cfRule type="expression" dxfId="703" priority="1011">
      <formula>OR(AND(J66=1,L66=4),AND(J66=4,L66=1))</formula>
    </cfRule>
  </conditionalFormatting>
  <conditionalFormatting sqref="I73:J73">
    <cfRule type="expression" dxfId="702" priority="1010">
      <formula>J73=""</formula>
    </cfRule>
  </conditionalFormatting>
  <conditionalFormatting sqref="K71:K72">
    <cfRule type="expression" dxfId="701" priority="1009">
      <formula>K72=""</formula>
    </cfRule>
  </conditionalFormatting>
  <conditionalFormatting sqref="I71:J72">
    <cfRule type="expression" dxfId="700" priority="1008">
      <formula>OR(J71="",I72="")</formula>
    </cfRule>
  </conditionalFormatting>
  <conditionalFormatting sqref="H80">
    <cfRule type="expression" dxfId="699" priority="1005">
      <formula>OR(H79=1,H79=4)</formula>
    </cfRule>
    <cfRule type="expression" dxfId="698" priority="1006">
      <formula>OR(H79&lt;&gt;1,H79&lt;&gt;4)</formula>
    </cfRule>
  </conditionalFormatting>
  <conditionalFormatting sqref="H79">
    <cfRule type="expression" dxfId="697" priority="1004">
      <formula>OR(AND(G79=1,I79=4),AND(G79=4,I79=1))</formula>
    </cfRule>
  </conditionalFormatting>
  <conditionalFormatting sqref="O80">
    <cfRule type="expression" dxfId="696" priority="1002">
      <formula>OR(O79=1,O79=4)</formula>
    </cfRule>
    <cfRule type="expression" dxfId="695" priority="1003">
      <formula>OR(O79&lt;&gt;1,O79&lt;&gt;4)</formula>
    </cfRule>
  </conditionalFormatting>
  <conditionalFormatting sqref="O79">
    <cfRule type="expression" dxfId="694" priority="1001">
      <formula>OR(AND(N79=1,P79=4),AND(N79=4,P79=1))</formula>
    </cfRule>
  </conditionalFormatting>
  <conditionalFormatting sqref="DO38:DP38">
    <cfRule type="expression" dxfId="693" priority="987">
      <formula>DP38=""</formula>
    </cfRule>
  </conditionalFormatting>
  <conditionalFormatting sqref="DQ36:DQ37">
    <cfRule type="expression" dxfId="692" priority="986">
      <formula>DQ37=""</formula>
    </cfRule>
  </conditionalFormatting>
  <conditionalFormatting sqref="DO36:DP37">
    <cfRule type="expression" dxfId="691" priority="985">
      <formula>OR(DP36="",DO37="")</formula>
    </cfRule>
  </conditionalFormatting>
  <conditionalFormatting sqref="DO43">
    <cfRule type="expression" dxfId="690" priority="983">
      <formula>OR(DO42=1,DO42=4)</formula>
    </cfRule>
    <cfRule type="expression" dxfId="689" priority="984">
      <formula>OR(DO42&lt;&gt;1,DO42&lt;&gt;4)</formula>
    </cfRule>
  </conditionalFormatting>
  <conditionalFormatting sqref="DO42">
    <cfRule type="expression" dxfId="688" priority="982">
      <formula>OR(AND(DN42=1,DP42=4),AND(DN42=4,DP42=1))</formula>
    </cfRule>
  </conditionalFormatting>
  <conditionalFormatting sqref="DT43">
    <cfRule type="expression" dxfId="687" priority="980">
      <formula>OR(DT42=1,DT42=4)</formula>
    </cfRule>
    <cfRule type="expression" dxfId="686" priority="981">
      <formula>OR(DT42&lt;&gt;1,DT42&lt;&gt;4)</formula>
    </cfRule>
  </conditionalFormatting>
  <conditionalFormatting sqref="DT42">
    <cfRule type="expression" dxfId="685" priority="979">
      <formula>OR(AND(DS42=1,DU42=4),AND(DS42=4,DU42=1))</formula>
    </cfRule>
  </conditionalFormatting>
  <conditionalFormatting sqref="BG38:BH38">
    <cfRule type="expression" dxfId="684" priority="978">
      <formula>BH38=""</formula>
    </cfRule>
  </conditionalFormatting>
  <conditionalFormatting sqref="BI36:BI37">
    <cfRule type="expression" dxfId="683" priority="977">
      <formula>BI37=""</formula>
    </cfRule>
  </conditionalFormatting>
  <conditionalFormatting sqref="BG36:BH37">
    <cfRule type="expression" dxfId="682" priority="976">
      <formula>OR(BH36="",BG37="")</formula>
    </cfRule>
  </conditionalFormatting>
  <conditionalFormatting sqref="BE43">
    <cfRule type="expression" dxfId="681" priority="973">
      <formula>OR(BE42=1,BE42=4)</formula>
    </cfRule>
    <cfRule type="expression" dxfId="680" priority="974">
      <formula>OR(BE42&lt;&gt;1,BE42&lt;&gt;4)</formula>
    </cfRule>
  </conditionalFormatting>
  <conditionalFormatting sqref="BE42">
    <cfRule type="expression" dxfId="679" priority="972">
      <formula>OR(AND(BD42=1,BF42=4),AND(BD42=4,BF42=1))</formula>
    </cfRule>
  </conditionalFormatting>
  <conditionalFormatting sqref="BJ43">
    <cfRule type="expression" dxfId="678" priority="970">
      <formula>OR(BJ42=1,BJ42=4)</formula>
    </cfRule>
    <cfRule type="expression" dxfId="677" priority="971">
      <formula>OR(BJ42&lt;&gt;1,BJ42&lt;&gt;4)</formula>
    </cfRule>
  </conditionalFormatting>
  <conditionalFormatting sqref="BJ42">
    <cfRule type="expression" dxfId="676" priority="969">
      <formula>OR(AND(BI42=1,BK42=4),AND(BI42=4,BK42=1))</formula>
    </cfRule>
  </conditionalFormatting>
  <conditionalFormatting sqref="DK48:DL48">
    <cfRule type="expression" dxfId="675" priority="967">
      <formula>DL48=""</formula>
    </cfRule>
  </conditionalFormatting>
  <conditionalFormatting sqref="DM46:DM47">
    <cfRule type="expression" dxfId="674" priority="966">
      <formula>DM47=""</formula>
    </cfRule>
  </conditionalFormatting>
  <conditionalFormatting sqref="DK46:DL47">
    <cfRule type="expression" dxfId="673" priority="965">
      <formula>OR(DL46="",DK47="")</formula>
    </cfRule>
  </conditionalFormatting>
  <conditionalFormatting sqref="DK53">
    <cfRule type="expression" dxfId="672" priority="963">
      <formula>OR(DK52=1,DK52=4)</formula>
    </cfRule>
    <cfRule type="expression" dxfId="671" priority="964">
      <formula>OR(DK52&lt;&gt;1,DK52&lt;&gt;4)</formula>
    </cfRule>
  </conditionalFormatting>
  <conditionalFormatting sqref="DK52">
    <cfRule type="expression" dxfId="670" priority="962">
      <formula>OR(AND(DJ52=1,DL52=4),AND(DJ52=4,DL52=1))</formula>
    </cfRule>
  </conditionalFormatting>
  <conditionalFormatting sqref="DP53">
    <cfRule type="expression" dxfId="669" priority="960">
      <formula>OR(DP52=1,DP52=4)</formula>
    </cfRule>
    <cfRule type="expression" dxfId="668" priority="961">
      <formula>OR(DP52&lt;&gt;1,DP52&lt;&gt;4)</formula>
    </cfRule>
  </conditionalFormatting>
  <conditionalFormatting sqref="DP52">
    <cfRule type="expression" dxfId="667" priority="959">
      <formula>OR(AND(DO52=1,DQ52=4),AND(DO52=4,DQ52=1))</formula>
    </cfRule>
  </conditionalFormatting>
  <conditionalFormatting sqref="BL48:BM48">
    <cfRule type="expression" dxfId="666" priority="958">
      <formula>BM48=""</formula>
    </cfRule>
  </conditionalFormatting>
  <conditionalFormatting sqref="BN46:BN47">
    <cfRule type="expression" dxfId="665" priority="957">
      <formula>BN47=""</formula>
    </cfRule>
  </conditionalFormatting>
  <conditionalFormatting sqref="BL46:BM47">
    <cfRule type="expression" dxfId="664" priority="956">
      <formula>OR(BM46="",BL47="")</formula>
    </cfRule>
  </conditionalFormatting>
  <conditionalFormatting sqref="BJ53">
    <cfRule type="expression" dxfId="663" priority="953">
      <formula>OR(BJ52=1,BJ52=4)</formula>
    </cfRule>
    <cfRule type="expression" dxfId="662" priority="954">
      <formula>OR(BJ52&lt;&gt;1,BJ52&lt;&gt;4)</formula>
    </cfRule>
  </conditionalFormatting>
  <conditionalFormatting sqref="BJ52">
    <cfRule type="expression" dxfId="661" priority="952">
      <formula>OR(AND(BI52=1,BK52=4),AND(BI52=4,BK52=1))</formula>
    </cfRule>
  </conditionalFormatting>
  <conditionalFormatting sqref="BO53">
    <cfRule type="expression" dxfId="660" priority="950">
      <formula>OR(BO52=1,BO52=4)</formula>
    </cfRule>
    <cfRule type="expression" dxfId="659" priority="951">
      <formula>OR(BO52&lt;&gt;1,BO52&lt;&gt;4)</formula>
    </cfRule>
  </conditionalFormatting>
  <conditionalFormatting sqref="BO52">
    <cfRule type="expression" dxfId="658" priority="949">
      <formula>OR(AND(BN52=1,BP52=4),AND(BN52=4,BP52=1))</formula>
    </cfRule>
  </conditionalFormatting>
  <conditionalFormatting sqref="DH58:DI58">
    <cfRule type="expression" dxfId="657" priority="947">
      <formula>DI58=""</formula>
    </cfRule>
  </conditionalFormatting>
  <conditionalFormatting sqref="DJ56:DJ57">
    <cfRule type="expression" dxfId="656" priority="946">
      <formula>DJ57=""</formula>
    </cfRule>
  </conditionalFormatting>
  <conditionalFormatting sqref="DH56:DI57">
    <cfRule type="expression" dxfId="655" priority="945">
      <formula>OR(DI56="",DH57="")</formula>
    </cfRule>
  </conditionalFormatting>
  <conditionalFormatting sqref="DH63">
    <cfRule type="expression" dxfId="654" priority="943">
      <formula>OR(DH62=1,DH62=4)</formula>
    </cfRule>
    <cfRule type="expression" dxfId="653" priority="944">
      <formula>OR(DH62&lt;&gt;1,DH62&lt;&gt;4)</formula>
    </cfRule>
  </conditionalFormatting>
  <conditionalFormatting sqref="DH62">
    <cfRule type="expression" dxfId="652" priority="942">
      <formula>OR(AND(DG62=1,DI62=4),AND(DG62=4,DI62=1))</formula>
    </cfRule>
  </conditionalFormatting>
  <conditionalFormatting sqref="DM63">
    <cfRule type="expression" dxfId="651" priority="940">
      <formula>OR(DM62=1,DM62=4)</formula>
    </cfRule>
    <cfRule type="expression" dxfId="650" priority="941">
      <formula>OR(DM62&lt;&gt;1,DM62&lt;&gt;4)</formula>
    </cfRule>
  </conditionalFormatting>
  <conditionalFormatting sqref="DM62">
    <cfRule type="expression" dxfId="649" priority="939">
      <formula>OR(AND(DL62=1,DN62=4),AND(DL62=4,DN62=1))</formula>
    </cfRule>
  </conditionalFormatting>
  <conditionalFormatting sqref="BR58:BS58">
    <cfRule type="expression" dxfId="648" priority="938">
      <formula>BS58=""</formula>
    </cfRule>
  </conditionalFormatting>
  <conditionalFormatting sqref="BT56:BT57">
    <cfRule type="expression" dxfId="647" priority="937">
      <formula>BT57=""</formula>
    </cfRule>
  </conditionalFormatting>
  <conditionalFormatting sqref="BR56:BS57">
    <cfRule type="expression" dxfId="646" priority="936">
      <formula>OR(BS56="",BR57="")</formula>
    </cfRule>
  </conditionalFormatting>
  <conditionalFormatting sqref="BP63">
    <cfRule type="expression" dxfId="645" priority="933">
      <formula>OR(BP62=1,BP62=4)</formula>
    </cfRule>
    <cfRule type="expression" dxfId="644" priority="934">
      <formula>OR(BP62&lt;&gt;1,BP62&lt;&gt;4)</formula>
    </cfRule>
  </conditionalFormatting>
  <conditionalFormatting sqref="BP62">
    <cfRule type="expression" dxfId="643" priority="932">
      <formula>OR(AND(BO62=1,BQ62=4),AND(BO62=4,BQ62=1))</formula>
    </cfRule>
  </conditionalFormatting>
  <conditionalFormatting sqref="BU63">
    <cfRule type="expression" dxfId="642" priority="930">
      <formula>OR(BU62=1,BU62=4)</formula>
    </cfRule>
    <cfRule type="expression" dxfId="641" priority="931">
      <formula>OR(BU62&lt;&gt;1,BU62&lt;&gt;4)</formula>
    </cfRule>
  </conditionalFormatting>
  <conditionalFormatting sqref="BU62">
    <cfRule type="expression" dxfId="640" priority="929">
      <formula>OR(AND(BT62=1,BV62=4),AND(BT62=4,BV62=1))</formula>
    </cfRule>
  </conditionalFormatting>
  <conditionalFormatting sqref="DE68:DF68">
    <cfRule type="expression" dxfId="639" priority="927">
      <formula>DF68=""</formula>
    </cfRule>
  </conditionalFormatting>
  <conditionalFormatting sqref="DG66:DG67">
    <cfRule type="expression" dxfId="638" priority="926">
      <formula>DG67=""</formula>
    </cfRule>
  </conditionalFormatting>
  <conditionalFormatting sqref="DE66:DF67">
    <cfRule type="expression" dxfId="637" priority="925">
      <formula>OR(DF66="",DE67="")</formula>
    </cfRule>
  </conditionalFormatting>
  <conditionalFormatting sqref="DE73">
    <cfRule type="expression" dxfId="636" priority="923">
      <formula>OR(DE72=1,DE72=4)</formula>
    </cfRule>
    <cfRule type="expression" dxfId="635" priority="924">
      <formula>OR(DE72&lt;&gt;1,DE72&lt;&gt;4)</formula>
    </cfRule>
  </conditionalFormatting>
  <conditionalFormatting sqref="DE72">
    <cfRule type="expression" dxfId="634" priority="922">
      <formula>OR(AND(DD72=1,DF72=4),AND(DD72=4,DF72=1))</formula>
    </cfRule>
  </conditionalFormatting>
  <conditionalFormatting sqref="DJ73">
    <cfRule type="expression" dxfId="633" priority="920">
      <formula>OR(DJ72=1,DJ72=4)</formula>
    </cfRule>
    <cfRule type="expression" dxfId="632" priority="921">
      <formula>OR(DJ72&lt;&gt;1,DJ72&lt;&gt;4)</formula>
    </cfRule>
  </conditionalFormatting>
  <conditionalFormatting sqref="DJ72">
    <cfRule type="expression" dxfId="631" priority="919">
      <formula>OR(AND(DI72=1,DK72=4),AND(DI72=4,DK72=1))</formula>
    </cfRule>
  </conditionalFormatting>
  <conditionalFormatting sqref="BV68:BW68">
    <cfRule type="expression" dxfId="630" priority="918">
      <formula>BW68=""</formula>
    </cfRule>
  </conditionalFormatting>
  <conditionalFormatting sqref="BX66:BX67">
    <cfRule type="expression" dxfId="629" priority="917">
      <formula>BX67=""</formula>
    </cfRule>
  </conditionalFormatting>
  <conditionalFormatting sqref="BV66:BW67">
    <cfRule type="expression" dxfId="628" priority="916">
      <formula>OR(BW66="",BV67="")</formula>
    </cfRule>
  </conditionalFormatting>
  <conditionalFormatting sqref="BT73">
    <cfRule type="expression" dxfId="627" priority="913">
      <formula>OR(BT72=1,BT72=4)</formula>
    </cfRule>
    <cfRule type="expression" dxfId="626" priority="914">
      <formula>OR(BT72&lt;&gt;1,BT72&lt;&gt;4)</formula>
    </cfRule>
  </conditionalFormatting>
  <conditionalFormatting sqref="BT72">
    <cfRule type="expression" dxfId="625" priority="912">
      <formula>OR(AND(BS72=1,BU72=4),AND(BS72=4,BU72=1))</formula>
    </cfRule>
  </conditionalFormatting>
  <conditionalFormatting sqref="BY73">
    <cfRule type="expression" dxfId="624" priority="910">
      <formula>OR(BY72=1,BY72=4)</formula>
    </cfRule>
    <cfRule type="expression" dxfId="623" priority="911">
      <formula>OR(BY72&lt;&gt;1,BY72&lt;&gt;4)</formula>
    </cfRule>
  </conditionalFormatting>
  <conditionalFormatting sqref="BY72">
    <cfRule type="expression" dxfId="622" priority="909">
      <formula>OR(AND(BX72=1,BZ72=4),AND(BX72=4,BZ72=1))</formula>
    </cfRule>
  </conditionalFormatting>
  <conditionalFormatting sqref="CA78:CB78">
    <cfRule type="expression" dxfId="621" priority="908">
      <formula>CB78=""</formula>
    </cfRule>
  </conditionalFormatting>
  <conditionalFormatting sqref="CC76:CC77">
    <cfRule type="expression" dxfId="620" priority="907">
      <formula>CC77=""</formula>
    </cfRule>
  </conditionalFormatting>
  <conditionalFormatting sqref="CA76:CB77">
    <cfRule type="expression" dxfId="619" priority="906">
      <formula>OR(CB76="",CA77="")</formula>
    </cfRule>
  </conditionalFormatting>
  <conditionalFormatting sqref="BY83">
    <cfRule type="expression" dxfId="618" priority="903">
      <formula>OR(BY82=1,BY82=4)</formula>
    </cfRule>
    <cfRule type="expression" dxfId="617" priority="904">
      <formula>OR(BY82&lt;&gt;1,BY82&lt;&gt;4)</formula>
    </cfRule>
  </conditionalFormatting>
  <conditionalFormatting sqref="BY82">
    <cfRule type="expression" dxfId="616" priority="902">
      <formula>OR(AND(BX82=1,BZ82=4),AND(BX82=4,BZ82=1))</formula>
    </cfRule>
  </conditionalFormatting>
  <conditionalFormatting sqref="CD83">
    <cfRule type="expression" dxfId="615" priority="900">
      <formula>OR(CD82=1,CD82=4)</formula>
    </cfRule>
    <cfRule type="expression" dxfId="614" priority="901">
      <formula>OR(CD82&lt;&gt;1,CD82&lt;&gt;4)</formula>
    </cfRule>
  </conditionalFormatting>
  <conditionalFormatting sqref="CD82">
    <cfRule type="expression" dxfId="613" priority="899">
      <formula>OR(AND(CC82=1,CE82=4),AND(CC82=4,CE82=1))</formula>
    </cfRule>
  </conditionalFormatting>
  <conditionalFormatting sqref="DC78:DD78">
    <cfRule type="expression" dxfId="612" priority="897">
      <formula>DD78=""</formula>
    </cfRule>
  </conditionalFormatting>
  <conditionalFormatting sqref="DE76:DE77">
    <cfRule type="expression" dxfId="611" priority="896">
      <formula>DE77=""</formula>
    </cfRule>
  </conditionalFormatting>
  <conditionalFormatting sqref="DC76:DD77">
    <cfRule type="expression" dxfId="610" priority="895">
      <formula>OR(DD76="",DC77="")</formula>
    </cfRule>
  </conditionalFormatting>
  <conditionalFormatting sqref="DC83">
    <cfRule type="expression" dxfId="609" priority="893">
      <formula>OR(DC82=1,DC82=4)</formula>
    </cfRule>
    <cfRule type="expression" dxfId="608" priority="894">
      <formula>OR(DC82&lt;&gt;1,DC82&lt;&gt;4)</formula>
    </cfRule>
  </conditionalFormatting>
  <conditionalFormatting sqref="DC82">
    <cfRule type="expression" dxfId="607" priority="892">
      <formula>OR(AND(DB82=1,DD82=4),AND(DB82=4,DD82=1))</formula>
    </cfRule>
  </conditionalFormatting>
  <conditionalFormatting sqref="DH83">
    <cfRule type="expression" dxfId="606" priority="890">
      <formula>OR(DH82=1,DH82=4)</formula>
    </cfRule>
    <cfRule type="expression" dxfId="605" priority="891">
      <formula>OR(DH82&lt;&gt;1,DH82&lt;&gt;4)</formula>
    </cfRule>
  </conditionalFormatting>
  <conditionalFormatting sqref="DH82">
    <cfRule type="expression" dxfId="604" priority="889">
      <formula>OR(AND(DG82=1,DI82=4),AND(DG82=4,DI82=1))</formula>
    </cfRule>
  </conditionalFormatting>
  <conditionalFormatting sqref="AD67">
    <cfRule type="expression" dxfId="603" priority="851">
      <formula>OR(AD66=1,AD66=4)</formula>
    </cfRule>
    <cfRule type="expression" dxfId="602" priority="852">
      <formula>OR(AD66&lt;&gt;1,AD66&lt;&gt;4)</formula>
    </cfRule>
  </conditionalFormatting>
  <conditionalFormatting sqref="AD66">
    <cfRule type="expression" dxfId="601" priority="850">
      <formula>OR(AND(AC66=1,AE66=4),AND(AC66=4,AE66=1))</formula>
    </cfRule>
  </conditionalFormatting>
  <conditionalFormatting sqref="AD73">
    <cfRule type="expression" dxfId="600" priority="844">
      <formula>OR(AD72=1,AD72=4)</formula>
    </cfRule>
    <cfRule type="expression" dxfId="599" priority="845">
      <formula>OR(AD72&lt;&gt;1,AD72&lt;&gt;4)</formula>
    </cfRule>
  </conditionalFormatting>
  <conditionalFormatting sqref="AD72">
    <cfRule type="expression" dxfId="598" priority="843">
      <formula>OR(AND(AC72=1,AE72=4),AND(AC72=4,AE72=1))</formula>
    </cfRule>
  </conditionalFormatting>
  <conditionalFormatting sqref="AY73">
    <cfRule type="expression" dxfId="597" priority="831">
      <formula>OR(AY72=1,AY72=4)</formula>
    </cfRule>
    <cfRule type="expression" dxfId="596" priority="832">
      <formula>OR(AY72&lt;&gt;1,AY72&lt;&gt;4)</formula>
    </cfRule>
  </conditionalFormatting>
  <conditionalFormatting sqref="AY72">
    <cfRule type="expression" dxfId="595" priority="830">
      <formula>OR(AND(AX72=1,AZ72=4),AND(AX72=4,AZ72=1))</formula>
    </cfRule>
  </conditionalFormatting>
  <conditionalFormatting sqref="AR72">
    <cfRule type="expression" dxfId="594" priority="827">
      <formula>OR(AND(AQ72=1,AS72=4),AND(AQ72=4,AS72=1))</formula>
    </cfRule>
  </conditionalFormatting>
  <conditionalFormatting sqref="AR73">
    <cfRule type="expression" dxfId="593" priority="828">
      <formula>OR(AR72=1,AR72=4)</formula>
    </cfRule>
    <cfRule type="expression" dxfId="592" priority="829">
      <formula>OR(AR72&lt;&gt;1,AR72&lt;&gt;4)</formula>
    </cfRule>
  </conditionalFormatting>
  <conditionalFormatting sqref="AL61:AM61">
    <cfRule type="expression" dxfId="591" priority="856">
      <formula>AM61=""</formula>
    </cfRule>
  </conditionalFormatting>
  <conditionalFormatting sqref="AN59:AN60">
    <cfRule type="expression" dxfId="590" priority="855">
      <formula>AN60=""</formula>
    </cfRule>
  </conditionalFormatting>
  <conditionalFormatting sqref="AL59:AM60">
    <cfRule type="expression" dxfId="589" priority="854">
      <formula>OR(AM59="",AL60="")</formula>
    </cfRule>
  </conditionalFormatting>
  <conditionalFormatting sqref="AD80">
    <cfRule type="expression" dxfId="588" priority="841">
      <formula>OR(AD79=1,AD79=4)</formula>
    </cfRule>
    <cfRule type="expression" dxfId="587" priority="842">
      <formula>OR(AD79&lt;&gt;1,AD79&lt;&gt;4)</formula>
    </cfRule>
  </conditionalFormatting>
  <conditionalFormatting sqref="AD79">
    <cfRule type="expression" dxfId="586" priority="840">
      <formula>OR(AND(AC79=1,AE79=4),AND(AC79=4,AE79=1))</formula>
    </cfRule>
  </conditionalFormatting>
  <conditionalFormatting sqref="AP79">
    <cfRule type="expression" dxfId="585" priority="838">
      <formula>OR(AP78=1,AP78=4)</formula>
    </cfRule>
    <cfRule type="expression" dxfId="584" priority="839">
      <formula>OR(AP78&lt;&gt;1,AP78&lt;&gt;4)</formula>
    </cfRule>
  </conditionalFormatting>
  <conditionalFormatting sqref="AP78">
    <cfRule type="expression" dxfId="583" priority="837">
      <formula>OR(AND(AO78=1,AQ78=4),AND(AO78=4,AQ78=1))</formula>
    </cfRule>
  </conditionalFormatting>
  <conditionalFormatting sqref="AR67:AS67">
    <cfRule type="expression" dxfId="582" priority="836">
      <formula>AS67=""</formula>
    </cfRule>
  </conditionalFormatting>
  <conditionalFormatting sqref="AT65:AT66">
    <cfRule type="expression" dxfId="581" priority="835">
      <formula>AT66=""</formula>
    </cfRule>
  </conditionalFormatting>
  <conditionalFormatting sqref="AR65:AS66">
    <cfRule type="expression" dxfId="580" priority="834">
      <formula>OR(AS65="",AR66="")</formula>
    </cfRule>
  </conditionalFormatting>
  <conditionalFormatting sqref="AD86">
    <cfRule type="expression" dxfId="579" priority="825">
      <formula>OR(AD85=1,AD85=4)</formula>
    </cfRule>
    <cfRule type="expression" dxfId="578" priority="826">
      <formula>OR(AD85&lt;&gt;1,AD85&lt;&gt;4)</formula>
    </cfRule>
  </conditionalFormatting>
  <conditionalFormatting sqref="AD85">
    <cfRule type="expression" dxfId="577" priority="824">
      <formula>OR(AND(AC85=1,AE85=4),AND(AC85=4,AE85=1))</formula>
    </cfRule>
  </conditionalFormatting>
  <conditionalFormatting sqref="BB10">
    <cfRule type="expression" dxfId="576" priority="819">
      <formula>OR(BB9=1,BB9=4)</formula>
    </cfRule>
    <cfRule type="expression" dxfId="575" priority="820">
      <formula>OR(BB9&lt;&gt;1,BB9&lt;&gt;4)</formula>
    </cfRule>
  </conditionalFormatting>
  <conditionalFormatting sqref="BB9">
    <cfRule type="expression" dxfId="574" priority="818">
      <formula>OR(AND(BA9=1,BC9=4),AND(BA9=4,BC9=1))</formula>
    </cfRule>
  </conditionalFormatting>
  <conditionalFormatting sqref="CG5:CH5">
    <cfRule type="expression" dxfId="573" priority="807">
      <formula>CH5=""</formula>
    </cfRule>
  </conditionalFormatting>
  <conditionalFormatting sqref="CI3:CI4">
    <cfRule type="expression" dxfId="572" priority="806">
      <formula>CI4=""</formula>
    </cfRule>
  </conditionalFormatting>
  <conditionalFormatting sqref="CG3:CH4">
    <cfRule type="expression" dxfId="571" priority="805">
      <formula>OR(CH3="",CG4="")</formula>
    </cfRule>
  </conditionalFormatting>
  <conditionalFormatting sqref="DY21">
    <cfRule type="expression" dxfId="570" priority="799">
      <formula>OR(DY20=1,DY20=4)</formula>
    </cfRule>
    <cfRule type="expression" dxfId="569" priority="800">
      <formula>OR(DY20&lt;&gt;1,DY20&lt;&gt;4)</formula>
    </cfRule>
  </conditionalFormatting>
  <conditionalFormatting sqref="DY20">
    <cfRule type="expression" dxfId="568" priority="798">
      <formula>OR(AND(DX20=1,DZ20=4),AND(DX20=4,DZ20=1))</formula>
    </cfRule>
  </conditionalFormatting>
  <conditionalFormatting sqref="EF21">
    <cfRule type="expression" dxfId="567" priority="796">
      <formula>OR(EF20=1,EF20=4)</formula>
    </cfRule>
    <cfRule type="expression" dxfId="566" priority="797">
      <formula>OR(EF20&lt;&gt;1,EF20&lt;&gt;4)</formula>
    </cfRule>
  </conditionalFormatting>
  <conditionalFormatting sqref="EF20">
    <cfRule type="expression" dxfId="565" priority="795">
      <formula>OR(AND(EE20=1,EG20=4),AND(EE20=4,EG20=1))</formula>
    </cfRule>
  </conditionalFormatting>
  <conditionalFormatting sqref="AM27:AN27">
    <cfRule type="expression" dxfId="564" priority="790">
      <formula>AN27=""</formula>
    </cfRule>
  </conditionalFormatting>
  <conditionalFormatting sqref="AO25:AO26">
    <cfRule type="expression" dxfId="563" priority="789">
      <formula>AO26=""</formula>
    </cfRule>
  </conditionalFormatting>
  <conditionalFormatting sqref="AM25:AN26">
    <cfRule type="expression" dxfId="562" priority="788">
      <formula>OR(AN25="",AM26="")</formula>
    </cfRule>
  </conditionalFormatting>
  <conditionalFormatting sqref="AK32">
    <cfRule type="expression" dxfId="561" priority="785">
      <formula>OR(AK31=1,AK31=4)</formula>
    </cfRule>
    <cfRule type="expression" dxfId="560" priority="786">
      <formula>OR(AK31&lt;&gt;1,AK31&lt;&gt;4)</formula>
    </cfRule>
  </conditionalFormatting>
  <conditionalFormatting sqref="AK31">
    <cfRule type="expression" dxfId="559" priority="784">
      <formula>OR(AND(AJ31=1,AL31=4),AND(AJ31=4,AL31=1))</formula>
    </cfRule>
  </conditionalFormatting>
  <conditionalFormatting sqref="AP32">
    <cfRule type="expression" dxfId="558" priority="782">
      <formula>OR(AP31=1,AP31=4)</formula>
    </cfRule>
    <cfRule type="expression" dxfId="557" priority="783">
      <formula>OR(AP31&lt;&gt;1,AP31&lt;&gt;4)</formula>
    </cfRule>
  </conditionalFormatting>
  <conditionalFormatting sqref="AP31">
    <cfRule type="expression" dxfId="556" priority="781">
      <formula>OR(AND(AO31=1,AQ31=4),AND(AO31=4,AQ31=1))</formula>
    </cfRule>
  </conditionalFormatting>
  <conditionalFormatting sqref="DS32">
    <cfRule type="expression" dxfId="555" priority="770">
      <formula>OR(DS31=1,DS31=4)</formula>
    </cfRule>
    <cfRule type="expression" dxfId="554" priority="771">
      <formula>OR(DS31&lt;&gt;1,DS31&lt;&gt;4)</formula>
    </cfRule>
  </conditionalFormatting>
  <conditionalFormatting sqref="DS31">
    <cfRule type="expression" dxfId="553" priority="769">
      <formula>OR(AND(DR31=1,DT31=4),AND(DR31=4,DT31=1))</formula>
    </cfRule>
  </conditionalFormatting>
  <conditionalFormatting sqref="BV109">
    <cfRule type="expression" dxfId="552" priority="738">
      <formula>OR(BV108=1,BV108=4)</formula>
    </cfRule>
    <cfRule type="expression" dxfId="551" priority="739">
      <formula>OR(BV108&lt;&gt;1,BV108&lt;&gt;4)</formula>
    </cfRule>
  </conditionalFormatting>
  <conditionalFormatting sqref="BV108">
    <cfRule type="expression" dxfId="550" priority="737">
      <formula>OR(AND(BU108=1,BW108=4),AND(BU108=4,BW108=1))</formula>
    </cfRule>
  </conditionalFormatting>
  <conditionalFormatting sqref="BX104:BY104">
    <cfRule type="expression" dxfId="549" priority="733">
      <formula>BY104=""</formula>
    </cfRule>
  </conditionalFormatting>
  <conditionalFormatting sqref="BZ102:BZ103">
    <cfRule type="expression" dxfId="548" priority="732">
      <formula>BZ103=""</formula>
    </cfRule>
  </conditionalFormatting>
  <conditionalFormatting sqref="BX102:BY103">
    <cfRule type="expression" dxfId="547" priority="731">
      <formula>OR(BY102="",BX103="")</formula>
    </cfRule>
  </conditionalFormatting>
  <conditionalFormatting sqref="CB109">
    <cfRule type="expression" dxfId="546" priority="728">
      <formula>OR(CB108=1,CB108=4)</formula>
    </cfRule>
    <cfRule type="expression" dxfId="545" priority="729">
      <formula>OR(CB108&lt;&gt;1,CB108&lt;&gt;4)</formula>
    </cfRule>
  </conditionalFormatting>
  <conditionalFormatting sqref="CB108">
    <cfRule type="expression" dxfId="544" priority="727">
      <formula>OR(AND(CA108=1,CC108=4),AND(CA108=4,CC108=1))</formula>
    </cfRule>
  </conditionalFormatting>
  <conditionalFormatting sqref="BX114:BY114">
    <cfRule type="expression" dxfId="543" priority="723">
      <formula>BY114=""</formula>
    </cfRule>
  </conditionalFormatting>
  <conditionalFormatting sqref="BZ112:BZ113">
    <cfRule type="expression" dxfId="542" priority="722">
      <formula>BZ113=""</formula>
    </cfRule>
  </conditionalFormatting>
  <conditionalFormatting sqref="BX112:BY113">
    <cfRule type="expression" dxfId="541" priority="721">
      <formula>OR(BY112="",BX113="")</formula>
    </cfRule>
  </conditionalFormatting>
  <conditionalFormatting sqref="CB119">
    <cfRule type="expression" dxfId="540" priority="718">
      <formula>OR(CB118=1,CB118=4)</formula>
    </cfRule>
    <cfRule type="expression" dxfId="539" priority="719">
      <formula>OR(CB118&lt;&gt;1,CB118&lt;&gt;4)</formula>
    </cfRule>
  </conditionalFormatting>
  <conditionalFormatting sqref="CB118">
    <cfRule type="expression" dxfId="538" priority="717">
      <formula>OR(AND(CA118=1,CC118=4),AND(CA118=4,CC118=1))</formula>
    </cfRule>
  </conditionalFormatting>
  <conditionalFormatting sqref="BX124:BY124">
    <cfRule type="expression" dxfId="537" priority="713">
      <formula>BY124=""</formula>
    </cfRule>
  </conditionalFormatting>
  <conditionalFormatting sqref="BZ122:BZ123">
    <cfRule type="expression" dxfId="536" priority="712">
      <formula>BZ123=""</formula>
    </cfRule>
  </conditionalFormatting>
  <conditionalFormatting sqref="BX122:BY123">
    <cfRule type="expression" dxfId="535" priority="711">
      <formula>OR(BY122="",BX123="")</formula>
    </cfRule>
  </conditionalFormatting>
  <conditionalFormatting sqref="CB129">
    <cfRule type="expression" dxfId="534" priority="708">
      <formula>OR(CB128=1,CB128=4)</formula>
    </cfRule>
    <cfRule type="expression" dxfId="533" priority="709">
      <formula>OR(CB128&lt;&gt;1,CB128&lt;&gt;4)</formula>
    </cfRule>
  </conditionalFormatting>
  <conditionalFormatting sqref="CB128">
    <cfRule type="expression" dxfId="532" priority="707">
      <formula>OR(AND(CA128=1,CC128=4),AND(CA128=4,CC128=1))</formula>
    </cfRule>
  </conditionalFormatting>
  <conditionalFormatting sqref="BV119">
    <cfRule type="expression" dxfId="531" priority="705">
      <formula>OR(BV118=1,BV118=4)</formula>
    </cfRule>
    <cfRule type="expression" dxfId="530" priority="706">
      <formula>OR(BV118&lt;&gt;1,BV118&lt;&gt;4)</formula>
    </cfRule>
  </conditionalFormatting>
  <conditionalFormatting sqref="BV118">
    <cfRule type="expression" dxfId="529" priority="704">
      <formula>OR(AND(BU118=1,BW118=4),AND(BU118=4,BW118=1))</formula>
    </cfRule>
  </conditionalFormatting>
  <conditionalFormatting sqref="BV129">
    <cfRule type="expression" dxfId="528" priority="702">
      <formula>OR(BV128=1,BV128=4)</formula>
    </cfRule>
    <cfRule type="expression" dxfId="527" priority="703">
      <formula>OR(BV128&lt;&gt;1,BV128&lt;&gt;4)</formula>
    </cfRule>
  </conditionalFormatting>
  <conditionalFormatting sqref="BV128">
    <cfRule type="expression" dxfId="526" priority="701">
      <formula>OR(AND(BU128=1,BW128=4),AND(BU128=4,BW128=1))</formula>
    </cfRule>
  </conditionalFormatting>
  <conditionalFormatting sqref="BX134:BY134">
    <cfRule type="expression" dxfId="525" priority="700">
      <formula>BY134=""</formula>
    </cfRule>
  </conditionalFormatting>
  <conditionalFormatting sqref="BZ132:BZ133">
    <cfRule type="expression" dxfId="524" priority="699">
      <formula>BZ133=""</formula>
    </cfRule>
  </conditionalFormatting>
  <conditionalFormatting sqref="BX132:BY133">
    <cfRule type="expression" dxfId="523" priority="698">
      <formula>OR(BY132="",BX133="")</formula>
    </cfRule>
  </conditionalFormatting>
  <conditionalFormatting sqref="CB139">
    <cfRule type="expression" dxfId="522" priority="695">
      <formula>OR(CB138=1,CB138=4)</formula>
    </cfRule>
    <cfRule type="expression" dxfId="521" priority="696">
      <formula>OR(CB138&lt;&gt;1,CB138&lt;&gt;4)</formula>
    </cfRule>
  </conditionalFormatting>
  <conditionalFormatting sqref="CB138">
    <cfRule type="expression" dxfId="520" priority="694">
      <formula>OR(AND(CA138=1,CC138=4),AND(CA138=4,CC138=1))</formula>
    </cfRule>
  </conditionalFormatting>
  <conditionalFormatting sqref="BX144:BY144">
    <cfRule type="expression" dxfId="519" priority="693">
      <formula>BY144=""</formula>
    </cfRule>
  </conditionalFormatting>
  <conditionalFormatting sqref="BZ142:BZ143">
    <cfRule type="expression" dxfId="518" priority="692">
      <formula>BZ143=""</formula>
    </cfRule>
  </conditionalFormatting>
  <conditionalFormatting sqref="BX142:BY143">
    <cfRule type="expression" dxfId="517" priority="691">
      <formula>OR(BY142="",BX143="")</formula>
    </cfRule>
  </conditionalFormatting>
  <conditionalFormatting sqref="CB149">
    <cfRule type="expression" dxfId="516" priority="688">
      <formula>OR(CB148=1,CB148=4)</formula>
    </cfRule>
    <cfRule type="expression" dxfId="515" priority="689">
      <formula>OR(CB148&lt;&gt;1,CB148&lt;&gt;4)</formula>
    </cfRule>
  </conditionalFormatting>
  <conditionalFormatting sqref="CB148">
    <cfRule type="expression" dxfId="514" priority="687">
      <formula>OR(AND(CA148=1,CC148=4),AND(CA148=4,CC148=1))</formula>
    </cfRule>
  </conditionalFormatting>
  <conditionalFormatting sqref="BV139">
    <cfRule type="expression" dxfId="513" priority="685">
      <formula>OR(BV138=1,BV138=4)</formula>
    </cfRule>
    <cfRule type="expression" dxfId="512" priority="686">
      <formula>OR(BV138&lt;&gt;1,BV138&lt;&gt;4)</formula>
    </cfRule>
  </conditionalFormatting>
  <conditionalFormatting sqref="BV138">
    <cfRule type="expression" dxfId="511" priority="684">
      <formula>OR(AND(BU138=1,BW138=4),AND(BU138=4,BW138=1))</formula>
    </cfRule>
  </conditionalFormatting>
  <conditionalFormatting sqref="BV149">
    <cfRule type="expression" dxfId="510" priority="682">
      <formula>OR(BV148=1,BV148=4)</formula>
    </cfRule>
    <cfRule type="expression" dxfId="509" priority="683">
      <formula>OR(BV148&lt;&gt;1,BV148&lt;&gt;4)</formula>
    </cfRule>
  </conditionalFormatting>
  <conditionalFormatting sqref="BV148">
    <cfRule type="expression" dxfId="508" priority="681">
      <formula>OR(AND(BU148=1,BW148=4),AND(BU148=4,BW148=1))</formula>
    </cfRule>
  </conditionalFormatting>
  <conditionalFormatting sqref="BX154:BY154">
    <cfRule type="expression" dxfId="507" priority="680">
      <formula>BY154=""</formula>
    </cfRule>
  </conditionalFormatting>
  <conditionalFormatting sqref="BZ152:BZ153">
    <cfRule type="expression" dxfId="506" priority="679">
      <formula>BZ153=""</formula>
    </cfRule>
  </conditionalFormatting>
  <conditionalFormatting sqref="BX152:BY153">
    <cfRule type="expression" dxfId="505" priority="678">
      <formula>OR(BY152="",BX153="")</formula>
    </cfRule>
  </conditionalFormatting>
  <conditionalFormatting sqref="CB159">
    <cfRule type="expression" dxfId="504" priority="675">
      <formula>OR(CB158=1,CB158=4)</formula>
    </cfRule>
    <cfRule type="expression" dxfId="503" priority="676">
      <formula>OR(CB158&lt;&gt;1,CB158&lt;&gt;4)</formula>
    </cfRule>
  </conditionalFormatting>
  <conditionalFormatting sqref="CB158">
    <cfRule type="expression" dxfId="502" priority="674">
      <formula>OR(AND(CA158=1,CC158=4),AND(CA158=4,CC158=1))</formula>
    </cfRule>
  </conditionalFormatting>
  <conditionalFormatting sqref="BX164:BY164">
    <cfRule type="expression" dxfId="501" priority="673">
      <formula>BY164=""</formula>
    </cfRule>
  </conditionalFormatting>
  <conditionalFormatting sqref="BZ162:BZ163">
    <cfRule type="expression" dxfId="500" priority="672">
      <formula>BZ163=""</formula>
    </cfRule>
  </conditionalFormatting>
  <conditionalFormatting sqref="BX162:BY163">
    <cfRule type="expression" dxfId="499" priority="671">
      <formula>OR(BY162="",BX163="")</formula>
    </cfRule>
  </conditionalFormatting>
  <conditionalFormatting sqref="CB169">
    <cfRule type="expression" dxfId="498" priority="668">
      <formula>OR(CB168=1,CB168=4)</formula>
    </cfRule>
    <cfRule type="expression" dxfId="497" priority="669">
      <formula>OR(CB168&lt;&gt;1,CB168&lt;&gt;4)</formula>
    </cfRule>
  </conditionalFormatting>
  <conditionalFormatting sqref="CB168">
    <cfRule type="expression" dxfId="496" priority="667">
      <formula>OR(AND(CA168=1,CC168=4),AND(CA168=4,CC168=1))</formula>
    </cfRule>
  </conditionalFormatting>
  <conditionalFormatting sqref="BV159">
    <cfRule type="expression" dxfId="495" priority="665">
      <formula>OR(BV158=1,BV158=4)</formula>
    </cfRule>
    <cfRule type="expression" dxfId="494" priority="666">
      <formula>OR(BV158&lt;&gt;1,BV158&lt;&gt;4)</formula>
    </cfRule>
  </conditionalFormatting>
  <conditionalFormatting sqref="BV158">
    <cfRule type="expression" dxfId="493" priority="664">
      <formula>OR(AND(BU158=1,BW158=4),AND(BU158=4,BW158=1))</formula>
    </cfRule>
  </conditionalFormatting>
  <conditionalFormatting sqref="BV169">
    <cfRule type="expression" dxfId="492" priority="662">
      <formula>OR(BV168=1,BV168=4)</formula>
    </cfRule>
    <cfRule type="expression" dxfId="491" priority="663">
      <formula>OR(BV168&lt;&gt;1,BV168&lt;&gt;4)</formula>
    </cfRule>
  </conditionalFormatting>
  <conditionalFormatting sqref="BV168">
    <cfRule type="expression" dxfId="490" priority="661">
      <formula>OR(AND(BU168=1,BW168=4),AND(BU168=4,BW168=1))</formula>
    </cfRule>
  </conditionalFormatting>
  <conditionalFormatting sqref="BX174:BY174">
    <cfRule type="expression" dxfId="489" priority="660">
      <formula>BY174=""</formula>
    </cfRule>
  </conditionalFormatting>
  <conditionalFormatting sqref="BZ172:BZ173">
    <cfRule type="expression" dxfId="488" priority="659">
      <formula>BZ173=""</formula>
    </cfRule>
  </conditionalFormatting>
  <conditionalFormatting sqref="BX172:BY173">
    <cfRule type="expression" dxfId="487" priority="658">
      <formula>OR(BY172="",BX173="")</formula>
    </cfRule>
  </conditionalFormatting>
  <conditionalFormatting sqref="CB179">
    <cfRule type="expression" dxfId="486" priority="655">
      <formula>OR(CB178=1,CB178=4)</formula>
    </cfRule>
    <cfRule type="expression" dxfId="485" priority="656">
      <formula>OR(CB178&lt;&gt;1,CB178&lt;&gt;4)</formula>
    </cfRule>
  </conditionalFormatting>
  <conditionalFormatting sqref="CB178">
    <cfRule type="expression" dxfId="484" priority="654">
      <formula>OR(AND(CA178=1,CC178=4),AND(CA178=4,CC178=1))</formula>
    </cfRule>
  </conditionalFormatting>
  <conditionalFormatting sqref="BX184:BY184">
    <cfRule type="expression" dxfId="483" priority="653">
      <formula>BY184=""</formula>
    </cfRule>
  </conditionalFormatting>
  <conditionalFormatting sqref="BZ182:BZ183">
    <cfRule type="expression" dxfId="482" priority="652">
      <formula>BZ183=""</formula>
    </cfRule>
  </conditionalFormatting>
  <conditionalFormatting sqref="BX182:BY183">
    <cfRule type="expression" dxfId="481" priority="651">
      <formula>OR(BY182="",BX183="")</formula>
    </cfRule>
  </conditionalFormatting>
  <conditionalFormatting sqref="CB189">
    <cfRule type="expression" dxfId="480" priority="648">
      <formula>OR(CB188=1,CB188=4)</formula>
    </cfRule>
    <cfRule type="expression" dxfId="479" priority="649">
      <formula>OR(CB188&lt;&gt;1,CB188&lt;&gt;4)</formula>
    </cfRule>
  </conditionalFormatting>
  <conditionalFormatting sqref="CB188">
    <cfRule type="expression" dxfId="478" priority="647">
      <formula>OR(AND(CA188=1,CC188=4),AND(CA188=4,CC188=1))</formula>
    </cfRule>
  </conditionalFormatting>
  <conditionalFormatting sqref="BV179">
    <cfRule type="expression" dxfId="477" priority="645">
      <formula>OR(BV178=1,BV178=4)</formula>
    </cfRule>
    <cfRule type="expression" dxfId="476" priority="646">
      <formula>OR(BV178&lt;&gt;1,BV178&lt;&gt;4)</formula>
    </cfRule>
  </conditionalFormatting>
  <conditionalFormatting sqref="BV178">
    <cfRule type="expression" dxfId="475" priority="644">
      <formula>OR(AND(BU178=1,BW178=4),AND(BU178=4,BW178=1))</formula>
    </cfRule>
  </conditionalFormatting>
  <conditionalFormatting sqref="BV189">
    <cfRule type="expression" dxfId="474" priority="642">
      <formula>OR(BV188=1,BV188=4)</formula>
    </cfRule>
    <cfRule type="expression" dxfId="473" priority="643">
      <formula>OR(BV188&lt;&gt;1,BV188&lt;&gt;4)</formula>
    </cfRule>
  </conditionalFormatting>
  <conditionalFormatting sqref="BV188">
    <cfRule type="expression" dxfId="472" priority="641">
      <formula>OR(AND(BU188=1,BW188=4),AND(BU188=4,BW188=1))</formula>
    </cfRule>
  </conditionalFormatting>
  <conditionalFormatting sqref="BX194:BY194">
    <cfRule type="expression" dxfId="471" priority="640">
      <formula>BY194=""</formula>
    </cfRule>
  </conditionalFormatting>
  <conditionalFormatting sqref="BZ192:BZ193">
    <cfRule type="expression" dxfId="470" priority="639">
      <formula>BZ193=""</formula>
    </cfRule>
  </conditionalFormatting>
  <conditionalFormatting sqref="BX192:BY193">
    <cfRule type="expression" dxfId="469" priority="638">
      <formula>OR(BY192="",BX193="")</formula>
    </cfRule>
  </conditionalFormatting>
  <conditionalFormatting sqref="CB199">
    <cfRule type="expression" dxfId="468" priority="635">
      <formula>OR(CB198=1,CB198=4)</formula>
    </cfRule>
    <cfRule type="expression" dxfId="467" priority="636">
      <formula>OR(CB198&lt;&gt;1,CB198&lt;&gt;4)</formula>
    </cfRule>
  </conditionalFormatting>
  <conditionalFormatting sqref="CB198">
    <cfRule type="expression" dxfId="466" priority="634">
      <formula>OR(AND(CA198=1,CC198=4),AND(CA198=4,CC198=1))</formula>
    </cfRule>
  </conditionalFormatting>
  <conditionalFormatting sqref="BX204:BY204">
    <cfRule type="expression" dxfId="465" priority="633">
      <formula>BY204=""</formula>
    </cfRule>
  </conditionalFormatting>
  <conditionalFormatting sqref="BZ202:BZ203">
    <cfRule type="expression" dxfId="464" priority="632">
      <formula>BZ203=""</formula>
    </cfRule>
  </conditionalFormatting>
  <conditionalFormatting sqref="BX202:BY203">
    <cfRule type="expression" dxfId="463" priority="631">
      <formula>OR(BY202="",BX203="")</formula>
    </cfRule>
  </conditionalFormatting>
  <conditionalFormatting sqref="CB209">
    <cfRule type="expression" dxfId="462" priority="628">
      <formula>OR(CB208=1,CB208=4)</formula>
    </cfRule>
    <cfRule type="expression" dxfId="461" priority="629">
      <formula>OR(CB208&lt;&gt;1,CB208&lt;&gt;4)</formula>
    </cfRule>
  </conditionalFormatting>
  <conditionalFormatting sqref="CB208">
    <cfRule type="expression" dxfId="460" priority="627">
      <formula>OR(AND(CA208=1,CC208=4),AND(CA208=4,CC208=1))</formula>
    </cfRule>
  </conditionalFormatting>
  <conditionalFormatting sqref="BV199">
    <cfRule type="expression" dxfId="459" priority="625">
      <formula>OR(BV198=1,BV198=4)</formula>
    </cfRule>
    <cfRule type="expression" dxfId="458" priority="626">
      <formula>OR(BV198&lt;&gt;1,BV198&lt;&gt;4)</formula>
    </cfRule>
  </conditionalFormatting>
  <conditionalFormatting sqref="BV198">
    <cfRule type="expression" dxfId="457" priority="624">
      <formula>OR(AND(BU198=1,BW198=4),AND(BU198=4,BW198=1))</formula>
    </cfRule>
  </conditionalFormatting>
  <conditionalFormatting sqref="BV209">
    <cfRule type="expression" dxfId="456" priority="622">
      <formula>OR(BV208=1,BV208=4)</formula>
    </cfRule>
    <cfRule type="expression" dxfId="455" priority="623">
      <formula>OR(BV208&lt;&gt;1,BV208&lt;&gt;4)</formula>
    </cfRule>
  </conditionalFormatting>
  <conditionalFormatting sqref="BV208">
    <cfRule type="expression" dxfId="454" priority="621">
      <formula>OR(AND(BU208=1,BW208=4),AND(BU208=4,BW208=1))</formula>
    </cfRule>
  </conditionalFormatting>
  <conditionalFormatting sqref="BX214:BY214">
    <cfRule type="expression" dxfId="453" priority="620">
      <formula>BY214=""</formula>
    </cfRule>
  </conditionalFormatting>
  <conditionalFormatting sqref="BZ212:BZ213">
    <cfRule type="expression" dxfId="452" priority="619">
      <formula>BZ213=""</formula>
    </cfRule>
  </conditionalFormatting>
  <conditionalFormatting sqref="BX212:BY213">
    <cfRule type="expression" dxfId="451" priority="618">
      <formula>OR(BY212="",BX213="")</formula>
    </cfRule>
  </conditionalFormatting>
  <conditionalFormatting sqref="CB219">
    <cfRule type="expression" dxfId="450" priority="615">
      <formula>OR(CB218=1,CB218=4)</formula>
    </cfRule>
    <cfRule type="expression" dxfId="449" priority="616">
      <formula>OR(CB218&lt;&gt;1,CB218&lt;&gt;4)</formula>
    </cfRule>
  </conditionalFormatting>
  <conditionalFormatting sqref="CB218">
    <cfRule type="expression" dxfId="448" priority="614">
      <formula>OR(AND(CA218=1,CC218=4),AND(CA218=4,CC218=1))</formula>
    </cfRule>
  </conditionalFormatting>
  <conditionalFormatting sqref="BX224:BY224">
    <cfRule type="expression" dxfId="447" priority="613">
      <formula>BY224=""</formula>
    </cfRule>
  </conditionalFormatting>
  <conditionalFormatting sqref="BZ222:BZ223">
    <cfRule type="expression" dxfId="446" priority="612">
      <formula>BZ223=""</formula>
    </cfRule>
  </conditionalFormatting>
  <conditionalFormatting sqref="BX222:BY223">
    <cfRule type="expression" dxfId="445" priority="611">
      <formula>OR(BY222="",BX223="")</formula>
    </cfRule>
  </conditionalFormatting>
  <conditionalFormatting sqref="CB229">
    <cfRule type="expression" dxfId="444" priority="608">
      <formula>OR(CB228=1,CB228=4)</formula>
    </cfRule>
    <cfRule type="expression" dxfId="443" priority="609">
      <formula>OR(CB228&lt;&gt;1,CB228&lt;&gt;4)</formula>
    </cfRule>
  </conditionalFormatting>
  <conditionalFormatting sqref="CB228">
    <cfRule type="expression" dxfId="442" priority="607">
      <formula>OR(AND(CA228=1,CC228=4),AND(CA228=4,CC228=1))</formula>
    </cfRule>
  </conditionalFormatting>
  <conditionalFormatting sqref="BV219">
    <cfRule type="expression" dxfId="441" priority="605">
      <formula>OR(BV218=1,BV218=4)</formula>
    </cfRule>
    <cfRule type="expression" dxfId="440" priority="606">
      <formula>OR(BV218&lt;&gt;1,BV218&lt;&gt;4)</formula>
    </cfRule>
  </conditionalFormatting>
  <conditionalFormatting sqref="BV218">
    <cfRule type="expression" dxfId="439" priority="604">
      <formula>OR(AND(BU218=1,BW218=4),AND(BU218=4,BW218=1))</formula>
    </cfRule>
  </conditionalFormatting>
  <conditionalFormatting sqref="BV229">
    <cfRule type="expression" dxfId="438" priority="602">
      <formula>OR(BV228=1,BV228=4)</formula>
    </cfRule>
    <cfRule type="expression" dxfId="437" priority="603">
      <formula>OR(BV228&lt;&gt;1,BV228&lt;&gt;4)</formula>
    </cfRule>
  </conditionalFormatting>
  <conditionalFormatting sqref="BV228">
    <cfRule type="expression" dxfId="436" priority="601">
      <formula>OR(AND(BU228=1,BW228=4),AND(BU228=4,BW228=1))</formula>
    </cfRule>
  </conditionalFormatting>
  <conditionalFormatting sqref="BX234:BY234">
    <cfRule type="expression" dxfId="435" priority="600">
      <formula>BY234=""</formula>
    </cfRule>
  </conditionalFormatting>
  <conditionalFormatting sqref="BZ232:BZ233">
    <cfRule type="expression" dxfId="434" priority="599">
      <formula>BZ233=""</formula>
    </cfRule>
  </conditionalFormatting>
  <conditionalFormatting sqref="BX232:BY233">
    <cfRule type="expression" dxfId="433" priority="598">
      <formula>OR(BY232="",BX233="")</formula>
    </cfRule>
  </conditionalFormatting>
  <conditionalFormatting sqref="CB239">
    <cfRule type="expression" dxfId="432" priority="595">
      <formula>OR(CB238=1,CB238=4)</formula>
    </cfRule>
    <cfRule type="expression" dxfId="431" priority="596">
      <formula>OR(CB238&lt;&gt;1,CB238&lt;&gt;4)</formula>
    </cfRule>
  </conditionalFormatting>
  <conditionalFormatting sqref="CB238">
    <cfRule type="expression" dxfId="430" priority="594">
      <formula>OR(AND(CA238=1,CC238=4),AND(CA238=4,CC238=1))</formula>
    </cfRule>
  </conditionalFormatting>
  <conditionalFormatting sqref="BX244:BY244">
    <cfRule type="expression" dxfId="429" priority="593">
      <formula>BY244=""</formula>
    </cfRule>
  </conditionalFormatting>
  <conditionalFormatting sqref="BZ242:BZ243">
    <cfRule type="expression" dxfId="428" priority="592">
      <formula>BZ243=""</formula>
    </cfRule>
  </conditionalFormatting>
  <conditionalFormatting sqref="BX242:BY243">
    <cfRule type="expression" dxfId="427" priority="591">
      <formula>OR(BY242="",BX243="")</formula>
    </cfRule>
  </conditionalFormatting>
  <conditionalFormatting sqref="CB249">
    <cfRule type="expression" dxfId="426" priority="588">
      <formula>OR(CB248=1,CB248=4)</formula>
    </cfRule>
    <cfRule type="expression" dxfId="425" priority="589">
      <formula>OR(CB248&lt;&gt;1,CB248&lt;&gt;4)</formula>
    </cfRule>
  </conditionalFormatting>
  <conditionalFormatting sqref="CB248">
    <cfRule type="expression" dxfId="424" priority="587">
      <formula>OR(AND(CA248=1,CC248=4),AND(CA248=4,CC248=1))</formula>
    </cfRule>
  </conditionalFormatting>
  <conditionalFormatting sqref="BV239">
    <cfRule type="expression" dxfId="423" priority="585">
      <formula>OR(BV238=1,BV238=4)</formula>
    </cfRule>
    <cfRule type="expression" dxfId="422" priority="586">
      <formula>OR(BV238&lt;&gt;1,BV238&lt;&gt;4)</formula>
    </cfRule>
  </conditionalFormatting>
  <conditionalFormatting sqref="BV238">
    <cfRule type="expression" dxfId="421" priority="584">
      <formula>OR(AND(BU238=1,BW238=4),AND(BU238=4,BW238=1))</formula>
    </cfRule>
  </conditionalFormatting>
  <conditionalFormatting sqref="BV249">
    <cfRule type="expression" dxfId="420" priority="582">
      <formula>OR(BV248=1,BV248=4)</formula>
    </cfRule>
    <cfRule type="expression" dxfId="419" priority="583">
      <formula>OR(BV248&lt;&gt;1,BV248&lt;&gt;4)</formula>
    </cfRule>
  </conditionalFormatting>
  <conditionalFormatting sqref="BV248">
    <cfRule type="expression" dxfId="418" priority="581">
      <formula>OR(AND(BU248=1,BW248=4),AND(BU248=4,BW248=1))</formula>
    </cfRule>
  </conditionalFormatting>
  <conditionalFormatting sqref="BX254:BY254">
    <cfRule type="expression" dxfId="417" priority="580">
      <formula>BY254=""</formula>
    </cfRule>
  </conditionalFormatting>
  <conditionalFormatting sqref="BZ252:BZ253">
    <cfRule type="expression" dxfId="416" priority="579">
      <formula>BZ253=""</formula>
    </cfRule>
  </conditionalFormatting>
  <conditionalFormatting sqref="BX252:BY253">
    <cfRule type="expression" dxfId="415" priority="578">
      <formula>OR(BY252="",BX253="")</formula>
    </cfRule>
  </conditionalFormatting>
  <conditionalFormatting sqref="CB259">
    <cfRule type="expression" dxfId="414" priority="575">
      <formula>OR(CB258=1,CB258=4)</formula>
    </cfRule>
    <cfRule type="expression" dxfId="413" priority="576">
      <formula>OR(CB258&lt;&gt;1,CB258&lt;&gt;4)</formula>
    </cfRule>
  </conditionalFormatting>
  <conditionalFormatting sqref="CB258">
    <cfRule type="expression" dxfId="412" priority="574">
      <formula>OR(AND(CA258=1,CC258=4),AND(CA258=4,CC258=1))</formula>
    </cfRule>
  </conditionalFormatting>
  <conditionalFormatting sqref="BX264:BY264">
    <cfRule type="expression" dxfId="411" priority="573">
      <formula>BY264=""</formula>
    </cfRule>
  </conditionalFormatting>
  <conditionalFormatting sqref="BZ262:BZ263">
    <cfRule type="expression" dxfId="410" priority="572">
      <formula>BZ263=""</formula>
    </cfRule>
  </conditionalFormatting>
  <conditionalFormatting sqref="BX262:BY263">
    <cfRule type="expression" dxfId="409" priority="571">
      <formula>OR(BY262="",BX263="")</formula>
    </cfRule>
  </conditionalFormatting>
  <conditionalFormatting sqref="CB269">
    <cfRule type="expression" dxfId="408" priority="568">
      <formula>OR(CB268=1,CB268=4)</formula>
    </cfRule>
    <cfRule type="expression" dxfId="407" priority="569">
      <formula>OR(CB268&lt;&gt;1,CB268&lt;&gt;4)</formula>
    </cfRule>
  </conditionalFormatting>
  <conditionalFormatting sqref="CB268">
    <cfRule type="expression" dxfId="406" priority="567">
      <formula>OR(AND(CA268=1,CC268=4),AND(CA268=4,CC268=1))</formula>
    </cfRule>
  </conditionalFormatting>
  <conditionalFormatting sqref="BV259">
    <cfRule type="expression" dxfId="405" priority="565">
      <formula>OR(BV258=1,BV258=4)</formula>
    </cfRule>
    <cfRule type="expression" dxfId="404" priority="566">
      <formula>OR(BV258&lt;&gt;1,BV258&lt;&gt;4)</formula>
    </cfRule>
  </conditionalFormatting>
  <conditionalFormatting sqref="BV258">
    <cfRule type="expression" dxfId="403" priority="564">
      <formula>OR(AND(BU258=1,BW258=4),AND(BU258=4,BW258=1))</formula>
    </cfRule>
  </conditionalFormatting>
  <conditionalFormatting sqref="BV269">
    <cfRule type="expression" dxfId="402" priority="562">
      <formula>OR(BV268=1,BV268=4)</formula>
    </cfRule>
    <cfRule type="expression" dxfId="401" priority="563">
      <formula>OR(BV268&lt;&gt;1,BV268&lt;&gt;4)</formula>
    </cfRule>
  </conditionalFormatting>
  <conditionalFormatting sqref="BV268">
    <cfRule type="expression" dxfId="400" priority="561">
      <formula>OR(AND(BU268=1,BW268=4),AND(BU268=4,BW268=1))</formula>
    </cfRule>
  </conditionalFormatting>
  <conditionalFormatting sqref="BX274:BY274">
    <cfRule type="expression" dxfId="399" priority="560">
      <formula>BY274=""</formula>
    </cfRule>
  </conditionalFormatting>
  <conditionalFormatting sqref="BZ272:BZ273">
    <cfRule type="expression" dxfId="398" priority="559">
      <formula>BZ273=""</formula>
    </cfRule>
  </conditionalFormatting>
  <conditionalFormatting sqref="BX272:BY273">
    <cfRule type="expression" dxfId="397" priority="558">
      <formula>OR(BY272="",BX273="")</formula>
    </cfRule>
  </conditionalFormatting>
  <conditionalFormatting sqref="CB279">
    <cfRule type="expression" dxfId="396" priority="555">
      <formula>OR(CB278=1,CB278=4)</formula>
    </cfRule>
    <cfRule type="expression" dxfId="395" priority="556">
      <formula>OR(CB278&lt;&gt;1,CB278&lt;&gt;4)</formula>
    </cfRule>
  </conditionalFormatting>
  <conditionalFormatting sqref="CB278">
    <cfRule type="expression" dxfId="394" priority="554">
      <formula>OR(AND(CA278=1,CC278=4),AND(CA278=4,CC278=1))</formula>
    </cfRule>
  </conditionalFormatting>
  <conditionalFormatting sqref="BX284:BY284">
    <cfRule type="expression" dxfId="393" priority="553">
      <formula>BY284=""</formula>
    </cfRule>
  </conditionalFormatting>
  <conditionalFormatting sqref="BZ282:BZ283">
    <cfRule type="expression" dxfId="392" priority="552">
      <formula>BZ283=""</formula>
    </cfRule>
  </conditionalFormatting>
  <conditionalFormatting sqref="BX282:BY283">
    <cfRule type="expression" dxfId="391" priority="551">
      <formula>OR(BY282="",BX283="")</formula>
    </cfRule>
  </conditionalFormatting>
  <conditionalFormatting sqref="CB289">
    <cfRule type="expression" dxfId="390" priority="548">
      <formula>OR(CB288=1,CB288=4)</formula>
    </cfRule>
    <cfRule type="expression" dxfId="389" priority="549">
      <formula>OR(CB288&lt;&gt;1,CB288&lt;&gt;4)</formula>
    </cfRule>
  </conditionalFormatting>
  <conditionalFormatting sqref="CB288">
    <cfRule type="expression" dxfId="388" priority="547">
      <formula>OR(AND(CA288=1,CC288=4),AND(CA288=4,CC288=1))</formula>
    </cfRule>
  </conditionalFormatting>
  <conditionalFormatting sqref="BV279">
    <cfRule type="expression" dxfId="387" priority="545">
      <formula>OR(BV278=1,BV278=4)</formula>
    </cfRule>
    <cfRule type="expression" dxfId="386" priority="546">
      <formula>OR(BV278&lt;&gt;1,BV278&lt;&gt;4)</formula>
    </cfRule>
  </conditionalFormatting>
  <conditionalFormatting sqref="BV278">
    <cfRule type="expression" dxfId="385" priority="544">
      <formula>OR(AND(BU278=1,BW278=4),AND(BU278=4,BW278=1))</formula>
    </cfRule>
  </conditionalFormatting>
  <conditionalFormatting sqref="BV289">
    <cfRule type="expression" dxfId="384" priority="542">
      <formula>OR(BV288=1,BV288=4)</formula>
    </cfRule>
    <cfRule type="expression" dxfId="383" priority="543">
      <formula>OR(BV288&lt;&gt;1,BV288&lt;&gt;4)</formula>
    </cfRule>
  </conditionalFormatting>
  <conditionalFormatting sqref="BV288">
    <cfRule type="expression" dxfId="382" priority="541">
      <formula>OR(AND(BU288=1,BW288=4),AND(BU288=4,BW288=1))</formula>
    </cfRule>
  </conditionalFormatting>
  <conditionalFormatting sqref="BX294:BY294">
    <cfRule type="expression" dxfId="381" priority="540">
      <formula>BY294=""</formula>
    </cfRule>
  </conditionalFormatting>
  <conditionalFormatting sqref="BZ292:BZ293">
    <cfRule type="expression" dxfId="380" priority="539">
      <formula>BZ293=""</formula>
    </cfRule>
  </conditionalFormatting>
  <conditionalFormatting sqref="BX292:BY293">
    <cfRule type="expression" dxfId="379" priority="538">
      <formula>OR(BY292="",BX293="")</formula>
    </cfRule>
  </conditionalFormatting>
  <conditionalFormatting sqref="CB299">
    <cfRule type="expression" dxfId="378" priority="535">
      <formula>OR(CB298=1,CB298=4)</formula>
    </cfRule>
    <cfRule type="expression" dxfId="377" priority="536">
      <formula>OR(CB298&lt;&gt;1,CB298&lt;&gt;4)</formula>
    </cfRule>
  </conditionalFormatting>
  <conditionalFormatting sqref="CB298">
    <cfRule type="expression" dxfId="376" priority="534">
      <formula>OR(AND(CA298=1,CC298=4),AND(CA298=4,CC298=1))</formula>
    </cfRule>
  </conditionalFormatting>
  <conditionalFormatting sqref="BX304:BY304">
    <cfRule type="expression" dxfId="375" priority="533">
      <formula>BY304=""</formula>
    </cfRule>
  </conditionalFormatting>
  <conditionalFormatting sqref="BZ302:BZ303">
    <cfRule type="expression" dxfId="374" priority="532">
      <formula>BZ303=""</formula>
    </cfRule>
  </conditionalFormatting>
  <conditionalFormatting sqref="BX302:BY303">
    <cfRule type="expression" dxfId="373" priority="531">
      <formula>OR(BY302="",BX303="")</formula>
    </cfRule>
  </conditionalFormatting>
  <conditionalFormatting sqref="CB309">
    <cfRule type="expression" dxfId="372" priority="528">
      <formula>OR(CB308=1,CB308=4)</formula>
    </cfRule>
    <cfRule type="expression" dxfId="371" priority="529">
      <formula>OR(CB308&lt;&gt;1,CB308&lt;&gt;4)</formula>
    </cfRule>
  </conditionalFormatting>
  <conditionalFormatting sqref="CB308">
    <cfRule type="expression" dxfId="370" priority="527">
      <formula>OR(AND(CA308=1,CC308=4),AND(CA308=4,CC308=1))</formula>
    </cfRule>
  </conditionalFormatting>
  <conditionalFormatting sqref="BV299">
    <cfRule type="expression" dxfId="369" priority="525">
      <formula>OR(BV298=1,BV298=4)</formula>
    </cfRule>
    <cfRule type="expression" dxfId="368" priority="526">
      <formula>OR(BV298&lt;&gt;1,BV298&lt;&gt;4)</formula>
    </cfRule>
  </conditionalFormatting>
  <conditionalFormatting sqref="BV298">
    <cfRule type="expression" dxfId="367" priority="524">
      <formula>OR(AND(BU298=1,BW298=4),AND(BU298=4,BW298=1))</formula>
    </cfRule>
  </conditionalFormatting>
  <conditionalFormatting sqref="BV309">
    <cfRule type="expression" dxfId="366" priority="522">
      <formula>OR(BV308=1,BV308=4)</formula>
    </cfRule>
    <cfRule type="expression" dxfId="365" priority="523">
      <formula>OR(BV308&lt;&gt;1,BV308&lt;&gt;4)</formula>
    </cfRule>
  </conditionalFormatting>
  <conditionalFormatting sqref="BV308">
    <cfRule type="expression" dxfId="364" priority="521">
      <formula>OR(AND(BU308=1,BW308=4),AND(BU308=4,BW308=1))</formula>
    </cfRule>
  </conditionalFormatting>
  <conditionalFormatting sqref="BX314:BY314">
    <cfRule type="expression" dxfId="363" priority="520">
      <formula>BY314=""</formula>
    </cfRule>
  </conditionalFormatting>
  <conditionalFormatting sqref="BZ312:BZ313">
    <cfRule type="expression" dxfId="362" priority="519">
      <formula>BZ313=""</formula>
    </cfRule>
  </conditionalFormatting>
  <conditionalFormatting sqref="BX312:BY313">
    <cfRule type="expression" dxfId="361" priority="518">
      <formula>OR(BY312="",BX313="")</formula>
    </cfRule>
  </conditionalFormatting>
  <conditionalFormatting sqref="CB319">
    <cfRule type="expression" dxfId="360" priority="515">
      <formula>OR(CB318=1,CB318=4)</formula>
    </cfRule>
    <cfRule type="expression" dxfId="359" priority="516">
      <formula>OR(CB318&lt;&gt;1,CB318&lt;&gt;4)</formula>
    </cfRule>
  </conditionalFormatting>
  <conditionalFormatting sqref="CB318">
    <cfRule type="expression" dxfId="358" priority="514">
      <formula>OR(AND(CA318=1,CC318=4),AND(CA318=4,CC318=1))</formula>
    </cfRule>
  </conditionalFormatting>
  <conditionalFormatting sqref="BX324:BY324">
    <cfRule type="expression" dxfId="357" priority="513">
      <formula>BY324=""</formula>
    </cfRule>
  </conditionalFormatting>
  <conditionalFormatting sqref="BZ322:BZ323">
    <cfRule type="expression" dxfId="356" priority="512">
      <formula>BZ323=""</formula>
    </cfRule>
  </conditionalFormatting>
  <conditionalFormatting sqref="BX322:BY323">
    <cfRule type="expression" dxfId="355" priority="511">
      <formula>OR(BY322="",BX323="")</formula>
    </cfRule>
  </conditionalFormatting>
  <conditionalFormatting sqref="CB329">
    <cfRule type="expression" dxfId="354" priority="508">
      <formula>OR(CB328=1,CB328=4)</formula>
    </cfRule>
    <cfRule type="expression" dxfId="353" priority="509">
      <formula>OR(CB328&lt;&gt;1,CB328&lt;&gt;4)</formula>
    </cfRule>
  </conditionalFormatting>
  <conditionalFormatting sqref="CB328">
    <cfRule type="expression" dxfId="352" priority="507">
      <formula>OR(AND(CA328=1,CC328=4),AND(CA328=4,CC328=1))</formula>
    </cfRule>
  </conditionalFormatting>
  <conditionalFormatting sqref="BV319">
    <cfRule type="expression" dxfId="351" priority="505">
      <formula>OR(BV318=1,BV318=4)</formula>
    </cfRule>
    <cfRule type="expression" dxfId="350" priority="506">
      <formula>OR(BV318&lt;&gt;1,BV318&lt;&gt;4)</formula>
    </cfRule>
  </conditionalFormatting>
  <conditionalFormatting sqref="BV318">
    <cfRule type="expression" dxfId="349" priority="504">
      <formula>OR(AND(BU318=1,BW318=4),AND(BU318=4,BW318=1))</formula>
    </cfRule>
  </conditionalFormatting>
  <conditionalFormatting sqref="BV329">
    <cfRule type="expression" dxfId="348" priority="502">
      <formula>OR(BV328=1,BV328=4)</formula>
    </cfRule>
    <cfRule type="expression" dxfId="347" priority="503">
      <formula>OR(BV328&lt;&gt;1,BV328&lt;&gt;4)</formula>
    </cfRule>
  </conditionalFormatting>
  <conditionalFormatting sqref="BV328">
    <cfRule type="expression" dxfId="346" priority="501">
      <formula>OR(AND(BU328=1,BW328=4),AND(BU328=4,BW328=1))</formula>
    </cfRule>
  </conditionalFormatting>
  <conditionalFormatting sqref="BX334:BY334">
    <cfRule type="expression" dxfId="345" priority="500">
      <formula>BY334=""</formula>
    </cfRule>
  </conditionalFormatting>
  <conditionalFormatting sqref="BZ332:BZ333">
    <cfRule type="expression" dxfId="344" priority="499">
      <formula>BZ333=""</formula>
    </cfRule>
  </conditionalFormatting>
  <conditionalFormatting sqref="BX332:BY333">
    <cfRule type="expression" dxfId="343" priority="498">
      <formula>OR(BY332="",BX333="")</formula>
    </cfRule>
  </conditionalFormatting>
  <conditionalFormatting sqref="CB339">
    <cfRule type="expression" dxfId="342" priority="495">
      <formula>OR(CB338=1,CB338=4)</formula>
    </cfRule>
    <cfRule type="expression" dxfId="341" priority="496">
      <formula>OR(CB338&lt;&gt;1,CB338&lt;&gt;4)</formula>
    </cfRule>
  </conditionalFormatting>
  <conditionalFormatting sqref="CB338">
    <cfRule type="expression" dxfId="340" priority="494">
      <formula>OR(AND(CA338=1,CC338=4),AND(CA338=4,CC338=1))</formula>
    </cfRule>
  </conditionalFormatting>
  <conditionalFormatting sqref="BX344:BY344">
    <cfRule type="expression" dxfId="339" priority="493">
      <formula>BY344=""</formula>
    </cfRule>
  </conditionalFormatting>
  <conditionalFormatting sqref="BZ342:BZ343">
    <cfRule type="expression" dxfId="338" priority="492">
      <formula>BZ343=""</formula>
    </cfRule>
  </conditionalFormatting>
  <conditionalFormatting sqref="BX342:BY343">
    <cfRule type="expression" dxfId="337" priority="491">
      <formula>OR(BY342="",BX343="")</formula>
    </cfRule>
  </conditionalFormatting>
  <conditionalFormatting sqref="CB349">
    <cfRule type="expression" dxfId="336" priority="488">
      <formula>OR(CB348=1,CB348=4)</formula>
    </cfRule>
    <cfRule type="expression" dxfId="335" priority="489">
      <formula>OR(CB348&lt;&gt;1,CB348&lt;&gt;4)</formula>
    </cfRule>
  </conditionalFormatting>
  <conditionalFormatting sqref="CB348">
    <cfRule type="expression" dxfId="334" priority="487">
      <formula>OR(AND(CA348=1,CC348=4),AND(CA348=4,CC348=1))</formula>
    </cfRule>
  </conditionalFormatting>
  <conditionalFormatting sqref="BV339">
    <cfRule type="expression" dxfId="333" priority="485">
      <formula>OR(BV338=1,BV338=4)</formula>
    </cfRule>
    <cfRule type="expression" dxfId="332" priority="486">
      <formula>OR(BV338&lt;&gt;1,BV338&lt;&gt;4)</formula>
    </cfRule>
  </conditionalFormatting>
  <conditionalFormatting sqref="BV338">
    <cfRule type="expression" dxfId="331" priority="484">
      <formula>OR(AND(BU338=1,BW338=4),AND(BU338=4,BW338=1))</formula>
    </cfRule>
  </conditionalFormatting>
  <conditionalFormatting sqref="BV349">
    <cfRule type="expression" dxfId="330" priority="482">
      <formula>OR(BV348=1,BV348=4)</formula>
    </cfRule>
    <cfRule type="expression" dxfId="329" priority="483">
      <formula>OR(BV348&lt;&gt;1,BV348&lt;&gt;4)</formula>
    </cfRule>
  </conditionalFormatting>
  <conditionalFormatting sqref="BV348">
    <cfRule type="expression" dxfId="328" priority="481">
      <formula>OR(AND(BU348=1,BW348=4),AND(BU348=4,BW348=1))</formula>
    </cfRule>
  </conditionalFormatting>
  <conditionalFormatting sqref="BX354:BY354">
    <cfRule type="expression" dxfId="327" priority="480">
      <formula>BY354=""</formula>
    </cfRule>
  </conditionalFormatting>
  <conditionalFormatting sqref="BZ352:BZ353">
    <cfRule type="expression" dxfId="326" priority="479">
      <formula>BZ353=""</formula>
    </cfRule>
  </conditionalFormatting>
  <conditionalFormatting sqref="BX352:BY353">
    <cfRule type="expression" dxfId="325" priority="478">
      <formula>OR(BY352="",BX353="")</formula>
    </cfRule>
  </conditionalFormatting>
  <conditionalFormatting sqref="CB359">
    <cfRule type="expression" dxfId="324" priority="475">
      <formula>OR(CB358=1,CB358=4)</formula>
    </cfRule>
    <cfRule type="expression" dxfId="323" priority="476">
      <formula>OR(CB358&lt;&gt;1,CB358&lt;&gt;4)</formula>
    </cfRule>
  </conditionalFormatting>
  <conditionalFormatting sqref="CB358">
    <cfRule type="expression" dxfId="322" priority="474">
      <formula>OR(AND(CA358=1,CC358=4),AND(CA358=4,CC358=1))</formula>
    </cfRule>
  </conditionalFormatting>
  <conditionalFormatting sqref="BX364:BY364">
    <cfRule type="expression" dxfId="321" priority="473">
      <formula>BY364=""</formula>
    </cfRule>
  </conditionalFormatting>
  <conditionalFormatting sqref="BZ362:BZ363">
    <cfRule type="expression" dxfId="320" priority="472">
      <formula>BZ363=""</formula>
    </cfRule>
  </conditionalFormatting>
  <conditionalFormatting sqref="BX362:BY363">
    <cfRule type="expression" dxfId="319" priority="471">
      <formula>OR(BY362="",BX363="")</formula>
    </cfRule>
  </conditionalFormatting>
  <conditionalFormatting sqref="CB369">
    <cfRule type="expression" dxfId="318" priority="468">
      <formula>OR(CB368=1,CB368=4)</formula>
    </cfRule>
    <cfRule type="expression" dxfId="317" priority="469">
      <formula>OR(CB368&lt;&gt;1,CB368&lt;&gt;4)</formula>
    </cfRule>
  </conditionalFormatting>
  <conditionalFormatting sqref="CB368">
    <cfRule type="expression" dxfId="316" priority="467">
      <formula>OR(AND(CA368=1,CC368=4),AND(CA368=4,CC368=1))</formula>
    </cfRule>
  </conditionalFormatting>
  <conditionalFormatting sqref="BV359">
    <cfRule type="expression" dxfId="315" priority="465">
      <formula>OR(BV358=1,BV358=4)</formula>
    </cfRule>
    <cfRule type="expression" dxfId="314" priority="466">
      <formula>OR(BV358&lt;&gt;1,BV358&lt;&gt;4)</formula>
    </cfRule>
  </conditionalFormatting>
  <conditionalFormatting sqref="BV358">
    <cfRule type="expression" dxfId="313" priority="464">
      <formula>OR(AND(BU358=1,BW358=4),AND(BU358=4,BW358=1))</formula>
    </cfRule>
  </conditionalFormatting>
  <conditionalFormatting sqref="BV369">
    <cfRule type="expression" dxfId="312" priority="462">
      <formula>OR(BV368=1,BV368=4)</formula>
    </cfRule>
    <cfRule type="expression" dxfId="311" priority="463">
      <formula>OR(BV368&lt;&gt;1,BV368&lt;&gt;4)</formula>
    </cfRule>
  </conditionalFormatting>
  <conditionalFormatting sqref="BV368">
    <cfRule type="expression" dxfId="310" priority="461">
      <formula>OR(AND(BU368=1,BW368=4),AND(BU368=4,BW368=1))</formula>
    </cfRule>
  </conditionalFormatting>
  <conditionalFormatting sqref="BX374:BY374">
    <cfRule type="expression" dxfId="309" priority="460">
      <formula>BY374=""</formula>
    </cfRule>
  </conditionalFormatting>
  <conditionalFormatting sqref="BZ372:BZ373">
    <cfRule type="expression" dxfId="308" priority="459">
      <formula>BZ373=""</formula>
    </cfRule>
  </conditionalFormatting>
  <conditionalFormatting sqref="BX372:BY373">
    <cfRule type="expression" dxfId="307" priority="458">
      <formula>OR(BY372="",BX373="")</formula>
    </cfRule>
  </conditionalFormatting>
  <conditionalFormatting sqref="CB379">
    <cfRule type="expression" dxfId="306" priority="455">
      <formula>OR(CB378=1,CB378=4)</formula>
    </cfRule>
    <cfRule type="expression" dxfId="305" priority="456">
      <formula>OR(CB378&lt;&gt;1,CB378&lt;&gt;4)</formula>
    </cfRule>
  </conditionalFormatting>
  <conditionalFormatting sqref="CB378">
    <cfRule type="expression" dxfId="304" priority="454">
      <formula>OR(AND(CA378=1,CC378=4),AND(CA378=4,CC378=1))</formula>
    </cfRule>
  </conditionalFormatting>
  <conditionalFormatting sqref="BX384:BY384">
    <cfRule type="expression" dxfId="303" priority="453">
      <formula>BY384=""</formula>
    </cfRule>
  </conditionalFormatting>
  <conditionalFormatting sqref="BZ382:BZ383">
    <cfRule type="expression" dxfId="302" priority="452">
      <formula>BZ383=""</formula>
    </cfRule>
  </conditionalFormatting>
  <conditionalFormatting sqref="BX382:BY383">
    <cfRule type="expression" dxfId="301" priority="451">
      <formula>OR(BY382="",BX383="")</formula>
    </cfRule>
  </conditionalFormatting>
  <conditionalFormatting sqref="CB389">
    <cfRule type="expression" dxfId="300" priority="448">
      <formula>OR(CB388=1,CB388=4)</formula>
    </cfRule>
    <cfRule type="expression" dxfId="299" priority="449">
      <formula>OR(CB388&lt;&gt;1,CB388&lt;&gt;4)</formula>
    </cfRule>
  </conditionalFormatting>
  <conditionalFormatting sqref="CB388">
    <cfRule type="expression" dxfId="298" priority="447">
      <formula>OR(AND(CA388=1,CC388=4),AND(CA388=4,CC388=1))</formula>
    </cfRule>
  </conditionalFormatting>
  <conditionalFormatting sqref="BV379">
    <cfRule type="expression" dxfId="297" priority="445">
      <formula>OR(BV378=1,BV378=4)</formula>
    </cfRule>
    <cfRule type="expression" dxfId="296" priority="446">
      <formula>OR(BV378&lt;&gt;1,BV378&lt;&gt;4)</formula>
    </cfRule>
  </conditionalFormatting>
  <conditionalFormatting sqref="BV378">
    <cfRule type="expression" dxfId="295" priority="444">
      <formula>OR(AND(BU378=1,BW378=4),AND(BU378=4,BW378=1))</formula>
    </cfRule>
  </conditionalFormatting>
  <conditionalFormatting sqref="BV389">
    <cfRule type="expression" dxfId="294" priority="442">
      <formula>OR(BV388=1,BV388=4)</formula>
    </cfRule>
    <cfRule type="expression" dxfId="293" priority="443">
      <formula>OR(BV388&lt;&gt;1,BV388&lt;&gt;4)</formula>
    </cfRule>
  </conditionalFormatting>
  <conditionalFormatting sqref="BV388">
    <cfRule type="expression" dxfId="292" priority="441">
      <formula>OR(AND(BU388=1,BW388=4),AND(BU388=4,BW388=1))</formula>
    </cfRule>
  </conditionalFormatting>
  <conditionalFormatting sqref="BX394:BY394">
    <cfRule type="expression" dxfId="291" priority="440">
      <formula>BY394=""</formula>
    </cfRule>
  </conditionalFormatting>
  <conditionalFormatting sqref="BZ392:BZ393">
    <cfRule type="expression" dxfId="290" priority="439">
      <formula>BZ393=""</formula>
    </cfRule>
  </conditionalFormatting>
  <conditionalFormatting sqref="BX392:BY393">
    <cfRule type="expression" dxfId="289" priority="438">
      <formula>OR(BY392="",BX393="")</formula>
    </cfRule>
  </conditionalFormatting>
  <conditionalFormatting sqref="CB399">
    <cfRule type="expression" dxfId="288" priority="435">
      <formula>OR(CB398=1,CB398=4)</formula>
    </cfRule>
    <cfRule type="expression" dxfId="287" priority="436">
      <formula>OR(CB398&lt;&gt;1,CB398&lt;&gt;4)</formula>
    </cfRule>
  </conditionalFormatting>
  <conditionalFormatting sqref="CB398">
    <cfRule type="expression" dxfId="286" priority="434">
      <formula>OR(AND(CA398=1,CC398=4),AND(CA398=4,CC398=1))</formula>
    </cfRule>
  </conditionalFormatting>
  <conditionalFormatting sqref="BX404:BY404">
    <cfRule type="expression" dxfId="285" priority="433">
      <formula>BY404=""</formula>
    </cfRule>
  </conditionalFormatting>
  <conditionalFormatting sqref="BZ402:BZ403">
    <cfRule type="expression" dxfId="284" priority="432">
      <formula>BZ403=""</formula>
    </cfRule>
  </conditionalFormatting>
  <conditionalFormatting sqref="BX402:BY403">
    <cfRule type="expression" dxfId="283" priority="431">
      <formula>OR(BY402="",BX403="")</formula>
    </cfRule>
  </conditionalFormatting>
  <conditionalFormatting sqref="CB409">
    <cfRule type="expression" dxfId="282" priority="428">
      <formula>OR(CB408=1,CB408=4)</formula>
    </cfRule>
    <cfRule type="expression" dxfId="281" priority="429">
      <formula>OR(CB408&lt;&gt;1,CB408&lt;&gt;4)</formula>
    </cfRule>
  </conditionalFormatting>
  <conditionalFormatting sqref="CB408">
    <cfRule type="expression" dxfId="280" priority="427">
      <formula>OR(AND(CA408=1,CC408=4),AND(CA408=4,CC408=1))</formula>
    </cfRule>
  </conditionalFormatting>
  <conditionalFormatting sqref="BV399">
    <cfRule type="expression" dxfId="279" priority="425">
      <formula>OR(BV398=1,BV398=4)</formula>
    </cfRule>
    <cfRule type="expression" dxfId="278" priority="426">
      <formula>OR(BV398&lt;&gt;1,BV398&lt;&gt;4)</formula>
    </cfRule>
  </conditionalFormatting>
  <conditionalFormatting sqref="BV398">
    <cfRule type="expression" dxfId="277" priority="424">
      <formula>OR(AND(BU398=1,BW398=4),AND(BU398=4,BW398=1))</formula>
    </cfRule>
  </conditionalFormatting>
  <conditionalFormatting sqref="BV409">
    <cfRule type="expression" dxfId="276" priority="422">
      <formula>OR(BV408=1,BV408=4)</formula>
    </cfRule>
    <cfRule type="expression" dxfId="275" priority="423">
      <formula>OR(BV408&lt;&gt;1,BV408&lt;&gt;4)</formula>
    </cfRule>
  </conditionalFormatting>
  <conditionalFormatting sqref="BV408">
    <cfRule type="expression" dxfId="274" priority="421">
      <formula>OR(AND(BU408=1,BW408=4),AND(BU408=4,BW408=1))</formula>
    </cfRule>
  </conditionalFormatting>
  <conditionalFormatting sqref="BX414:BY414">
    <cfRule type="expression" dxfId="273" priority="420">
      <formula>BY414=""</formula>
    </cfRule>
  </conditionalFormatting>
  <conditionalFormatting sqref="BZ412:BZ413">
    <cfRule type="expression" dxfId="272" priority="419">
      <formula>BZ413=""</formula>
    </cfRule>
  </conditionalFormatting>
  <conditionalFormatting sqref="BX412:BY413">
    <cfRule type="expression" dxfId="271" priority="418">
      <formula>OR(BY412="",BX413="")</formula>
    </cfRule>
  </conditionalFormatting>
  <conditionalFormatting sqref="CB419">
    <cfRule type="expression" dxfId="270" priority="415">
      <formula>OR(CB418=1,CB418=4)</formula>
    </cfRule>
    <cfRule type="expression" dxfId="269" priority="416">
      <formula>OR(CB418&lt;&gt;1,CB418&lt;&gt;4)</formula>
    </cfRule>
  </conditionalFormatting>
  <conditionalFormatting sqref="CB418">
    <cfRule type="expression" dxfId="268" priority="414">
      <formula>OR(AND(CA418=1,CC418=4),AND(CA418=4,CC418=1))</formula>
    </cfRule>
  </conditionalFormatting>
  <conditionalFormatting sqref="BX424:BY424">
    <cfRule type="expression" dxfId="267" priority="413">
      <formula>BY424=""</formula>
    </cfRule>
  </conditionalFormatting>
  <conditionalFormatting sqref="BZ422:BZ423">
    <cfRule type="expression" dxfId="266" priority="412">
      <formula>BZ423=""</formula>
    </cfRule>
  </conditionalFormatting>
  <conditionalFormatting sqref="BX422:BY423">
    <cfRule type="expression" dxfId="265" priority="411">
      <formula>OR(BY422="",BX423="")</formula>
    </cfRule>
  </conditionalFormatting>
  <conditionalFormatting sqref="CB429">
    <cfRule type="expression" dxfId="264" priority="408">
      <formula>OR(CB428=1,CB428=4)</formula>
    </cfRule>
    <cfRule type="expression" dxfId="263" priority="409">
      <formula>OR(CB428&lt;&gt;1,CB428&lt;&gt;4)</formula>
    </cfRule>
  </conditionalFormatting>
  <conditionalFormatting sqref="CB428">
    <cfRule type="expression" dxfId="262" priority="407">
      <formula>OR(AND(CA428=1,CC428=4),AND(CA428=4,CC428=1))</formula>
    </cfRule>
  </conditionalFormatting>
  <conditionalFormatting sqref="BV419">
    <cfRule type="expression" dxfId="261" priority="405">
      <formula>OR(BV418=1,BV418=4)</formula>
    </cfRule>
    <cfRule type="expression" dxfId="260" priority="406">
      <formula>OR(BV418&lt;&gt;1,BV418&lt;&gt;4)</formula>
    </cfRule>
  </conditionalFormatting>
  <conditionalFormatting sqref="BV418">
    <cfRule type="expression" dxfId="259" priority="404">
      <formula>OR(AND(BU418=1,BW418=4),AND(BU418=4,BW418=1))</formula>
    </cfRule>
  </conditionalFormatting>
  <conditionalFormatting sqref="BV429">
    <cfRule type="expression" dxfId="258" priority="402">
      <formula>OR(BV428=1,BV428=4)</formula>
    </cfRule>
    <cfRule type="expression" dxfId="257" priority="403">
      <formula>OR(BV428&lt;&gt;1,BV428&lt;&gt;4)</formula>
    </cfRule>
  </conditionalFormatting>
  <conditionalFormatting sqref="BV428">
    <cfRule type="expression" dxfId="256" priority="401">
      <formula>OR(AND(BU428=1,BW428=4),AND(BU428=4,BW428=1))</formula>
    </cfRule>
  </conditionalFormatting>
  <conditionalFormatting sqref="BX434:BY434">
    <cfRule type="expression" dxfId="255" priority="400">
      <formula>BY434=""</formula>
    </cfRule>
  </conditionalFormatting>
  <conditionalFormatting sqref="BZ432:BZ433">
    <cfRule type="expression" dxfId="254" priority="399">
      <formula>BZ433=""</formula>
    </cfRule>
  </conditionalFormatting>
  <conditionalFormatting sqref="BX432:BY433">
    <cfRule type="expression" dxfId="253" priority="398">
      <formula>OR(BY432="",BX433="")</formula>
    </cfRule>
  </conditionalFormatting>
  <conditionalFormatting sqref="CB439">
    <cfRule type="expression" dxfId="252" priority="395">
      <formula>OR(CB438=1,CB438=4)</formula>
    </cfRule>
    <cfRule type="expression" dxfId="251" priority="396">
      <formula>OR(CB438&lt;&gt;1,CB438&lt;&gt;4)</formula>
    </cfRule>
  </conditionalFormatting>
  <conditionalFormatting sqref="CB438">
    <cfRule type="expression" dxfId="250" priority="394">
      <formula>OR(AND(CA438=1,CC438=4),AND(CA438=4,CC438=1))</formula>
    </cfRule>
  </conditionalFormatting>
  <conditionalFormatting sqref="BX444:BY444">
    <cfRule type="expression" dxfId="249" priority="393">
      <formula>BY444=""</formula>
    </cfRule>
  </conditionalFormatting>
  <conditionalFormatting sqref="BZ442:BZ443">
    <cfRule type="expression" dxfId="248" priority="392">
      <formula>BZ443=""</formula>
    </cfRule>
  </conditionalFormatting>
  <conditionalFormatting sqref="BX442:BY443">
    <cfRule type="expression" dxfId="247" priority="391">
      <formula>OR(BY442="",BX443="")</formula>
    </cfRule>
  </conditionalFormatting>
  <conditionalFormatting sqref="CB449">
    <cfRule type="expression" dxfId="246" priority="388">
      <formula>OR(CB448=1,CB448=4)</formula>
    </cfRule>
    <cfRule type="expression" dxfId="245" priority="389">
      <formula>OR(CB448&lt;&gt;1,CB448&lt;&gt;4)</formula>
    </cfRule>
  </conditionalFormatting>
  <conditionalFormatting sqref="CB448">
    <cfRule type="expression" dxfId="244" priority="387">
      <formula>OR(AND(CA448=1,CC448=4),AND(CA448=4,CC448=1))</formula>
    </cfRule>
  </conditionalFormatting>
  <conditionalFormatting sqref="BV439">
    <cfRule type="expression" dxfId="243" priority="385">
      <formula>OR(BV438=1,BV438=4)</formula>
    </cfRule>
    <cfRule type="expression" dxfId="242" priority="386">
      <formula>OR(BV438&lt;&gt;1,BV438&lt;&gt;4)</formula>
    </cfRule>
  </conditionalFormatting>
  <conditionalFormatting sqref="BV438">
    <cfRule type="expression" dxfId="241" priority="384">
      <formula>OR(AND(BU438=1,BW438=4),AND(BU438=4,BW438=1))</formula>
    </cfRule>
  </conditionalFormatting>
  <conditionalFormatting sqref="BV449">
    <cfRule type="expression" dxfId="240" priority="382">
      <formula>OR(BV448=1,BV448=4)</formula>
    </cfRule>
    <cfRule type="expression" dxfId="239" priority="383">
      <formula>OR(BV448&lt;&gt;1,BV448&lt;&gt;4)</formula>
    </cfRule>
  </conditionalFormatting>
  <conditionalFormatting sqref="BV448">
    <cfRule type="expression" dxfId="238" priority="381">
      <formula>OR(AND(BU448=1,BW448=4),AND(BU448=4,BW448=1))</formula>
    </cfRule>
  </conditionalFormatting>
  <conditionalFormatting sqref="BX454:BY454">
    <cfRule type="expression" dxfId="237" priority="380">
      <formula>BY454=""</formula>
    </cfRule>
  </conditionalFormatting>
  <conditionalFormatting sqref="BZ452:BZ453">
    <cfRule type="expression" dxfId="236" priority="379">
      <formula>BZ453=""</formula>
    </cfRule>
  </conditionalFormatting>
  <conditionalFormatting sqref="BX452:BY453">
    <cfRule type="expression" dxfId="235" priority="378">
      <formula>OR(BY452="",BX453="")</formula>
    </cfRule>
  </conditionalFormatting>
  <conditionalFormatting sqref="CB459">
    <cfRule type="expression" dxfId="234" priority="375">
      <formula>OR(CB458=1,CB458=4)</formula>
    </cfRule>
    <cfRule type="expression" dxfId="233" priority="376">
      <formula>OR(CB458&lt;&gt;1,CB458&lt;&gt;4)</formula>
    </cfRule>
  </conditionalFormatting>
  <conditionalFormatting sqref="CB458">
    <cfRule type="expression" dxfId="232" priority="374">
      <formula>OR(AND(CA458=1,CC458=4),AND(CA458=4,CC458=1))</formula>
    </cfRule>
  </conditionalFormatting>
  <conditionalFormatting sqref="BX464:BY464">
    <cfRule type="expression" dxfId="231" priority="373">
      <formula>BY464=""</formula>
    </cfRule>
  </conditionalFormatting>
  <conditionalFormatting sqref="BZ462:BZ463">
    <cfRule type="expression" dxfId="230" priority="372">
      <formula>BZ463=""</formula>
    </cfRule>
  </conditionalFormatting>
  <conditionalFormatting sqref="BX462:BY463">
    <cfRule type="expression" dxfId="229" priority="371">
      <formula>OR(BY462="",BX463="")</formula>
    </cfRule>
  </conditionalFormatting>
  <conditionalFormatting sqref="CB469">
    <cfRule type="expression" dxfId="228" priority="368">
      <formula>OR(CB468=1,CB468=4)</formula>
    </cfRule>
    <cfRule type="expression" dxfId="227" priority="369">
      <formula>OR(CB468&lt;&gt;1,CB468&lt;&gt;4)</formula>
    </cfRule>
  </conditionalFormatting>
  <conditionalFormatting sqref="CB468">
    <cfRule type="expression" dxfId="226" priority="367">
      <formula>OR(AND(CA468=1,CC468=4),AND(CA468=4,CC468=1))</formula>
    </cfRule>
  </conditionalFormatting>
  <conditionalFormatting sqref="BV459">
    <cfRule type="expression" dxfId="225" priority="365">
      <formula>OR(BV458=1,BV458=4)</formula>
    </cfRule>
    <cfRule type="expression" dxfId="224" priority="366">
      <formula>OR(BV458&lt;&gt;1,BV458&lt;&gt;4)</formula>
    </cfRule>
  </conditionalFormatting>
  <conditionalFormatting sqref="BV458">
    <cfRule type="expression" dxfId="223" priority="364">
      <formula>OR(AND(BU458=1,BW458=4),AND(BU458=4,BW458=1))</formula>
    </cfRule>
  </conditionalFormatting>
  <conditionalFormatting sqref="BV469">
    <cfRule type="expression" dxfId="222" priority="362">
      <formula>OR(BV468=1,BV468=4)</formula>
    </cfRule>
    <cfRule type="expression" dxfId="221" priority="363">
      <formula>OR(BV468&lt;&gt;1,BV468&lt;&gt;4)</formula>
    </cfRule>
  </conditionalFormatting>
  <conditionalFormatting sqref="BV468">
    <cfRule type="expression" dxfId="220" priority="361">
      <formula>OR(AND(BU468=1,BW468=4),AND(BU468=4,BW468=1))</formula>
    </cfRule>
  </conditionalFormatting>
  <conditionalFormatting sqref="BX474:BY474">
    <cfRule type="expression" dxfId="219" priority="360">
      <formula>BY474=""</formula>
    </cfRule>
  </conditionalFormatting>
  <conditionalFormatting sqref="BZ472:BZ473">
    <cfRule type="expression" dxfId="218" priority="359">
      <formula>BZ473=""</formula>
    </cfRule>
  </conditionalFormatting>
  <conditionalFormatting sqref="BX472:BY473">
    <cfRule type="expression" dxfId="217" priority="358">
      <formula>OR(BY472="",BX473="")</formula>
    </cfRule>
  </conditionalFormatting>
  <conditionalFormatting sqref="CB479">
    <cfRule type="expression" dxfId="216" priority="355">
      <formula>OR(CB478=1,CB478=4)</formula>
    </cfRule>
    <cfRule type="expression" dxfId="215" priority="356">
      <formula>OR(CB478&lt;&gt;1,CB478&lt;&gt;4)</formula>
    </cfRule>
  </conditionalFormatting>
  <conditionalFormatting sqref="CB478">
    <cfRule type="expression" dxfId="214" priority="354">
      <formula>OR(AND(CA478=1,CC478=4),AND(CA478=4,CC478=1))</formula>
    </cfRule>
  </conditionalFormatting>
  <conditionalFormatting sqref="BX484:BY484">
    <cfRule type="expression" dxfId="213" priority="353">
      <formula>BY484=""</formula>
    </cfRule>
  </conditionalFormatting>
  <conditionalFormatting sqref="BZ482:BZ483">
    <cfRule type="expression" dxfId="212" priority="352">
      <formula>BZ483=""</formula>
    </cfRule>
  </conditionalFormatting>
  <conditionalFormatting sqref="BX482:BY483">
    <cfRule type="expression" dxfId="211" priority="351">
      <formula>OR(BY482="",BX483="")</formula>
    </cfRule>
  </conditionalFormatting>
  <conditionalFormatting sqref="CB489">
    <cfRule type="expression" dxfId="210" priority="348">
      <formula>OR(CB488=1,CB488=4)</formula>
    </cfRule>
    <cfRule type="expression" dxfId="209" priority="349">
      <formula>OR(CB488&lt;&gt;1,CB488&lt;&gt;4)</formula>
    </cfRule>
  </conditionalFormatting>
  <conditionalFormatting sqref="CB488">
    <cfRule type="expression" dxfId="208" priority="347">
      <formula>OR(AND(CA488=1,CC488=4),AND(CA488=4,CC488=1))</formula>
    </cfRule>
  </conditionalFormatting>
  <conditionalFormatting sqref="BV479">
    <cfRule type="expression" dxfId="207" priority="345">
      <formula>OR(BV478=1,BV478=4)</formula>
    </cfRule>
    <cfRule type="expression" dxfId="206" priority="346">
      <formula>OR(BV478&lt;&gt;1,BV478&lt;&gt;4)</formula>
    </cfRule>
  </conditionalFormatting>
  <conditionalFormatting sqref="BV478">
    <cfRule type="expression" dxfId="205" priority="344">
      <formula>OR(AND(BU478=1,BW478=4),AND(BU478=4,BW478=1))</formula>
    </cfRule>
  </conditionalFormatting>
  <conditionalFormatting sqref="BV489">
    <cfRule type="expression" dxfId="204" priority="342">
      <formula>OR(BV488=1,BV488=4)</formula>
    </cfRule>
    <cfRule type="expression" dxfId="203" priority="343">
      <formula>OR(BV488&lt;&gt;1,BV488&lt;&gt;4)</formula>
    </cfRule>
  </conditionalFormatting>
  <conditionalFormatting sqref="BV488">
    <cfRule type="expression" dxfId="202" priority="341">
      <formula>OR(AND(BU488=1,BW488=4),AND(BU488=4,BW488=1))</formula>
    </cfRule>
  </conditionalFormatting>
  <conditionalFormatting sqref="BX494:BY494">
    <cfRule type="expression" dxfId="201" priority="340">
      <formula>BY494=""</formula>
    </cfRule>
  </conditionalFormatting>
  <conditionalFormatting sqref="BZ492:BZ493">
    <cfRule type="expression" dxfId="200" priority="339">
      <formula>BZ493=""</formula>
    </cfRule>
  </conditionalFormatting>
  <conditionalFormatting sqref="BX492:BY493">
    <cfRule type="expression" dxfId="199" priority="338">
      <formula>OR(BY492="",BX493="")</formula>
    </cfRule>
  </conditionalFormatting>
  <conditionalFormatting sqref="CB499">
    <cfRule type="expression" dxfId="198" priority="335">
      <formula>OR(CB498=1,CB498=4)</formula>
    </cfRule>
    <cfRule type="expression" dxfId="197" priority="336">
      <formula>OR(CB498&lt;&gt;1,CB498&lt;&gt;4)</formula>
    </cfRule>
  </conditionalFormatting>
  <conditionalFormatting sqref="CB498">
    <cfRule type="expression" dxfId="196" priority="334">
      <formula>OR(AND(CA498=1,CC498=4),AND(CA498=4,CC498=1))</formula>
    </cfRule>
  </conditionalFormatting>
  <conditionalFormatting sqref="BX504:BY504">
    <cfRule type="expression" dxfId="195" priority="333">
      <formula>BY504=""</formula>
    </cfRule>
  </conditionalFormatting>
  <conditionalFormatting sqref="BZ502:BZ503">
    <cfRule type="expression" dxfId="194" priority="332">
      <formula>BZ503=""</formula>
    </cfRule>
  </conditionalFormatting>
  <conditionalFormatting sqref="BX502:BY503">
    <cfRule type="expression" dxfId="193" priority="331">
      <formula>OR(BY502="",BX503="")</formula>
    </cfRule>
  </conditionalFormatting>
  <conditionalFormatting sqref="CB509">
    <cfRule type="expression" dxfId="192" priority="328">
      <formula>OR(CB508=1,CB508=4)</formula>
    </cfRule>
    <cfRule type="expression" dxfId="191" priority="329">
      <formula>OR(CB508&lt;&gt;1,CB508&lt;&gt;4)</formula>
    </cfRule>
  </conditionalFormatting>
  <conditionalFormatting sqref="CB508">
    <cfRule type="expression" dxfId="190" priority="327">
      <formula>OR(AND(CA508=1,CC508=4),AND(CA508=4,CC508=1))</formula>
    </cfRule>
  </conditionalFormatting>
  <conditionalFormatting sqref="BV499">
    <cfRule type="expression" dxfId="189" priority="325">
      <formula>OR(BV498=1,BV498=4)</formula>
    </cfRule>
    <cfRule type="expression" dxfId="188" priority="326">
      <formula>OR(BV498&lt;&gt;1,BV498&lt;&gt;4)</formula>
    </cfRule>
  </conditionalFormatting>
  <conditionalFormatting sqref="BV498">
    <cfRule type="expression" dxfId="187" priority="324">
      <formula>OR(AND(BU498=1,BW498=4),AND(BU498=4,BW498=1))</formula>
    </cfRule>
  </conditionalFormatting>
  <conditionalFormatting sqref="BV509">
    <cfRule type="expression" dxfId="186" priority="322">
      <formula>OR(BV508=1,BV508=4)</formula>
    </cfRule>
    <cfRule type="expression" dxfId="185" priority="323">
      <formula>OR(BV508&lt;&gt;1,BV508&lt;&gt;4)</formula>
    </cfRule>
  </conditionalFormatting>
  <conditionalFormatting sqref="BV508">
    <cfRule type="expression" dxfId="184" priority="321">
      <formula>OR(AND(BU508=1,BW508=4),AND(BU508=4,BW508=1))</formula>
    </cfRule>
  </conditionalFormatting>
  <conditionalFormatting sqref="BX514:BY514">
    <cfRule type="expression" dxfId="183" priority="320">
      <formula>BY514=""</formula>
    </cfRule>
  </conditionalFormatting>
  <conditionalFormatting sqref="BZ512:BZ513">
    <cfRule type="expression" dxfId="182" priority="319">
      <formula>BZ513=""</formula>
    </cfRule>
  </conditionalFormatting>
  <conditionalFormatting sqref="BX512:BY513">
    <cfRule type="expression" dxfId="181" priority="318">
      <formula>OR(BY512="",BX513="")</formula>
    </cfRule>
  </conditionalFormatting>
  <conditionalFormatting sqref="CB519">
    <cfRule type="expression" dxfId="180" priority="315">
      <formula>OR(CB518=1,CB518=4)</formula>
    </cfRule>
    <cfRule type="expression" dxfId="179" priority="316">
      <formula>OR(CB518&lt;&gt;1,CB518&lt;&gt;4)</formula>
    </cfRule>
  </conditionalFormatting>
  <conditionalFormatting sqref="CB518">
    <cfRule type="expression" dxfId="178" priority="314">
      <formula>OR(AND(CA518=1,CC518=4),AND(CA518=4,CC518=1))</formula>
    </cfRule>
  </conditionalFormatting>
  <conditionalFormatting sqref="BX524:BY524">
    <cfRule type="expression" dxfId="177" priority="313">
      <formula>BY524=""</formula>
    </cfRule>
  </conditionalFormatting>
  <conditionalFormatting sqref="BZ522:BZ523">
    <cfRule type="expression" dxfId="176" priority="312">
      <formula>BZ523=""</formula>
    </cfRule>
  </conditionalFormatting>
  <conditionalFormatting sqref="BX522:BY523">
    <cfRule type="expression" dxfId="175" priority="311">
      <formula>OR(BY522="",BX523="")</formula>
    </cfRule>
  </conditionalFormatting>
  <conditionalFormatting sqref="CB529">
    <cfRule type="expression" dxfId="174" priority="308">
      <formula>OR(CB528=1,CB528=4)</formula>
    </cfRule>
    <cfRule type="expression" dxfId="173" priority="309">
      <formula>OR(CB528&lt;&gt;1,CB528&lt;&gt;4)</formula>
    </cfRule>
  </conditionalFormatting>
  <conditionalFormatting sqref="CB528">
    <cfRule type="expression" dxfId="172" priority="307">
      <formula>OR(AND(CA528=1,CC528=4),AND(CA528=4,CC528=1))</formula>
    </cfRule>
  </conditionalFormatting>
  <conditionalFormatting sqref="BV519">
    <cfRule type="expression" dxfId="171" priority="305">
      <formula>OR(BV518=1,BV518=4)</formula>
    </cfRule>
    <cfRule type="expression" dxfId="170" priority="306">
      <formula>OR(BV518&lt;&gt;1,BV518&lt;&gt;4)</formula>
    </cfRule>
  </conditionalFormatting>
  <conditionalFormatting sqref="BV518">
    <cfRule type="expression" dxfId="169" priority="304">
      <formula>OR(AND(BU518=1,BW518=4),AND(BU518=4,BW518=1))</formula>
    </cfRule>
  </conditionalFormatting>
  <conditionalFormatting sqref="BV529">
    <cfRule type="expression" dxfId="168" priority="302">
      <formula>OR(BV528=1,BV528=4)</formula>
    </cfRule>
    <cfRule type="expression" dxfId="167" priority="303">
      <formula>OR(BV528&lt;&gt;1,BV528&lt;&gt;4)</formula>
    </cfRule>
  </conditionalFormatting>
  <conditionalFormatting sqref="BV528">
    <cfRule type="expression" dxfId="166" priority="301">
      <formula>OR(AND(BU528=1,BW528=4),AND(BU528=4,BW528=1))</formula>
    </cfRule>
  </conditionalFormatting>
  <conditionalFormatting sqref="BX534:BY534">
    <cfRule type="expression" dxfId="165" priority="300">
      <formula>BY534=""</formula>
    </cfRule>
  </conditionalFormatting>
  <conditionalFormatting sqref="BZ532:BZ533">
    <cfRule type="expression" dxfId="164" priority="299">
      <formula>BZ533=""</formula>
    </cfRule>
  </conditionalFormatting>
  <conditionalFormatting sqref="BX532:BY533">
    <cfRule type="expression" dxfId="163" priority="298">
      <formula>OR(BY532="",BX533="")</formula>
    </cfRule>
  </conditionalFormatting>
  <conditionalFormatting sqref="CB539">
    <cfRule type="expression" dxfId="162" priority="295">
      <formula>OR(CB538=1,CB538=4)</formula>
    </cfRule>
    <cfRule type="expression" dxfId="161" priority="296">
      <formula>OR(CB538&lt;&gt;1,CB538&lt;&gt;4)</formula>
    </cfRule>
  </conditionalFormatting>
  <conditionalFormatting sqref="CB538">
    <cfRule type="expression" dxfId="160" priority="294">
      <formula>OR(AND(CA538=1,CC538=4),AND(CA538=4,CC538=1))</formula>
    </cfRule>
  </conditionalFormatting>
  <conditionalFormatting sqref="BX544:BY544">
    <cfRule type="expression" dxfId="159" priority="293">
      <formula>BY544=""</formula>
    </cfRule>
  </conditionalFormatting>
  <conditionalFormatting sqref="BZ542:BZ543">
    <cfRule type="expression" dxfId="158" priority="292">
      <formula>BZ543=""</formula>
    </cfRule>
  </conditionalFormatting>
  <conditionalFormatting sqref="BX542:BY543">
    <cfRule type="expression" dxfId="157" priority="291">
      <formula>OR(BY542="",BX543="")</formula>
    </cfRule>
  </conditionalFormatting>
  <conditionalFormatting sqref="CB549">
    <cfRule type="expression" dxfId="156" priority="288">
      <formula>OR(CB548=1,CB548=4)</formula>
    </cfRule>
    <cfRule type="expression" dxfId="155" priority="289">
      <formula>OR(CB548&lt;&gt;1,CB548&lt;&gt;4)</formula>
    </cfRule>
  </conditionalFormatting>
  <conditionalFormatting sqref="CB548">
    <cfRule type="expression" dxfId="154" priority="287">
      <formula>OR(AND(CA548=1,CC548=4),AND(CA548=4,CC548=1))</formula>
    </cfRule>
  </conditionalFormatting>
  <conditionalFormatting sqref="BV539">
    <cfRule type="expression" dxfId="153" priority="285">
      <formula>OR(BV538=1,BV538=4)</formula>
    </cfRule>
    <cfRule type="expression" dxfId="152" priority="286">
      <formula>OR(BV538&lt;&gt;1,BV538&lt;&gt;4)</formula>
    </cfRule>
  </conditionalFormatting>
  <conditionalFormatting sqref="BV538">
    <cfRule type="expression" dxfId="151" priority="284">
      <formula>OR(AND(BU538=1,BW538=4),AND(BU538=4,BW538=1))</formula>
    </cfRule>
  </conditionalFormatting>
  <conditionalFormatting sqref="BV549">
    <cfRule type="expression" dxfId="150" priority="282">
      <formula>OR(BV548=1,BV548=4)</formula>
    </cfRule>
    <cfRule type="expression" dxfId="149" priority="283">
      <formula>OR(BV548&lt;&gt;1,BV548&lt;&gt;4)</formula>
    </cfRule>
  </conditionalFormatting>
  <conditionalFormatting sqref="BV548">
    <cfRule type="expression" dxfId="148" priority="281">
      <formula>OR(AND(BU548=1,BW548=4),AND(BU548=4,BW548=1))</formula>
    </cfRule>
  </conditionalFormatting>
  <conditionalFormatting sqref="BX554:BY554">
    <cfRule type="expression" dxfId="147" priority="280">
      <formula>BY554=""</formula>
    </cfRule>
  </conditionalFormatting>
  <conditionalFormatting sqref="BZ552:BZ553">
    <cfRule type="expression" dxfId="146" priority="279">
      <formula>BZ553=""</formula>
    </cfRule>
  </conditionalFormatting>
  <conditionalFormatting sqref="BX552:BY553">
    <cfRule type="expression" dxfId="145" priority="278">
      <formula>OR(BY552="",BX553="")</formula>
    </cfRule>
  </conditionalFormatting>
  <conditionalFormatting sqref="CB559">
    <cfRule type="expression" dxfId="144" priority="275">
      <formula>OR(CB558=1,CB558=4)</formula>
    </cfRule>
    <cfRule type="expression" dxfId="143" priority="276">
      <formula>OR(CB558&lt;&gt;1,CB558&lt;&gt;4)</formula>
    </cfRule>
  </conditionalFormatting>
  <conditionalFormatting sqref="CB558">
    <cfRule type="expression" dxfId="142" priority="274">
      <formula>OR(AND(CA558=1,CC558=4),AND(CA558=4,CC558=1))</formula>
    </cfRule>
  </conditionalFormatting>
  <conditionalFormatting sqref="BX564:BY564">
    <cfRule type="expression" dxfId="141" priority="273">
      <formula>BY564=""</formula>
    </cfRule>
  </conditionalFormatting>
  <conditionalFormatting sqref="BZ562:BZ563">
    <cfRule type="expression" dxfId="140" priority="272">
      <formula>BZ563=""</formula>
    </cfRule>
  </conditionalFormatting>
  <conditionalFormatting sqref="BX562:BY563">
    <cfRule type="expression" dxfId="139" priority="271">
      <formula>OR(BY562="",BX563="")</formula>
    </cfRule>
  </conditionalFormatting>
  <conditionalFormatting sqref="CB569">
    <cfRule type="expression" dxfId="138" priority="268">
      <formula>OR(CB568=1,CB568=4)</formula>
    </cfRule>
    <cfRule type="expression" dxfId="137" priority="269">
      <formula>OR(CB568&lt;&gt;1,CB568&lt;&gt;4)</formula>
    </cfRule>
  </conditionalFormatting>
  <conditionalFormatting sqref="CB568">
    <cfRule type="expression" dxfId="136" priority="267">
      <formula>OR(AND(CA568=1,CC568=4),AND(CA568=4,CC568=1))</formula>
    </cfRule>
  </conditionalFormatting>
  <conditionalFormatting sqref="BV559">
    <cfRule type="expression" dxfId="135" priority="265">
      <formula>OR(BV558=1,BV558=4)</formula>
    </cfRule>
    <cfRule type="expression" dxfId="134" priority="266">
      <formula>OR(BV558&lt;&gt;1,BV558&lt;&gt;4)</formula>
    </cfRule>
  </conditionalFormatting>
  <conditionalFormatting sqref="BV558">
    <cfRule type="expression" dxfId="133" priority="264">
      <formula>OR(AND(BU558=1,BW558=4),AND(BU558=4,BW558=1))</formula>
    </cfRule>
  </conditionalFormatting>
  <conditionalFormatting sqref="BV569">
    <cfRule type="expression" dxfId="132" priority="262">
      <formula>OR(BV568=1,BV568=4)</formula>
    </cfRule>
    <cfRule type="expression" dxfId="131" priority="263">
      <formula>OR(BV568&lt;&gt;1,BV568&lt;&gt;4)</formula>
    </cfRule>
  </conditionalFormatting>
  <conditionalFormatting sqref="BV568">
    <cfRule type="expression" dxfId="130" priority="261">
      <formula>OR(AND(BU568=1,BW568=4),AND(BU568=4,BW568=1))</formula>
    </cfRule>
  </conditionalFormatting>
  <conditionalFormatting sqref="BX574:BY574">
    <cfRule type="expression" dxfId="129" priority="260">
      <formula>BY574=""</formula>
    </cfRule>
  </conditionalFormatting>
  <conditionalFormatting sqref="BZ572:BZ573">
    <cfRule type="expression" dxfId="128" priority="259">
      <formula>BZ573=""</formula>
    </cfRule>
  </conditionalFormatting>
  <conditionalFormatting sqref="BX572:BY573">
    <cfRule type="expression" dxfId="127" priority="258">
      <formula>OR(BY572="",BX573="")</formula>
    </cfRule>
  </conditionalFormatting>
  <conditionalFormatting sqref="CB579">
    <cfRule type="expression" dxfId="126" priority="255">
      <formula>OR(CB578=1,CB578=4)</formula>
    </cfRule>
    <cfRule type="expression" dxfId="125" priority="256">
      <formula>OR(CB578&lt;&gt;1,CB578&lt;&gt;4)</formula>
    </cfRule>
  </conditionalFormatting>
  <conditionalFormatting sqref="CB578">
    <cfRule type="expression" dxfId="124" priority="254">
      <formula>OR(AND(CA578=1,CC578=4),AND(CA578=4,CC578=1))</formula>
    </cfRule>
  </conditionalFormatting>
  <conditionalFormatting sqref="BX584:BY584">
    <cfRule type="expression" dxfId="123" priority="253">
      <formula>BY584=""</formula>
    </cfRule>
  </conditionalFormatting>
  <conditionalFormatting sqref="BZ582:BZ583">
    <cfRule type="expression" dxfId="122" priority="252">
      <formula>BZ583=""</formula>
    </cfRule>
  </conditionalFormatting>
  <conditionalFormatting sqref="BX582:BY583">
    <cfRule type="expression" dxfId="121" priority="251">
      <formula>OR(BY582="",BX583="")</formula>
    </cfRule>
  </conditionalFormatting>
  <conditionalFormatting sqref="CB589">
    <cfRule type="expression" dxfId="120" priority="248">
      <formula>OR(CB588=1,CB588=4)</formula>
    </cfRule>
    <cfRule type="expression" dxfId="119" priority="249">
      <formula>OR(CB588&lt;&gt;1,CB588&lt;&gt;4)</formula>
    </cfRule>
  </conditionalFormatting>
  <conditionalFormatting sqref="CB588">
    <cfRule type="expression" dxfId="118" priority="247">
      <formula>OR(AND(CA588=1,CC588=4),AND(CA588=4,CC588=1))</formula>
    </cfRule>
  </conditionalFormatting>
  <conditionalFormatting sqref="BV579">
    <cfRule type="expression" dxfId="117" priority="245">
      <formula>OR(BV578=1,BV578=4)</formula>
    </cfRule>
    <cfRule type="expression" dxfId="116" priority="246">
      <formula>OR(BV578&lt;&gt;1,BV578&lt;&gt;4)</formula>
    </cfRule>
  </conditionalFormatting>
  <conditionalFormatting sqref="BV578">
    <cfRule type="expression" dxfId="115" priority="244">
      <formula>OR(AND(BU578=1,BW578=4),AND(BU578=4,BW578=1))</formula>
    </cfRule>
  </conditionalFormatting>
  <conditionalFormatting sqref="BV589">
    <cfRule type="expression" dxfId="114" priority="242">
      <formula>OR(BV588=1,BV588=4)</formula>
    </cfRule>
    <cfRule type="expression" dxfId="113" priority="243">
      <formula>OR(BV588&lt;&gt;1,BV588&lt;&gt;4)</formula>
    </cfRule>
  </conditionalFormatting>
  <conditionalFormatting sqref="BV588">
    <cfRule type="expression" dxfId="112" priority="241">
      <formula>OR(AND(BU588=1,BW588=4),AND(BU588=4,BW588=1))</formula>
    </cfRule>
  </conditionalFormatting>
  <conditionalFormatting sqref="BX594:BY594">
    <cfRule type="expression" dxfId="111" priority="240">
      <formula>BY594=""</formula>
    </cfRule>
  </conditionalFormatting>
  <conditionalFormatting sqref="BZ592:BZ593">
    <cfRule type="expression" dxfId="110" priority="239">
      <formula>BZ593=""</formula>
    </cfRule>
  </conditionalFormatting>
  <conditionalFormatting sqref="BX592:BY593">
    <cfRule type="expression" dxfId="109" priority="238">
      <formula>OR(BY592="",BX593="")</formula>
    </cfRule>
  </conditionalFormatting>
  <conditionalFormatting sqref="CB599">
    <cfRule type="expression" dxfId="108" priority="235">
      <formula>OR(CB598=1,CB598=4)</formula>
    </cfRule>
    <cfRule type="expression" dxfId="107" priority="236">
      <formula>OR(CB598&lt;&gt;1,CB598&lt;&gt;4)</formula>
    </cfRule>
  </conditionalFormatting>
  <conditionalFormatting sqref="CB598">
    <cfRule type="expression" dxfId="106" priority="234">
      <formula>OR(AND(CA598=1,CC598=4),AND(CA598=4,CC598=1))</formula>
    </cfRule>
  </conditionalFormatting>
  <conditionalFormatting sqref="BX604:BY604">
    <cfRule type="expression" dxfId="105" priority="233">
      <formula>BY604=""</formula>
    </cfRule>
  </conditionalFormatting>
  <conditionalFormatting sqref="BZ602:BZ603">
    <cfRule type="expression" dxfId="104" priority="232">
      <formula>BZ603=""</formula>
    </cfRule>
  </conditionalFormatting>
  <conditionalFormatting sqref="BX602:BY603">
    <cfRule type="expression" dxfId="103" priority="231">
      <formula>OR(BY602="",BX603="")</formula>
    </cfRule>
  </conditionalFormatting>
  <conditionalFormatting sqref="CB609">
    <cfRule type="expression" dxfId="102" priority="228">
      <formula>OR(CB608=1,CB608=4)</formula>
    </cfRule>
    <cfRule type="expression" dxfId="101" priority="229">
      <formula>OR(CB608&lt;&gt;1,CB608&lt;&gt;4)</formula>
    </cfRule>
  </conditionalFormatting>
  <conditionalFormatting sqref="CB608">
    <cfRule type="expression" dxfId="100" priority="227">
      <formula>OR(AND(CA608=1,CC608=4),AND(CA608=4,CC608=1))</formula>
    </cfRule>
  </conditionalFormatting>
  <conditionalFormatting sqref="BV599">
    <cfRule type="expression" dxfId="99" priority="225">
      <formula>OR(BV598=1,BV598=4)</formula>
    </cfRule>
    <cfRule type="expression" dxfId="98" priority="226">
      <formula>OR(BV598&lt;&gt;1,BV598&lt;&gt;4)</formula>
    </cfRule>
  </conditionalFormatting>
  <conditionalFormatting sqref="BV598">
    <cfRule type="expression" dxfId="97" priority="224">
      <formula>OR(AND(BU598=1,BW598=4),AND(BU598=4,BW598=1))</formula>
    </cfRule>
  </conditionalFormatting>
  <conditionalFormatting sqref="BV609">
    <cfRule type="expression" dxfId="96" priority="222">
      <formula>OR(BV608=1,BV608=4)</formula>
    </cfRule>
    <cfRule type="expression" dxfId="95" priority="223">
      <formula>OR(BV608&lt;&gt;1,BV608&lt;&gt;4)</formula>
    </cfRule>
  </conditionalFormatting>
  <conditionalFormatting sqref="BV608">
    <cfRule type="expression" dxfId="94" priority="221">
      <formula>OR(AND(BU608=1,BW608=4),AND(BU608=4,BW608=1))</formula>
    </cfRule>
  </conditionalFormatting>
  <conditionalFormatting sqref="BX614:BY614">
    <cfRule type="expression" dxfId="93" priority="220">
      <formula>BY614=""</formula>
    </cfRule>
  </conditionalFormatting>
  <conditionalFormatting sqref="BZ612:BZ613">
    <cfRule type="expression" dxfId="92" priority="219">
      <formula>BZ613=""</formula>
    </cfRule>
  </conditionalFormatting>
  <conditionalFormatting sqref="BX612:BY613">
    <cfRule type="expression" dxfId="91" priority="218">
      <formula>OR(BY612="",BX613="")</formula>
    </cfRule>
  </conditionalFormatting>
  <conditionalFormatting sqref="CB619">
    <cfRule type="expression" dxfId="90" priority="215">
      <formula>OR(CB618=1,CB618=4)</formula>
    </cfRule>
    <cfRule type="expression" dxfId="89" priority="216">
      <formula>OR(CB618&lt;&gt;1,CB618&lt;&gt;4)</formula>
    </cfRule>
  </conditionalFormatting>
  <conditionalFormatting sqref="CB618">
    <cfRule type="expression" dxfId="88" priority="214">
      <formula>OR(AND(CA618=1,CC618=4),AND(CA618=4,CC618=1))</formula>
    </cfRule>
  </conditionalFormatting>
  <conditionalFormatting sqref="BX624:BY624">
    <cfRule type="expression" dxfId="87" priority="213">
      <formula>BY624=""</formula>
    </cfRule>
  </conditionalFormatting>
  <conditionalFormatting sqref="BZ622:BZ623">
    <cfRule type="expression" dxfId="86" priority="212">
      <formula>BZ623=""</formula>
    </cfRule>
  </conditionalFormatting>
  <conditionalFormatting sqref="BX622:BY623">
    <cfRule type="expression" dxfId="85" priority="211">
      <formula>OR(BY622="",BX623="")</formula>
    </cfRule>
  </conditionalFormatting>
  <conditionalFormatting sqref="CB629">
    <cfRule type="expression" dxfId="84" priority="208">
      <formula>OR(CB628=1,CB628=4)</formula>
    </cfRule>
    <cfRule type="expression" dxfId="83" priority="209">
      <formula>OR(CB628&lt;&gt;1,CB628&lt;&gt;4)</formula>
    </cfRule>
  </conditionalFormatting>
  <conditionalFormatting sqref="CB628">
    <cfRule type="expression" dxfId="82" priority="207">
      <formula>OR(AND(CA628=1,CC628=4),AND(CA628=4,CC628=1))</formula>
    </cfRule>
  </conditionalFormatting>
  <conditionalFormatting sqref="BV619">
    <cfRule type="expression" dxfId="81" priority="205">
      <formula>OR(BV618=1,BV618=4)</formula>
    </cfRule>
    <cfRule type="expression" dxfId="80" priority="206">
      <formula>OR(BV618&lt;&gt;1,BV618&lt;&gt;4)</formula>
    </cfRule>
  </conditionalFormatting>
  <conditionalFormatting sqref="BV618">
    <cfRule type="expression" dxfId="79" priority="204">
      <formula>OR(AND(BU618=1,BW618=4),AND(BU618=4,BW618=1))</formula>
    </cfRule>
  </conditionalFormatting>
  <conditionalFormatting sqref="BV629">
    <cfRule type="expression" dxfId="78" priority="202">
      <formula>OR(BV628=1,BV628=4)</formula>
    </cfRule>
    <cfRule type="expression" dxfId="77" priority="203">
      <formula>OR(BV628&lt;&gt;1,BV628&lt;&gt;4)</formula>
    </cfRule>
  </conditionalFormatting>
  <conditionalFormatting sqref="BV628">
    <cfRule type="expression" dxfId="76" priority="201">
      <formula>OR(AND(BU628=1,BW628=4),AND(BU628=4,BW628=1))</formula>
    </cfRule>
  </conditionalFormatting>
  <conditionalFormatting sqref="BX634:BY634">
    <cfRule type="expression" dxfId="75" priority="200">
      <formula>BY634=""</formula>
    </cfRule>
  </conditionalFormatting>
  <conditionalFormatting sqref="BZ632:BZ633">
    <cfRule type="expression" dxfId="74" priority="199">
      <formula>BZ633=""</formula>
    </cfRule>
  </conditionalFormatting>
  <conditionalFormatting sqref="BX632:BY633">
    <cfRule type="expression" dxfId="73" priority="198">
      <formula>OR(BY632="",BX633="")</formula>
    </cfRule>
  </conditionalFormatting>
  <conditionalFormatting sqref="CB639">
    <cfRule type="expression" dxfId="72" priority="195">
      <formula>OR(CB638=1,CB638=4)</formula>
    </cfRule>
    <cfRule type="expression" dxfId="71" priority="196">
      <formula>OR(CB638&lt;&gt;1,CB638&lt;&gt;4)</formula>
    </cfRule>
  </conditionalFormatting>
  <conditionalFormatting sqref="CB638">
    <cfRule type="expression" dxfId="70" priority="194">
      <formula>OR(AND(CA638=1,CC638=4),AND(CA638=4,CC638=1))</formula>
    </cfRule>
  </conditionalFormatting>
  <conditionalFormatting sqref="BX644:BY644">
    <cfRule type="expression" dxfId="69" priority="193">
      <formula>BY644=""</formula>
    </cfRule>
  </conditionalFormatting>
  <conditionalFormatting sqref="BZ642:BZ643">
    <cfRule type="expression" dxfId="68" priority="192">
      <formula>BZ643=""</formula>
    </cfRule>
  </conditionalFormatting>
  <conditionalFormatting sqref="BX642:BY643">
    <cfRule type="expression" dxfId="67" priority="191">
      <formula>OR(BY642="",BX643="")</formula>
    </cfRule>
  </conditionalFormatting>
  <conditionalFormatting sqref="CB649">
    <cfRule type="expression" dxfId="66" priority="188">
      <formula>OR(CB648=1,CB648=4)</formula>
    </cfRule>
    <cfRule type="expression" dxfId="65" priority="189">
      <formula>OR(CB648&lt;&gt;1,CB648&lt;&gt;4)</formula>
    </cfRule>
  </conditionalFormatting>
  <conditionalFormatting sqref="CB648">
    <cfRule type="expression" dxfId="64" priority="187">
      <formula>OR(AND(CA648=1,CC648=4),AND(CA648=4,CC648=1))</formula>
    </cfRule>
  </conditionalFormatting>
  <conditionalFormatting sqref="BV639">
    <cfRule type="expression" dxfId="63" priority="185">
      <formula>OR(BV638=1,BV638=4)</formula>
    </cfRule>
    <cfRule type="expression" dxfId="62" priority="186">
      <formula>OR(BV638&lt;&gt;1,BV638&lt;&gt;4)</formula>
    </cfRule>
  </conditionalFormatting>
  <conditionalFormatting sqref="BV638">
    <cfRule type="expression" dxfId="61" priority="184">
      <formula>OR(AND(BU638=1,BW638=4),AND(BU638=4,BW638=1))</formula>
    </cfRule>
  </conditionalFormatting>
  <conditionalFormatting sqref="BV649">
    <cfRule type="expression" dxfId="60" priority="182">
      <formula>OR(BV648=1,BV648=4)</formula>
    </cfRule>
    <cfRule type="expression" dxfId="59" priority="183">
      <formula>OR(BV648&lt;&gt;1,BV648&lt;&gt;4)</formula>
    </cfRule>
  </conditionalFormatting>
  <conditionalFormatting sqref="BV648">
    <cfRule type="expression" dxfId="58" priority="181">
      <formula>OR(AND(BU648=1,BW648=4),AND(BU648=4,BW648=1))</formula>
    </cfRule>
  </conditionalFormatting>
  <conditionalFormatting sqref="BX654:BY654">
    <cfRule type="expression" dxfId="57" priority="180">
      <formula>BY654=""</formula>
    </cfRule>
  </conditionalFormatting>
  <conditionalFormatting sqref="BZ652:BZ653">
    <cfRule type="expression" dxfId="56" priority="179">
      <formula>BZ653=""</formula>
    </cfRule>
  </conditionalFormatting>
  <conditionalFormatting sqref="BX652:BY653">
    <cfRule type="expression" dxfId="55" priority="178">
      <formula>OR(BY652="",BX653="")</formula>
    </cfRule>
  </conditionalFormatting>
  <conditionalFormatting sqref="CB659">
    <cfRule type="expression" dxfId="54" priority="175">
      <formula>OR(CB658=1,CB658=4)</formula>
    </cfRule>
    <cfRule type="expression" dxfId="53" priority="176">
      <formula>OR(CB658&lt;&gt;1,CB658&lt;&gt;4)</formula>
    </cfRule>
  </conditionalFormatting>
  <conditionalFormatting sqref="CB658">
    <cfRule type="expression" dxfId="52" priority="174">
      <formula>OR(AND(CA658=1,CC658=4),AND(CA658=4,CC658=1))</formula>
    </cfRule>
  </conditionalFormatting>
  <conditionalFormatting sqref="BV659">
    <cfRule type="expression" dxfId="51" priority="165">
      <formula>OR(BV658=1,BV658=4)</formula>
    </cfRule>
    <cfRule type="expression" dxfId="50" priority="166">
      <formula>OR(BV658&lt;&gt;1,BV658&lt;&gt;4)</formula>
    </cfRule>
  </conditionalFormatting>
  <conditionalFormatting sqref="BV658">
    <cfRule type="expression" dxfId="49" priority="164">
      <formula>OR(AND(BU658=1,BW658=4),AND(BU658=4,BW658=1))</formula>
    </cfRule>
  </conditionalFormatting>
  <conditionalFormatting sqref="CE10">
    <cfRule type="expression" dxfId="48" priority="70">
      <formula>OR(CE9=1,CE9=4)</formula>
    </cfRule>
    <cfRule type="expression" dxfId="47" priority="71">
      <formula>OR(CE9&lt;&gt;1,CE9&lt;&gt;4)</formula>
    </cfRule>
  </conditionalFormatting>
  <conditionalFormatting sqref="CE9">
    <cfRule type="expression" dxfId="46" priority="69">
      <formula>OR(AND(CD9=1,CF9=4),AND(CD9=4,CF9=1))</formula>
    </cfRule>
  </conditionalFormatting>
  <conditionalFormatting sqref="CL10">
    <cfRule type="expression" dxfId="45" priority="67">
      <formula>OR(CL9=1,CL9=4)</formula>
    </cfRule>
    <cfRule type="expression" dxfId="44" priority="68">
      <formula>OR(CL9&lt;&gt;1,CL9&lt;&gt;4)</formula>
    </cfRule>
  </conditionalFormatting>
  <conditionalFormatting sqref="CL9">
    <cfRule type="expression" dxfId="43" priority="66">
      <formula>OR(AND(CK9=1,CM9=4),AND(CK9=4,CM9=1))</formula>
    </cfRule>
  </conditionalFormatting>
  <conditionalFormatting sqref="CA15:CB15">
    <cfRule type="expression" dxfId="42" priority="65">
      <formula>CB15=""</formula>
    </cfRule>
  </conditionalFormatting>
  <conditionalFormatting sqref="CC13:CC14">
    <cfRule type="expression" dxfId="41" priority="64">
      <formula>CC14=""</formula>
    </cfRule>
  </conditionalFormatting>
  <conditionalFormatting sqref="CA13:CB14">
    <cfRule type="expression" dxfId="40" priority="63">
      <formula>OR(CB13="",CA14="")</formula>
    </cfRule>
  </conditionalFormatting>
  <conditionalFormatting sqref="BW20">
    <cfRule type="expression" dxfId="39" priority="56">
      <formula>OR(BW19=1,BW19=4)</formula>
    </cfRule>
    <cfRule type="expression" dxfId="38" priority="57">
      <formula>OR(BW19&lt;&gt;1,BW19&lt;&gt;4)</formula>
    </cfRule>
  </conditionalFormatting>
  <conditionalFormatting sqref="BW19">
    <cfRule type="expression" dxfId="37" priority="55">
      <formula>OR(AND(BV19=1,BX19=4),AND(BV19=4,BX19=1))</formula>
    </cfRule>
  </conditionalFormatting>
  <conditionalFormatting sqref="CD20">
    <cfRule type="expression" dxfId="36" priority="53">
      <formula>OR(CD19=1,CD19=4)</formula>
    </cfRule>
    <cfRule type="expression" dxfId="35" priority="54">
      <formula>OR(CD19&lt;&gt;1,CD19&lt;&gt;4)</formula>
    </cfRule>
  </conditionalFormatting>
  <conditionalFormatting sqref="CD19">
    <cfRule type="expression" dxfId="34" priority="52">
      <formula>OR(AND(CC19=1,CE19=4),AND(CC19=4,CE19=1))</formula>
    </cfRule>
  </conditionalFormatting>
  <conditionalFormatting sqref="CO15:CP15">
    <cfRule type="expression" dxfId="33" priority="33">
      <formula>CP15=""</formula>
    </cfRule>
  </conditionalFormatting>
  <conditionalFormatting sqref="CQ13:CQ14">
    <cfRule type="expression" dxfId="32" priority="32">
      <formula>CQ14=""</formula>
    </cfRule>
  </conditionalFormatting>
  <conditionalFormatting sqref="CO13:CP14">
    <cfRule type="expression" dxfId="31" priority="31">
      <formula>OR(CP13="",CO14="")</formula>
    </cfRule>
  </conditionalFormatting>
  <conditionalFormatting sqref="CK20">
    <cfRule type="expression" dxfId="30" priority="29">
      <formula>OR(CK19=1,CK19=4)</formula>
    </cfRule>
    <cfRule type="expression" dxfId="29" priority="30">
      <formula>OR(CK19&lt;&gt;1,CK19&lt;&gt;4)</formula>
    </cfRule>
  </conditionalFormatting>
  <conditionalFormatting sqref="CK19">
    <cfRule type="expression" dxfId="28" priority="28">
      <formula>OR(AND(CJ19=1,CL19=4),AND(CJ19=4,CL19=1))</formula>
    </cfRule>
  </conditionalFormatting>
  <conditionalFormatting sqref="CR20">
    <cfRule type="expression" dxfId="27" priority="2">
      <formula>OR(CR19=1,CR19=4)</formula>
    </cfRule>
    <cfRule type="expression" dxfId="26" priority="3">
      <formula>OR(CR19&lt;&gt;1,CR19&lt;&gt;4)</formula>
    </cfRule>
  </conditionalFormatting>
  <conditionalFormatting sqref="CR19">
    <cfRule type="expression" dxfId="25" priority="1">
      <formula>OR(AND(CQ19=1,CS19=4),AND(CQ19=4,CS19=1))</formula>
    </cfRule>
  </conditionalFormatting>
  <dataValidations count="14">
    <dataValidation type="decimal" allowBlank="1" showInputMessage="1" showErrorMessage="1" sqref="V10 R15 M15 DX10 AY21 AT21 G23 Q23 U28 DE83 DV43 EA32 Q80 AR32 EF32 EK32 AZ32 BF32 M60 T60 M67 J80 DQ43 BG43 BL43 DR53 DM53 BL53 BQ53 DO63 DJ63 BR63 BW63 DL73 DG73 BV73 CA73 CA83 CF83 DJ83 AF67 AF73 AF80 AR79 BA73 AT73 AF86 BD10 EA21 EH21 AM32 DU32 BX659 BX109 CD109 CD129 CD119 BX119 BX129 CD149 CD139 BX139 BX149 CD169 CD159 BX159 BX169 CD189 CD179 BX179 BX189 CD209 CD199 BX199 BX209 CD229 CD219 BX219 BX229 CD249 CD239 BX239 BX249 CD269 CD259 BX259 BX269 CD289 CD279 BX279 BX289 CD309 CD299 BX299 BX309 CD329 CD319 BX319 BX329 CD349 CD339 BX339 BX349 CD369 CD359 BX359 BX369 CD389 CD379 BX379 BX389 CD409 CD399 BX399 BX409 CD429 CD419 BX419 BX429 CD449 CD439 BX439 BX449 CD469 CD459 BX459 BX469 CD489 CD479 BX479 BX489 CD509 CD499 BX499 BX509 CD529 CD519 BX519 BX529 CD549 CD539 BX539 BX549 CD569 CD559 BX559 BX569 CD589 CD579 BX579 BX589 CD609 CD599 BX599 BX609 CD629 CD619 BX619 BX629 CD649 CD639 BX639 BX649 CD659 CG10 CN10 BY20 CF20 CM20 CT20" xr:uid="{00000000-0002-0000-0100-000000000000}">
      <formula1>MIN(D10:F10)</formula1>
      <formula2>MAX(D10:F10)</formula2>
    </dataValidation>
    <dataValidation type="decimal" allowBlank="1" showInputMessage="1" showErrorMessage="1" sqref="T10 P15 K15 DV10 AW21 AR21 E23 O23 S28 DC83 DT43 DY32 O80 AP32 ED32 EI32 AX32 BD32 K60 R60 K67 H80 DO43 BE43 BJ43 DP53 DK53 BJ53 BO53 DM63 DH63 BP63 BU63 DJ73 DE73 BT73 BY73 BY83 CD83 DH83 AD67 AD73 AD80 AP79 AY73 AR73 AD86 BB10 DY21 EF21 AK32 DS32 BV659 BV109 CB109 CB129 CB119 BV119 BV129 CB149 CB139 BV139 BV149 CB169 CB159 BV159 BV169 CB189 CB179 BV179 BV189 CB209 CB199 BV199 BV209 CB229 CB219 BV219 BV229 CB249 CB239 BV239 BV249 CB269 CB259 BV259 BV269 CB289 CB279 BV279 BV289 CB309 CB299 BV299 BV309 CB329 CB319 BV319 BV329 CB349 CB339 BV339 BV349 CB369 CB359 BV359 BV369 CB389 CB379 BV379 BV389 CB409 CB399 BV399 BV409 CB429 CB419 BV419 BV429 CB449 CB439 BV439 BV449 CB469 CB459 BV459 BV469 CB489 CB479 BV479 BV489 CB509 CB499 BV499 BV509 CB529 CB519 BV519 BV529 CB549 CB539 BV539 BV549 CB569 CB559 BV559 BV569 CB589 CB579 BV579 BV589 CB609 CB599 BV599 BV609 CB629 CB619 BV619 BV629 CB649 CB639 BV639 BV649 CB659 CE10 CL10 BW20 CD20 CK20 CR20" xr:uid="{00000000-0002-0000-0100-000001000000}">
      <formula1>MIN(D10,F10)</formula1>
      <formula2>MAX(D10,F10)</formula2>
    </dataValidation>
    <dataValidation type="list" allowBlank="1" showInputMessage="1" showErrorMessage="1" sqref="S8:U8 R26:T26 N21:P21 D21:F21 AQ19:AS19 AV19:AX19 DU8:DW8 J13:L13 O13:Q13 DB81:DD81 DS41:DU41 DX30:DZ30 N78:P78 AO30:AQ30 EC30:EE30 EH30:EJ30 AW30:AY30 BC30:BE30 J58:L58 Q58:S58 J65:L65 G78:I78 DN41:DP41 BD41:BF41 BI41:BK41 DO51:DQ51 DJ51:DL51 BI51:BK51 BN51:BP51 DL61:DN61 DG61:DI61 BO61:BQ61 BT61:BV61 DI71:DK71 DD71:DF71 BS71:BU71 BX71:BZ71 BX81:BZ81 CC81:CE81 DG81:DI81 AC65:AE65 AC71:AE71 AC78:AE78 AO77:AQ77 AX71:AZ71 AQ71:AS71 AC84:AE84 BA8:BC8 DX19:DZ19 EE19:EG19 AJ30:AL30 DR30:DT30 BU657:BW657 BU107:BW107 CA107:CC107 CA127:CC127 CA117:CC117 BU117:BW117 BU127:BW127 CA147:CC147 CA137:CC137 BU137:BW137 BU147:BW147 CA167:CC167 CA157:CC157 BU157:BW157 BU167:BW167 CA187:CC187 CA177:CC177 BU177:BW177 BU187:BW187 CA207:CC207 CA197:CC197 BU197:BW197 BU207:BW207 CA227:CC227 CA217:CC217 BU217:BW217 BU227:BW227 CA247:CC247 CA237:CC237 BU237:BW237 BU247:BW247 CA267:CC267 CA257:CC257 BU257:BW257 BU267:BW267 CA287:CC287 CA277:CC277 BU277:BW277 BU287:BW287 CA307:CC307 CA297:CC297 BU297:BW297 BU307:BW307 CA327:CC327 CA317:CC317 BU317:BW317 BU327:BW327 CA347:CC347 CA337:CC337 BU337:BW337 BU347:BW347 CA367:CC367 CA357:CC357 BU357:BW357 BU367:BW367 CA387:CC387 CA377:CC377 BU377:BW377 BU387:BW387 CA407:CC407 CA397:CC397 BU397:BW397 BU407:BW407 CA427:CC427 CA417:CC417 BU417:BW417 BU427:BW427 CA447:CC447 CA437:CC437 BU437:BW437 BU447:BW447 CA467:CC467 CA457:CC457 BU457:BW457 BU467:BW467 CA487:CC487 CA477:CC477 BU477:BW477 BU487:BW487 CA507:CC507 CA497:CC497 BU497:BW497 BU507:BW507 CA527:CC527 CA517:CC517 BU517:BW517 BU527:BW527 CA547:CC547 CA537:CC537 BU537:BW537 BU547:BW547 CA567:CC567 CA557:CC557 BU557:BW557 BU567:BW567 CA587:CC587 CA577:CC577 BU577:BW577 BU587:BW587 CA607:CC607 CA597:CC597 BU597:BW597 BU607:BW607 CA627:CC627 CA617:CC617 BU617:BW617 BU627:BW627 CA647:CC647 CA637:CC637 BU637:BW637 BU647:BW647 CA657:CC657 CD8:CF8 CK8:CM8 BV18:BX18 CC18:CE18 CJ18:CL18 CQ18:CS18" xr:uid="{00000000-0002-0000-0100-000002000000}">
      <formula1>INDIRECT("Тип_шкалы[ТИП ШКАЛЫ]")</formula1>
    </dataValidation>
    <dataValidation type="list" allowBlank="1" showInputMessage="1" showErrorMessage="1" sqref="Q5 J34 J28 EA16 AT16 DW27 P4 M10 CH5 EE27 BA27 O54 J73 DP38 BH38 DL48 BM48 DI58 BS58 DF68 BW68 CB78 DD78 AM61 AS67 AN27 BY104 BY114 BY124 BY134 BY144 BY154 BY164 BY174 BY184 BY194 BY204 BY214 BY224 BY234 BY244 BY254 BY264 BY274 BY284 BY294 BY304 BY314 BY324 BY334 BY344 BY354 BY364 BY374 BY384 BY394 BY404 BY414 BY424 BY434 BY444 BY454 BY464 BY474 BY484 BY494 BY504 BY514 BY524 BY534 BY544 BY554 BY564 BY574 BY584 BY594 BY604 BY614 BY624 BY634 BY644 BY654 CB15 CP15" xr:uid="{00000000-0002-0000-0100-000003000000}">
      <formula1>ROWDOWN</formula1>
    </dataValidation>
    <dataValidation type="list" allowBlank="1" showInputMessage="1" showErrorMessage="1" sqref="R3:R5 K34 K28 EB16 AU16 DX27 Q3:Q4 N10 CI5 EF27 BB27 P54 K73 DQ38 BI38 DM48 BN48 DJ58 BT58 DG68 BX68 CC78 DE78 AN61 AT67 AO27 BZ104 BZ114 BZ124 BZ134 BZ144 BZ154 BZ164 BZ174 BZ184 BZ194 BZ204 BZ214 BZ224 BZ234 BZ244 BZ254 BZ264 BZ274 BZ284 BZ294 BZ304 BZ314 BZ324 BZ334 BZ344 BZ354 BZ364 BZ374 BZ384 BZ394 BZ404 BZ414 BZ424 BZ434 BZ444 BZ454 BZ464 BZ474 BZ484 BZ494 BZ504 BZ514 BZ524 BZ534 BZ544 BZ554 BZ564 BZ574 BZ584 BZ594 BZ604 BZ614 BZ624 BZ634 BZ644 BZ654 CC15 CQ15" xr:uid="{00000000-0002-0000-0100-000004000000}">
      <formula1>INDIRECT("П_Общий[Общий]")</formula1>
    </dataValidation>
    <dataValidation type="list" allowBlank="1" showInputMessage="1" showErrorMessage="1" sqref="N9 K33 K27 AU15 EB15 DX26 CI4 EF26 BB26 P53 K72 DQ37 BI37 DM47 BN47 DJ57 BT57 DG67 BX67 CC77 DE77 AN60 AT66 AO26 BZ103 BZ113 BZ123 BZ133 BZ143 BZ153 BZ163 BZ173 BZ183 BZ193 BZ203 BZ213 BZ223 BZ233 BZ243 BZ253 BZ263 BZ273 BZ283 BZ293 BZ303 BZ313 BZ323 BZ333 BZ343 BZ353 BZ363 BZ373 BZ383 BZ393 BZ403 BZ413 BZ423 BZ433 BZ443 BZ453 BZ463 BZ473 BZ483 BZ493 BZ503 BZ513 BZ523 BZ533 BZ543 BZ553 BZ563 BZ573 BZ583 BZ593 BZ603 BZ613 BZ623 BZ633 BZ643 BZ653 CC14 CQ14" xr:uid="{00000000-0002-0000-0100-000005000000}">
      <formula1>COLUMNRIGHT</formula1>
    </dataValidation>
    <dataValidation type="list" allowBlank="1" showInputMessage="1" showErrorMessage="1" sqref="M9 J33 J27 AT15 EA15 DW26 CH4 EE26 BA26 O53 J72 DP37 BH37 DL47 BM47 DI57 BS57 DF67 BW67 CB77 DD77 AM60 AS66 AN26 BY103 BY113 BY123 BY133 BY143 BY153 BY163 BY173 BY183 BY193 BY203 BY213 BY223 BY233 BY243 BY253 BY263 BY273 BY283 BY293 BY303 BY313 BY323 BY333 BY343 BY353 BY363 BY373 BY383 BY393 BY403 BY413 BY423 BY433 BY443 BY453 BY463 BY473 BY483 BY493 BY503 BY513 BY523 BY533 BY543 BY553 BY563 BY573 BY583 BY593 BY603 BY613 BY623 BY633 BY643 BY653 CB14 CP14" xr:uid="{00000000-0002-0000-0100-000006000000}">
      <formula1>UPMAIN_1</formula1>
    </dataValidation>
    <dataValidation type="list" allowBlank="1" showInputMessage="1" showErrorMessage="1" sqref="P3 I32 I26 AS14 DV25 L8 DZ14 CG3 ED25 AZ25 N52 I71 DO36 BG36 DK46 BL46 DH56 BR56 DE66 BV66 CA76 DC76 AL59 AR65 AM25 BX102 BX112 BX122 BX132 BX142 BX152 BX162 BX172 BX182 BX192 BX202 BX212 BX222 BX232 BX242 BX252 BX262 BX272 BX282 BX292 BX302 BX312 BX322 BX332 BX342 BX352 BX362 BX372 BX382 BX392 BX402 BX412 BX422 BX432 BX442 BX452 BX462 BX472 BX482 BX492 BX502 BX512 BX522 BX532 BX542 BX552 BX562 BX572 BX582 BX592 BX602 BX612 BX622 BX632 BX642 BX652 CA13 CO13" xr:uid="{00000000-0002-0000-0100-000007000000}">
      <formula1>UPMAIN_2</formula1>
    </dataValidation>
    <dataValidation type="list" allowBlank="1" showInputMessage="1" showErrorMessage="1" sqref="L9 I33 I27 AS15 DZ15 DV26 CG4 ED26 AZ26 N53 I72 DO37 BG37 DK47 BL47 DH57 BR57 DE67 BV67 CA77 DC77 AL60 AR66 AM26 BX103 BX113 BX123 BX133 BX143 BX153 BX163 BX173 BX183 BX193 BX203 BX213 BX223 BX233 BX243 BX253 BX263 BX273 BX283 BX293 BX303 BX313 BX323 BX333 BX343 BX353 BX363 BX373 BX383 BX393 BX403 BX413 BX423 BX433 BX443 BX453 BX463 BX473 BX483 BX493 BX503 BX513 BX523 BX533 BX543 BX553 BX563 BX573 BX583 BX593 BX603 BX613 BX623 BX633 BX643 BX653 CA14 CO14" xr:uid="{00000000-0002-0000-0100-000008000000}">
      <formula1>UPLEFT</formula1>
    </dataValidation>
    <dataValidation type="decimal" allowBlank="1" showErrorMessage="1" errorTitle="ВЫ НЕ МОЖЕТЕ ВВЕСТИ ЭТО ЧИСЛО!!!" error="Ваше значение должно быть &gt;=1 или &lt;=4!" promptTitle="ВНИМАТЕЛЬНО ВВОДИТЕ ЗНАЧЕНИЯ!" prompt="Ваше значение должно быть &gt;=1 или &lt;=4!" sqref="O3:O4 H32:H33 H26:H27 AR14:AR15 CF3:CF4 K8:K9 DY14:DY15 DU25:DU26 EC25:EC26 AY25:AY26 M52:M53 H71:H72 DN36:DN37 BF36:BF37 DJ46:DJ47 BK46:BK47 DG56:DG57 BQ56:BQ57 DD66:DD67 BU66:BU67 BZ76:BZ77 DB76:DB77 AK59:AK60 AQ65:AQ66 AL25:AL26 BW102:BW103 BW112:BW113 BW122:BW123 BW132:BW133 BW142:BW143 BW152:BW153 BW162:BW163 BW172:BW173 BW182:BW183 BW192:BW193 BW202:BW203 BW212:BW213 BW222:BW223 BW232:BW233 BW242:BW243 BW252:BW253 BW262:BW263 BW272:BW273 BW282:BW283 BW292:BW293 BW302:BW303 BW312:BW313 BW322:BW323 BW332:BW333 BW342:BW343 BW352:BW353 BW362:BW363 BW372:BW373 BW382:BW383 BW392:BW393 BW402:BW403 BW412:BW413 BW422:BW423 BW432:BW433 BW442:BW443 BW452:BW453 BW462:BW463 BW472:BW473 BW482:BW483 BW492:BW493 BW502:BW503 BW512:BW513 BW522:BW523 BW532:BW533 BW542:BW543 BW552:BW553 BW562:BW563 BW572:BW573 BW582:BW583 BW592:BW593 BW602:BW603 BW612:BW613 BW622:BW623 BW632:BW633 BW642:BW643 BW652:BW653 BZ13:BZ14 CN13:CN14" xr:uid="{00000000-0002-0000-0100-000009000000}">
      <formula1>0.999999999999999</formula1>
      <formula2>4</formula2>
    </dataValidation>
    <dataValidation type="list" allowBlank="1" showInputMessage="1" showErrorMessage="1" sqref="P5 I34 I28 AS16 DV27 L10 DZ16 CG5 ED27 AZ27 N54 I73 DO38 BG38 DK48 BL48 DH58 BR58 DE68 BV68 CA78 DC78 AL61 AR67 AM27 BX104 BX114 BX124 BX134 BX144 BX154 BX164 BX174 BX184 BX194 BX204 BX214 BX224 BX234 BX244 BX254 BX264 BX274 BX284 BX294 BX304 BX314 BX324 BX334 BX344 BX354 BX364 BX374 BX384 BX394 BX404 BX414 BX424 BX434 BX444 BX454 BX464 BX474 BX484 BX494 BX504 BX514 BX524 BX534 BX544 BX554 BX564 BX574 BX584 BX594 BX604 BX614 BX624 BX634 BX644 BX654 CA15 CO15" xr:uid="{00000000-0002-0000-0100-00000A000000}">
      <formula1>ROWDOWN_1</formula1>
    </dataValidation>
    <dataValidation type="list" allowBlank="1" showInputMessage="1" showErrorMessage="1" sqref="N8 K32 K26 AU14 EB14 DX25 CI3 EF25 BB25 P52 K71 DQ36 BI36 DM46 BN46 DJ56 BT56 DG66 BX66 CC76 DE76 AN59 AT65 AO25 BZ102 BZ112 BZ122 BZ132 BZ142 BZ152 BZ162 BZ172 BZ182 BZ192 BZ202 BZ212 BZ222 BZ232 BZ242 BZ252 BZ262 BZ272 BZ282 BZ292 BZ302 BZ312 BZ322 BZ332 BZ342 BZ352 BZ362 BZ372 BZ382 BZ392 BZ402 BZ412 BZ422 BZ432 BZ442 BZ452 BZ462 BZ472 BZ482 BZ492 BZ502 BZ512 BZ522 BZ532 BZ542 BZ552 BZ562 BZ572 BZ582 BZ592 BZ602 BZ612 BZ622 BZ632 BZ642 BZ652 CC13 CQ13" xr:uid="{00000000-0002-0000-0100-00000B000000}">
      <formula1>COLUMNRIGHT_1</formula1>
    </dataValidation>
    <dataValidation type="list" allowBlank="1" showInputMessage="1" showErrorMessage="1" sqref="M8 J32 J26 AT14 EA14 DW25 CH3 EE25 BA25 O52 J71 DP36 BH36 DL46 BM46 DI56 BS56 DF66 BW66 CB76 DD76 AM59 AS65 AN25 BY102 BY112 BY122 BY132 BY142 BY152 BY162 BY172 BY182 BY192 BY202 BY212 BY222 BY232 BY242 BY252 BY262 BY272 BY282 BY292 BY302 BY312 BY322 BY332 BY342 BY352 BY362 BY372 BY382 BY392 BY402 BY412 BY422 BY432 BY442 BY452 BY462 BY472 BY482 BY492 BY502 BY512 BY522 BY532 BY542 BY552 BY562 BY572 BY582 BY592 BY602 BY612 BY622 BY632 BY642 BY652 CB13 CP13" xr:uid="{00000000-0002-0000-0100-00000C000000}">
      <formula1>UPUP</formula1>
    </dataValidation>
    <dataValidation type="decimal" allowBlank="1" showInputMessage="1" showErrorMessage="1" sqref="T33" xr:uid="{00000000-0002-0000-0100-00000D000000}">
      <formula1>Фантом</formula1>
      <formula2>Фантом</formula2>
    </dataValidation>
  </dataValidations>
  <pageMargins left="0.39370078740157483" right="0.39370078740157483" top="0.39370078740157483" bottom="0.39370078740157483" header="0.31496062992125984" footer="0.31496062992125984"/>
  <pageSetup paperSize="9" scale="60" orientation="landscape" r:id="rId1"/>
  <drawing r:id="rId2"/>
  <legacyDrawing r:id="rId3"/>
  <tableParts count="1">
    <tablePart r:id="rId4"/>
  </tableParts>
  <extLst>
    <ext xmlns:x14="http://schemas.microsoft.com/office/spreadsheetml/2009/9/main" uri="{05C60535-1F16-4fd2-B633-F4F36F0B64E0}">
      <x14:sparklineGroups xmlns:xm="http://schemas.microsoft.com/office/excel/2006/main">
        <x14:sparklineGroup manualMax="0" manualMin="0" lineWeight="2.25" displayEmptyCellsAs="gap" xr2:uid="{5CC15120-9C80-4C57-974E-603BE7F3E52D}">
          <x14:colorSeries rgb="FF000000"/>
          <x14:colorNegative rgb="FF0070C0"/>
          <x14:colorAxis rgb="FF000000"/>
          <x14:colorMarkers rgb="FF0070C0"/>
          <x14:colorFirst rgb="FF0070C0"/>
          <x14:colorLast rgb="FF0070C0"/>
          <x14:colorHigh rgb="FF0070C0"/>
          <x14:colorLow rgb="FF0070C0"/>
          <x14:sparklines>
            <x14:sparkline>
              <xm:f>Модель!CJ19:CL19</xm:f>
              <xm:sqref>CM18</xm:sqref>
            </x14:sparkline>
          </x14:sparklines>
        </x14:sparklineGroup>
        <x14:sparklineGroup manualMax="0" manualMin="0" lineWeight="2.25" displayEmptyCellsAs="gap" xr2:uid="{E8DBFB65-AD31-4480-8D43-C5F299E56210}">
          <x14:colorSeries rgb="FF000000"/>
          <x14:colorNegative rgb="FF0070C0"/>
          <x14:colorAxis rgb="FF000000"/>
          <x14:colorMarkers rgb="FF0070C0"/>
          <x14:colorFirst rgb="FF0070C0"/>
          <x14:colorLast rgb="FF0070C0"/>
          <x14:colorHigh rgb="FF0070C0"/>
          <x14:colorLow rgb="FF0070C0"/>
          <x14:sparklines>
            <x14:sparkline>
              <xm:f>Модель!CA118:CC118</xm:f>
              <xm:sqref>CD117</xm:sqref>
            </x14:sparkline>
          </x14:sparklines>
        </x14:sparklineGroup>
        <x14:sparklineGroup manualMax="0" manualMin="0" lineWeight="2.25" displayEmptyCellsAs="gap" xr2:uid="{A32D1DA1-9F02-4362-A323-DB1A9454712D}">
          <x14:colorSeries rgb="FF000000"/>
          <x14:colorNegative rgb="FF0070C0"/>
          <x14:colorAxis rgb="FF000000"/>
          <x14:colorMarkers rgb="FF0070C0"/>
          <x14:colorFirst rgb="FF0070C0"/>
          <x14:colorLast rgb="FF0070C0"/>
          <x14:colorHigh rgb="FF0070C0"/>
          <x14:colorLow rgb="FF0070C0"/>
          <x14:sparklines>
            <x14:sparkline>
              <xm:f>Модель!BU118:BW118</xm:f>
              <xm:sqref>BX117</xm:sqref>
            </x14:sparkline>
          </x14:sparklines>
        </x14:sparklineGroup>
        <x14:sparklineGroup manualMax="0" manualMin="0" lineWeight="2.25" displayEmptyCellsAs="gap" xr2:uid="{51EF6A5D-11DB-4FE4-A4A5-3BDED83D90C2}">
          <x14:colorSeries rgb="FF000000"/>
          <x14:colorNegative rgb="FF0070C0"/>
          <x14:colorAxis rgb="FF000000"/>
          <x14:colorMarkers rgb="FF0070C0"/>
          <x14:colorFirst rgb="FF0070C0"/>
          <x14:colorLast rgb="FF0070C0"/>
          <x14:colorHigh rgb="FF0070C0"/>
          <x14:colorLow rgb="FF0070C0"/>
          <x14:sparklines>
            <x14:sparkline>
              <xm:f>Модель!BU108:BW108</xm:f>
              <xm:sqref>BX107</xm:sqref>
            </x14:sparkline>
          </x14:sparklines>
        </x14:sparklineGroup>
        <x14:sparklineGroup manualMax="0" manualMin="0" lineWeight="2.25" displayEmptyCellsAs="gap" xr2:uid="{9E2AA6DC-FCBE-4B93-B449-7D73DC42238A}">
          <x14:colorSeries rgb="FF000000"/>
          <x14:colorNegative rgb="FF0070C0"/>
          <x14:colorAxis rgb="FF000000"/>
          <x14:colorMarkers rgb="FF0070C0"/>
          <x14:colorFirst rgb="FF0070C0"/>
          <x14:colorLast rgb="FF0070C0"/>
          <x14:colorHigh rgb="FF0070C0"/>
          <x14:colorLow rgb="FF0070C0"/>
          <x14:sparklines>
            <x14:sparkline>
              <xm:f>Модель!DR31:DT31</xm:f>
              <xm:sqref>DU30</xm:sqref>
            </x14:sparkline>
          </x14:sparklines>
        </x14:sparklineGroup>
        <x14:sparklineGroup manualMax="0" manualMin="0" lineWeight="2.25" displayEmptyCellsAs="gap" xr2:uid="{D0E4AC9F-49DF-4F26-B80F-A62BB26B3ED0}">
          <x14:colorSeries rgb="FF000000"/>
          <x14:colorNegative rgb="FF0070C0"/>
          <x14:colorAxis rgb="FF000000"/>
          <x14:colorMarkers rgb="FF0070C0"/>
          <x14:colorFirst rgb="FF0070C0"/>
          <x14:colorLast rgb="FF0070C0"/>
          <x14:colorHigh rgb="FF0070C0"/>
          <x14:colorLow rgb="FF0070C0"/>
          <x14:sparklines>
            <x14:sparkline>
              <xm:f>Модель!AC85:AE85</xm:f>
              <xm:sqref>AF84</xm:sqref>
            </x14:sparkline>
          </x14:sparklines>
        </x14:sparklineGroup>
        <x14:sparklineGroup manualMax="0" manualMin="0" lineWeight="2.25" displayEmptyCellsAs="gap" xr2:uid="{DEB60B71-52AD-4918-BC3D-89CBB0AC1424}">
          <x14:colorSeries rgb="FF000000"/>
          <x14:colorNegative rgb="FF0070C0"/>
          <x14:colorAxis rgb="FF000000"/>
          <x14:colorMarkers rgb="FF0070C0"/>
          <x14:colorFirst rgb="FF0070C0"/>
          <x14:colorLast rgb="FF0070C0"/>
          <x14:colorHigh rgb="FF0070C0"/>
          <x14:colorLow rgb="FF0070C0"/>
          <x14:sparklines>
            <x14:sparkline>
              <xm:f>Модель!DG82:DI82</xm:f>
              <xm:sqref>DJ81</xm:sqref>
            </x14:sparkline>
          </x14:sparklines>
        </x14:sparklineGroup>
        <x14:sparklineGroup manualMax="0" manualMin="0" lineWeight="2.25" displayEmptyCellsAs="gap" xr2:uid="{9E78FBE6-0BCF-4F4C-927F-52CC80E7951F}">
          <x14:colorSeries rgb="FF000000"/>
          <x14:colorNegative rgb="FF0070C0"/>
          <x14:colorAxis rgb="FF000000"/>
          <x14:colorMarkers rgb="FF0070C0"/>
          <x14:colorFirst rgb="FF0070C0"/>
          <x14:colorLast rgb="FF0070C0"/>
          <x14:colorHigh rgb="FF0070C0"/>
          <x14:colorLow rgb="FF0070C0"/>
          <x14:sparklines>
            <x14:sparkline>
              <xm:f>Модель!DB82:DD82</xm:f>
              <xm:sqref>DE81</xm:sqref>
            </x14:sparkline>
          </x14:sparklines>
        </x14:sparklineGroup>
        <x14:sparklineGroup manualMax="0" manualMin="0" lineWeight="2.25" displayEmptyCellsAs="gap" xr2:uid="{42D1375F-3789-4D4A-8684-08AB8515AB48}">
          <x14:colorSeries rgb="FF000000"/>
          <x14:colorNegative rgb="FF0070C0"/>
          <x14:colorAxis rgb="FF000000"/>
          <x14:colorMarkers rgb="FF0070C0"/>
          <x14:colorFirst rgb="FF0070C0"/>
          <x14:colorLast rgb="FF0070C0"/>
          <x14:colorHigh rgb="FF0070C0"/>
          <x14:colorLow rgb="FF0070C0"/>
          <x14:sparklines>
            <x14:sparkline>
              <xm:f>Модель!BX82:BZ82</xm:f>
              <xm:sqref>CA81</xm:sqref>
            </x14:sparkline>
          </x14:sparklines>
        </x14:sparklineGroup>
        <x14:sparklineGroup manualMax="0" manualMin="0" lineWeight="2.25" displayEmptyCellsAs="gap" xr2:uid="{B845D1AA-6489-47BB-8177-2F7A30608BDA}">
          <x14:colorSeries rgb="FF000000"/>
          <x14:colorNegative rgb="FF0070C0"/>
          <x14:colorAxis rgb="FF000000"/>
          <x14:colorMarkers rgb="FF0070C0"/>
          <x14:colorFirst rgb="FF0070C0"/>
          <x14:colorLast rgb="FF0070C0"/>
          <x14:colorHigh rgb="FF0070C0"/>
          <x14:colorLow rgb="FF0070C0"/>
          <x14:sparklines>
            <x14:sparkline>
              <xm:f>Модель!CC82:CE82</xm:f>
              <xm:sqref>CF81</xm:sqref>
            </x14:sparkline>
          </x14:sparklines>
        </x14:sparklineGroup>
        <x14:sparklineGroup manualMax="0" manualMin="0" lineWeight="2.25" displayEmptyCellsAs="gap" xr2:uid="{50A7F438-E4E8-4754-8783-E1049A21596F}">
          <x14:colorSeries rgb="FF000000"/>
          <x14:colorNegative rgb="FF0070C0"/>
          <x14:colorAxis rgb="FF000000"/>
          <x14:colorMarkers rgb="FF0070C0"/>
          <x14:colorFirst rgb="FF0070C0"/>
          <x14:colorLast rgb="FF0070C0"/>
          <x14:colorHigh rgb="FF0070C0"/>
          <x14:colorLow rgb="FF0070C0"/>
          <x14:sparklines>
            <x14:sparkline>
              <xm:f>Модель!BX72:BZ72</xm:f>
              <xm:sqref>CA71</xm:sqref>
            </x14:sparkline>
          </x14:sparklines>
        </x14:sparklineGroup>
        <x14:sparklineGroup manualMax="0" manualMin="0" lineWeight="2.25" displayEmptyCellsAs="gap" xr2:uid="{DE01DF44-9E49-48A4-9E5C-3B7DD17D786A}">
          <x14:colorSeries rgb="FF000000"/>
          <x14:colorNegative rgb="FF0070C0"/>
          <x14:colorAxis rgb="FF000000"/>
          <x14:colorMarkers rgb="FF0070C0"/>
          <x14:colorFirst rgb="FF0070C0"/>
          <x14:colorLast rgb="FF0070C0"/>
          <x14:colorHigh rgb="FF0070C0"/>
          <x14:colorLow rgb="FF0070C0"/>
          <x14:sparklines>
            <x14:sparkline>
              <xm:f>Модель!BS72:BU72</xm:f>
              <xm:sqref>BV71</xm:sqref>
            </x14:sparkline>
          </x14:sparklines>
        </x14:sparklineGroup>
        <x14:sparklineGroup manualMax="0" manualMin="0" lineWeight="2.25" displayEmptyCellsAs="gap" xr2:uid="{4EB53A62-771E-4410-862B-18D02645EAD0}">
          <x14:colorSeries rgb="FF000000"/>
          <x14:colorNegative rgb="FF0070C0"/>
          <x14:colorAxis rgb="FF000000"/>
          <x14:colorMarkers rgb="FF0070C0"/>
          <x14:colorFirst rgb="FF0070C0"/>
          <x14:colorLast rgb="FF0070C0"/>
          <x14:colorHigh rgb="FF0070C0"/>
          <x14:colorLow rgb="FF0070C0"/>
          <x14:sparklines>
            <x14:sparkline>
              <xm:f>Модель!DD72:DF72</xm:f>
              <xm:sqref>DG71</xm:sqref>
            </x14:sparkline>
          </x14:sparklines>
        </x14:sparklineGroup>
        <x14:sparklineGroup manualMax="0" manualMin="0" lineWeight="2.25" displayEmptyCellsAs="gap" xr2:uid="{1FF7AB51-333E-450F-8176-AF00E6C070B1}">
          <x14:colorSeries rgb="FF000000"/>
          <x14:colorNegative rgb="FF0070C0"/>
          <x14:colorAxis rgb="FF000000"/>
          <x14:colorMarkers rgb="FF0070C0"/>
          <x14:colorFirst rgb="FF0070C0"/>
          <x14:colorLast rgb="FF0070C0"/>
          <x14:colorHigh rgb="FF0070C0"/>
          <x14:colorLow rgb="FF0070C0"/>
          <x14:sparklines>
            <x14:sparkline>
              <xm:f>Модель!DL62:DN62</xm:f>
              <xm:sqref>DO61</xm:sqref>
            </x14:sparkline>
          </x14:sparklines>
        </x14:sparklineGroup>
        <x14:sparklineGroup manualMax="0" manualMin="0" lineWeight="2.25" displayEmptyCellsAs="gap" xr2:uid="{BB480E38-0775-49C7-9154-358AFD38EC72}">
          <x14:colorSeries rgb="FF000000"/>
          <x14:colorNegative rgb="FF0070C0"/>
          <x14:colorAxis rgb="FF000000"/>
          <x14:colorMarkers rgb="FF0070C0"/>
          <x14:colorFirst rgb="FF0070C0"/>
          <x14:colorLast rgb="FF0070C0"/>
          <x14:colorHigh rgb="FF0070C0"/>
          <x14:colorLow rgb="FF0070C0"/>
          <x14:sparklines>
            <x14:sparkline>
              <xm:f>Модель!BO62:BQ62</xm:f>
              <xm:sqref>BR61</xm:sqref>
            </x14:sparkline>
          </x14:sparklines>
        </x14:sparklineGroup>
        <x14:sparklineGroup manualMax="0" manualMin="0" lineWeight="2.25" displayEmptyCellsAs="gap" xr2:uid="{B50C4B3B-28FF-4BBE-BC95-367F25F6290D}">
          <x14:colorSeries rgb="FF000000"/>
          <x14:colorNegative rgb="FF0070C0"/>
          <x14:colorAxis rgb="FF000000"/>
          <x14:colorMarkers rgb="FF0070C0"/>
          <x14:colorFirst rgb="FF0070C0"/>
          <x14:colorLast rgb="FF0070C0"/>
          <x14:colorHigh rgb="FF0070C0"/>
          <x14:colorLow rgb="FF0070C0"/>
          <x14:sparklines>
            <x14:sparkline>
              <xm:f>Модель!BT62:BV62</xm:f>
              <xm:sqref>BW61</xm:sqref>
            </x14:sparkline>
          </x14:sparklines>
        </x14:sparklineGroup>
        <x14:sparklineGroup manualMax="0" manualMin="0" lineWeight="2.25" displayEmptyCellsAs="gap" xr2:uid="{3B3AC36A-0907-4D09-BD86-517164A3AA5C}">
          <x14:colorSeries rgb="FF000000"/>
          <x14:colorNegative rgb="FF0070C0"/>
          <x14:colorAxis rgb="FF000000"/>
          <x14:colorMarkers rgb="FF0070C0"/>
          <x14:colorFirst rgb="FF0070C0"/>
          <x14:colorLast rgb="FF0070C0"/>
          <x14:colorHigh rgb="FF0070C0"/>
          <x14:colorLow rgb="FF0070C0"/>
          <x14:sparklines>
            <x14:sparkline>
              <xm:f>Модель!DG62:DI62</xm:f>
              <xm:sqref>DJ61</xm:sqref>
            </x14:sparkline>
          </x14:sparklines>
        </x14:sparklineGroup>
        <x14:sparklineGroup manualMax="0" manualMin="0" lineWeight="2.25" displayEmptyCellsAs="gap" xr2:uid="{10945660-32E4-4326-801F-834BFEDBB49B}">
          <x14:colorSeries rgb="FF000000"/>
          <x14:colorNegative rgb="FF0070C0"/>
          <x14:colorAxis rgb="FF000000"/>
          <x14:colorMarkers rgb="FF0070C0"/>
          <x14:colorFirst rgb="FF0070C0"/>
          <x14:colorLast rgb="FF0070C0"/>
          <x14:colorHigh rgb="FF0070C0"/>
          <x14:colorLow rgb="FF0070C0"/>
          <x14:sparklines>
            <x14:sparkline>
              <xm:f>Модель!DI72:DK72</xm:f>
              <xm:sqref>DL71</xm:sqref>
            </x14:sparkline>
          </x14:sparklines>
        </x14:sparklineGroup>
        <x14:sparklineGroup manualMax="0" manualMin="0" lineWeight="2.25" displayEmptyCellsAs="gap" xr2:uid="{00000000-0003-0000-0100-000000000000}">
          <x14:colorSeries rgb="FF000000"/>
          <x14:colorNegative rgb="FF0070C0"/>
          <x14:colorAxis rgb="FF000000"/>
          <x14:colorMarkers rgb="FF0070C0"/>
          <x14:colorFirst rgb="FF0070C0"/>
          <x14:colorLast rgb="FF0070C0"/>
          <x14:colorHigh rgb="FF0070C0"/>
          <x14:colorLow rgb="FF0070C0"/>
          <x14:sparklines>
            <x14:sparkline>
              <xm:f>Модель!N79:P79</xm:f>
              <xm:sqref>Q78</xm:sqref>
            </x14:sparkline>
          </x14:sparklines>
        </x14:sparklineGroup>
        <x14:sparklineGroup manualMax="0" manualMin="0" lineWeight="2.25" displayEmptyCellsAs="gap" xr2:uid="{00000000-0003-0000-0100-000001000000}">
          <x14:colorSeries rgb="FF000000"/>
          <x14:colorNegative rgb="FF0070C0"/>
          <x14:colorAxis rgb="FF000000"/>
          <x14:colorMarkers rgb="FF0070C0"/>
          <x14:colorFirst rgb="FF0070C0"/>
          <x14:colorLast rgb="FF0070C0"/>
          <x14:colorHigh rgb="FF0070C0"/>
          <x14:colorLow rgb="FF0070C0"/>
          <x14:sparklines>
            <x14:sparkline>
              <xm:f>Модель!G79:I79</xm:f>
              <xm:sqref>J78</xm:sqref>
            </x14:sparkline>
          </x14:sparklines>
        </x14:sparklineGroup>
        <x14:sparklineGroup manualMax="0" manualMin="0" lineWeight="2.25" displayEmptyCellsAs="gap" xr2:uid="{00000000-0003-0000-0100-000002000000}">
          <x14:colorSeries rgb="FF000000"/>
          <x14:colorNegative rgb="FF0070C0"/>
          <x14:colorAxis rgb="FF000000"/>
          <x14:colorMarkers rgb="FF0070C0"/>
          <x14:colorFirst rgb="FF0070C0"/>
          <x14:colorLast rgb="FF0070C0"/>
          <x14:colorHigh rgb="FF0070C0"/>
          <x14:colorLow rgb="FF0070C0"/>
          <x14:sparklines>
            <x14:sparkline>
              <xm:f>Модель!J66:L66</xm:f>
              <xm:sqref>M65</xm:sqref>
            </x14:sparkline>
          </x14:sparklines>
        </x14:sparklineGroup>
        <x14:sparklineGroup manualMax="0" manualMin="0" lineWeight="2.25" displayEmptyCellsAs="gap" xr2:uid="{00000000-0003-0000-0100-000003000000}">
          <x14:colorSeries rgb="FF000000"/>
          <x14:colorNegative rgb="FF0070C0"/>
          <x14:colorAxis rgb="FF000000"/>
          <x14:colorMarkers rgb="FF0070C0"/>
          <x14:colorFirst rgb="FF0070C0"/>
          <x14:colorLast rgb="FF0070C0"/>
          <x14:colorHigh rgb="FF0070C0"/>
          <x14:colorLow rgb="FF0070C0"/>
          <x14:sparklines>
            <x14:sparkline>
              <xm:f>Модель!Q59:S59</xm:f>
              <xm:sqref>T58</xm:sqref>
            </x14:sparkline>
          </x14:sparklines>
        </x14:sparklineGroup>
        <x14:sparklineGroup manualMax="0" manualMin="0" lineWeight="2.25" displayEmptyCellsAs="gap" xr2:uid="{00000000-0003-0000-0100-000004000000}">
          <x14:colorSeries rgb="FF000000"/>
          <x14:colorNegative rgb="FF0070C0"/>
          <x14:colorAxis rgb="FF000000"/>
          <x14:colorMarkers rgb="FF0070C0"/>
          <x14:colorFirst rgb="FF0070C0"/>
          <x14:colorLast rgb="FF0070C0"/>
          <x14:colorHigh rgb="FF0070C0"/>
          <x14:colorLow rgb="FF0070C0"/>
          <x14:sparklines>
            <x14:sparkline>
              <xm:f>Модель!J59:L59</xm:f>
              <xm:sqref>M58</xm:sqref>
            </x14:sparkline>
          </x14:sparklines>
        </x14:sparklineGroup>
        <x14:sparklineGroup manualMax="0" manualMin="0" lineWeight="2.25" displayEmptyCellsAs="gap" xr2:uid="{00000000-0003-0000-0100-000005000000}">
          <x14:colorSeries rgb="FF000000"/>
          <x14:colorNegative rgb="FF0070C0"/>
          <x14:colorAxis rgb="FF000000"/>
          <x14:colorMarkers rgb="FF0070C0"/>
          <x14:colorFirst rgb="FF0070C0"/>
          <x14:colorLast rgb="FF0070C0"/>
          <x14:colorHigh rgb="FF0070C0"/>
          <x14:colorLow rgb="FF0070C0"/>
          <x14:sparklines>
            <x14:sparkline>
              <xm:f>Модель!EH31:EJ31</xm:f>
              <xm:sqref>EK30</xm:sqref>
            </x14:sparkline>
          </x14:sparklines>
        </x14:sparklineGroup>
        <x14:sparklineGroup manualMax="0" manualMin="0" lineWeight="2.25" displayEmptyCellsAs="gap" xr2:uid="{00000000-0003-0000-0100-000006000000}">
          <x14:colorSeries rgb="FF000000"/>
          <x14:colorNegative rgb="FF0070C0"/>
          <x14:colorAxis rgb="FF000000"/>
          <x14:colorMarkers rgb="FF0070C0"/>
          <x14:colorFirst rgb="FF0070C0"/>
          <x14:colorLast rgb="FF0070C0"/>
          <x14:colorHigh rgb="FF0070C0"/>
          <x14:colorLow rgb="FF0070C0"/>
          <x14:sparklines>
            <x14:sparkline>
              <xm:f>Модель!EC31:EE31</xm:f>
              <xm:sqref>EF30</xm:sqref>
            </x14:sparkline>
          </x14:sparklines>
        </x14:sparklineGroup>
        <x14:sparklineGroup manualMax="0" manualMin="0" lineWeight="2.25" displayEmptyCellsAs="gap" xr2:uid="{00000000-0003-0000-0100-000007000000}">
          <x14:colorSeries rgb="FF000000"/>
          <x14:colorNegative rgb="FF0070C0"/>
          <x14:colorAxis rgb="FF000000"/>
          <x14:colorMarkers rgb="FF0070C0"/>
          <x14:colorFirst rgb="FF0070C0"/>
          <x14:colorLast rgb="FF0070C0"/>
          <x14:colorHigh rgb="FF0070C0"/>
          <x14:colorLow rgb="FF0070C0"/>
          <x14:sparklines>
            <x14:sparkline>
              <xm:f>Модель!J14:L14</xm:f>
              <xm:sqref>M13</xm:sqref>
            </x14:sparkline>
          </x14:sparklines>
        </x14:sparklineGroup>
        <x14:sparklineGroup manualMax="0" manualMin="0" lineWeight="2.25" displayEmptyCellsAs="gap" xr2:uid="{00000000-0003-0000-0100-000008000000}">
          <x14:colorSeries rgb="FF000000"/>
          <x14:colorNegative rgb="FF0070C0"/>
          <x14:colorAxis rgb="FF000000"/>
          <x14:colorMarkers rgb="FF0070C0"/>
          <x14:colorFirst rgb="FF0070C0"/>
          <x14:colorLast rgb="FF0070C0"/>
          <x14:colorHigh rgb="FF0070C0"/>
          <x14:colorLow rgb="FF0070C0"/>
          <x14:sparklines>
            <x14:sparkline>
              <xm:f>Модель!DU9:DW9</xm:f>
              <xm:sqref>DX8</xm:sqref>
            </x14:sparkline>
          </x14:sparklines>
        </x14:sparklineGroup>
        <x14:sparklineGroup manualMax="0" manualMin="0" lineWeight="2.25" displayEmptyCellsAs="gap" xr2:uid="{00000000-0003-0000-0100-000009000000}">
          <x14:colorSeries rgb="FF000000"/>
          <x14:colorNegative rgb="FF0070C0"/>
          <x14:colorAxis rgb="FF000000"/>
          <x14:colorMarkers rgb="FF0070C0"/>
          <x14:colorFirst rgb="FF0070C0"/>
          <x14:colorLast rgb="FF0070C0"/>
          <x14:colorHigh rgb="FF0070C0"/>
          <x14:colorLow rgb="FF0070C0"/>
          <x14:sparklines>
            <x14:sparkline>
              <xm:f>Модель!AV20:AX20</xm:f>
              <xm:sqref>AY19</xm:sqref>
            </x14:sparkline>
          </x14:sparklines>
        </x14:sparklineGroup>
        <x14:sparklineGroup manualMax="0" manualMin="0" lineWeight="2.25" displayEmptyCellsAs="gap" xr2:uid="{00000000-0003-0000-0100-00000A000000}">
          <x14:colorSeries rgb="FF000000"/>
          <x14:colorNegative rgb="FF0070C0"/>
          <x14:colorAxis rgb="FF000000"/>
          <x14:colorMarkers rgb="FF0070C0"/>
          <x14:colorFirst rgb="FF0070C0"/>
          <x14:colorLast rgb="FF0070C0"/>
          <x14:colorHigh rgb="FF0070C0"/>
          <x14:colorLow rgb="FF0070C0"/>
          <x14:sparklines>
            <x14:sparkline>
              <xm:f>Модель!AQ20:AS20</xm:f>
              <xm:sqref>AT19</xm:sqref>
            </x14:sparkline>
          </x14:sparklines>
        </x14:sparklineGroup>
        <x14:sparklineGroup manualMax="0" manualMin="0" lineWeight="2.25" displayEmptyCellsAs="gap" xr2:uid="{00000000-0003-0000-0100-00000B000000}">
          <x14:colorSeries rgb="FF000000"/>
          <x14:colorNegative rgb="FF0070C0"/>
          <x14:colorAxis rgb="FF000000"/>
          <x14:colorMarkers rgb="FF0070C0"/>
          <x14:colorFirst rgb="FF0070C0"/>
          <x14:colorLast rgb="FF0070C0"/>
          <x14:colorHigh rgb="FF0070C0"/>
          <x14:colorLow rgb="FF0070C0"/>
          <x14:sparklines>
            <x14:sparkline>
              <xm:f>Модель!O14:Q14</xm:f>
              <xm:sqref>R13</xm:sqref>
            </x14:sparkline>
          </x14:sparklines>
        </x14:sparklineGroup>
        <x14:sparklineGroup manualMax="0" manualMin="0" lineWeight="2.25" displayEmptyCellsAs="gap" xr2:uid="{00000000-0003-0000-0100-00000C000000}">
          <x14:colorSeries rgb="FF000000"/>
          <x14:colorNegative rgb="FF0070C0"/>
          <x14:colorAxis rgb="FF000000"/>
          <x14:colorMarkers rgb="FF0070C0"/>
          <x14:colorFirst rgb="FF0070C0"/>
          <x14:colorLast rgb="FF0070C0"/>
          <x14:colorHigh rgb="FF0070C0"/>
          <x14:colorLow rgb="FF0070C0"/>
          <x14:sparklines>
            <x14:sparkline>
              <xm:f>Модель!S9:U9</xm:f>
              <xm:sqref>V8</xm:sqref>
            </x14:sparkline>
          </x14:sparklines>
        </x14:sparklineGroup>
        <x14:sparklineGroup manualMax="0" manualMin="0" lineWeight="2.25" displayEmptyCellsAs="gap" xr2:uid="{FBE2BF06-087D-4BD0-B748-3F74EF637150}">
          <x14:colorSeries rgb="FF000000"/>
          <x14:colorNegative rgb="FF0070C0"/>
          <x14:colorAxis rgb="FF000000"/>
          <x14:colorMarkers rgb="FF0070C0"/>
          <x14:colorFirst rgb="FF0070C0"/>
          <x14:colorLast rgb="FF0070C0"/>
          <x14:colorHigh rgb="FF0070C0"/>
          <x14:colorLow rgb="FF0070C0"/>
          <x14:sparklines>
            <x14:sparkline>
              <xm:f>Модель!BD42:BF42</xm:f>
              <xm:sqref>BG41</xm:sqref>
            </x14:sparkline>
          </x14:sparklines>
        </x14:sparklineGroup>
        <x14:sparklineGroup manualMax="0" manualMin="0" lineWeight="2.25" displayEmptyCellsAs="gap" xr2:uid="{29677E9B-FFB3-4FB0-9FA9-6AB095531533}">
          <x14:colorSeries rgb="FF000000"/>
          <x14:colorNegative rgb="FF0070C0"/>
          <x14:colorAxis rgb="FF000000"/>
          <x14:colorMarkers rgb="FF0070C0"/>
          <x14:colorFirst rgb="FF0070C0"/>
          <x14:colorLast rgb="FF0070C0"/>
          <x14:colorHigh rgb="FF0070C0"/>
          <x14:colorLow rgb="FF0070C0"/>
          <x14:sparklines>
            <x14:sparkline>
              <xm:f>Модель!BI42:BK42</xm:f>
              <xm:sqref>BL41</xm:sqref>
            </x14:sparkline>
          </x14:sparklines>
        </x14:sparklineGroup>
        <x14:sparklineGroup manualMax="0" manualMin="0" lineWeight="2.25" displayEmptyCellsAs="gap" xr2:uid="{00000000-0003-0000-0100-00000F000000}">
          <x14:colorSeries rgb="FF000000"/>
          <x14:colorNegative rgb="FF0070C0"/>
          <x14:colorAxis rgb="FF000000"/>
          <x14:colorMarkers rgb="FF0070C0"/>
          <x14:colorFirst rgb="FF0070C0"/>
          <x14:colorLast rgb="FF0070C0"/>
          <x14:colorHigh rgb="FF0070C0"/>
          <x14:colorLow rgb="FF0070C0"/>
          <x14:sparklines>
            <x14:sparkline>
              <xm:f>Модель!DX31:DZ31</xm:f>
              <xm:sqref>EA30</xm:sqref>
            </x14:sparkline>
          </x14:sparklines>
        </x14:sparklineGroup>
        <x14:sparklineGroup manualMax="0" manualMin="0" lineWeight="2.25" displayEmptyCellsAs="gap" xr2:uid="{0E4B12BB-E75C-45BE-9CE1-1FB362F9FCD3}">
          <x14:colorSeries rgb="FF000000"/>
          <x14:colorNegative rgb="FF0070C0"/>
          <x14:colorAxis rgb="FF000000"/>
          <x14:colorMarkers rgb="FF0070C0"/>
          <x14:colorFirst rgb="FF0070C0"/>
          <x14:colorLast rgb="FF0070C0"/>
          <x14:colorHigh rgb="FF0070C0"/>
          <x14:colorLow rgb="FF0070C0"/>
          <x14:sparklines>
            <x14:sparkline>
              <xm:f>Модель!DS42:DU42</xm:f>
              <xm:sqref>DV41</xm:sqref>
            </x14:sparkline>
          </x14:sparklines>
        </x14:sparklineGroup>
        <x14:sparklineGroup manualMax="0" manualMin="0" lineWeight="2.25" displayEmptyCellsAs="gap" xr2:uid="{3AFCE8F1-3232-4DA3-B78D-7E728AA598FE}">
          <x14:colorSeries rgb="FF000000"/>
          <x14:colorNegative rgb="FF0070C0"/>
          <x14:colorAxis rgb="FF000000"/>
          <x14:colorMarkers rgb="FF0070C0"/>
          <x14:colorFirst rgb="FF0070C0"/>
          <x14:colorLast rgb="FF0070C0"/>
          <x14:colorHigh rgb="FF0070C0"/>
          <x14:colorLow rgb="FF0070C0"/>
          <x14:sparklines>
            <x14:sparkline>
              <xm:f>Модель!DN42:DP42</xm:f>
              <xm:sqref>DQ41</xm:sqref>
            </x14:sparkline>
          </x14:sparklines>
        </x14:sparklineGroup>
        <x14:sparklineGroup manualMax="0" manualMin="0" lineWeight="2.25" displayEmptyCellsAs="gap" xr2:uid="{00000000-0003-0000-0100-000012000000}">
          <x14:colorSeries rgb="FF000000"/>
          <x14:colorNegative rgb="FF0070C0"/>
          <x14:colorAxis rgb="FF000000"/>
          <x14:colorMarkers rgb="FF0070C0"/>
          <x14:colorFirst rgb="FF0070C0"/>
          <x14:colorLast rgb="FF0070C0"/>
          <x14:colorHigh rgb="FF0070C0"/>
          <x14:colorLow rgb="FF0070C0"/>
          <x14:sparklines>
            <x14:sparkline>
              <xm:f>Модель!AW31:AY31</xm:f>
              <xm:sqref>AZ30</xm:sqref>
            </x14:sparkline>
          </x14:sparklines>
        </x14:sparklineGroup>
        <x14:sparklineGroup manualMax="0" manualMin="0" lineWeight="2.25" displayEmptyCellsAs="gap" xr2:uid="{00000000-0003-0000-0100-000013000000}">
          <x14:colorSeries rgb="FF000000"/>
          <x14:colorNegative rgb="FF0070C0"/>
          <x14:colorAxis rgb="FF000000"/>
          <x14:colorMarkers rgb="FF0070C0"/>
          <x14:colorFirst rgb="FF0070C0"/>
          <x14:colorLast rgb="FF0070C0"/>
          <x14:colorHigh rgb="FF0070C0"/>
          <x14:colorLow rgb="FF0070C0"/>
          <x14:sparklines>
            <x14:sparkline>
              <xm:f>Модель!BC31:BE31</xm:f>
              <xm:sqref>BF30</xm:sqref>
            </x14:sparkline>
          </x14:sparklines>
        </x14:sparklineGroup>
        <x14:sparklineGroup manualMax="0" manualMin="0" lineWeight="2.25" displayEmptyCellsAs="gap" xr2:uid="{8C9FF056-7D48-4B65-9E1B-77C5E56C7B00}">
          <x14:colorSeries rgb="FF000000"/>
          <x14:colorNegative rgb="FF0070C0"/>
          <x14:colorAxis rgb="FF000000"/>
          <x14:colorMarkers rgb="FF0070C0"/>
          <x14:colorFirst rgb="FF0070C0"/>
          <x14:colorLast rgb="FF0070C0"/>
          <x14:colorHigh rgb="FF0070C0"/>
          <x14:colorLow rgb="FF0070C0"/>
          <x14:sparklines>
            <x14:sparkline>
              <xm:f>Модель!AQ72:AS72</xm:f>
              <xm:sqref>AT71</xm:sqref>
            </x14:sparkline>
          </x14:sparklines>
        </x14:sparklineGroup>
        <x14:sparklineGroup manualMax="0" manualMin="0" lineWeight="2.25" displayEmptyCellsAs="gap" xr2:uid="{8D4052B7-BFB5-4D3A-9C38-E9035415A891}">
          <x14:colorSeries rgb="FF000000"/>
          <x14:colorNegative rgb="FF0070C0"/>
          <x14:colorAxis rgb="FF000000"/>
          <x14:colorMarkers rgb="FF0070C0"/>
          <x14:colorFirst rgb="FF0070C0"/>
          <x14:colorLast rgb="FF0070C0"/>
          <x14:colorHigh rgb="FF0070C0"/>
          <x14:colorLow rgb="FF0070C0"/>
          <x14:sparklines>
            <x14:sparkline>
              <xm:f>Модель!DJ52:DL52</xm:f>
              <xm:sqref>DM51</xm:sqref>
            </x14:sparkline>
          </x14:sparklines>
        </x14:sparklineGroup>
        <x14:sparklineGroup manualMax="0" manualMin="0" lineWeight="2.25" displayEmptyCellsAs="gap" xr2:uid="{100A1571-BD86-4671-B1C1-5927FF66957D}">
          <x14:colorSeries rgb="FF000000"/>
          <x14:colorNegative rgb="FF0070C0"/>
          <x14:colorAxis rgb="FF000000"/>
          <x14:colorMarkers rgb="FF0070C0"/>
          <x14:colorFirst rgb="FF0070C0"/>
          <x14:colorLast rgb="FF0070C0"/>
          <x14:colorHigh rgb="FF0070C0"/>
          <x14:colorLow rgb="FF0070C0"/>
          <x14:sparklines>
            <x14:sparkline>
              <xm:f>Модель!DO52:DQ52</xm:f>
              <xm:sqref>DR51</xm:sqref>
            </x14:sparkline>
          </x14:sparklines>
        </x14:sparklineGroup>
        <x14:sparklineGroup manualMax="0" manualMin="0" lineWeight="2.25" displayEmptyCellsAs="gap" xr2:uid="{2883C39B-6E51-435E-BD4E-A013E8309FCA}">
          <x14:colorSeries rgb="FF000000"/>
          <x14:colorNegative rgb="FF0070C0"/>
          <x14:colorAxis rgb="FF000000"/>
          <x14:colorMarkers rgb="FF0070C0"/>
          <x14:colorFirst rgb="FF0070C0"/>
          <x14:colorLast rgb="FF0070C0"/>
          <x14:colorHigh rgb="FF0070C0"/>
          <x14:colorLow rgb="FF0070C0"/>
          <x14:sparklines>
            <x14:sparkline>
              <xm:f>Модель!BN52:BP52</xm:f>
              <xm:sqref>BQ51</xm:sqref>
            </x14:sparkline>
          </x14:sparklines>
        </x14:sparklineGroup>
        <x14:sparklineGroup manualMax="0" manualMin="0" lineWeight="2.25" displayEmptyCellsAs="gap" xr2:uid="{742CA1F1-A6A0-4260-AB9E-74D49A9218D5}">
          <x14:colorSeries rgb="FF000000"/>
          <x14:colorNegative rgb="FF0070C0"/>
          <x14:colorAxis rgb="FF000000"/>
          <x14:colorMarkers rgb="FF0070C0"/>
          <x14:colorFirst rgb="FF0070C0"/>
          <x14:colorLast rgb="FF0070C0"/>
          <x14:colorHigh rgb="FF0070C0"/>
          <x14:colorLow rgb="FF0070C0"/>
          <x14:sparklines>
            <x14:sparkline>
              <xm:f>Модель!BI52:BK52</xm:f>
              <xm:sqref>BL51</xm:sqref>
            </x14:sparkline>
          </x14:sparklines>
        </x14:sparklineGroup>
        <x14:sparklineGroup manualMax="0" manualMin="0" lineWeight="2.25" displayEmptyCellsAs="gap" xr2:uid="{C07FD658-1C51-485F-AEFF-1A84D1AD8696}">
          <x14:colorSeries rgb="FF000000"/>
          <x14:colorNegative rgb="FF0070C0"/>
          <x14:colorAxis rgb="FF000000"/>
          <x14:colorMarkers rgb="FF0070C0"/>
          <x14:colorFirst rgb="FF0070C0"/>
          <x14:colorLast rgb="FF0070C0"/>
          <x14:colorHigh rgb="FF0070C0"/>
          <x14:colorLow rgb="FF0070C0"/>
          <x14:sparklines>
            <x14:sparkline>
              <xm:f>Модель!AX72:AZ72</xm:f>
              <xm:sqref>BA71</xm:sqref>
            </x14:sparkline>
          </x14:sparklines>
        </x14:sparklineGroup>
        <x14:sparklineGroup manualMax="0" manualMin="0" lineWeight="2.25" displayEmptyCellsAs="gap" xr2:uid="{3072CA59-2172-41F5-9731-46D5E488D744}">
          <x14:colorSeries rgb="FF000000"/>
          <x14:colorNegative rgb="FF0070C0"/>
          <x14:colorAxis rgb="FF000000"/>
          <x14:colorMarkers rgb="FF0070C0"/>
          <x14:colorFirst rgb="FF0070C0"/>
          <x14:colorLast rgb="FF0070C0"/>
          <x14:colorHigh rgb="FF0070C0"/>
          <x14:colorLow rgb="FF0070C0"/>
          <x14:sparklines>
            <x14:sparkline>
              <xm:f>Модель!AO78:AQ78</xm:f>
              <xm:sqref>AR77</xm:sqref>
            </x14:sparkline>
          </x14:sparklines>
        </x14:sparklineGroup>
        <x14:sparklineGroup manualMax="0" manualMin="0" lineWeight="2.25" displayEmptyCellsAs="gap" xr2:uid="{D22108A5-14A8-46E8-B3AA-378C9DFC1211}">
          <x14:colorSeries rgb="FF000000"/>
          <x14:colorNegative rgb="FF0070C0"/>
          <x14:colorAxis rgb="FF000000"/>
          <x14:colorMarkers rgb="FF0070C0"/>
          <x14:colorFirst rgb="FF0070C0"/>
          <x14:colorLast rgb="FF0070C0"/>
          <x14:colorHigh rgb="FF0070C0"/>
          <x14:colorLow rgb="FF0070C0"/>
          <x14:sparklines>
            <x14:sparkline>
              <xm:f>Модель!AC79:AE79</xm:f>
              <xm:sqref>AF78</xm:sqref>
            </x14:sparkline>
          </x14:sparklines>
        </x14:sparklineGroup>
        <x14:sparklineGroup manualMax="0" manualMin="0" lineWeight="2.25" displayEmptyCellsAs="gap" xr2:uid="{B0E31F8C-27D3-4F36-AEEB-99CB0C4E446C}">
          <x14:colorSeries rgb="FF000000"/>
          <x14:colorNegative rgb="FF0070C0"/>
          <x14:colorAxis rgb="FF000000"/>
          <x14:colorMarkers rgb="FF0070C0"/>
          <x14:colorFirst rgb="FF0070C0"/>
          <x14:colorLast rgb="FF0070C0"/>
          <x14:colorHigh rgb="FF0070C0"/>
          <x14:colorLow rgb="FF0070C0"/>
          <x14:sparklines>
            <x14:sparkline>
              <xm:f>Модель!AC72:AE72</xm:f>
              <xm:sqref>AF71</xm:sqref>
            </x14:sparkline>
          </x14:sparklines>
        </x14:sparklineGroup>
        <x14:sparklineGroup manualMax="0" manualMin="0" lineWeight="2.25" displayEmptyCellsAs="gap" xr2:uid="{728FF423-1308-48C0-8067-7CB6E23C029A}">
          <x14:colorSeries rgb="FF000000"/>
          <x14:colorNegative rgb="FF0070C0"/>
          <x14:colorAxis rgb="FF000000"/>
          <x14:colorMarkers rgb="FF0070C0"/>
          <x14:colorFirst rgb="FF0070C0"/>
          <x14:colorLast rgb="FF0070C0"/>
          <x14:colorHigh rgb="FF0070C0"/>
          <x14:colorLow rgb="FF0070C0"/>
          <x14:sparklines>
            <x14:sparkline>
              <xm:f>Модель!AC66:AE66</xm:f>
              <xm:sqref>AF65</xm:sqref>
            </x14:sparkline>
          </x14:sparklines>
        </x14:sparklineGroup>
        <x14:sparklineGroup manualMax="0" manualMin="0" lineWeight="2.25" displayEmptyCellsAs="gap" xr2:uid="{EA8AD711-37A7-4F20-896C-950F2C6BC658}">
          <x14:colorSeries rgb="FF000000"/>
          <x14:colorNegative rgb="FF0070C0"/>
          <x14:colorAxis rgb="FF000000"/>
          <x14:colorMarkers rgb="FF0070C0"/>
          <x14:colorFirst rgb="FF0070C0"/>
          <x14:colorLast rgb="FF0070C0"/>
          <x14:colorHigh rgb="FF0070C0"/>
          <x14:colorLow rgb="FF0070C0"/>
          <x14:sparklines>
            <x14:sparkline>
              <xm:f>Модель!BA9:BC9</xm:f>
              <xm:sqref>BD8</xm:sqref>
            </x14:sparkline>
          </x14:sparklines>
        </x14:sparklineGroup>
        <x14:sparklineGroup manualMax="0" manualMin="0" lineWeight="2.25" displayEmptyCellsAs="gap" xr2:uid="{BDC0A764-06F4-4DE8-B60F-E734A267F948}">
          <x14:colorSeries rgb="FF000000"/>
          <x14:colorNegative rgb="FF0070C0"/>
          <x14:colorAxis rgb="FF000000"/>
          <x14:colorMarkers rgb="FF0070C0"/>
          <x14:colorFirst rgb="FF0070C0"/>
          <x14:colorLast rgb="FF0070C0"/>
          <x14:colorHigh rgb="FF0070C0"/>
          <x14:colorLow rgb="FF0070C0"/>
          <x14:sparklines>
            <x14:sparkline>
              <xm:f>Модель!DX20:DZ20</xm:f>
              <xm:sqref>EA19</xm:sqref>
            </x14:sparkline>
          </x14:sparklines>
        </x14:sparklineGroup>
        <x14:sparklineGroup manualMax="0" manualMin="0" lineWeight="2.25" displayEmptyCellsAs="gap" xr2:uid="{A86CB2B6-16E7-4C59-BBC7-E2FA0D5CB724}">
          <x14:colorSeries rgb="FF000000"/>
          <x14:colorNegative rgb="FF0070C0"/>
          <x14:colorAxis rgb="FF000000"/>
          <x14:colorMarkers rgb="FF0070C0"/>
          <x14:colorFirst rgb="FF0070C0"/>
          <x14:colorLast rgb="FF0070C0"/>
          <x14:colorHigh rgb="FF0070C0"/>
          <x14:colorLow rgb="FF0070C0"/>
          <x14:sparklines>
            <x14:sparkline>
              <xm:f>Модель!EE20:EG20</xm:f>
              <xm:sqref>EH19</xm:sqref>
            </x14:sparkline>
          </x14:sparklines>
        </x14:sparklineGroup>
        <x14:sparklineGroup manualMax="0" manualMin="0" lineWeight="2.25" displayEmptyCellsAs="gap" xr2:uid="{FB790EB6-5F30-4E32-88E6-1E20E3DCEE77}">
          <x14:colorSeries rgb="FF000000"/>
          <x14:colorNegative rgb="FF0070C0"/>
          <x14:colorAxis rgb="FF000000"/>
          <x14:colorMarkers rgb="FF0070C0"/>
          <x14:colorFirst rgb="FF0070C0"/>
          <x14:colorLast rgb="FF0070C0"/>
          <x14:colorHigh rgb="FF0070C0"/>
          <x14:colorLow rgb="FF0070C0"/>
          <x14:sparklines>
            <x14:sparkline>
              <xm:f>Модель!AO31:AQ31</xm:f>
              <xm:sqref>AR30</xm:sqref>
            </x14:sparkline>
          </x14:sparklines>
        </x14:sparklineGroup>
        <x14:sparklineGroup manualMax="0" manualMin="0" lineWeight="2.25" displayEmptyCellsAs="gap" xr2:uid="{A4578FEB-011E-474A-8E49-2DDE17E530BB}">
          <x14:colorSeries rgb="FF000000"/>
          <x14:colorNegative rgb="FF0070C0"/>
          <x14:colorAxis rgb="FF000000"/>
          <x14:colorMarkers rgb="FF0070C0"/>
          <x14:colorFirst rgb="FF0070C0"/>
          <x14:colorLast rgb="FF0070C0"/>
          <x14:colorHigh rgb="FF0070C0"/>
          <x14:colorLow rgb="FF0070C0"/>
          <x14:sparklines>
            <x14:sparkline>
              <xm:f>Модель!AJ31:AL31</xm:f>
              <xm:sqref>AM30</xm:sqref>
            </x14:sparkline>
          </x14:sparklines>
        </x14:sparklineGroup>
        <x14:sparklineGroup manualMax="0" manualMin="0" lineWeight="2.25" displayEmptyCellsAs="gap" xr2:uid="{41AE385F-4BD6-4BE3-AFBB-B2BAD136787A}">
          <x14:colorSeries rgb="FF000000"/>
          <x14:colorNegative rgb="FF0070C0"/>
          <x14:colorAxis rgb="FF000000"/>
          <x14:colorMarkers rgb="FF0070C0"/>
          <x14:colorFirst rgb="FF0070C0"/>
          <x14:colorLast rgb="FF0070C0"/>
          <x14:colorHigh rgb="FF0070C0"/>
          <x14:colorLow rgb="FF0070C0"/>
          <x14:sparklines>
            <x14:sparkline>
              <xm:f>Модель!CA108:CC108</xm:f>
              <xm:sqref>CD107</xm:sqref>
            </x14:sparkline>
          </x14:sparklines>
        </x14:sparklineGroup>
        <x14:sparklineGroup manualMax="0" manualMin="0" lineWeight="2.25" displayEmptyCellsAs="gap" xr2:uid="{0319F151-45BD-485F-83E6-07AA9B8F4F32}">
          <x14:colorSeries rgb="FF000000"/>
          <x14:colorNegative rgb="FF0070C0"/>
          <x14:colorAxis rgb="FF000000"/>
          <x14:colorMarkers rgb="FF0070C0"/>
          <x14:colorFirst rgb="FF0070C0"/>
          <x14:colorLast rgb="FF0070C0"/>
          <x14:colorHigh rgb="FF0070C0"/>
          <x14:colorLow rgb="FF0070C0"/>
          <x14:sparklines>
            <x14:sparkline>
              <xm:f>Модель!BU128:BW128</xm:f>
              <xm:sqref>BX127</xm:sqref>
            </x14:sparkline>
          </x14:sparklines>
        </x14:sparklineGroup>
        <x14:sparklineGroup manualMax="0" manualMin="0" lineWeight="2.25" displayEmptyCellsAs="gap" xr2:uid="{87AEBAE5-C77F-43A7-944E-2AB3E81FC2BD}">
          <x14:colorSeries rgb="FF000000"/>
          <x14:colorNegative rgb="FF0070C0"/>
          <x14:colorAxis rgb="FF000000"/>
          <x14:colorMarkers rgb="FF0070C0"/>
          <x14:colorFirst rgb="FF0070C0"/>
          <x14:colorLast rgb="FF0070C0"/>
          <x14:colorHigh rgb="FF0070C0"/>
          <x14:colorLow rgb="FF0070C0"/>
          <x14:sparklines>
            <x14:sparkline>
              <xm:f>Модель!CA128:CC128</xm:f>
              <xm:sqref>CD127</xm:sqref>
            </x14:sparkline>
          </x14:sparklines>
        </x14:sparklineGroup>
        <x14:sparklineGroup manualMax="0" manualMin="0" lineWeight="2.25" displayEmptyCellsAs="gap" xr2:uid="{FD04EA1C-A2C3-4DB1-AE66-F14B160E9C42}">
          <x14:colorSeries rgb="FF000000"/>
          <x14:colorNegative rgb="FF0070C0"/>
          <x14:colorAxis rgb="FF000000"/>
          <x14:colorMarkers rgb="FF0070C0"/>
          <x14:colorFirst rgb="FF0070C0"/>
          <x14:colorLast rgb="FF0070C0"/>
          <x14:colorHigh rgb="FF0070C0"/>
          <x14:colorLow rgb="FF0070C0"/>
          <x14:sparklines>
            <x14:sparkline>
              <xm:f>Модель!CA148:CC148</xm:f>
              <xm:sqref>CD147</xm:sqref>
            </x14:sparkline>
          </x14:sparklines>
        </x14:sparklineGroup>
        <x14:sparklineGroup manualMax="0" manualMin="0" lineWeight="2.25" displayEmptyCellsAs="gap" xr2:uid="{B9A43A0A-9BF2-475E-939C-8B658522677B}">
          <x14:colorSeries rgb="FF000000"/>
          <x14:colorNegative rgb="FF0070C0"/>
          <x14:colorAxis rgb="FF000000"/>
          <x14:colorMarkers rgb="FF0070C0"/>
          <x14:colorFirst rgb="FF0070C0"/>
          <x14:colorLast rgb="FF0070C0"/>
          <x14:colorHigh rgb="FF0070C0"/>
          <x14:colorLow rgb="FF0070C0"/>
          <x14:sparklines>
            <x14:sparkline>
              <xm:f>Модель!BU148:BW148</xm:f>
              <xm:sqref>BX147</xm:sqref>
            </x14:sparkline>
          </x14:sparklines>
        </x14:sparklineGroup>
        <x14:sparklineGroup manualMax="0" manualMin="0" lineWeight="2.25" displayEmptyCellsAs="gap" xr2:uid="{D3D1C6E3-F42A-4C95-AB35-501A47E61CC4}">
          <x14:colorSeries rgb="FF000000"/>
          <x14:colorNegative rgb="FF0070C0"/>
          <x14:colorAxis rgb="FF000000"/>
          <x14:colorMarkers rgb="FF0070C0"/>
          <x14:colorFirst rgb="FF0070C0"/>
          <x14:colorLast rgb="FF0070C0"/>
          <x14:colorHigh rgb="FF0070C0"/>
          <x14:colorLow rgb="FF0070C0"/>
          <x14:sparklines>
            <x14:sparkline>
              <xm:f>Модель!BU138:BW138</xm:f>
              <xm:sqref>BX137</xm:sqref>
            </x14:sparkline>
          </x14:sparklines>
        </x14:sparklineGroup>
        <x14:sparklineGroup manualMax="0" manualMin="0" lineWeight="2.25" displayEmptyCellsAs="gap" xr2:uid="{129E5A44-EBD2-4812-87F8-B1C66450AAFC}">
          <x14:colorSeries rgb="FF000000"/>
          <x14:colorNegative rgb="FF0070C0"/>
          <x14:colorAxis rgb="FF000000"/>
          <x14:colorMarkers rgb="FF0070C0"/>
          <x14:colorFirst rgb="FF0070C0"/>
          <x14:colorLast rgb="FF0070C0"/>
          <x14:colorHigh rgb="FF0070C0"/>
          <x14:colorLow rgb="FF0070C0"/>
          <x14:sparklines>
            <x14:sparkline>
              <xm:f>Модель!CA138:CC138</xm:f>
              <xm:sqref>CD137</xm:sqref>
            </x14:sparkline>
          </x14:sparklines>
        </x14:sparklineGroup>
        <x14:sparklineGroup manualMax="0" manualMin="0" lineWeight="2.25" displayEmptyCellsAs="gap" xr2:uid="{3458B64D-72B1-4382-AE5B-0E19FAE2853D}">
          <x14:colorSeries rgb="FF000000"/>
          <x14:colorNegative rgb="FF0070C0"/>
          <x14:colorAxis rgb="FF000000"/>
          <x14:colorMarkers rgb="FF0070C0"/>
          <x14:colorFirst rgb="FF0070C0"/>
          <x14:colorLast rgb="FF0070C0"/>
          <x14:colorHigh rgb="FF0070C0"/>
          <x14:colorLow rgb="FF0070C0"/>
          <x14:sparklines>
            <x14:sparkline>
              <xm:f>Модель!CA178:CC178</xm:f>
              <xm:sqref>CD177</xm:sqref>
            </x14:sparkline>
          </x14:sparklines>
        </x14:sparklineGroup>
        <x14:sparklineGroup manualMax="0" manualMin="0" lineWeight="2.25" displayEmptyCellsAs="gap" xr2:uid="{FB694540-5657-422F-A23A-670AF9BB253B}">
          <x14:colorSeries rgb="FF000000"/>
          <x14:colorNegative rgb="FF0070C0"/>
          <x14:colorAxis rgb="FF000000"/>
          <x14:colorMarkers rgb="FF0070C0"/>
          <x14:colorFirst rgb="FF0070C0"/>
          <x14:colorLast rgb="FF0070C0"/>
          <x14:colorHigh rgb="FF0070C0"/>
          <x14:colorLow rgb="FF0070C0"/>
          <x14:sparklines>
            <x14:sparkline>
              <xm:f>Модель!BU178:BW178</xm:f>
              <xm:sqref>BX177</xm:sqref>
            </x14:sparkline>
          </x14:sparklines>
        </x14:sparklineGroup>
        <x14:sparklineGroup manualMax="0" manualMin="0" lineWeight="2.25" displayEmptyCellsAs="gap" xr2:uid="{11CCF899-3E68-458F-9326-AEA16C2DD013}">
          <x14:colorSeries rgb="FF000000"/>
          <x14:colorNegative rgb="FF0070C0"/>
          <x14:colorAxis rgb="FF000000"/>
          <x14:colorMarkers rgb="FF0070C0"/>
          <x14:colorFirst rgb="FF0070C0"/>
          <x14:colorLast rgb="FF0070C0"/>
          <x14:colorHigh rgb="FF0070C0"/>
          <x14:colorLow rgb="FF0070C0"/>
          <x14:sparklines>
            <x14:sparkline>
              <xm:f>Модель!BU188:BW188</xm:f>
              <xm:sqref>BX187</xm:sqref>
            </x14:sparkline>
          </x14:sparklines>
        </x14:sparklineGroup>
        <x14:sparklineGroup manualMax="0" manualMin="0" lineWeight="2.25" displayEmptyCellsAs="gap" xr2:uid="{135EB75C-DBC1-468C-AB67-8D5AF5E2BD8B}">
          <x14:colorSeries rgb="FF000000"/>
          <x14:colorNegative rgb="FF0070C0"/>
          <x14:colorAxis rgb="FF000000"/>
          <x14:colorMarkers rgb="FF0070C0"/>
          <x14:colorFirst rgb="FF0070C0"/>
          <x14:colorLast rgb="FF0070C0"/>
          <x14:colorHigh rgb="FF0070C0"/>
          <x14:colorLow rgb="FF0070C0"/>
          <x14:sparklines>
            <x14:sparkline>
              <xm:f>Модель!CA188:CC188</xm:f>
              <xm:sqref>CD187</xm:sqref>
            </x14:sparkline>
          </x14:sparklines>
        </x14:sparklineGroup>
        <x14:sparklineGroup manualMax="0" manualMin="0" lineWeight="2.25" displayEmptyCellsAs="gap" xr2:uid="{EA815BBF-EE36-4407-B75E-F1AB341034DD}">
          <x14:colorSeries rgb="FF000000"/>
          <x14:colorNegative rgb="FF0070C0"/>
          <x14:colorAxis rgb="FF000000"/>
          <x14:colorMarkers rgb="FF0070C0"/>
          <x14:colorFirst rgb="FF0070C0"/>
          <x14:colorLast rgb="FF0070C0"/>
          <x14:colorHigh rgb="FF0070C0"/>
          <x14:colorLow rgb="FF0070C0"/>
          <x14:sparklines>
            <x14:sparkline>
              <xm:f>Модель!CA168:CC168</xm:f>
              <xm:sqref>CD167</xm:sqref>
            </x14:sparkline>
          </x14:sparklines>
        </x14:sparklineGroup>
        <x14:sparklineGroup manualMax="0" manualMin="0" lineWeight="2.25" displayEmptyCellsAs="gap" xr2:uid="{801CA8CC-D432-4872-92D4-B94EC351E4C3}">
          <x14:colorSeries rgb="FF000000"/>
          <x14:colorNegative rgb="FF0070C0"/>
          <x14:colorAxis rgb="FF000000"/>
          <x14:colorMarkers rgb="FF0070C0"/>
          <x14:colorFirst rgb="FF0070C0"/>
          <x14:colorLast rgb="FF0070C0"/>
          <x14:colorHigh rgb="FF0070C0"/>
          <x14:colorLow rgb="FF0070C0"/>
          <x14:sparklines>
            <x14:sparkline>
              <xm:f>Модель!BU168:BW168</xm:f>
              <xm:sqref>BX167</xm:sqref>
            </x14:sparkline>
          </x14:sparklines>
        </x14:sparklineGroup>
        <x14:sparklineGroup manualMax="0" manualMin="0" lineWeight="2.25" displayEmptyCellsAs="gap" xr2:uid="{584876E5-5A05-4177-9F73-E080A0AFF9D9}">
          <x14:colorSeries rgb="FF000000"/>
          <x14:colorNegative rgb="FF0070C0"/>
          <x14:colorAxis rgb="FF000000"/>
          <x14:colorMarkers rgb="FF0070C0"/>
          <x14:colorFirst rgb="FF0070C0"/>
          <x14:colorLast rgb="FF0070C0"/>
          <x14:colorHigh rgb="FF0070C0"/>
          <x14:colorLow rgb="FF0070C0"/>
          <x14:sparklines>
            <x14:sparkline>
              <xm:f>Модель!BU158:BW158</xm:f>
              <xm:sqref>BX157</xm:sqref>
            </x14:sparkline>
          </x14:sparklines>
        </x14:sparklineGroup>
        <x14:sparklineGroup manualMax="0" manualMin="0" lineWeight="2.25" displayEmptyCellsAs="gap" xr2:uid="{A473CF3E-5952-44D4-91A3-1E85B1F6F3CC}">
          <x14:colorSeries rgb="FF000000"/>
          <x14:colorNegative rgb="FF0070C0"/>
          <x14:colorAxis rgb="FF000000"/>
          <x14:colorMarkers rgb="FF0070C0"/>
          <x14:colorFirst rgb="FF0070C0"/>
          <x14:colorLast rgb="FF0070C0"/>
          <x14:colorHigh rgb="FF0070C0"/>
          <x14:colorLow rgb="FF0070C0"/>
          <x14:sparklines>
            <x14:sparkline>
              <xm:f>Модель!CA158:CC158</xm:f>
              <xm:sqref>CD157</xm:sqref>
            </x14:sparkline>
          </x14:sparklines>
        </x14:sparklineGroup>
        <x14:sparklineGroup manualMax="0" manualMin="0" lineWeight="2.25" displayEmptyCellsAs="gap" xr2:uid="{ADAF0589-7F83-47A4-A3FE-A5B50B6050DF}">
          <x14:colorSeries rgb="FF000000"/>
          <x14:colorNegative rgb="FF0070C0"/>
          <x14:colorAxis rgb="FF000000"/>
          <x14:colorMarkers rgb="FF0070C0"/>
          <x14:colorFirst rgb="FF0070C0"/>
          <x14:colorLast rgb="FF0070C0"/>
          <x14:colorHigh rgb="FF0070C0"/>
          <x14:colorLow rgb="FF0070C0"/>
          <x14:sparklines>
            <x14:sparkline>
              <xm:f>Модель!CA238:CC238</xm:f>
              <xm:sqref>CD237</xm:sqref>
            </x14:sparkline>
          </x14:sparklines>
        </x14:sparklineGroup>
        <x14:sparklineGroup manualMax="0" manualMin="0" lineWeight="2.25" displayEmptyCellsAs="gap" xr2:uid="{577C976E-4B69-4F7B-AAA6-841C90D4D8F5}">
          <x14:colorSeries rgb="FF000000"/>
          <x14:colorNegative rgb="FF0070C0"/>
          <x14:colorAxis rgb="FF000000"/>
          <x14:colorMarkers rgb="FF0070C0"/>
          <x14:colorFirst rgb="FF0070C0"/>
          <x14:colorLast rgb="FF0070C0"/>
          <x14:colorHigh rgb="FF0070C0"/>
          <x14:colorLow rgb="FF0070C0"/>
          <x14:sparklines>
            <x14:sparkline>
              <xm:f>Модель!BU238:BW238</xm:f>
              <xm:sqref>BX237</xm:sqref>
            </x14:sparkline>
          </x14:sparklines>
        </x14:sparklineGroup>
        <x14:sparklineGroup manualMax="0" manualMin="0" lineWeight="2.25" displayEmptyCellsAs="gap" xr2:uid="{98B3A178-89C0-4BE6-8E7C-4EE963483B43}">
          <x14:colorSeries rgb="FF000000"/>
          <x14:colorNegative rgb="FF0070C0"/>
          <x14:colorAxis rgb="FF000000"/>
          <x14:colorMarkers rgb="FF0070C0"/>
          <x14:colorFirst rgb="FF0070C0"/>
          <x14:colorLast rgb="FF0070C0"/>
          <x14:colorHigh rgb="FF0070C0"/>
          <x14:colorLow rgb="FF0070C0"/>
          <x14:sparklines>
            <x14:sparkline>
              <xm:f>Модель!BU248:BW248</xm:f>
              <xm:sqref>BX247</xm:sqref>
            </x14:sparkline>
          </x14:sparklines>
        </x14:sparklineGroup>
        <x14:sparklineGroup manualMax="0" manualMin="0" lineWeight="2.25" displayEmptyCellsAs="gap" xr2:uid="{5FAC9B4E-C0F3-4958-B33C-BDB0164D18FF}">
          <x14:colorSeries rgb="FF000000"/>
          <x14:colorNegative rgb="FF0070C0"/>
          <x14:colorAxis rgb="FF000000"/>
          <x14:colorMarkers rgb="FF0070C0"/>
          <x14:colorFirst rgb="FF0070C0"/>
          <x14:colorLast rgb="FF0070C0"/>
          <x14:colorHigh rgb="FF0070C0"/>
          <x14:colorLow rgb="FF0070C0"/>
          <x14:sparklines>
            <x14:sparkline>
              <xm:f>Модель!CA248:CC248</xm:f>
              <xm:sqref>CD247</xm:sqref>
            </x14:sparkline>
          </x14:sparklines>
        </x14:sparklineGroup>
        <x14:sparklineGroup manualMax="0" manualMin="0" lineWeight="2.25" displayEmptyCellsAs="gap" xr2:uid="{3C4F7095-B6FF-4039-9073-377A9B9063DB}">
          <x14:colorSeries rgb="FF000000"/>
          <x14:colorNegative rgb="FF0070C0"/>
          <x14:colorAxis rgb="FF000000"/>
          <x14:colorMarkers rgb="FF0070C0"/>
          <x14:colorFirst rgb="FF0070C0"/>
          <x14:colorLast rgb="FF0070C0"/>
          <x14:colorHigh rgb="FF0070C0"/>
          <x14:colorLow rgb="FF0070C0"/>
          <x14:sparklines>
            <x14:sparkline>
              <xm:f>Модель!CA268:CC268</xm:f>
              <xm:sqref>CD267</xm:sqref>
            </x14:sparkline>
          </x14:sparklines>
        </x14:sparklineGroup>
        <x14:sparklineGroup manualMax="0" manualMin="0" lineWeight="2.25" displayEmptyCellsAs="gap" xr2:uid="{AC3CC05C-4C76-46C2-B76F-65C8D0BAA7B0}">
          <x14:colorSeries rgb="FF000000"/>
          <x14:colorNegative rgb="FF0070C0"/>
          <x14:colorAxis rgb="FF000000"/>
          <x14:colorMarkers rgb="FF0070C0"/>
          <x14:colorFirst rgb="FF0070C0"/>
          <x14:colorLast rgb="FF0070C0"/>
          <x14:colorHigh rgb="FF0070C0"/>
          <x14:colorLow rgb="FF0070C0"/>
          <x14:sparklines>
            <x14:sparkline>
              <xm:f>Модель!BU268:BW268</xm:f>
              <xm:sqref>BX267</xm:sqref>
            </x14:sparkline>
          </x14:sparklines>
        </x14:sparklineGroup>
        <x14:sparklineGroup manualMax="0" manualMin="0" lineWeight="2.25" displayEmptyCellsAs="gap" xr2:uid="{BD8256C2-E3CB-49FE-BB91-3082DE7D6BF5}">
          <x14:colorSeries rgb="FF000000"/>
          <x14:colorNegative rgb="FF0070C0"/>
          <x14:colorAxis rgb="FF000000"/>
          <x14:colorMarkers rgb="FF0070C0"/>
          <x14:colorFirst rgb="FF0070C0"/>
          <x14:colorLast rgb="FF0070C0"/>
          <x14:colorHigh rgb="FF0070C0"/>
          <x14:colorLow rgb="FF0070C0"/>
          <x14:sparklines>
            <x14:sparkline>
              <xm:f>Модель!BU258:BW258</xm:f>
              <xm:sqref>BX257</xm:sqref>
            </x14:sparkline>
          </x14:sparklines>
        </x14:sparklineGroup>
        <x14:sparklineGroup manualMax="0" manualMin="0" lineWeight="2.25" displayEmptyCellsAs="gap" xr2:uid="{5A90DE87-5DFC-4191-81D3-DC13EC1CE0BE}">
          <x14:colorSeries rgb="FF000000"/>
          <x14:colorNegative rgb="FF0070C0"/>
          <x14:colorAxis rgb="FF000000"/>
          <x14:colorMarkers rgb="FF0070C0"/>
          <x14:colorFirst rgb="FF0070C0"/>
          <x14:colorLast rgb="FF0070C0"/>
          <x14:colorHigh rgb="FF0070C0"/>
          <x14:colorLow rgb="FF0070C0"/>
          <x14:sparklines>
            <x14:sparkline>
              <xm:f>Модель!CA258:CC258</xm:f>
              <xm:sqref>CD257</xm:sqref>
            </x14:sparkline>
          </x14:sparklines>
        </x14:sparklineGroup>
        <x14:sparklineGroup manualMax="0" manualMin="0" lineWeight="2.25" displayEmptyCellsAs="gap" xr2:uid="{E8700C62-4731-43E7-BEBE-593C90B73F4D}">
          <x14:colorSeries rgb="FF000000"/>
          <x14:colorNegative rgb="FF0070C0"/>
          <x14:colorAxis rgb="FF000000"/>
          <x14:colorMarkers rgb="FF0070C0"/>
          <x14:colorFirst rgb="FF0070C0"/>
          <x14:colorLast rgb="FF0070C0"/>
          <x14:colorHigh rgb="FF0070C0"/>
          <x14:colorLow rgb="FF0070C0"/>
          <x14:sparklines>
            <x14:sparkline>
              <xm:f>Модель!CA218:CC218</xm:f>
              <xm:sqref>CD217</xm:sqref>
            </x14:sparkline>
          </x14:sparklines>
        </x14:sparklineGroup>
        <x14:sparklineGroup manualMax="0" manualMin="0" lineWeight="2.25" displayEmptyCellsAs="gap" xr2:uid="{1C517892-E51F-43FF-B62B-CA4FC7F7F7DC}">
          <x14:colorSeries rgb="FF000000"/>
          <x14:colorNegative rgb="FF0070C0"/>
          <x14:colorAxis rgb="FF000000"/>
          <x14:colorMarkers rgb="FF0070C0"/>
          <x14:colorFirst rgb="FF0070C0"/>
          <x14:colorLast rgb="FF0070C0"/>
          <x14:colorHigh rgb="FF0070C0"/>
          <x14:colorLow rgb="FF0070C0"/>
          <x14:sparklines>
            <x14:sparkline>
              <xm:f>Модель!BU218:BW218</xm:f>
              <xm:sqref>BX217</xm:sqref>
            </x14:sparkline>
          </x14:sparklines>
        </x14:sparklineGroup>
        <x14:sparklineGroup manualMax="0" manualMin="0" lineWeight="2.25" displayEmptyCellsAs="gap" xr2:uid="{FAB06A72-3477-47A3-AD48-FB3D92439223}">
          <x14:colorSeries rgb="FF000000"/>
          <x14:colorNegative rgb="FF0070C0"/>
          <x14:colorAxis rgb="FF000000"/>
          <x14:colorMarkers rgb="FF0070C0"/>
          <x14:colorFirst rgb="FF0070C0"/>
          <x14:colorLast rgb="FF0070C0"/>
          <x14:colorHigh rgb="FF0070C0"/>
          <x14:colorLow rgb="FF0070C0"/>
          <x14:sparklines>
            <x14:sparkline>
              <xm:f>Модель!BU228:BW228</xm:f>
              <xm:sqref>BX227</xm:sqref>
            </x14:sparkline>
          </x14:sparklines>
        </x14:sparklineGroup>
        <x14:sparklineGroup manualMax="0" manualMin="0" lineWeight="2.25" displayEmptyCellsAs="gap" xr2:uid="{5B30A98E-638D-4C8D-94A0-F7A1553D4C99}">
          <x14:colorSeries rgb="FF000000"/>
          <x14:colorNegative rgb="FF0070C0"/>
          <x14:colorAxis rgb="FF000000"/>
          <x14:colorMarkers rgb="FF0070C0"/>
          <x14:colorFirst rgb="FF0070C0"/>
          <x14:colorLast rgb="FF0070C0"/>
          <x14:colorHigh rgb="FF0070C0"/>
          <x14:colorLow rgb="FF0070C0"/>
          <x14:sparklines>
            <x14:sparkline>
              <xm:f>Модель!CA228:CC228</xm:f>
              <xm:sqref>CD227</xm:sqref>
            </x14:sparkline>
          </x14:sparklines>
        </x14:sparklineGroup>
        <x14:sparklineGroup manualMax="0" manualMin="0" lineWeight="2.25" displayEmptyCellsAs="gap" xr2:uid="{34AAA60D-AB62-472F-B0B5-C139C81F788F}">
          <x14:colorSeries rgb="FF000000"/>
          <x14:colorNegative rgb="FF0070C0"/>
          <x14:colorAxis rgb="FF000000"/>
          <x14:colorMarkers rgb="FF0070C0"/>
          <x14:colorFirst rgb="FF0070C0"/>
          <x14:colorLast rgb="FF0070C0"/>
          <x14:colorHigh rgb="FF0070C0"/>
          <x14:colorLow rgb="FF0070C0"/>
          <x14:sparklines>
            <x14:sparkline>
              <xm:f>Модель!CA208:CC208</xm:f>
              <xm:sqref>CD207</xm:sqref>
            </x14:sparkline>
          </x14:sparklines>
        </x14:sparklineGroup>
        <x14:sparklineGroup manualMax="0" manualMin="0" lineWeight="2.25" displayEmptyCellsAs="gap" xr2:uid="{77D1D2F5-F4BB-4AC0-BC87-C9686C548232}">
          <x14:colorSeries rgb="FF000000"/>
          <x14:colorNegative rgb="FF0070C0"/>
          <x14:colorAxis rgb="FF000000"/>
          <x14:colorMarkers rgb="FF0070C0"/>
          <x14:colorFirst rgb="FF0070C0"/>
          <x14:colorLast rgb="FF0070C0"/>
          <x14:colorHigh rgb="FF0070C0"/>
          <x14:colorLow rgb="FF0070C0"/>
          <x14:sparklines>
            <x14:sparkline>
              <xm:f>Модель!BU208:BW208</xm:f>
              <xm:sqref>BX207</xm:sqref>
            </x14:sparkline>
          </x14:sparklines>
        </x14:sparklineGroup>
        <x14:sparklineGroup manualMax="0" manualMin="0" lineWeight="2.25" displayEmptyCellsAs="gap" xr2:uid="{3FBB23FA-1F90-46DD-BE5A-BE35EA666BE2}">
          <x14:colorSeries rgb="FF000000"/>
          <x14:colorNegative rgb="FF0070C0"/>
          <x14:colorAxis rgb="FF000000"/>
          <x14:colorMarkers rgb="FF0070C0"/>
          <x14:colorFirst rgb="FF0070C0"/>
          <x14:colorLast rgb="FF0070C0"/>
          <x14:colorHigh rgb="FF0070C0"/>
          <x14:colorLow rgb="FF0070C0"/>
          <x14:sparklines>
            <x14:sparkline>
              <xm:f>Модель!BU198:BW198</xm:f>
              <xm:sqref>BX197</xm:sqref>
            </x14:sparkline>
          </x14:sparklines>
        </x14:sparklineGroup>
        <x14:sparklineGroup manualMax="0" manualMin="0" lineWeight="2.25" displayEmptyCellsAs="gap" xr2:uid="{478B24A6-43B2-4AE3-A73D-DF53ED7942A1}">
          <x14:colorSeries rgb="FF000000"/>
          <x14:colorNegative rgb="FF0070C0"/>
          <x14:colorAxis rgb="FF000000"/>
          <x14:colorMarkers rgb="FF0070C0"/>
          <x14:colorFirst rgb="FF0070C0"/>
          <x14:colorLast rgb="FF0070C0"/>
          <x14:colorHigh rgb="FF0070C0"/>
          <x14:colorLow rgb="FF0070C0"/>
          <x14:sparklines>
            <x14:sparkline>
              <xm:f>Модель!CA198:CC198</xm:f>
              <xm:sqref>CD197</xm:sqref>
            </x14:sparkline>
          </x14:sparklines>
        </x14:sparklineGroup>
        <x14:sparklineGroup manualMax="0" manualMin="0" lineWeight="2.25" displayEmptyCellsAs="gap" xr2:uid="{F205F9F1-454B-442B-B347-DC2BBB46EBF3}">
          <x14:colorSeries rgb="FF000000"/>
          <x14:colorNegative rgb="FF0070C0"/>
          <x14:colorAxis rgb="FF000000"/>
          <x14:colorMarkers rgb="FF0070C0"/>
          <x14:colorFirst rgb="FF0070C0"/>
          <x14:colorLast rgb="FF0070C0"/>
          <x14:colorHigh rgb="FF0070C0"/>
          <x14:colorLow rgb="FF0070C0"/>
          <x14:sparklines>
            <x14:sparkline>
              <xm:f>Модель!CA358:CC358</xm:f>
              <xm:sqref>CD357</xm:sqref>
            </x14:sparkline>
          </x14:sparklines>
        </x14:sparklineGroup>
        <x14:sparklineGroup manualMax="0" manualMin="0" lineWeight="2.25" displayEmptyCellsAs="gap" xr2:uid="{2E09535B-665C-4605-8B94-18A67E086192}">
          <x14:colorSeries rgb="FF000000"/>
          <x14:colorNegative rgb="FF0070C0"/>
          <x14:colorAxis rgb="FF000000"/>
          <x14:colorMarkers rgb="FF0070C0"/>
          <x14:colorFirst rgb="FF0070C0"/>
          <x14:colorLast rgb="FF0070C0"/>
          <x14:colorHigh rgb="FF0070C0"/>
          <x14:colorLow rgb="FF0070C0"/>
          <x14:sparklines>
            <x14:sparkline>
              <xm:f>Модель!BU358:BW358</xm:f>
              <xm:sqref>BX357</xm:sqref>
            </x14:sparkline>
          </x14:sparklines>
        </x14:sparklineGroup>
        <x14:sparklineGroup manualMax="0" manualMin="0" lineWeight="2.25" displayEmptyCellsAs="gap" xr2:uid="{731FFC80-0941-4ED3-A5FF-C017A0FBA29E}">
          <x14:colorSeries rgb="FF000000"/>
          <x14:colorNegative rgb="FF0070C0"/>
          <x14:colorAxis rgb="FF000000"/>
          <x14:colorMarkers rgb="FF0070C0"/>
          <x14:colorFirst rgb="FF0070C0"/>
          <x14:colorLast rgb="FF0070C0"/>
          <x14:colorHigh rgb="FF0070C0"/>
          <x14:colorLow rgb="FF0070C0"/>
          <x14:sparklines>
            <x14:sparkline>
              <xm:f>Модель!BU368:BW368</xm:f>
              <xm:sqref>BX367</xm:sqref>
            </x14:sparkline>
          </x14:sparklines>
        </x14:sparklineGroup>
        <x14:sparklineGroup manualMax="0" manualMin="0" lineWeight="2.25" displayEmptyCellsAs="gap" xr2:uid="{9715BA39-989D-481D-BBE1-7165CF1D0445}">
          <x14:colorSeries rgb="FF000000"/>
          <x14:colorNegative rgb="FF0070C0"/>
          <x14:colorAxis rgb="FF000000"/>
          <x14:colorMarkers rgb="FF0070C0"/>
          <x14:colorFirst rgb="FF0070C0"/>
          <x14:colorLast rgb="FF0070C0"/>
          <x14:colorHigh rgb="FF0070C0"/>
          <x14:colorLow rgb="FF0070C0"/>
          <x14:sparklines>
            <x14:sparkline>
              <xm:f>Модель!CA368:CC368</xm:f>
              <xm:sqref>CD367</xm:sqref>
            </x14:sparkline>
          </x14:sparklines>
        </x14:sparklineGroup>
        <x14:sparklineGroup manualMax="0" manualMin="0" lineWeight="2.25" displayEmptyCellsAs="gap" xr2:uid="{3D2A8237-832C-425E-A1F6-9E239A81DE60}">
          <x14:colorSeries rgb="FF000000"/>
          <x14:colorNegative rgb="FF0070C0"/>
          <x14:colorAxis rgb="FF000000"/>
          <x14:colorMarkers rgb="FF0070C0"/>
          <x14:colorFirst rgb="FF0070C0"/>
          <x14:colorLast rgb="FF0070C0"/>
          <x14:colorHigh rgb="FF0070C0"/>
          <x14:colorLow rgb="FF0070C0"/>
          <x14:sparklines>
            <x14:sparkline>
              <xm:f>Модель!CA388:CC388</xm:f>
              <xm:sqref>CD387</xm:sqref>
            </x14:sparkline>
          </x14:sparklines>
        </x14:sparklineGroup>
        <x14:sparklineGroup manualMax="0" manualMin="0" lineWeight="2.25" displayEmptyCellsAs="gap" xr2:uid="{C87BD7D3-C245-469B-A67D-897245543E70}">
          <x14:colorSeries rgb="FF000000"/>
          <x14:colorNegative rgb="FF0070C0"/>
          <x14:colorAxis rgb="FF000000"/>
          <x14:colorMarkers rgb="FF0070C0"/>
          <x14:colorFirst rgb="FF0070C0"/>
          <x14:colorLast rgb="FF0070C0"/>
          <x14:colorHigh rgb="FF0070C0"/>
          <x14:colorLow rgb="FF0070C0"/>
          <x14:sparklines>
            <x14:sparkline>
              <xm:f>Модель!BU388:BW388</xm:f>
              <xm:sqref>BX387</xm:sqref>
            </x14:sparkline>
          </x14:sparklines>
        </x14:sparklineGroup>
        <x14:sparklineGroup manualMax="0" manualMin="0" lineWeight="2.25" displayEmptyCellsAs="gap" xr2:uid="{CF2D4020-4EAD-41C5-BF66-241A35F9223B}">
          <x14:colorSeries rgb="FF000000"/>
          <x14:colorNegative rgb="FF0070C0"/>
          <x14:colorAxis rgb="FF000000"/>
          <x14:colorMarkers rgb="FF0070C0"/>
          <x14:colorFirst rgb="FF0070C0"/>
          <x14:colorLast rgb="FF0070C0"/>
          <x14:colorHigh rgb="FF0070C0"/>
          <x14:colorLow rgb="FF0070C0"/>
          <x14:sparklines>
            <x14:sparkline>
              <xm:f>Модель!BU378:BW378</xm:f>
              <xm:sqref>BX377</xm:sqref>
            </x14:sparkline>
          </x14:sparklines>
        </x14:sparklineGroup>
        <x14:sparklineGroup manualMax="0" manualMin="0" lineWeight="2.25" displayEmptyCellsAs="gap" xr2:uid="{4CD13A79-1E32-44CB-BCEA-9AF590629EE2}">
          <x14:colorSeries rgb="FF000000"/>
          <x14:colorNegative rgb="FF0070C0"/>
          <x14:colorAxis rgb="FF000000"/>
          <x14:colorMarkers rgb="FF0070C0"/>
          <x14:colorFirst rgb="FF0070C0"/>
          <x14:colorLast rgb="FF0070C0"/>
          <x14:colorHigh rgb="FF0070C0"/>
          <x14:colorLow rgb="FF0070C0"/>
          <x14:sparklines>
            <x14:sparkline>
              <xm:f>Модель!CA378:CC378</xm:f>
              <xm:sqref>CD377</xm:sqref>
            </x14:sparkline>
          </x14:sparklines>
        </x14:sparklineGroup>
        <x14:sparklineGroup manualMax="0" manualMin="0" lineWeight="2.25" displayEmptyCellsAs="gap" xr2:uid="{A99B7A33-6DA5-47E1-AE78-2393D5CC7EAC}">
          <x14:colorSeries rgb="FF000000"/>
          <x14:colorNegative rgb="FF0070C0"/>
          <x14:colorAxis rgb="FF000000"/>
          <x14:colorMarkers rgb="FF0070C0"/>
          <x14:colorFirst rgb="FF0070C0"/>
          <x14:colorLast rgb="FF0070C0"/>
          <x14:colorHigh rgb="FF0070C0"/>
          <x14:colorLow rgb="FF0070C0"/>
          <x14:sparklines>
            <x14:sparkline>
              <xm:f>Модель!CA418:CC418</xm:f>
              <xm:sqref>CD417</xm:sqref>
            </x14:sparkline>
          </x14:sparklines>
        </x14:sparklineGroup>
        <x14:sparklineGroup manualMax="0" manualMin="0" lineWeight="2.25" displayEmptyCellsAs="gap" xr2:uid="{5CF29754-DB4C-4C73-AE3E-01D035FB95E7}">
          <x14:colorSeries rgb="FF000000"/>
          <x14:colorNegative rgb="FF0070C0"/>
          <x14:colorAxis rgb="FF000000"/>
          <x14:colorMarkers rgb="FF0070C0"/>
          <x14:colorFirst rgb="FF0070C0"/>
          <x14:colorLast rgb="FF0070C0"/>
          <x14:colorHigh rgb="FF0070C0"/>
          <x14:colorLow rgb="FF0070C0"/>
          <x14:sparklines>
            <x14:sparkline>
              <xm:f>Модель!BU418:BW418</xm:f>
              <xm:sqref>BX417</xm:sqref>
            </x14:sparkline>
          </x14:sparklines>
        </x14:sparklineGroup>
        <x14:sparklineGroup manualMax="0" manualMin="0" lineWeight="2.25" displayEmptyCellsAs="gap" xr2:uid="{2C61D201-B567-4C4A-BAFC-30DB4A082DEF}">
          <x14:colorSeries rgb="FF000000"/>
          <x14:colorNegative rgb="FF0070C0"/>
          <x14:colorAxis rgb="FF000000"/>
          <x14:colorMarkers rgb="FF0070C0"/>
          <x14:colorFirst rgb="FF0070C0"/>
          <x14:colorLast rgb="FF0070C0"/>
          <x14:colorHigh rgb="FF0070C0"/>
          <x14:colorLow rgb="FF0070C0"/>
          <x14:sparklines>
            <x14:sparkline>
              <xm:f>Модель!BU428:BW428</xm:f>
              <xm:sqref>BX427</xm:sqref>
            </x14:sparkline>
          </x14:sparklines>
        </x14:sparklineGroup>
        <x14:sparklineGroup manualMax="0" manualMin="0" lineWeight="2.25" displayEmptyCellsAs="gap" xr2:uid="{F3A3BF23-95B2-4694-8242-E5EC122C1331}">
          <x14:colorSeries rgb="FF000000"/>
          <x14:colorNegative rgb="FF0070C0"/>
          <x14:colorAxis rgb="FF000000"/>
          <x14:colorMarkers rgb="FF0070C0"/>
          <x14:colorFirst rgb="FF0070C0"/>
          <x14:colorLast rgb="FF0070C0"/>
          <x14:colorHigh rgb="FF0070C0"/>
          <x14:colorLow rgb="FF0070C0"/>
          <x14:sparklines>
            <x14:sparkline>
              <xm:f>Модель!CA428:CC428</xm:f>
              <xm:sqref>CD427</xm:sqref>
            </x14:sparkline>
          </x14:sparklines>
        </x14:sparklineGroup>
        <x14:sparklineGroup manualMax="0" manualMin="0" lineWeight="2.25" displayEmptyCellsAs="gap" xr2:uid="{2B965DE5-CC15-46CC-B305-41F6A4673DB4}">
          <x14:colorSeries rgb="FF000000"/>
          <x14:colorNegative rgb="FF0070C0"/>
          <x14:colorAxis rgb="FF000000"/>
          <x14:colorMarkers rgb="FF0070C0"/>
          <x14:colorFirst rgb="FF0070C0"/>
          <x14:colorLast rgb="FF0070C0"/>
          <x14:colorHigh rgb="FF0070C0"/>
          <x14:colorLow rgb="FF0070C0"/>
          <x14:sparklines>
            <x14:sparkline>
              <xm:f>Модель!CA408:CC408</xm:f>
              <xm:sqref>CD407</xm:sqref>
            </x14:sparkline>
          </x14:sparklines>
        </x14:sparklineGroup>
        <x14:sparklineGroup manualMax="0" manualMin="0" lineWeight="2.25" displayEmptyCellsAs="gap" xr2:uid="{CA095761-AFA5-435D-ABFA-06AC382A347C}">
          <x14:colorSeries rgb="FF000000"/>
          <x14:colorNegative rgb="FF0070C0"/>
          <x14:colorAxis rgb="FF000000"/>
          <x14:colorMarkers rgb="FF0070C0"/>
          <x14:colorFirst rgb="FF0070C0"/>
          <x14:colorLast rgb="FF0070C0"/>
          <x14:colorHigh rgb="FF0070C0"/>
          <x14:colorLow rgb="FF0070C0"/>
          <x14:sparklines>
            <x14:sparkline>
              <xm:f>Модель!BU408:BW408</xm:f>
              <xm:sqref>BX407</xm:sqref>
            </x14:sparkline>
          </x14:sparklines>
        </x14:sparklineGroup>
        <x14:sparklineGroup manualMax="0" manualMin="0" lineWeight="2.25" displayEmptyCellsAs="gap" xr2:uid="{C92A1503-FEB8-48BA-A18D-F9583E33DD9D}">
          <x14:colorSeries rgb="FF000000"/>
          <x14:colorNegative rgb="FF0070C0"/>
          <x14:colorAxis rgb="FF000000"/>
          <x14:colorMarkers rgb="FF0070C0"/>
          <x14:colorFirst rgb="FF0070C0"/>
          <x14:colorLast rgb="FF0070C0"/>
          <x14:colorHigh rgb="FF0070C0"/>
          <x14:colorLow rgb="FF0070C0"/>
          <x14:sparklines>
            <x14:sparkline>
              <xm:f>Модель!BU398:BW398</xm:f>
              <xm:sqref>BX397</xm:sqref>
            </x14:sparkline>
          </x14:sparklines>
        </x14:sparklineGroup>
        <x14:sparklineGroup manualMax="0" manualMin="0" lineWeight="2.25" displayEmptyCellsAs="gap" xr2:uid="{68A52830-CB37-498E-9608-3EC08C8EB373}">
          <x14:colorSeries rgb="FF000000"/>
          <x14:colorNegative rgb="FF0070C0"/>
          <x14:colorAxis rgb="FF000000"/>
          <x14:colorMarkers rgb="FF0070C0"/>
          <x14:colorFirst rgb="FF0070C0"/>
          <x14:colorLast rgb="FF0070C0"/>
          <x14:colorHigh rgb="FF0070C0"/>
          <x14:colorLow rgb="FF0070C0"/>
          <x14:sparklines>
            <x14:sparkline>
              <xm:f>Модель!CA398:CC398</xm:f>
              <xm:sqref>CD397</xm:sqref>
            </x14:sparkline>
          </x14:sparklines>
        </x14:sparklineGroup>
        <x14:sparklineGroup manualMax="0" manualMin="0" lineWeight="2.25" displayEmptyCellsAs="gap" xr2:uid="{4A837A5A-ABC1-4EA2-94EF-008DD2090B92}">
          <x14:colorSeries rgb="FF000000"/>
          <x14:colorNegative rgb="FF0070C0"/>
          <x14:colorAxis rgb="FF000000"/>
          <x14:colorMarkers rgb="FF0070C0"/>
          <x14:colorFirst rgb="FF0070C0"/>
          <x14:colorLast rgb="FF0070C0"/>
          <x14:colorHigh rgb="FF0070C0"/>
          <x14:colorLow rgb="FF0070C0"/>
          <x14:sparklines>
            <x14:sparkline>
              <xm:f>Модель!CA318:CC318</xm:f>
              <xm:sqref>CD317</xm:sqref>
            </x14:sparkline>
          </x14:sparklines>
        </x14:sparklineGroup>
        <x14:sparklineGroup manualMax="0" manualMin="0" lineWeight="2.25" displayEmptyCellsAs="gap" xr2:uid="{41128D12-8AC7-47F0-8F26-EFAD4427ACAD}">
          <x14:colorSeries rgb="FF000000"/>
          <x14:colorNegative rgb="FF0070C0"/>
          <x14:colorAxis rgb="FF000000"/>
          <x14:colorMarkers rgb="FF0070C0"/>
          <x14:colorFirst rgb="FF0070C0"/>
          <x14:colorLast rgb="FF0070C0"/>
          <x14:colorHigh rgb="FF0070C0"/>
          <x14:colorLow rgb="FF0070C0"/>
          <x14:sparklines>
            <x14:sparkline>
              <xm:f>Модель!BU318:BW318</xm:f>
              <xm:sqref>BX317</xm:sqref>
            </x14:sparkline>
          </x14:sparklines>
        </x14:sparklineGroup>
        <x14:sparklineGroup manualMax="0" manualMin="0" lineWeight="2.25" displayEmptyCellsAs="gap" xr2:uid="{9202EF2C-2440-4AA6-ABEC-28592A6F7E07}">
          <x14:colorSeries rgb="FF000000"/>
          <x14:colorNegative rgb="FF0070C0"/>
          <x14:colorAxis rgb="FF000000"/>
          <x14:colorMarkers rgb="FF0070C0"/>
          <x14:colorFirst rgb="FF0070C0"/>
          <x14:colorLast rgb="FF0070C0"/>
          <x14:colorHigh rgb="FF0070C0"/>
          <x14:colorLow rgb="FF0070C0"/>
          <x14:sparklines>
            <x14:sparkline>
              <xm:f>Модель!BU328:BW328</xm:f>
              <xm:sqref>BX327</xm:sqref>
            </x14:sparkline>
          </x14:sparklines>
        </x14:sparklineGroup>
        <x14:sparklineGroup manualMax="0" manualMin="0" lineWeight="2.25" displayEmptyCellsAs="gap" xr2:uid="{149362A5-BE96-4741-A0AA-418437A63C4F}">
          <x14:colorSeries rgb="FF000000"/>
          <x14:colorNegative rgb="FF0070C0"/>
          <x14:colorAxis rgb="FF000000"/>
          <x14:colorMarkers rgb="FF0070C0"/>
          <x14:colorFirst rgb="FF0070C0"/>
          <x14:colorLast rgb="FF0070C0"/>
          <x14:colorHigh rgb="FF0070C0"/>
          <x14:colorLow rgb="FF0070C0"/>
          <x14:sparklines>
            <x14:sparkline>
              <xm:f>Модель!CA328:CC328</xm:f>
              <xm:sqref>CD327</xm:sqref>
            </x14:sparkline>
          </x14:sparklines>
        </x14:sparklineGroup>
        <x14:sparklineGroup manualMax="0" manualMin="0" lineWeight="2.25" displayEmptyCellsAs="gap" xr2:uid="{60199136-0F72-42E3-957D-10C344C8A241}">
          <x14:colorSeries rgb="FF000000"/>
          <x14:colorNegative rgb="FF0070C0"/>
          <x14:colorAxis rgb="FF000000"/>
          <x14:colorMarkers rgb="FF0070C0"/>
          <x14:colorFirst rgb="FF0070C0"/>
          <x14:colorLast rgb="FF0070C0"/>
          <x14:colorHigh rgb="FF0070C0"/>
          <x14:colorLow rgb="FF0070C0"/>
          <x14:sparklines>
            <x14:sparkline>
              <xm:f>Модель!CA348:CC348</xm:f>
              <xm:sqref>CD347</xm:sqref>
            </x14:sparkline>
          </x14:sparklines>
        </x14:sparklineGroup>
        <x14:sparklineGroup manualMax="0" manualMin="0" lineWeight="2.25" displayEmptyCellsAs="gap" xr2:uid="{80220C94-336F-40E2-9377-A90D47B46D98}">
          <x14:colorSeries rgb="FF000000"/>
          <x14:colorNegative rgb="FF0070C0"/>
          <x14:colorAxis rgb="FF000000"/>
          <x14:colorMarkers rgb="FF0070C0"/>
          <x14:colorFirst rgb="FF0070C0"/>
          <x14:colorLast rgb="FF0070C0"/>
          <x14:colorHigh rgb="FF0070C0"/>
          <x14:colorLow rgb="FF0070C0"/>
          <x14:sparklines>
            <x14:sparkline>
              <xm:f>Модель!BU348:BW348</xm:f>
              <xm:sqref>BX347</xm:sqref>
            </x14:sparkline>
          </x14:sparklines>
        </x14:sparklineGroup>
        <x14:sparklineGroup manualMax="0" manualMin="0" lineWeight="2.25" displayEmptyCellsAs="gap" xr2:uid="{80A9ABBA-CF91-4FA9-A77B-BB254CD1DCEF}">
          <x14:colorSeries rgb="FF000000"/>
          <x14:colorNegative rgb="FF0070C0"/>
          <x14:colorAxis rgb="FF000000"/>
          <x14:colorMarkers rgb="FF0070C0"/>
          <x14:colorFirst rgb="FF0070C0"/>
          <x14:colorLast rgb="FF0070C0"/>
          <x14:colorHigh rgb="FF0070C0"/>
          <x14:colorLow rgb="FF0070C0"/>
          <x14:sparklines>
            <x14:sparkline>
              <xm:f>Модель!BU338:BW338</xm:f>
              <xm:sqref>BX337</xm:sqref>
            </x14:sparkline>
          </x14:sparklines>
        </x14:sparklineGroup>
        <x14:sparklineGroup manualMax="0" manualMin="0" lineWeight="2.25" displayEmptyCellsAs="gap" xr2:uid="{08B6F01F-FAB3-49EF-A865-4C50E25B2ED9}">
          <x14:colorSeries rgb="FF000000"/>
          <x14:colorNegative rgb="FF0070C0"/>
          <x14:colorAxis rgb="FF000000"/>
          <x14:colorMarkers rgb="FF0070C0"/>
          <x14:colorFirst rgb="FF0070C0"/>
          <x14:colorLast rgb="FF0070C0"/>
          <x14:colorHigh rgb="FF0070C0"/>
          <x14:colorLow rgb="FF0070C0"/>
          <x14:sparklines>
            <x14:sparkline>
              <xm:f>Модель!CA338:CC338</xm:f>
              <xm:sqref>CD337</xm:sqref>
            </x14:sparkline>
          </x14:sparklines>
        </x14:sparklineGroup>
        <x14:sparklineGroup manualMax="0" manualMin="0" lineWeight="2.25" displayEmptyCellsAs="gap" xr2:uid="{9318F47A-6578-4FF9-AC1E-485D5F2CED19}">
          <x14:colorSeries rgb="FF000000"/>
          <x14:colorNegative rgb="FF0070C0"/>
          <x14:colorAxis rgb="FF000000"/>
          <x14:colorMarkers rgb="FF0070C0"/>
          <x14:colorFirst rgb="FF0070C0"/>
          <x14:colorLast rgb="FF0070C0"/>
          <x14:colorHigh rgb="FF0070C0"/>
          <x14:colorLow rgb="FF0070C0"/>
          <x14:sparklines>
            <x14:sparkline>
              <xm:f>Модель!CA298:CC298</xm:f>
              <xm:sqref>CD297</xm:sqref>
            </x14:sparkline>
          </x14:sparklines>
        </x14:sparklineGroup>
        <x14:sparklineGroup manualMax="0" manualMin="0" lineWeight="2.25" displayEmptyCellsAs="gap" xr2:uid="{E24E8637-4A52-4F6E-8584-F280B82D0733}">
          <x14:colorSeries rgb="FF000000"/>
          <x14:colorNegative rgb="FF0070C0"/>
          <x14:colorAxis rgb="FF000000"/>
          <x14:colorMarkers rgb="FF0070C0"/>
          <x14:colorFirst rgb="FF0070C0"/>
          <x14:colorLast rgb="FF0070C0"/>
          <x14:colorHigh rgb="FF0070C0"/>
          <x14:colorLow rgb="FF0070C0"/>
          <x14:sparklines>
            <x14:sparkline>
              <xm:f>Модель!BU298:BW298</xm:f>
              <xm:sqref>BX297</xm:sqref>
            </x14:sparkline>
          </x14:sparklines>
        </x14:sparklineGroup>
        <x14:sparklineGroup manualMax="0" manualMin="0" lineWeight="2.25" displayEmptyCellsAs="gap" xr2:uid="{7BEB462E-485E-4C8E-97EE-F66093A27669}">
          <x14:colorSeries rgb="FF000000"/>
          <x14:colorNegative rgb="FF0070C0"/>
          <x14:colorAxis rgb="FF000000"/>
          <x14:colorMarkers rgb="FF0070C0"/>
          <x14:colorFirst rgb="FF0070C0"/>
          <x14:colorLast rgb="FF0070C0"/>
          <x14:colorHigh rgb="FF0070C0"/>
          <x14:colorLow rgb="FF0070C0"/>
          <x14:sparklines>
            <x14:sparkline>
              <xm:f>Модель!BU308:BW308</xm:f>
              <xm:sqref>BX307</xm:sqref>
            </x14:sparkline>
          </x14:sparklines>
        </x14:sparklineGroup>
        <x14:sparklineGroup manualMax="0" manualMin="0" lineWeight="2.25" displayEmptyCellsAs="gap" xr2:uid="{32EF0E1D-A0E5-4143-BB8E-B6BE8B9CC50E}">
          <x14:colorSeries rgb="FF000000"/>
          <x14:colorNegative rgb="FF0070C0"/>
          <x14:colorAxis rgb="FF000000"/>
          <x14:colorMarkers rgb="FF0070C0"/>
          <x14:colorFirst rgb="FF0070C0"/>
          <x14:colorLast rgb="FF0070C0"/>
          <x14:colorHigh rgb="FF0070C0"/>
          <x14:colorLow rgb="FF0070C0"/>
          <x14:sparklines>
            <x14:sparkline>
              <xm:f>Модель!CA308:CC308</xm:f>
              <xm:sqref>CD307</xm:sqref>
            </x14:sparkline>
          </x14:sparklines>
        </x14:sparklineGroup>
        <x14:sparklineGroup manualMax="0" manualMin="0" lineWeight="2.25" displayEmptyCellsAs="gap" xr2:uid="{D63C5F03-5D44-4AEA-8D77-099361224B89}">
          <x14:colorSeries rgb="FF000000"/>
          <x14:colorNegative rgb="FF0070C0"/>
          <x14:colorAxis rgb="FF000000"/>
          <x14:colorMarkers rgb="FF0070C0"/>
          <x14:colorFirst rgb="FF0070C0"/>
          <x14:colorLast rgb="FF0070C0"/>
          <x14:colorHigh rgb="FF0070C0"/>
          <x14:colorLow rgb="FF0070C0"/>
          <x14:sparklines>
            <x14:sparkline>
              <xm:f>Модель!CA288:CC288</xm:f>
              <xm:sqref>CD287</xm:sqref>
            </x14:sparkline>
          </x14:sparklines>
        </x14:sparklineGroup>
        <x14:sparklineGroup manualMax="0" manualMin="0" lineWeight="2.25" displayEmptyCellsAs="gap" xr2:uid="{027EDC94-D5C0-4D3E-9771-24C30FBF1166}">
          <x14:colorSeries rgb="FF000000"/>
          <x14:colorNegative rgb="FF0070C0"/>
          <x14:colorAxis rgb="FF000000"/>
          <x14:colorMarkers rgb="FF0070C0"/>
          <x14:colorFirst rgb="FF0070C0"/>
          <x14:colorLast rgb="FF0070C0"/>
          <x14:colorHigh rgb="FF0070C0"/>
          <x14:colorLow rgb="FF0070C0"/>
          <x14:sparklines>
            <x14:sparkline>
              <xm:f>Модель!BU288:BW288</xm:f>
              <xm:sqref>BX287</xm:sqref>
            </x14:sparkline>
          </x14:sparklines>
        </x14:sparklineGroup>
        <x14:sparklineGroup manualMax="0" manualMin="0" lineWeight="2.25" displayEmptyCellsAs="gap" xr2:uid="{1C6B5535-E0EE-4E8F-ABA9-53BE5846F483}">
          <x14:colorSeries rgb="FF000000"/>
          <x14:colorNegative rgb="FF0070C0"/>
          <x14:colorAxis rgb="FF000000"/>
          <x14:colorMarkers rgb="FF0070C0"/>
          <x14:colorFirst rgb="FF0070C0"/>
          <x14:colorLast rgb="FF0070C0"/>
          <x14:colorHigh rgb="FF0070C0"/>
          <x14:colorLow rgb="FF0070C0"/>
          <x14:sparklines>
            <x14:sparkline>
              <xm:f>Модель!BU278:BW278</xm:f>
              <xm:sqref>BX277</xm:sqref>
            </x14:sparkline>
          </x14:sparklines>
        </x14:sparklineGroup>
        <x14:sparklineGroup manualMax="0" manualMin="0" lineWeight="2.25" displayEmptyCellsAs="gap" xr2:uid="{592230B6-93D0-406A-A92E-0435462ECA0F}">
          <x14:colorSeries rgb="FF000000"/>
          <x14:colorNegative rgb="FF0070C0"/>
          <x14:colorAxis rgb="FF000000"/>
          <x14:colorMarkers rgb="FF0070C0"/>
          <x14:colorFirst rgb="FF0070C0"/>
          <x14:colorLast rgb="FF0070C0"/>
          <x14:colorHigh rgb="FF0070C0"/>
          <x14:colorLow rgb="FF0070C0"/>
          <x14:sparklines>
            <x14:sparkline>
              <xm:f>Модель!CA278:CC278</xm:f>
              <xm:sqref>CD277</xm:sqref>
            </x14:sparkline>
          </x14:sparklines>
        </x14:sparklineGroup>
        <x14:sparklineGroup manualMax="0" manualMin="0" lineWeight="2.25" displayEmptyCellsAs="gap" xr2:uid="{34C95232-5380-44E4-BBF2-691F6536C360}">
          <x14:colorSeries rgb="FF000000"/>
          <x14:colorNegative rgb="FF0070C0"/>
          <x14:colorAxis rgb="FF000000"/>
          <x14:colorMarkers rgb="FF0070C0"/>
          <x14:colorFirst rgb="FF0070C0"/>
          <x14:colorLast rgb="FF0070C0"/>
          <x14:colorHigh rgb="FF0070C0"/>
          <x14:colorLow rgb="FF0070C0"/>
          <x14:sparklines>
            <x14:sparkline>
              <xm:f>Модель!CA598:CC598</xm:f>
              <xm:sqref>CD597</xm:sqref>
            </x14:sparkline>
          </x14:sparklines>
        </x14:sparklineGroup>
        <x14:sparklineGroup manualMax="0" manualMin="0" lineWeight="2.25" displayEmptyCellsAs="gap" xr2:uid="{131EB70E-14DA-4015-A399-33B0D7DE7D29}">
          <x14:colorSeries rgb="FF000000"/>
          <x14:colorNegative rgb="FF0070C0"/>
          <x14:colorAxis rgb="FF000000"/>
          <x14:colorMarkers rgb="FF0070C0"/>
          <x14:colorFirst rgb="FF0070C0"/>
          <x14:colorLast rgb="FF0070C0"/>
          <x14:colorHigh rgb="FF0070C0"/>
          <x14:colorLow rgb="FF0070C0"/>
          <x14:sparklines>
            <x14:sparkline>
              <xm:f>Модель!BU598:BW598</xm:f>
              <xm:sqref>BX597</xm:sqref>
            </x14:sparkline>
          </x14:sparklines>
        </x14:sparklineGroup>
        <x14:sparklineGroup manualMax="0" manualMin="0" lineWeight="2.25" displayEmptyCellsAs="gap" xr2:uid="{7C2FFDF5-A734-4048-8583-DCAB256D1502}">
          <x14:colorSeries rgb="FF000000"/>
          <x14:colorNegative rgb="FF0070C0"/>
          <x14:colorAxis rgb="FF000000"/>
          <x14:colorMarkers rgb="FF0070C0"/>
          <x14:colorFirst rgb="FF0070C0"/>
          <x14:colorLast rgb="FF0070C0"/>
          <x14:colorHigh rgb="FF0070C0"/>
          <x14:colorLow rgb="FF0070C0"/>
          <x14:sparklines>
            <x14:sparkline>
              <xm:f>Модель!BU608:BW608</xm:f>
              <xm:sqref>BX607</xm:sqref>
            </x14:sparkline>
          </x14:sparklines>
        </x14:sparklineGroup>
        <x14:sparklineGroup manualMax="0" manualMin="0" lineWeight="2.25" displayEmptyCellsAs="gap" xr2:uid="{180604D8-11ED-4FED-8F16-DF29DB669048}">
          <x14:colorSeries rgb="FF000000"/>
          <x14:colorNegative rgb="FF0070C0"/>
          <x14:colorAxis rgb="FF000000"/>
          <x14:colorMarkers rgb="FF0070C0"/>
          <x14:colorFirst rgb="FF0070C0"/>
          <x14:colorLast rgb="FF0070C0"/>
          <x14:colorHigh rgb="FF0070C0"/>
          <x14:colorLow rgb="FF0070C0"/>
          <x14:sparklines>
            <x14:sparkline>
              <xm:f>Модель!CA608:CC608</xm:f>
              <xm:sqref>CD607</xm:sqref>
            </x14:sparkline>
          </x14:sparklines>
        </x14:sparklineGroup>
        <x14:sparklineGroup manualMax="0" manualMin="0" lineWeight="2.25" displayEmptyCellsAs="gap" xr2:uid="{EBE2FBC8-DAC9-44B0-A06F-440AEB119A08}">
          <x14:colorSeries rgb="FF000000"/>
          <x14:colorNegative rgb="FF0070C0"/>
          <x14:colorAxis rgb="FF000000"/>
          <x14:colorMarkers rgb="FF0070C0"/>
          <x14:colorFirst rgb="FF0070C0"/>
          <x14:colorLast rgb="FF0070C0"/>
          <x14:colorHigh rgb="FF0070C0"/>
          <x14:colorLow rgb="FF0070C0"/>
          <x14:sparklines>
            <x14:sparkline>
              <xm:f>Модель!CA628:CC628</xm:f>
              <xm:sqref>CD627</xm:sqref>
            </x14:sparkline>
          </x14:sparklines>
        </x14:sparklineGroup>
        <x14:sparklineGroup manualMax="0" manualMin="0" lineWeight="2.25" displayEmptyCellsAs="gap" xr2:uid="{FCE36BA8-360A-4230-A638-59B859425AF6}">
          <x14:colorSeries rgb="FF000000"/>
          <x14:colorNegative rgb="FF0070C0"/>
          <x14:colorAxis rgb="FF000000"/>
          <x14:colorMarkers rgb="FF0070C0"/>
          <x14:colorFirst rgb="FF0070C0"/>
          <x14:colorLast rgb="FF0070C0"/>
          <x14:colorHigh rgb="FF0070C0"/>
          <x14:colorLow rgb="FF0070C0"/>
          <x14:sparklines>
            <x14:sparkline>
              <xm:f>Модель!BU628:BW628</xm:f>
              <xm:sqref>BX627</xm:sqref>
            </x14:sparkline>
          </x14:sparklines>
        </x14:sparklineGroup>
        <x14:sparklineGroup manualMax="0" manualMin="0" lineWeight="2.25" displayEmptyCellsAs="gap" xr2:uid="{E5905E38-4EE1-4E33-9F42-038956746B50}">
          <x14:colorSeries rgb="FF000000"/>
          <x14:colorNegative rgb="FF0070C0"/>
          <x14:colorAxis rgb="FF000000"/>
          <x14:colorMarkers rgb="FF0070C0"/>
          <x14:colorFirst rgb="FF0070C0"/>
          <x14:colorLast rgb="FF0070C0"/>
          <x14:colorHigh rgb="FF0070C0"/>
          <x14:colorLow rgb="FF0070C0"/>
          <x14:sparklines>
            <x14:sparkline>
              <xm:f>Модель!BU618:BW618</xm:f>
              <xm:sqref>BX617</xm:sqref>
            </x14:sparkline>
          </x14:sparklines>
        </x14:sparklineGroup>
        <x14:sparklineGroup manualMax="0" manualMin="0" lineWeight="2.25" displayEmptyCellsAs="gap" xr2:uid="{C3D7C095-5837-4E3E-A054-3E04A8DDD003}">
          <x14:colorSeries rgb="FF000000"/>
          <x14:colorNegative rgb="FF0070C0"/>
          <x14:colorAxis rgb="FF000000"/>
          <x14:colorMarkers rgb="FF0070C0"/>
          <x14:colorFirst rgb="FF0070C0"/>
          <x14:colorLast rgb="FF0070C0"/>
          <x14:colorHigh rgb="FF0070C0"/>
          <x14:colorLow rgb="FF0070C0"/>
          <x14:sparklines>
            <x14:sparkline>
              <xm:f>Модель!CA618:CC618</xm:f>
              <xm:sqref>CD617</xm:sqref>
            </x14:sparkline>
          </x14:sparklines>
        </x14:sparklineGroup>
        <x14:sparklineGroup manualMax="0" manualMin="0" lineWeight="2.25" displayEmptyCellsAs="gap" xr2:uid="{917F5DFC-5051-4FB9-8433-8597F58B27C9}">
          <x14:colorSeries rgb="FF000000"/>
          <x14:colorNegative rgb="FF0070C0"/>
          <x14:colorAxis rgb="FF000000"/>
          <x14:colorMarkers rgb="FF0070C0"/>
          <x14:colorFirst rgb="FF0070C0"/>
          <x14:colorLast rgb="FF0070C0"/>
          <x14:colorHigh rgb="FF0070C0"/>
          <x14:colorLow rgb="FF0070C0"/>
          <x14:sparklines>
            <x14:sparkline>
              <xm:f>Модель!CA658:CC658</xm:f>
              <xm:sqref>CD657</xm:sqref>
            </x14:sparkline>
          </x14:sparklines>
        </x14:sparklineGroup>
        <x14:sparklineGroup manualMax="0" manualMin="0" lineWeight="2.25" displayEmptyCellsAs="gap" xr2:uid="{2EA7CDE6-5D20-43FD-A4C8-6B2B32D7FED8}">
          <x14:colorSeries rgb="FF000000"/>
          <x14:colorNegative rgb="FF0070C0"/>
          <x14:colorAxis rgb="FF000000"/>
          <x14:colorMarkers rgb="FF0070C0"/>
          <x14:colorFirst rgb="FF0070C0"/>
          <x14:colorLast rgb="FF0070C0"/>
          <x14:colorHigh rgb="FF0070C0"/>
          <x14:colorLow rgb="FF0070C0"/>
          <x14:sparklines>
            <x14:sparkline>
              <xm:f>Модель!BU658:BW658</xm:f>
              <xm:sqref>BX657</xm:sqref>
            </x14:sparkline>
          </x14:sparklines>
        </x14:sparklineGroup>
        <x14:sparklineGroup manualMax="0" manualMin="0" lineWeight="2.25" displayEmptyCellsAs="gap" xr2:uid="{DA05F735-14D7-43BC-A10B-0724AE334627}">
          <x14:colorSeries rgb="FF000000"/>
          <x14:colorNegative rgb="FF0070C0"/>
          <x14:colorAxis rgb="FF000000"/>
          <x14:colorMarkers rgb="FF0070C0"/>
          <x14:colorFirst rgb="FF0070C0"/>
          <x14:colorLast rgb="FF0070C0"/>
          <x14:colorHigh rgb="FF0070C0"/>
          <x14:colorLow rgb="FF0070C0"/>
          <x14:sparklines>
            <x14:sparkline>
              <xm:f>Модель!CA648:CC648</xm:f>
              <xm:sqref>CD647</xm:sqref>
            </x14:sparkline>
          </x14:sparklines>
        </x14:sparklineGroup>
        <x14:sparklineGroup manualMax="0" manualMin="0" lineWeight="2.25" displayEmptyCellsAs="gap" xr2:uid="{C271D94B-013A-457E-BB02-C29B983A8C3F}">
          <x14:colorSeries rgb="FF000000"/>
          <x14:colorNegative rgb="FF0070C0"/>
          <x14:colorAxis rgb="FF000000"/>
          <x14:colorMarkers rgb="FF0070C0"/>
          <x14:colorFirst rgb="FF0070C0"/>
          <x14:colorLast rgb="FF0070C0"/>
          <x14:colorHigh rgb="FF0070C0"/>
          <x14:colorLow rgb="FF0070C0"/>
          <x14:sparklines>
            <x14:sparkline>
              <xm:f>Модель!BU648:BW648</xm:f>
              <xm:sqref>BX647</xm:sqref>
            </x14:sparkline>
          </x14:sparklines>
        </x14:sparklineGroup>
        <x14:sparklineGroup manualMax="0" manualMin="0" lineWeight="2.25" displayEmptyCellsAs="gap" xr2:uid="{41F421D4-0904-4371-B662-20A08AB3A8DF}">
          <x14:colorSeries rgb="FF000000"/>
          <x14:colorNegative rgb="FF0070C0"/>
          <x14:colorAxis rgb="FF000000"/>
          <x14:colorMarkers rgb="FF0070C0"/>
          <x14:colorFirst rgb="FF0070C0"/>
          <x14:colorLast rgb="FF0070C0"/>
          <x14:colorHigh rgb="FF0070C0"/>
          <x14:colorLow rgb="FF0070C0"/>
          <x14:sparklines>
            <x14:sparkline>
              <xm:f>Модель!BU638:BW638</xm:f>
              <xm:sqref>BX637</xm:sqref>
            </x14:sparkline>
          </x14:sparklines>
        </x14:sparklineGroup>
        <x14:sparklineGroup manualMax="0" manualMin="0" lineWeight="2.25" displayEmptyCellsAs="gap" xr2:uid="{7FA2C18C-3997-43D9-A219-4B8A99F15F98}">
          <x14:colorSeries rgb="FF000000"/>
          <x14:colorNegative rgb="FF0070C0"/>
          <x14:colorAxis rgb="FF000000"/>
          <x14:colorMarkers rgb="FF0070C0"/>
          <x14:colorFirst rgb="FF0070C0"/>
          <x14:colorLast rgb="FF0070C0"/>
          <x14:colorHigh rgb="FF0070C0"/>
          <x14:colorLow rgb="FF0070C0"/>
          <x14:sparklines>
            <x14:sparkline>
              <xm:f>Модель!CA638:CC638</xm:f>
              <xm:sqref>CD637</xm:sqref>
            </x14:sparkline>
          </x14:sparklines>
        </x14:sparklineGroup>
        <x14:sparklineGroup manualMax="0" manualMin="0" lineWeight="2.25" displayEmptyCellsAs="gap" xr2:uid="{D48B6873-C237-44AF-A485-6D0E30CC79AE}">
          <x14:colorSeries rgb="FF000000"/>
          <x14:colorNegative rgb="FF0070C0"/>
          <x14:colorAxis rgb="FF000000"/>
          <x14:colorMarkers rgb="FF0070C0"/>
          <x14:colorFirst rgb="FF0070C0"/>
          <x14:colorLast rgb="FF0070C0"/>
          <x14:colorHigh rgb="FF0070C0"/>
          <x14:colorLow rgb="FF0070C0"/>
          <x14:sparklines>
            <x14:sparkline>
              <xm:f>Модель!CA518:CC518</xm:f>
              <xm:sqref>CD517</xm:sqref>
            </x14:sparkline>
          </x14:sparklines>
        </x14:sparklineGroup>
        <x14:sparklineGroup manualMax="0" manualMin="0" lineWeight="2.25" displayEmptyCellsAs="gap" xr2:uid="{BCD2B8DB-7363-4F89-88FD-A74764A16BFA}">
          <x14:colorSeries rgb="FF000000"/>
          <x14:colorNegative rgb="FF0070C0"/>
          <x14:colorAxis rgb="FF000000"/>
          <x14:colorMarkers rgb="FF0070C0"/>
          <x14:colorFirst rgb="FF0070C0"/>
          <x14:colorLast rgb="FF0070C0"/>
          <x14:colorHigh rgb="FF0070C0"/>
          <x14:colorLow rgb="FF0070C0"/>
          <x14:sparklines>
            <x14:sparkline>
              <xm:f>Модель!BU518:BW518</xm:f>
              <xm:sqref>BX517</xm:sqref>
            </x14:sparkline>
          </x14:sparklines>
        </x14:sparklineGroup>
        <x14:sparklineGroup manualMax="0" manualMin="0" lineWeight="2.25" displayEmptyCellsAs="gap" xr2:uid="{8E0466B4-6470-4B74-B6C0-9805AF1D1C76}">
          <x14:colorSeries rgb="FF000000"/>
          <x14:colorNegative rgb="FF0070C0"/>
          <x14:colorAxis rgb="FF000000"/>
          <x14:colorMarkers rgb="FF0070C0"/>
          <x14:colorFirst rgb="FF0070C0"/>
          <x14:colorLast rgb="FF0070C0"/>
          <x14:colorHigh rgb="FF0070C0"/>
          <x14:colorLow rgb="FF0070C0"/>
          <x14:sparklines>
            <x14:sparkline>
              <xm:f>Модель!BU528:BW528</xm:f>
              <xm:sqref>BX527</xm:sqref>
            </x14:sparkline>
          </x14:sparklines>
        </x14:sparklineGroup>
        <x14:sparklineGroup manualMax="0" manualMin="0" lineWeight="2.25" displayEmptyCellsAs="gap" xr2:uid="{4CF8DEEA-DDB9-4609-8BB5-11366DF0CDD3}">
          <x14:colorSeries rgb="FF000000"/>
          <x14:colorNegative rgb="FF0070C0"/>
          <x14:colorAxis rgb="FF000000"/>
          <x14:colorMarkers rgb="FF0070C0"/>
          <x14:colorFirst rgb="FF0070C0"/>
          <x14:colorLast rgb="FF0070C0"/>
          <x14:colorHigh rgb="FF0070C0"/>
          <x14:colorLow rgb="FF0070C0"/>
          <x14:sparklines>
            <x14:sparkline>
              <xm:f>Модель!CA528:CC528</xm:f>
              <xm:sqref>CD527</xm:sqref>
            </x14:sparkline>
          </x14:sparklines>
        </x14:sparklineGroup>
        <x14:sparklineGroup manualMax="0" manualMin="0" lineWeight="2.25" displayEmptyCellsAs="gap" xr2:uid="{024048D5-8A28-4056-B18D-62643275147B}">
          <x14:colorSeries rgb="FF000000"/>
          <x14:colorNegative rgb="FF0070C0"/>
          <x14:colorAxis rgb="FF000000"/>
          <x14:colorMarkers rgb="FF0070C0"/>
          <x14:colorFirst rgb="FF0070C0"/>
          <x14:colorLast rgb="FF0070C0"/>
          <x14:colorHigh rgb="FF0070C0"/>
          <x14:colorLow rgb="FF0070C0"/>
          <x14:sparklines>
            <x14:sparkline>
              <xm:f>Модель!CA548:CC548</xm:f>
              <xm:sqref>CD547</xm:sqref>
            </x14:sparkline>
          </x14:sparklines>
        </x14:sparklineGroup>
        <x14:sparklineGroup manualMax="0" manualMin="0" lineWeight="2.25" displayEmptyCellsAs="gap" xr2:uid="{217F08B4-B09E-401D-8494-7D37AE318BCF}">
          <x14:colorSeries rgb="FF000000"/>
          <x14:colorNegative rgb="FF0070C0"/>
          <x14:colorAxis rgb="FF000000"/>
          <x14:colorMarkers rgb="FF0070C0"/>
          <x14:colorFirst rgb="FF0070C0"/>
          <x14:colorLast rgb="FF0070C0"/>
          <x14:colorHigh rgb="FF0070C0"/>
          <x14:colorLow rgb="FF0070C0"/>
          <x14:sparklines>
            <x14:sparkline>
              <xm:f>Модель!BU548:BW548</xm:f>
              <xm:sqref>BX547</xm:sqref>
            </x14:sparkline>
          </x14:sparklines>
        </x14:sparklineGroup>
        <x14:sparklineGroup manualMax="0" manualMin="0" lineWeight="2.25" displayEmptyCellsAs="gap" xr2:uid="{171E118C-04C2-4650-AA20-58EC6CEE6340}">
          <x14:colorSeries rgb="FF000000"/>
          <x14:colorNegative rgb="FF0070C0"/>
          <x14:colorAxis rgb="FF000000"/>
          <x14:colorMarkers rgb="FF0070C0"/>
          <x14:colorFirst rgb="FF0070C0"/>
          <x14:colorLast rgb="FF0070C0"/>
          <x14:colorHigh rgb="FF0070C0"/>
          <x14:colorLow rgb="FF0070C0"/>
          <x14:sparklines>
            <x14:sparkline>
              <xm:f>Модель!BU538:BW538</xm:f>
              <xm:sqref>BX537</xm:sqref>
            </x14:sparkline>
          </x14:sparklines>
        </x14:sparklineGroup>
        <x14:sparklineGroup manualMax="0" manualMin="0" lineWeight="2.25" displayEmptyCellsAs="gap" xr2:uid="{DF569D81-5153-4498-8DD3-A02502ABBA89}">
          <x14:colorSeries rgb="FF000000"/>
          <x14:colorNegative rgb="FF0070C0"/>
          <x14:colorAxis rgb="FF000000"/>
          <x14:colorMarkers rgb="FF0070C0"/>
          <x14:colorFirst rgb="FF0070C0"/>
          <x14:colorLast rgb="FF0070C0"/>
          <x14:colorHigh rgb="FF0070C0"/>
          <x14:colorLow rgb="FF0070C0"/>
          <x14:sparklines>
            <x14:sparkline>
              <xm:f>Модель!CA538:CC538</xm:f>
              <xm:sqref>CD537</xm:sqref>
            </x14:sparkline>
          </x14:sparklines>
        </x14:sparklineGroup>
        <x14:sparklineGroup manualMax="0" manualMin="0" lineWeight="2.25" displayEmptyCellsAs="gap" xr2:uid="{1BF1E031-D1DF-4065-8E1C-8D26BC594D79}">
          <x14:colorSeries rgb="FF000000"/>
          <x14:colorNegative rgb="FF0070C0"/>
          <x14:colorAxis rgb="FF000000"/>
          <x14:colorMarkers rgb="FF0070C0"/>
          <x14:colorFirst rgb="FF0070C0"/>
          <x14:colorLast rgb="FF0070C0"/>
          <x14:colorHigh rgb="FF0070C0"/>
          <x14:colorLow rgb="FF0070C0"/>
          <x14:sparklines>
            <x14:sparkline>
              <xm:f>Модель!CA578:CC578</xm:f>
              <xm:sqref>CD577</xm:sqref>
            </x14:sparkline>
          </x14:sparklines>
        </x14:sparklineGroup>
        <x14:sparklineGroup manualMax="0" manualMin="0" lineWeight="2.25" displayEmptyCellsAs="gap" xr2:uid="{FCC332FC-8A7A-492F-95BE-B918633A62D0}">
          <x14:colorSeries rgb="FF000000"/>
          <x14:colorNegative rgb="FF0070C0"/>
          <x14:colorAxis rgb="FF000000"/>
          <x14:colorMarkers rgb="FF0070C0"/>
          <x14:colorFirst rgb="FF0070C0"/>
          <x14:colorLast rgb="FF0070C0"/>
          <x14:colorHigh rgb="FF0070C0"/>
          <x14:colorLow rgb="FF0070C0"/>
          <x14:sparklines>
            <x14:sparkline>
              <xm:f>Модель!BU578:BW578</xm:f>
              <xm:sqref>BX577</xm:sqref>
            </x14:sparkline>
          </x14:sparklines>
        </x14:sparklineGroup>
        <x14:sparklineGroup manualMax="0" manualMin="0" lineWeight="2.25" displayEmptyCellsAs="gap" xr2:uid="{A3C74045-4347-43BA-A104-3D0FB8E709CD}">
          <x14:colorSeries rgb="FF000000"/>
          <x14:colorNegative rgb="FF0070C0"/>
          <x14:colorAxis rgb="FF000000"/>
          <x14:colorMarkers rgb="FF0070C0"/>
          <x14:colorFirst rgb="FF0070C0"/>
          <x14:colorLast rgb="FF0070C0"/>
          <x14:colorHigh rgb="FF0070C0"/>
          <x14:colorLow rgb="FF0070C0"/>
          <x14:sparklines>
            <x14:sparkline>
              <xm:f>Модель!BU588:BW588</xm:f>
              <xm:sqref>BX587</xm:sqref>
            </x14:sparkline>
          </x14:sparklines>
        </x14:sparklineGroup>
        <x14:sparklineGroup manualMax="0" manualMin="0" lineWeight="2.25" displayEmptyCellsAs="gap" xr2:uid="{5F3FCC20-9B60-4784-B71E-75218AC4860C}">
          <x14:colorSeries rgb="FF000000"/>
          <x14:colorNegative rgb="FF0070C0"/>
          <x14:colorAxis rgb="FF000000"/>
          <x14:colorMarkers rgb="FF0070C0"/>
          <x14:colorFirst rgb="FF0070C0"/>
          <x14:colorLast rgb="FF0070C0"/>
          <x14:colorHigh rgb="FF0070C0"/>
          <x14:colorLow rgb="FF0070C0"/>
          <x14:sparklines>
            <x14:sparkline>
              <xm:f>Модель!CA588:CC588</xm:f>
              <xm:sqref>CD587</xm:sqref>
            </x14:sparkline>
          </x14:sparklines>
        </x14:sparklineGroup>
        <x14:sparklineGroup manualMax="0" manualMin="0" lineWeight="2.25" displayEmptyCellsAs="gap" xr2:uid="{F7AB631C-F06A-4593-969A-F636E26F436C}">
          <x14:colorSeries rgb="FF000000"/>
          <x14:colorNegative rgb="FF0070C0"/>
          <x14:colorAxis rgb="FF000000"/>
          <x14:colorMarkers rgb="FF0070C0"/>
          <x14:colorFirst rgb="FF0070C0"/>
          <x14:colorLast rgb="FF0070C0"/>
          <x14:colorHigh rgb="FF0070C0"/>
          <x14:colorLow rgb="FF0070C0"/>
          <x14:sparklines>
            <x14:sparkline>
              <xm:f>Модель!CA568:CC568</xm:f>
              <xm:sqref>CD567</xm:sqref>
            </x14:sparkline>
          </x14:sparklines>
        </x14:sparklineGroup>
        <x14:sparklineGroup manualMax="0" manualMin="0" lineWeight="2.25" displayEmptyCellsAs="gap" xr2:uid="{ED0ED0E6-4A97-43FB-84C3-27F2164119B7}">
          <x14:colorSeries rgb="FF000000"/>
          <x14:colorNegative rgb="FF0070C0"/>
          <x14:colorAxis rgb="FF000000"/>
          <x14:colorMarkers rgb="FF0070C0"/>
          <x14:colorFirst rgb="FF0070C0"/>
          <x14:colorLast rgb="FF0070C0"/>
          <x14:colorHigh rgb="FF0070C0"/>
          <x14:colorLow rgb="FF0070C0"/>
          <x14:sparklines>
            <x14:sparkline>
              <xm:f>Модель!BU568:BW568</xm:f>
              <xm:sqref>BX567</xm:sqref>
            </x14:sparkline>
          </x14:sparklines>
        </x14:sparklineGroup>
        <x14:sparklineGroup manualMax="0" manualMin="0" lineWeight="2.25" displayEmptyCellsAs="gap" xr2:uid="{9ED1856F-B5F1-4E6C-B6B0-010D89C1AEB6}">
          <x14:colorSeries rgb="FF000000"/>
          <x14:colorNegative rgb="FF0070C0"/>
          <x14:colorAxis rgb="FF000000"/>
          <x14:colorMarkers rgb="FF0070C0"/>
          <x14:colorFirst rgb="FF0070C0"/>
          <x14:colorLast rgb="FF0070C0"/>
          <x14:colorHigh rgb="FF0070C0"/>
          <x14:colorLow rgb="FF0070C0"/>
          <x14:sparklines>
            <x14:sparkline>
              <xm:f>Модель!BU558:BW558</xm:f>
              <xm:sqref>BX557</xm:sqref>
            </x14:sparkline>
          </x14:sparklines>
        </x14:sparklineGroup>
        <x14:sparklineGroup manualMax="0" manualMin="0" lineWeight="2.25" displayEmptyCellsAs="gap" xr2:uid="{85ABE55E-7B80-414D-BB56-88E4A2F6A390}">
          <x14:colorSeries rgb="FF000000"/>
          <x14:colorNegative rgb="FF0070C0"/>
          <x14:colorAxis rgb="FF000000"/>
          <x14:colorMarkers rgb="FF0070C0"/>
          <x14:colorFirst rgb="FF0070C0"/>
          <x14:colorLast rgb="FF0070C0"/>
          <x14:colorHigh rgb="FF0070C0"/>
          <x14:colorLow rgb="FF0070C0"/>
          <x14:sparklines>
            <x14:sparkline>
              <xm:f>Модель!CA558:CC558</xm:f>
              <xm:sqref>CD557</xm:sqref>
            </x14:sparkline>
          </x14:sparklines>
        </x14:sparklineGroup>
        <x14:sparklineGroup manualMax="0" manualMin="0" lineWeight="2.25" displayEmptyCellsAs="gap" xr2:uid="{97C10E46-D395-4AE2-A8B0-F197A10FC118}">
          <x14:colorSeries rgb="FF000000"/>
          <x14:colorNegative rgb="FF0070C0"/>
          <x14:colorAxis rgb="FF000000"/>
          <x14:colorMarkers rgb="FF0070C0"/>
          <x14:colorFirst rgb="FF0070C0"/>
          <x14:colorLast rgb="FF0070C0"/>
          <x14:colorHigh rgb="FF0070C0"/>
          <x14:colorLow rgb="FF0070C0"/>
          <x14:sparklines>
            <x14:sparkline>
              <xm:f>Модель!CA478:CC478</xm:f>
              <xm:sqref>CD477</xm:sqref>
            </x14:sparkline>
          </x14:sparklines>
        </x14:sparklineGroup>
        <x14:sparklineGroup manualMax="0" manualMin="0" lineWeight="2.25" displayEmptyCellsAs="gap" xr2:uid="{768C82B6-1F99-4D9D-A824-28F25EC3285A}">
          <x14:colorSeries rgb="FF000000"/>
          <x14:colorNegative rgb="FF0070C0"/>
          <x14:colorAxis rgb="FF000000"/>
          <x14:colorMarkers rgb="FF0070C0"/>
          <x14:colorFirst rgb="FF0070C0"/>
          <x14:colorLast rgb="FF0070C0"/>
          <x14:colorHigh rgb="FF0070C0"/>
          <x14:colorLow rgb="FF0070C0"/>
          <x14:sparklines>
            <x14:sparkline>
              <xm:f>Модель!BU478:BW478</xm:f>
              <xm:sqref>BX477</xm:sqref>
            </x14:sparkline>
          </x14:sparklines>
        </x14:sparklineGroup>
        <x14:sparklineGroup manualMax="0" manualMin="0" lineWeight="2.25" displayEmptyCellsAs="gap" xr2:uid="{BB471222-0BA6-4385-8571-94316BFC38DE}">
          <x14:colorSeries rgb="FF000000"/>
          <x14:colorNegative rgb="FF0070C0"/>
          <x14:colorAxis rgb="FF000000"/>
          <x14:colorMarkers rgb="FF0070C0"/>
          <x14:colorFirst rgb="FF0070C0"/>
          <x14:colorLast rgb="FF0070C0"/>
          <x14:colorHigh rgb="FF0070C0"/>
          <x14:colorLow rgb="FF0070C0"/>
          <x14:sparklines>
            <x14:sparkline>
              <xm:f>Модель!BU488:BW488</xm:f>
              <xm:sqref>BX487</xm:sqref>
            </x14:sparkline>
          </x14:sparklines>
        </x14:sparklineGroup>
        <x14:sparklineGroup manualMax="0" manualMin="0" lineWeight="2.25" displayEmptyCellsAs="gap" xr2:uid="{01AA23B5-7EF4-4E0B-9518-9121E90FC858}">
          <x14:colorSeries rgb="FF000000"/>
          <x14:colorNegative rgb="FF0070C0"/>
          <x14:colorAxis rgb="FF000000"/>
          <x14:colorMarkers rgb="FF0070C0"/>
          <x14:colorFirst rgb="FF0070C0"/>
          <x14:colorLast rgb="FF0070C0"/>
          <x14:colorHigh rgb="FF0070C0"/>
          <x14:colorLow rgb="FF0070C0"/>
          <x14:sparklines>
            <x14:sparkline>
              <xm:f>Модель!CA488:CC488</xm:f>
              <xm:sqref>CD487</xm:sqref>
            </x14:sparkline>
          </x14:sparklines>
        </x14:sparklineGroup>
        <x14:sparklineGroup manualMax="0" manualMin="0" lineWeight="2.25" displayEmptyCellsAs="gap" xr2:uid="{1C38DD8A-5C2F-45AE-97B5-1BAFAF860BA9}">
          <x14:colorSeries rgb="FF000000"/>
          <x14:colorNegative rgb="FF0070C0"/>
          <x14:colorAxis rgb="FF000000"/>
          <x14:colorMarkers rgb="FF0070C0"/>
          <x14:colorFirst rgb="FF0070C0"/>
          <x14:colorLast rgb="FF0070C0"/>
          <x14:colorHigh rgb="FF0070C0"/>
          <x14:colorLow rgb="FF0070C0"/>
          <x14:sparklines>
            <x14:sparkline>
              <xm:f>Модель!CA508:CC508</xm:f>
              <xm:sqref>CD507</xm:sqref>
            </x14:sparkline>
          </x14:sparklines>
        </x14:sparklineGroup>
        <x14:sparklineGroup manualMax="0" manualMin="0" lineWeight="2.25" displayEmptyCellsAs="gap" xr2:uid="{97D85A3D-EE3E-4917-89B1-69CB1E7D0E03}">
          <x14:colorSeries rgb="FF000000"/>
          <x14:colorNegative rgb="FF0070C0"/>
          <x14:colorAxis rgb="FF000000"/>
          <x14:colorMarkers rgb="FF0070C0"/>
          <x14:colorFirst rgb="FF0070C0"/>
          <x14:colorLast rgb="FF0070C0"/>
          <x14:colorHigh rgb="FF0070C0"/>
          <x14:colorLow rgb="FF0070C0"/>
          <x14:sparklines>
            <x14:sparkline>
              <xm:f>Модель!BU508:BW508</xm:f>
              <xm:sqref>BX507</xm:sqref>
            </x14:sparkline>
          </x14:sparklines>
        </x14:sparklineGroup>
        <x14:sparklineGroup manualMax="0" manualMin="0" lineWeight="2.25" displayEmptyCellsAs="gap" xr2:uid="{1708ED80-05B6-4951-A5A8-F1B5B499D496}">
          <x14:colorSeries rgb="FF000000"/>
          <x14:colorNegative rgb="FF0070C0"/>
          <x14:colorAxis rgb="FF000000"/>
          <x14:colorMarkers rgb="FF0070C0"/>
          <x14:colorFirst rgb="FF0070C0"/>
          <x14:colorLast rgb="FF0070C0"/>
          <x14:colorHigh rgb="FF0070C0"/>
          <x14:colorLow rgb="FF0070C0"/>
          <x14:sparklines>
            <x14:sparkline>
              <xm:f>Модель!BU498:BW498</xm:f>
              <xm:sqref>BX497</xm:sqref>
            </x14:sparkline>
          </x14:sparklines>
        </x14:sparklineGroup>
        <x14:sparklineGroup manualMax="0" manualMin="0" lineWeight="2.25" displayEmptyCellsAs="gap" xr2:uid="{4E0BF379-462E-45D1-B6C6-6E13D7266845}">
          <x14:colorSeries rgb="FF000000"/>
          <x14:colorNegative rgb="FF0070C0"/>
          <x14:colorAxis rgb="FF000000"/>
          <x14:colorMarkers rgb="FF0070C0"/>
          <x14:colorFirst rgb="FF0070C0"/>
          <x14:colorLast rgb="FF0070C0"/>
          <x14:colorHigh rgb="FF0070C0"/>
          <x14:colorLow rgb="FF0070C0"/>
          <x14:sparklines>
            <x14:sparkline>
              <xm:f>Модель!CA498:CC498</xm:f>
              <xm:sqref>CD497</xm:sqref>
            </x14:sparkline>
          </x14:sparklines>
        </x14:sparklineGroup>
        <x14:sparklineGroup manualMax="0" manualMin="0" lineWeight="2.25" displayEmptyCellsAs="gap" xr2:uid="{E56D5BA2-BD9B-4113-9F36-AEE68FE6143D}">
          <x14:colorSeries rgb="FF000000"/>
          <x14:colorNegative rgb="FF0070C0"/>
          <x14:colorAxis rgb="FF000000"/>
          <x14:colorMarkers rgb="FF0070C0"/>
          <x14:colorFirst rgb="FF0070C0"/>
          <x14:colorLast rgb="FF0070C0"/>
          <x14:colorHigh rgb="FF0070C0"/>
          <x14:colorLow rgb="FF0070C0"/>
          <x14:sparklines>
            <x14:sparkline>
              <xm:f>Модель!CA458:CC458</xm:f>
              <xm:sqref>CD457</xm:sqref>
            </x14:sparkline>
          </x14:sparklines>
        </x14:sparklineGroup>
        <x14:sparklineGroup manualMax="0" manualMin="0" lineWeight="2.25" displayEmptyCellsAs="gap" xr2:uid="{E142718E-CB2D-425E-B9D6-F35983AC9098}">
          <x14:colorSeries rgb="FF000000"/>
          <x14:colorNegative rgb="FF0070C0"/>
          <x14:colorAxis rgb="FF000000"/>
          <x14:colorMarkers rgb="FF0070C0"/>
          <x14:colorFirst rgb="FF0070C0"/>
          <x14:colorLast rgb="FF0070C0"/>
          <x14:colorHigh rgb="FF0070C0"/>
          <x14:colorLow rgb="FF0070C0"/>
          <x14:sparklines>
            <x14:sparkline>
              <xm:f>Модель!BU458:BW458</xm:f>
              <xm:sqref>BX457</xm:sqref>
            </x14:sparkline>
          </x14:sparklines>
        </x14:sparklineGroup>
        <x14:sparklineGroup manualMax="0" manualMin="0" lineWeight="2.25" displayEmptyCellsAs="gap" xr2:uid="{3CD8C0A1-EE46-40E6-8F55-26A6DDFD45DC}">
          <x14:colorSeries rgb="FF000000"/>
          <x14:colorNegative rgb="FF0070C0"/>
          <x14:colorAxis rgb="FF000000"/>
          <x14:colorMarkers rgb="FF0070C0"/>
          <x14:colorFirst rgb="FF0070C0"/>
          <x14:colorLast rgb="FF0070C0"/>
          <x14:colorHigh rgb="FF0070C0"/>
          <x14:colorLow rgb="FF0070C0"/>
          <x14:sparklines>
            <x14:sparkline>
              <xm:f>Модель!BU468:BW468</xm:f>
              <xm:sqref>BX467</xm:sqref>
            </x14:sparkline>
          </x14:sparklines>
        </x14:sparklineGroup>
        <x14:sparklineGroup manualMax="0" manualMin="0" lineWeight="2.25" displayEmptyCellsAs="gap" xr2:uid="{EFF16004-2D8D-48E9-830B-29024AABF1EF}">
          <x14:colorSeries rgb="FF000000"/>
          <x14:colorNegative rgb="FF0070C0"/>
          <x14:colorAxis rgb="FF000000"/>
          <x14:colorMarkers rgb="FF0070C0"/>
          <x14:colorFirst rgb="FF0070C0"/>
          <x14:colorLast rgb="FF0070C0"/>
          <x14:colorHigh rgb="FF0070C0"/>
          <x14:colorLow rgb="FF0070C0"/>
          <x14:sparklines>
            <x14:sparkline>
              <xm:f>Модель!CA468:CC468</xm:f>
              <xm:sqref>CD467</xm:sqref>
            </x14:sparkline>
          </x14:sparklines>
        </x14:sparklineGroup>
        <x14:sparklineGroup manualMax="0" manualMin="0" lineWeight="2.25" displayEmptyCellsAs="gap" xr2:uid="{A2796FB4-8640-4D0A-9210-B49EDD7DBB8F}">
          <x14:colorSeries rgb="FF000000"/>
          <x14:colorNegative rgb="FF0070C0"/>
          <x14:colorAxis rgb="FF000000"/>
          <x14:colorMarkers rgb="FF0070C0"/>
          <x14:colorFirst rgb="FF0070C0"/>
          <x14:colorLast rgb="FF0070C0"/>
          <x14:colorHigh rgb="FF0070C0"/>
          <x14:colorLow rgb="FF0070C0"/>
          <x14:sparklines>
            <x14:sparkline>
              <xm:f>Модель!CA448:CC448</xm:f>
              <xm:sqref>CD447</xm:sqref>
            </x14:sparkline>
          </x14:sparklines>
        </x14:sparklineGroup>
        <x14:sparklineGroup manualMax="0" manualMin="0" lineWeight="2.25" displayEmptyCellsAs="gap" xr2:uid="{428B3AAD-7E6E-4EFD-A4DE-70D462B49CD4}">
          <x14:colorSeries rgb="FF000000"/>
          <x14:colorNegative rgb="FF0070C0"/>
          <x14:colorAxis rgb="FF000000"/>
          <x14:colorMarkers rgb="FF0070C0"/>
          <x14:colorFirst rgb="FF0070C0"/>
          <x14:colorLast rgb="FF0070C0"/>
          <x14:colorHigh rgb="FF0070C0"/>
          <x14:colorLow rgb="FF0070C0"/>
          <x14:sparklines>
            <x14:sparkline>
              <xm:f>Модель!BU448:BW448</xm:f>
              <xm:sqref>BX447</xm:sqref>
            </x14:sparkline>
          </x14:sparklines>
        </x14:sparklineGroup>
        <x14:sparklineGroup manualMax="0" manualMin="0" lineWeight="2.25" displayEmptyCellsAs="gap" xr2:uid="{02C76638-5C6E-41E1-9C6A-1A98E3053CB2}">
          <x14:colorSeries rgb="FF000000"/>
          <x14:colorNegative rgb="FF0070C0"/>
          <x14:colorAxis rgb="FF000000"/>
          <x14:colorMarkers rgb="FF0070C0"/>
          <x14:colorFirst rgb="FF0070C0"/>
          <x14:colorLast rgb="FF0070C0"/>
          <x14:colorHigh rgb="FF0070C0"/>
          <x14:colorLow rgb="FF0070C0"/>
          <x14:sparklines>
            <x14:sparkline>
              <xm:f>Модель!BU438:BW438</xm:f>
              <xm:sqref>BX437</xm:sqref>
            </x14:sparkline>
          </x14:sparklines>
        </x14:sparklineGroup>
        <x14:sparklineGroup manualMax="0" manualMin="0" lineWeight="2.25" displayEmptyCellsAs="gap" xr2:uid="{2457675A-CEFD-443E-B97B-98484011619D}">
          <x14:colorSeries rgb="FF000000"/>
          <x14:colorNegative rgb="FF0070C0"/>
          <x14:colorAxis rgb="FF000000"/>
          <x14:colorMarkers rgb="FF0070C0"/>
          <x14:colorFirst rgb="FF0070C0"/>
          <x14:colorLast rgb="FF0070C0"/>
          <x14:colorHigh rgb="FF0070C0"/>
          <x14:colorLow rgb="FF0070C0"/>
          <x14:sparklines>
            <x14:sparkline>
              <xm:f>Модель!CA438:CC438</xm:f>
              <xm:sqref>CD437</xm:sqref>
            </x14:sparkline>
          </x14:sparklines>
        </x14:sparklineGroup>
        <x14:sparklineGroup manualMax="0" manualMin="0" lineWeight="2.25" displayEmptyCellsAs="gap" xr2:uid="{D3DDDEFB-7F66-4AE4-BEFB-8B4B676AF872}">
          <x14:colorSeries rgb="FF000000"/>
          <x14:colorNegative rgb="FF0070C0"/>
          <x14:colorAxis rgb="FF000000"/>
          <x14:colorMarkers rgb="FF0070C0"/>
          <x14:colorFirst rgb="FF0070C0"/>
          <x14:colorLast rgb="FF0070C0"/>
          <x14:colorHigh rgb="FF0070C0"/>
          <x14:colorLow rgb="FF0070C0"/>
          <x14:sparklines>
            <x14:sparkline>
              <xm:f>Модель!CD9:CF9</xm:f>
              <xm:sqref>CG8</xm:sqref>
            </x14:sparkline>
          </x14:sparklines>
        </x14:sparklineGroup>
        <x14:sparklineGroup manualMax="0" manualMin="0" lineWeight="2.25" displayEmptyCellsAs="gap" xr2:uid="{56D5DBF2-B7D7-47FD-B57B-76D7DADDB653}">
          <x14:colorSeries rgb="FF000000"/>
          <x14:colorNegative rgb="FF0070C0"/>
          <x14:colorAxis rgb="FF000000"/>
          <x14:colorMarkers rgb="FF0070C0"/>
          <x14:colorFirst rgb="FF0070C0"/>
          <x14:colorLast rgb="FF0070C0"/>
          <x14:colorHigh rgb="FF0070C0"/>
          <x14:colorLow rgb="FF0070C0"/>
          <x14:sparklines>
            <x14:sparkline>
              <xm:f>Модель!CK9:CM9</xm:f>
              <xm:sqref>CN8</xm:sqref>
            </x14:sparkline>
          </x14:sparklines>
        </x14:sparklineGroup>
        <x14:sparklineGroup manualMax="0" manualMin="0" lineWeight="2.25" displayEmptyCellsAs="gap" xr2:uid="{7C3D288B-9DE6-4B3D-B3D8-EF0C030F85B1}">
          <x14:colorSeries rgb="FF000000"/>
          <x14:colorNegative rgb="FF0070C0"/>
          <x14:colorAxis rgb="FF000000"/>
          <x14:colorMarkers rgb="FF0070C0"/>
          <x14:colorFirst rgb="FF0070C0"/>
          <x14:colorLast rgb="FF0070C0"/>
          <x14:colorHigh rgb="FF0070C0"/>
          <x14:colorLow rgb="FF0070C0"/>
          <x14:sparklines>
            <x14:sparkline>
              <xm:f>Модель!BV19:BX19</xm:f>
              <xm:sqref>BY18</xm:sqref>
            </x14:sparkline>
          </x14:sparklines>
        </x14:sparklineGroup>
        <x14:sparklineGroup manualMax="0" manualMin="0" lineWeight="2.25" displayEmptyCellsAs="gap" xr2:uid="{4AE0EFE3-E795-4B5F-A5E4-CFC9EA5605E1}">
          <x14:colorSeries rgb="FF000000"/>
          <x14:colorNegative rgb="FF0070C0"/>
          <x14:colorAxis rgb="FF000000"/>
          <x14:colorMarkers rgb="FF0070C0"/>
          <x14:colorFirst rgb="FF0070C0"/>
          <x14:colorLast rgb="FF0070C0"/>
          <x14:colorHigh rgb="FF0070C0"/>
          <x14:colorLow rgb="FF0070C0"/>
          <x14:sparklines>
            <x14:sparkline>
              <xm:f>Модель!CC19:CE19</xm:f>
              <xm:sqref>CF18</xm:sqref>
            </x14:sparkline>
          </x14:sparklines>
        </x14:sparklineGroup>
        <x14:sparklineGroup manualMax="0" manualMin="0" lineWeight="2.25" displayEmptyCellsAs="gap" xr2:uid="{1AE57F27-B662-4819-A7AD-4F1B25B3D42C}">
          <x14:colorSeries rgb="FF000000"/>
          <x14:colorNegative rgb="FF0070C0"/>
          <x14:colorAxis rgb="FF000000"/>
          <x14:colorMarkers rgb="FF0070C0"/>
          <x14:colorFirst rgb="FF0070C0"/>
          <x14:colorLast rgb="FF0070C0"/>
          <x14:colorHigh rgb="FF0070C0"/>
          <x14:colorLow rgb="FF0070C0"/>
          <x14:sparklines>
            <x14:sparkline>
              <xm:f>Модель!CQ19:CS19</xm:f>
              <xm:sqref>CT18</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C98DB-2942-4548-9E2A-233172695BD9}">
  <sheetPr codeName="Лист19"/>
  <dimension ref="A1:K1001"/>
  <sheetViews>
    <sheetView topLeftCell="A314" zoomScaleNormal="100" workbookViewId="0">
      <selection activeCell="I1" sqref="I1:J349"/>
    </sheetView>
  </sheetViews>
  <sheetFormatPr defaultRowHeight="15" x14ac:dyDescent="0.25"/>
  <cols>
    <col min="1" max="7" width="8.85546875" customWidth="1"/>
  </cols>
  <sheetData>
    <row r="1" spans="1:10" x14ac:dyDescent="0.25">
      <c r="A1" t="s">
        <v>99</v>
      </c>
      <c r="B1" t="s">
        <v>616</v>
      </c>
      <c r="C1" t="s">
        <v>617</v>
      </c>
      <c r="E1" t="s">
        <v>99</v>
      </c>
      <c r="F1" t="s">
        <v>616</v>
      </c>
      <c r="G1" t="s">
        <v>617</v>
      </c>
      <c r="I1">
        <v>7.1666666666666696</v>
      </c>
      <c r="J1">
        <v>-12.533333333333299</v>
      </c>
    </row>
    <row r="2" spans="1:10" x14ac:dyDescent="0.25">
      <c r="A2">
        <v>2.57</v>
      </c>
      <c r="B2">
        <v>1</v>
      </c>
      <c r="C2" t="str">
        <f>CONCATENATE(Таблица258[[#This Row],[Столбец1]],Таблица258[[#This Row],[Столбец2]])</f>
        <v>2,571</v>
      </c>
      <c r="E2">
        <v>2.56</v>
      </c>
      <c r="F2">
        <v>1.01</v>
      </c>
      <c r="G2" t="str">
        <f>CONCATENATE(Таблица271[[#This Row],[Столбец1]],Таблица271[[#This Row],[Столбец2]])</f>
        <v>2,561,01</v>
      </c>
      <c r="I2">
        <v>7.1083333333333298</v>
      </c>
      <c r="J2">
        <v>-12.5833333333333</v>
      </c>
    </row>
    <row r="3" spans="1:10" x14ac:dyDescent="0.25">
      <c r="A3">
        <v>2.57</v>
      </c>
      <c r="B3">
        <v>1</v>
      </c>
      <c r="C3" t="str">
        <f>CONCATENATE(Таблица258[[#This Row],[Столбец1]],Таблица258[[#This Row],[Столбец2]])</f>
        <v>2,571</v>
      </c>
      <c r="E3">
        <v>2.56</v>
      </c>
      <c r="F3">
        <v>1.01</v>
      </c>
      <c r="G3" t="str">
        <f>CONCATENATE(Таблица271[[#This Row],[Столбец1]],Таблица271[[#This Row],[Столбец2]])</f>
        <v>2,561,01</v>
      </c>
      <c r="I3">
        <v>7.05</v>
      </c>
      <c r="J3">
        <v>-12.633333333333301</v>
      </c>
    </row>
    <row r="4" spans="1:10" x14ac:dyDescent="0.25">
      <c r="A4">
        <v>2.57</v>
      </c>
      <c r="B4">
        <v>1</v>
      </c>
      <c r="C4" t="str">
        <f>CONCATENATE(Таблица258[[#This Row],[Столбец1]],Таблица258[[#This Row],[Столбец2]])</f>
        <v>2,571</v>
      </c>
      <c r="E4">
        <v>2.56</v>
      </c>
      <c r="F4">
        <v>1.01</v>
      </c>
      <c r="G4" t="str">
        <f>CONCATENATE(Таблица271[[#This Row],[Столбец1]],Таблица271[[#This Row],[Столбец2]])</f>
        <v>2,561,01</v>
      </c>
      <c r="I4">
        <v>6.9916666666666698</v>
      </c>
      <c r="J4">
        <v>-12.6666666666667</v>
      </c>
    </row>
    <row r="5" spans="1:10" x14ac:dyDescent="0.25">
      <c r="A5">
        <v>2.57</v>
      </c>
      <c r="B5">
        <v>1</v>
      </c>
      <c r="C5" t="str">
        <f>CONCATENATE(Таблица258[[#This Row],[Столбец1]],Таблица258[[#This Row],[Столбец2]])</f>
        <v>2,571</v>
      </c>
      <c r="E5">
        <v>2.56</v>
      </c>
      <c r="F5">
        <v>1.01</v>
      </c>
      <c r="G5" t="str">
        <f>CONCATENATE(Таблица271[[#This Row],[Столбец1]],Таблица271[[#This Row],[Столбец2]])</f>
        <v>2,561,01</v>
      </c>
      <c r="I5">
        <v>6.93333333333333</v>
      </c>
      <c r="J5">
        <v>-12.716666666666701</v>
      </c>
    </row>
    <row r="6" spans="1:10" x14ac:dyDescent="0.25">
      <c r="A6">
        <v>2.57</v>
      </c>
      <c r="B6">
        <v>1</v>
      </c>
      <c r="C6" t="str">
        <f>CONCATENATE(Таблица258[[#This Row],[Столбец1]],Таблица258[[#This Row],[Столбец2]])</f>
        <v>2,571</v>
      </c>
      <c r="E6">
        <v>2.56</v>
      </c>
      <c r="F6">
        <v>1.01</v>
      </c>
      <c r="G6" t="str">
        <f>CONCATENATE(Таблица271[[#This Row],[Столбец1]],Таблица271[[#This Row],[Столбец2]])</f>
        <v>2,561,01</v>
      </c>
      <c r="I6">
        <v>6.875</v>
      </c>
      <c r="J6">
        <v>-12.75</v>
      </c>
    </row>
    <row r="7" spans="1:10" x14ac:dyDescent="0.25">
      <c r="A7">
        <v>2.57</v>
      </c>
      <c r="B7">
        <v>1</v>
      </c>
      <c r="C7" t="str">
        <f>CONCATENATE(Таблица258[[#This Row],[Столбец1]],Таблица258[[#This Row],[Столбец2]])</f>
        <v>2,571</v>
      </c>
      <c r="E7">
        <v>2.56</v>
      </c>
      <c r="F7">
        <v>1.01</v>
      </c>
      <c r="G7" t="str">
        <f>CONCATENATE(Таблица271[[#This Row],[Столбец1]],Таблица271[[#This Row],[Столбец2]])</f>
        <v>2,561,01</v>
      </c>
      <c r="I7">
        <v>6.81666666666667</v>
      </c>
      <c r="J7">
        <v>-12.8</v>
      </c>
    </row>
    <row r="8" spans="1:10" x14ac:dyDescent="0.25">
      <c r="A8">
        <v>2.57</v>
      </c>
      <c r="B8">
        <v>1</v>
      </c>
      <c r="C8" t="str">
        <f>CONCATENATE(Таблица258[[#This Row],[Столбец1]],Таблица258[[#This Row],[Столбец2]])</f>
        <v>2,571</v>
      </c>
      <c r="E8">
        <v>2.54</v>
      </c>
      <c r="F8">
        <v>1.02</v>
      </c>
      <c r="G8" t="str">
        <f>CONCATENATE(Таблица271[[#This Row],[Столбец1]],Таблица271[[#This Row],[Столбец2]])</f>
        <v>2,541,02</v>
      </c>
      <c r="I8">
        <v>6.7583333333333302</v>
      </c>
      <c r="J8">
        <v>-12.85</v>
      </c>
    </row>
    <row r="9" spans="1:10" x14ac:dyDescent="0.25">
      <c r="A9">
        <v>2.56</v>
      </c>
      <c r="B9">
        <v>1.01</v>
      </c>
      <c r="C9" t="str">
        <f>CONCATENATE(Таблица258[[#This Row],[Столбец1]],Таблица258[[#This Row],[Столбец2]])</f>
        <v>2,561,01</v>
      </c>
      <c r="E9">
        <v>2.54</v>
      </c>
      <c r="F9">
        <v>1.02</v>
      </c>
      <c r="G9" t="str">
        <f>CONCATENATE(Таблица271[[#This Row],[Столбец1]],Таблица271[[#This Row],[Столбец2]])</f>
        <v>2,541,02</v>
      </c>
      <c r="I9">
        <v>6.7</v>
      </c>
      <c r="J9">
        <v>-13.3333333333333</v>
      </c>
    </row>
    <row r="10" spans="1:10" x14ac:dyDescent="0.25">
      <c r="A10">
        <v>2.56</v>
      </c>
      <c r="B10">
        <v>1.01</v>
      </c>
      <c r="C10" t="str">
        <f>CONCATENATE(Таблица258[[#This Row],[Столбец1]],Таблица258[[#This Row],[Столбец2]])</f>
        <v>2,561,01</v>
      </c>
      <c r="E10">
        <v>2.54</v>
      </c>
      <c r="F10">
        <v>1.02</v>
      </c>
      <c r="G10" t="str">
        <f>CONCATENATE(Таблица271[[#This Row],[Столбец1]],Таблица271[[#This Row],[Столбец2]])</f>
        <v>2,541,02</v>
      </c>
      <c r="I10">
        <v>6.7</v>
      </c>
      <c r="J10">
        <v>-11.6666666666667</v>
      </c>
    </row>
    <row r="11" spans="1:10" x14ac:dyDescent="0.25">
      <c r="A11">
        <v>2.56</v>
      </c>
      <c r="B11">
        <v>1.01</v>
      </c>
      <c r="C11" t="str">
        <f>CONCATENATE(Таблица258[[#This Row],[Столбец1]],Таблица258[[#This Row],[Столбец2]])</f>
        <v>2,561,01</v>
      </c>
      <c r="E11">
        <v>2.54</v>
      </c>
      <c r="F11">
        <v>1.02</v>
      </c>
      <c r="G11" t="str">
        <f>CONCATENATE(Таблица271[[#This Row],[Столбец1]],Таблица271[[#This Row],[Столбец2]])</f>
        <v>2,541,02</v>
      </c>
      <c r="I11">
        <v>6.6416666666666702</v>
      </c>
      <c r="J11">
        <v>-13.35</v>
      </c>
    </row>
    <row r="12" spans="1:10" x14ac:dyDescent="0.25">
      <c r="A12">
        <v>2.56</v>
      </c>
      <c r="B12">
        <v>1.01</v>
      </c>
      <c r="C12" t="str">
        <f>CONCATENATE(Таблица258[[#This Row],[Столбец1]],Таблица258[[#This Row],[Столбец2]])</f>
        <v>2,561,01</v>
      </c>
      <c r="E12">
        <v>2.54</v>
      </c>
      <c r="F12">
        <v>1.02</v>
      </c>
      <c r="G12" t="str">
        <f>CONCATENATE(Таблица271[[#This Row],[Столбец1]],Таблица271[[#This Row],[Столбец2]])</f>
        <v>2,541,02</v>
      </c>
      <c r="I12">
        <v>6.5250000000000004</v>
      </c>
      <c r="J12">
        <v>-13.366666666666699</v>
      </c>
    </row>
    <row r="13" spans="1:10" x14ac:dyDescent="0.25">
      <c r="A13">
        <v>2.56</v>
      </c>
      <c r="B13">
        <v>1.01</v>
      </c>
      <c r="C13" t="str">
        <f>CONCATENATE(Таблица258[[#This Row],[Столбец1]],Таблица258[[#This Row],[Столбец2]])</f>
        <v>2,561,01</v>
      </c>
      <c r="E13">
        <v>2.54</v>
      </c>
      <c r="F13">
        <v>1.02</v>
      </c>
      <c r="G13" t="str">
        <f>CONCATENATE(Таблица271[[#This Row],[Столбец1]],Таблица271[[#This Row],[Столбец2]])</f>
        <v>2,541,02</v>
      </c>
      <c r="I13">
        <v>6.4666666666666703</v>
      </c>
      <c r="J13">
        <v>-13.383333333333301</v>
      </c>
    </row>
    <row r="14" spans="1:10" x14ac:dyDescent="0.25">
      <c r="A14">
        <v>2.56</v>
      </c>
      <c r="B14">
        <v>1.01</v>
      </c>
      <c r="C14" t="str">
        <f>CONCATENATE(Таблица258[[#This Row],[Столбец1]],Таблица258[[#This Row],[Столбец2]])</f>
        <v>2,561,01</v>
      </c>
      <c r="E14">
        <v>2.5299999999999998</v>
      </c>
      <c r="F14">
        <v>1.03</v>
      </c>
      <c r="G14" t="str">
        <f>CONCATENATE(Таблица271[[#This Row],[Столбец1]],Таблица271[[#This Row],[Столбец2]])</f>
        <v>2,531,03</v>
      </c>
      <c r="I14">
        <v>7.1666666666666696</v>
      </c>
      <c r="J14">
        <v>-10.866666666666699</v>
      </c>
    </row>
    <row r="15" spans="1:10" x14ac:dyDescent="0.25">
      <c r="A15">
        <v>2.56</v>
      </c>
      <c r="B15">
        <v>1.01</v>
      </c>
      <c r="C15" t="str">
        <f>CONCATENATE(Таблица258[[#This Row],[Столбец1]],Таблица258[[#This Row],[Столбец2]])</f>
        <v>2,561,01</v>
      </c>
      <c r="E15">
        <v>2.5299999999999998</v>
      </c>
      <c r="F15">
        <v>1.03</v>
      </c>
      <c r="G15" t="str">
        <f>CONCATENATE(Таблица271[[#This Row],[Столбец1]],Таблица271[[#This Row],[Столбец2]])</f>
        <v>2,531,03</v>
      </c>
      <c r="I15">
        <v>7.2249999999999996</v>
      </c>
      <c r="J15">
        <v>-10.8333333333333</v>
      </c>
    </row>
    <row r="16" spans="1:10" x14ac:dyDescent="0.25">
      <c r="A16">
        <v>2.54</v>
      </c>
      <c r="B16">
        <v>1.02</v>
      </c>
      <c r="C16" t="str">
        <f>CONCATENATE(Таблица258[[#This Row],[Столбец1]],Таблица258[[#This Row],[Столбец2]])</f>
        <v>2,541,02</v>
      </c>
      <c r="E16">
        <v>2.5299999999999998</v>
      </c>
      <c r="F16">
        <v>1.03</v>
      </c>
      <c r="G16" t="str">
        <f>CONCATENATE(Таблица271[[#This Row],[Столбец1]],Таблица271[[#This Row],[Столбец2]])</f>
        <v>2,531,03</v>
      </c>
      <c r="I16">
        <v>7.05</v>
      </c>
      <c r="J16">
        <v>-10.966666666666701</v>
      </c>
    </row>
    <row r="17" spans="1:10" x14ac:dyDescent="0.25">
      <c r="A17">
        <v>2.54</v>
      </c>
      <c r="B17">
        <v>1.02</v>
      </c>
      <c r="C17" t="str">
        <f>CONCATENATE(Таблица258[[#This Row],[Столбец1]],Таблица258[[#This Row],[Столбец2]])</f>
        <v>2,541,02</v>
      </c>
      <c r="E17">
        <v>2.5299999999999998</v>
      </c>
      <c r="F17">
        <v>1.03</v>
      </c>
      <c r="G17" t="str">
        <f>CONCATENATE(Таблица271[[#This Row],[Столбец1]],Таблица271[[#This Row],[Столбец2]])</f>
        <v>2,531,03</v>
      </c>
      <c r="I17">
        <v>6.35</v>
      </c>
      <c r="J17">
        <v>-13.4166666666667</v>
      </c>
    </row>
    <row r="18" spans="1:10" x14ac:dyDescent="0.25">
      <c r="A18">
        <v>2.54</v>
      </c>
      <c r="B18">
        <v>1.02</v>
      </c>
      <c r="C18" t="str">
        <f>CONCATENATE(Таблица258[[#This Row],[Столбец1]],Таблица258[[#This Row],[Столбец2]])</f>
        <v>2,541,02</v>
      </c>
      <c r="E18">
        <v>2.5299999999999998</v>
      </c>
      <c r="F18">
        <v>1.03</v>
      </c>
      <c r="G18" t="str">
        <f>CONCATENATE(Таблица271[[#This Row],[Столбец1]],Таблица271[[#This Row],[Столбец2]])</f>
        <v>2,531,03</v>
      </c>
      <c r="I18">
        <v>6.7583333333333302</v>
      </c>
      <c r="J18">
        <v>-11.1833333333333</v>
      </c>
    </row>
    <row r="19" spans="1:10" x14ac:dyDescent="0.25">
      <c r="A19">
        <v>2.54</v>
      </c>
      <c r="B19">
        <v>1.02</v>
      </c>
      <c r="C19" t="str">
        <f>CONCATENATE(Таблица258[[#This Row],[Столбец1]],Таблица258[[#This Row],[Столбец2]])</f>
        <v>2,541,02</v>
      </c>
      <c r="E19">
        <v>2.5299999999999998</v>
      </c>
      <c r="F19">
        <v>1.03</v>
      </c>
      <c r="G19" t="str">
        <f>CONCATENATE(Таблица271[[#This Row],[Столбец1]],Таблица271[[#This Row],[Столбец2]])</f>
        <v>2,531,03</v>
      </c>
      <c r="I19">
        <v>6.875</v>
      </c>
      <c r="J19">
        <v>-11.0833333333333</v>
      </c>
    </row>
    <row r="20" spans="1:10" x14ac:dyDescent="0.25">
      <c r="A20">
        <v>2.54</v>
      </c>
      <c r="B20">
        <v>1.02</v>
      </c>
      <c r="C20" t="str">
        <f>CONCATENATE(Таблица258[[#This Row],[Столбец1]],Таблица258[[#This Row],[Столбец2]])</f>
        <v>2,541,02</v>
      </c>
      <c r="E20">
        <v>2.5099999999999998</v>
      </c>
      <c r="F20">
        <v>1.04</v>
      </c>
      <c r="G20" t="str">
        <f>CONCATENATE(Таблица271[[#This Row],[Столбец1]],Таблица271[[#This Row],[Столбец2]])</f>
        <v>2,511,04</v>
      </c>
      <c r="I20">
        <v>6.4083333333333297</v>
      </c>
      <c r="J20">
        <v>-13.4</v>
      </c>
    </row>
    <row r="21" spans="1:10" x14ac:dyDescent="0.25">
      <c r="A21">
        <v>2.54</v>
      </c>
      <c r="B21">
        <v>1.02</v>
      </c>
      <c r="C21" t="str">
        <f>CONCATENATE(Таблица258[[#This Row],[Столбец1]],Таблица258[[#This Row],[Столбец2]])</f>
        <v>2,541,02</v>
      </c>
      <c r="E21">
        <v>2.5099999999999998</v>
      </c>
      <c r="F21">
        <v>1.04</v>
      </c>
      <c r="G21" t="str">
        <f>CONCATENATE(Таблица271[[#This Row],[Столбец1]],Таблица271[[#This Row],[Столбец2]])</f>
        <v>2,511,04</v>
      </c>
      <c r="I21">
        <v>7.1083333333333298</v>
      </c>
      <c r="J21">
        <v>-10.9166666666667</v>
      </c>
    </row>
    <row r="22" spans="1:10" x14ac:dyDescent="0.25">
      <c r="A22">
        <v>2.54</v>
      </c>
      <c r="B22">
        <v>1.02</v>
      </c>
      <c r="C22" t="str">
        <f>CONCATENATE(Таблица258[[#This Row],[Столбец1]],Таблица258[[#This Row],[Столбец2]])</f>
        <v>2,541,02</v>
      </c>
      <c r="E22">
        <v>2.5099999999999998</v>
      </c>
      <c r="F22">
        <v>1.04</v>
      </c>
      <c r="G22" t="str">
        <f>CONCATENATE(Таблица271[[#This Row],[Столбец1]],Таблица271[[#This Row],[Столбец2]])</f>
        <v>2,511,04</v>
      </c>
      <c r="I22">
        <v>6.93333333333333</v>
      </c>
      <c r="J22">
        <v>-11.05</v>
      </c>
    </row>
    <row r="23" spans="1:10" x14ac:dyDescent="0.25">
      <c r="A23">
        <v>2.5299999999999998</v>
      </c>
      <c r="B23">
        <v>1.03</v>
      </c>
      <c r="C23" t="str">
        <f>CONCATENATE(Таблица258[[#This Row],[Столбец1]],Таблица258[[#This Row],[Столбец2]])</f>
        <v>2,531,03</v>
      </c>
      <c r="E23">
        <v>2.5099999999999998</v>
      </c>
      <c r="F23">
        <v>1.04</v>
      </c>
      <c r="G23" t="str">
        <f>CONCATENATE(Таблица271[[#This Row],[Столбец1]],Таблица271[[#This Row],[Столбец2]])</f>
        <v>2,511,04</v>
      </c>
      <c r="I23">
        <v>6.81666666666667</v>
      </c>
      <c r="J23">
        <v>-11.133333333333301</v>
      </c>
    </row>
    <row r="24" spans="1:10" x14ac:dyDescent="0.25">
      <c r="A24">
        <v>2.5299999999999998</v>
      </c>
      <c r="B24">
        <v>1.03</v>
      </c>
      <c r="C24" t="str">
        <f>CONCATENATE(Таблица258[[#This Row],[Столбец1]],Таблица258[[#This Row],[Столбец2]])</f>
        <v>2,531,03</v>
      </c>
      <c r="E24">
        <v>2.5099999999999998</v>
      </c>
      <c r="F24">
        <v>1.04</v>
      </c>
      <c r="G24" t="str">
        <f>CONCATENATE(Таблица271[[#This Row],[Столбец1]],Таблица271[[#This Row],[Столбец2]])</f>
        <v>2,511,04</v>
      </c>
      <c r="I24">
        <v>6.9916666666666698</v>
      </c>
      <c r="J24">
        <v>-11</v>
      </c>
    </row>
    <row r="25" spans="1:10" x14ac:dyDescent="0.25">
      <c r="A25">
        <v>2.5299999999999998</v>
      </c>
      <c r="B25">
        <v>1.03</v>
      </c>
      <c r="C25" t="str">
        <f>CONCATENATE(Таблица258[[#This Row],[Столбец1]],Таблица258[[#This Row],[Столбец2]])</f>
        <v>2,531,03</v>
      </c>
      <c r="E25">
        <v>2.5099999999999998</v>
      </c>
      <c r="F25">
        <v>1.04</v>
      </c>
      <c r="G25" t="str">
        <f>CONCATENATE(Таблица271[[#This Row],[Столбец1]],Таблица271[[#This Row],[Столбец2]])</f>
        <v>2,511,04</v>
      </c>
      <c r="I25">
        <v>6.2333333333333298</v>
      </c>
      <c r="J25">
        <v>-13.4333333333333</v>
      </c>
    </row>
    <row r="26" spans="1:10" x14ac:dyDescent="0.25">
      <c r="A26">
        <v>2.5299999999999998</v>
      </c>
      <c r="B26">
        <v>1.03</v>
      </c>
      <c r="C26" t="str">
        <f>CONCATENATE(Таблица258[[#This Row],[Столбец1]],Таблица258[[#This Row],[Столбец2]])</f>
        <v>2,531,03</v>
      </c>
      <c r="E26">
        <v>2.5</v>
      </c>
      <c r="F26">
        <v>1.05</v>
      </c>
      <c r="G26" t="str">
        <f>CONCATENATE(Таблица271[[#This Row],[Столбец1]],Таблица271[[#This Row],[Столбец2]])</f>
        <v>2,51,05</v>
      </c>
      <c r="I26">
        <v>6.1749999999999998</v>
      </c>
      <c r="J26">
        <v>-13.45</v>
      </c>
    </row>
    <row r="27" spans="1:10" x14ac:dyDescent="0.25">
      <c r="A27">
        <v>2.5299999999999998</v>
      </c>
      <c r="B27">
        <v>1.03</v>
      </c>
      <c r="C27" t="str">
        <f>CONCATENATE(Таблица258[[#This Row],[Столбец1]],Таблица258[[#This Row],[Столбец2]])</f>
        <v>2,531,03</v>
      </c>
      <c r="E27">
        <v>2.5</v>
      </c>
      <c r="F27">
        <v>1.05</v>
      </c>
      <c r="G27" t="str">
        <f>CONCATENATE(Таблица271[[#This Row],[Столбец1]],Таблица271[[#This Row],[Столбец2]])</f>
        <v>2,51,05</v>
      </c>
      <c r="I27">
        <v>6.1166666666666698</v>
      </c>
      <c r="J27">
        <v>-13.466666666666701</v>
      </c>
    </row>
    <row r="28" spans="1:10" x14ac:dyDescent="0.25">
      <c r="A28">
        <v>2.5299999999999998</v>
      </c>
      <c r="B28">
        <v>1.03</v>
      </c>
      <c r="C28" t="str">
        <f>CONCATENATE(Таблица258[[#This Row],[Столбец1]],Таблица258[[#This Row],[Столбец2]])</f>
        <v>2,531,03</v>
      </c>
      <c r="E28">
        <v>2.5</v>
      </c>
      <c r="F28">
        <v>1.05</v>
      </c>
      <c r="G28" t="str">
        <f>CONCATENATE(Таблица271[[#This Row],[Столбец1]],Таблица271[[#This Row],[Столбец2]])</f>
        <v>2,51,05</v>
      </c>
      <c r="I28">
        <v>6</v>
      </c>
      <c r="J28">
        <v>-13.483333333333301</v>
      </c>
    </row>
    <row r="29" spans="1:10" x14ac:dyDescent="0.25">
      <c r="A29">
        <v>2.5099999999999998</v>
      </c>
      <c r="B29">
        <v>1.04</v>
      </c>
      <c r="C29" t="str">
        <f>CONCATENATE(Таблица258[[#This Row],[Столбец1]],Таблица258[[#This Row],[Столбец2]])</f>
        <v>2,511,04</v>
      </c>
      <c r="E29">
        <v>2.5</v>
      </c>
      <c r="F29">
        <v>1.05</v>
      </c>
      <c r="G29" t="str">
        <f>CONCATENATE(Таблица271[[#This Row],[Столбец1]],Таблица271[[#This Row],[Столбец2]])</f>
        <v>2,51,05</v>
      </c>
      <c r="I29">
        <v>6.05833333333333</v>
      </c>
      <c r="J29">
        <v>-13.483333333333301</v>
      </c>
    </row>
    <row r="30" spans="1:10" x14ac:dyDescent="0.25">
      <c r="A30">
        <v>2.5099999999999998</v>
      </c>
      <c r="B30">
        <v>1.04</v>
      </c>
      <c r="C30" t="str">
        <f>CONCATENATE(Таблица258[[#This Row],[Столбец1]],Таблица258[[#This Row],[Столбец2]])</f>
        <v>2,511,04</v>
      </c>
      <c r="E30">
        <v>2.5</v>
      </c>
      <c r="F30">
        <v>1.05</v>
      </c>
      <c r="G30" t="str">
        <f>CONCATENATE(Таблица271[[#This Row],[Столбец1]],Таблица271[[#This Row],[Столбец2]])</f>
        <v>2,51,05</v>
      </c>
      <c r="I30">
        <v>5.94166666666667</v>
      </c>
      <c r="J30">
        <v>-13.5</v>
      </c>
    </row>
    <row r="31" spans="1:10" x14ac:dyDescent="0.25">
      <c r="A31">
        <v>2.5099999999999998</v>
      </c>
      <c r="B31">
        <v>1.04</v>
      </c>
      <c r="C31" t="str">
        <f>CONCATENATE(Таблица258[[#This Row],[Столбец1]],Таблица258[[#This Row],[Столбец2]])</f>
        <v>2,511,04</v>
      </c>
      <c r="E31">
        <v>2.5</v>
      </c>
      <c r="F31">
        <v>1.05</v>
      </c>
      <c r="G31" t="str">
        <f>CONCATENATE(Таблица271[[#This Row],[Столбец1]],Таблица271[[#This Row],[Столбец2]])</f>
        <v>2,51,05</v>
      </c>
      <c r="I31">
        <v>5.8833333333333302</v>
      </c>
      <c r="J31">
        <v>-13.516666666666699</v>
      </c>
    </row>
    <row r="32" spans="1:10" x14ac:dyDescent="0.25">
      <c r="A32">
        <v>2.5099999999999998</v>
      </c>
      <c r="B32">
        <v>1.04</v>
      </c>
      <c r="C32" t="str">
        <f>CONCATENATE(Таблица258[[#This Row],[Столбец1]],Таблица258[[#This Row],[Столбец2]])</f>
        <v>2,511,04</v>
      </c>
      <c r="E32">
        <v>2.48</v>
      </c>
      <c r="F32">
        <v>1.06</v>
      </c>
      <c r="G32" t="str">
        <f>CONCATENATE(Таблица271[[#This Row],[Столбец1]],Таблица271[[#This Row],[Столбец2]])</f>
        <v>2,481,06</v>
      </c>
      <c r="I32">
        <v>5.8250000000000002</v>
      </c>
      <c r="J32">
        <v>-13.533333333333299</v>
      </c>
    </row>
    <row r="33" spans="1:10" x14ac:dyDescent="0.25">
      <c r="A33">
        <v>2.5099999999999998</v>
      </c>
      <c r="B33">
        <v>1.04</v>
      </c>
      <c r="C33" t="str">
        <f>CONCATENATE(Таблица258[[#This Row],[Столбец1]],Таблица258[[#This Row],[Столбец2]])</f>
        <v>2,511,04</v>
      </c>
      <c r="E33">
        <v>2.48</v>
      </c>
      <c r="F33">
        <v>1.06</v>
      </c>
      <c r="G33" t="str">
        <f>CONCATENATE(Таблица271[[#This Row],[Столбец1]],Таблица271[[#This Row],[Столбец2]])</f>
        <v>2,481,06</v>
      </c>
      <c r="I33">
        <v>5.7083333333333304</v>
      </c>
      <c r="J33">
        <v>-13.55</v>
      </c>
    </row>
    <row r="34" spans="1:10" x14ac:dyDescent="0.25">
      <c r="A34">
        <v>2.5099999999999998</v>
      </c>
      <c r="B34">
        <v>1.04</v>
      </c>
      <c r="C34" t="str">
        <f>CONCATENATE(Таблица258[[#This Row],[Столбец1]],Таблица258[[#This Row],[Столбец2]])</f>
        <v>2,511,04</v>
      </c>
      <c r="E34">
        <v>2.48</v>
      </c>
      <c r="F34">
        <v>1.06</v>
      </c>
      <c r="G34" t="str">
        <f>CONCATENATE(Таблица271[[#This Row],[Столбец1]],Таблица271[[#This Row],[Столбец2]])</f>
        <v>2,481,06</v>
      </c>
      <c r="I34">
        <v>5.65</v>
      </c>
      <c r="J34">
        <v>-13.5666666666667</v>
      </c>
    </row>
    <row r="35" spans="1:10" x14ac:dyDescent="0.25">
      <c r="A35">
        <v>2.5099999999999998</v>
      </c>
      <c r="B35">
        <v>1.04</v>
      </c>
      <c r="C35" t="str">
        <f>CONCATENATE(Таблица258[[#This Row],[Столбец1]],Таблица258[[#This Row],[Столбец2]])</f>
        <v>2,511,04</v>
      </c>
      <c r="E35">
        <v>2.48</v>
      </c>
      <c r="F35">
        <v>1.06</v>
      </c>
      <c r="G35" t="str">
        <f>CONCATENATE(Таблица271[[#This Row],[Столбец1]],Таблица271[[#This Row],[Столбец2]])</f>
        <v>2,481,06</v>
      </c>
      <c r="I35">
        <v>5.5916666666666703</v>
      </c>
      <c r="J35">
        <v>-13.5833333333333</v>
      </c>
    </row>
    <row r="36" spans="1:10" x14ac:dyDescent="0.25">
      <c r="A36">
        <v>2.5</v>
      </c>
      <c r="B36">
        <v>1.05</v>
      </c>
      <c r="C36" t="str">
        <f>CONCATENATE(Таблица258[[#This Row],[Столбец1]],Таблица258[[#This Row],[Столбец2]])</f>
        <v>2,51,05</v>
      </c>
      <c r="E36">
        <v>2.48</v>
      </c>
      <c r="F36">
        <v>1.06</v>
      </c>
      <c r="G36" t="str">
        <f>CONCATENATE(Таблица271[[#This Row],[Столбец1]],Таблица271[[#This Row],[Столбец2]])</f>
        <v>2,481,06</v>
      </c>
      <c r="I36">
        <v>5.5333333333333297</v>
      </c>
      <c r="J36">
        <v>-13.6</v>
      </c>
    </row>
    <row r="37" spans="1:10" x14ac:dyDescent="0.25">
      <c r="A37">
        <v>2.5</v>
      </c>
      <c r="B37">
        <v>1.05</v>
      </c>
      <c r="C37" t="str">
        <f>CONCATENATE(Таблица258[[#This Row],[Столбец1]],Таблица258[[#This Row],[Столбец2]])</f>
        <v>2,51,05</v>
      </c>
      <c r="E37">
        <v>2.48</v>
      </c>
      <c r="F37">
        <v>1.06</v>
      </c>
      <c r="G37" t="str">
        <f>CONCATENATE(Таблица271[[#This Row],[Столбец1]],Таблица271[[#This Row],[Столбец2]])</f>
        <v>2,481,06</v>
      </c>
      <c r="I37">
        <v>5.4166666666666696</v>
      </c>
      <c r="J37">
        <v>-13.616666666666699</v>
      </c>
    </row>
    <row r="38" spans="1:10" x14ac:dyDescent="0.25">
      <c r="A38">
        <v>2.5</v>
      </c>
      <c r="B38">
        <v>1.05</v>
      </c>
      <c r="C38" t="str">
        <f>CONCATENATE(Таблица258[[#This Row],[Столбец1]],Таблица258[[#This Row],[Столбец2]])</f>
        <v>2,51,05</v>
      </c>
      <c r="E38">
        <v>2.4700000000000002</v>
      </c>
      <c r="F38">
        <v>1.07</v>
      </c>
      <c r="G38" t="str">
        <f>CONCATENATE(Таблица271[[#This Row],[Столбец1]],Таблица271[[#This Row],[Столбец2]])</f>
        <v>2,471,07</v>
      </c>
      <c r="I38">
        <v>5.4749999999999996</v>
      </c>
      <c r="J38">
        <v>-13.6</v>
      </c>
    </row>
    <row r="39" spans="1:10" x14ac:dyDescent="0.25">
      <c r="A39">
        <v>2.5</v>
      </c>
      <c r="B39">
        <v>1.05</v>
      </c>
      <c r="C39" t="str">
        <f>CONCATENATE(Таблица258[[#This Row],[Столбец1]],Таблица258[[#This Row],[Столбец2]])</f>
        <v>2,51,05</v>
      </c>
      <c r="E39">
        <v>2.4700000000000002</v>
      </c>
      <c r="F39">
        <v>1.07</v>
      </c>
      <c r="G39" t="str">
        <f>CONCATENATE(Таблица271[[#This Row],[Столбец1]],Таблица271[[#This Row],[Столбец2]])</f>
        <v>2,471,07</v>
      </c>
      <c r="I39">
        <v>5.3583333333333298</v>
      </c>
      <c r="J39">
        <v>-13.633333333333301</v>
      </c>
    </row>
    <row r="40" spans="1:10" x14ac:dyDescent="0.25">
      <c r="A40">
        <v>2.5</v>
      </c>
      <c r="B40">
        <v>1.05</v>
      </c>
      <c r="C40" t="str">
        <f>CONCATENATE(Таблица258[[#This Row],[Столбец1]],Таблица258[[#This Row],[Столбец2]])</f>
        <v>2,51,05</v>
      </c>
      <c r="E40">
        <v>2.4700000000000002</v>
      </c>
      <c r="F40">
        <v>1.07</v>
      </c>
      <c r="G40" t="str">
        <f>CONCATENATE(Таблица271[[#This Row],[Столбец1]],Таблица271[[#This Row],[Столбец2]])</f>
        <v>2,471,07</v>
      </c>
      <c r="I40">
        <v>5.3</v>
      </c>
      <c r="J40">
        <v>-13.65</v>
      </c>
    </row>
    <row r="41" spans="1:10" x14ac:dyDescent="0.25">
      <c r="A41">
        <v>2.5</v>
      </c>
      <c r="B41">
        <v>1.05</v>
      </c>
      <c r="C41" t="str">
        <f>CONCATENATE(Таблица258[[#This Row],[Столбец1]],Таблица258[[#This Row],[Столбец2]])</f>
        <v>2,51,05</v>
      </c>
      <c r="E41">
        <v>2.4700000000000002</v>
      </c>
      <c r="F41">
        <v>1.07</v>
      </c>
      <c r="G41" t="str">
        <f>CONCATENATE(Таблица271[[#This Row],[Столбец1]],Таблица271[[#This Row],[Столбец2]])</f>
        <v>2,471,07</v>
      </c>
      <c r="I41">
        <v>5.18333333333333</v>
      </c>
      <c r="J41">
        <v>-13.6666666666667</v>
      </c>
    </row>
    <row r="42" spans="1:10" x14ac:dyDescent="0.25">
      <c r="A42">
        <v>2.5</v>
      </c>
      <c r="B42">
        <v>1.05</v>
      </c>
      <c r="C42" t="str">
        <f>CONCATENATE(Таблица258[[#This Row],[Столбец1]],Таблица258[[#This Row],[Столбец2]])</f>
        <v>2,51,05</v>
      </c>
      <c r="E42">
        <v>2.4700000000000002</v>
      </c>
      <c r="F42">
        <v>1.07</v>
      </c>
      <c r="G42" t="str">
        <f>CONCATENATE(Таблица271[[#This Row],[Столбец1]],Таблица271[[#This Row],[Столбец2]])</f>
        <v>2,471,07</v>
      </c>
      <c r="I42">
        <v>5.125</v>
      </c>
      <c r="J42">
        <v>-13.6833333333333</v>
      </c>
    </row>
    <row r="43" spans="1:10" x14ac:dyDescent="0.25">
      <c r="A43">
        <v>2.48</v>
      </c>
      <c r="B43">
        <v>1.06</v>
      </c>
      <c r="C43" t="str">
        <f>CONCATENATE(Таблица258[[#This Row],[Столбец1]],Таблица258[[#This Row],[Столбец2]])</f>
        <v>2,481,06</v>
      </c>
      <c r="E43">
        <v>2.4700000000000002</v>
      </c>
      <c r="F43">
        <v>1.07</v>
      </c>
      <c r="G43" t="str">
        <f>CONCATENATE(Таблица271[[#This Row],[Столбец1]],Таблица271[[#This Row],[Столбец2]])</f>
        <v>2,471,07</v>
      </c>
      <c r="I43">
        <v>5.06666666666667</v>
      </c>
      <c r="J43">
        <v>-13.7</v>
      </c>
    </row>
    <row r="44" spans="1:10" x14ac:dyDescent="0.25">
      <c r="A44">
        <v>2.48</v>
      </c>
      <c r="B44">
        <v>1.06</v>
      </c>
      <c r="C44" t="str">
        <f>CONCATENATE(Таблица258[[#This Row],[Столбец1]],Таблица258[[#This Row],[Столбец2]])</f>
        <v>2,481,06</v>
      </c>
      <c r="E44">
        <v>2.46</v>
      </c>
      <c r="F44">
        <v>1.08</v>
      </c>
      <c r="G44" t="str">
        <f>CONCATENATE(Таблица271[[#This Row],[Столбец1]],Таблица271[[#This Row],[Столбец2]])</f>
        <v>2,461,08</v>
      </c>
      <c r="I44">
        <v>5.0083333333333302</v>
      </c>
      <c r="J44">
        <v>-13.716666666666701</v>
      </c>
    </row>
    <row r="45" spans="1:10" x14ac:dyDescent="0.25">
      <c r="A45">
        <v>2.48</v>
      </c>
      <c r="B45">
        <v>1.06</v>
      </c>
      <c r="C45" t="str">
        <f>CONCATENATE(Таблица258[[#This Row],[Столбец1]],Таблица258[[#This Row],[Столбец2]])</f>
        <v>2,481,06</v>
      </c>
      <c r="E45">
        <v>2.46</v>
      </c>
      <c r="F45">
        <v>1.08</v>
      </c>
      <c r="G45" t="str">
        <f>CONCATENATE(Таблица271[[#This Row],[Столбец1]],Таблица271[[#This Row],[Столбец2]])</f>
        <v>2,461,08</v>
      </c>
      <c r="I45">
        <v>4.95</v>
      </c>
      <c r="J45">
        <v>-13.716666666666701</v>
      </c>
    </row>
    <row r="46" spans="1:10" x14ac:dyDescent="0.25">
      <c r="A46">
        <v>2.48</v>
      </c>
      <c r="B46">
        <v>1.06</v>
      </c>
      <c r="C46" t="str">
        <f>CONCATENATE(Таблица258[[#This Row],[Столбец1]],Таблица258[[#This Row],[Столбец2]])</f>
        <v>2,481,06</v>
      </c>
      <c r="E46">
        <v>2.46</v>
      </c>
      <c r="F46">
        <v>1.08</v>
      </c>
      <c r="G46" t="str">
        <f>CONCATENATE(Таблица271[[#This Row],[Столбец1]],Таблица271[[#This Row],[Столбец2]])</f>
        <v>2,461,08</v>
      </c>
      <c r="I46">
        <v>4.8916666666666702</v>
      </c>
      <c r="J46">
        <v>-13.733333333333301</v>
      </c>
    </row>
    <row r="47" spans="1:10" x14ac:dyDescent="0.25">
      <c r="A47">
        <v>2.48</v>
      </c>
      <c r="B47">
        <v>1.06</v>
      </c>
      <c r="C47" t="str">
        <f>CONCATENATE(Таблица258[[#This Row],[Столбец1]],Таблица258[[#This Row],[Столбец2]])</f>
        <v>2,481,06</v>
      </c>
      <c r="E47">
        <v>2.46</v>
      </c>
      <c r="F47">
        <v>1.08</v>
      </c>
      <c r="G47" t="str">
        <f>CONCATENATE(Таблица271[[#This Row],[Столбец1]],Таблица271[[#This Row],[Столбец2]])</f>
        <v>2,461,08</v>
      </c>
      <c r="I47">
        <v>4.8333333333333304</v>
      </c>
      <c r="J47">
        <v>-13.75</v>
      </c>
    </row>
    <row r="48" spans="1:10" x14ac:dyDescent="0.25">
      <c r="A48">
        <v>2.48</v>
      </c>
      <c r="B48">
        <v>1.06</v>
      </c>
      <c r="C48" t="str">
        <f>CONCATENATE(Таблица258[[#This Row],[Столбец1]],Таблица258[[#This Row],[Столбец2]])</f>
        <v>2,481,06</v>
      </c>
      <c r="E48">
        <v>2.46</v>
      </c>
      <c r="F48">
        <v>1.08</v>
      </c>
      <c r="G48" t="str">
        <f>CONCATENATE(Таблица271[[#This Row],[Столбец1]],Таблица271[[#This Row],[Столбец2]])</f>
        <v>2,461,08</v>
      </c>
      <c r="I48">
        <v>4.7750000000000004</v>
      </c>
      <c r="J48">
        <v>-13.766666666666699</v>
      </c>
    </row>
    <row r="49" spans="1:10" x14ac:dyDescent="0.25">
      <c r="A49">
        <v>2.48</v>
      </c>
      <c r="B49">
        <v>1.06</v>
      </c>
      <c r="C49" t="str">
        <f>CONCATENATE(Таблица258[[#This Row],[Столбец1]],Таблица258[[#This Row],[Столбец2]])</f>
        <v>2,481,06</v>
      </c>
      <c r="E49">
        <v>2.46</v>
      </c>
      <c r="F49">
        <v>1.08</v>
      </c>
      <c r="G49" t="str">
        <f>CONCATENATE(Таблица271[[#This Row],[Столбец1]],Таблица271[[#This Row],[Столбец2]])</f>
        <v>2,461,08</v>
      </c>
      <c r="I49">
        <v>4.6583333333333297</v>
      </c>
      <c r="J49">
        <v>-13.783333333333299</v>
      </c>
    </row>
    <row r="50" spans="1:10" x14ac:dyDescent="0.25">
      <c r="A50">
        <v>2.4700000000000002</v>
      </c>
      <c r="B50">
        <v>1.07</v>
      </c>
      <c r="C50" t="str">
        <f>CONCATENATE(Таблица258[[#This Row],[Столбец1]],Таблица258[[#This Row],[Столбец2]])</f>
        <v>2,471,07</v>
      </c>
      <c r="E50">
        <v>2.44</v>
      </c>
      <c r="F50">
        <v>1.0900000000000001</v>
      </c>
      <c r="G50" t="str">
        <f>CONCATENATE(Таблица271[[#This Row],[Столбец1]],Таблица271[[#This Row],[Столбец2]])</f>
        <v>2,441,09</v>
      </c>
      <c r="I50">
        <v>4.7166666666666703</v>
      </c>
      <c r="J50">
        <v>-13.783333333333299</v>
      </c>
    </row>
    <row r="51" spans="1:10" x14ac:dyDescent="0.25">
      <c r="A51">
        <v>2.4700000000000002</v>
      </c>
      <c r="B51">
        <v>1.07</v>
      </c>
      <c r="C51" t="str">
        <f>CONCATENATE(Таблица258[[#This Row],[Столбец1]],Таблица258[[#This Row],[Столбец2]])</f>
        <v>2,471,07</v>
      </c>
      <c r="E51">
        <v>2.44</v>
      </c>
      <c r="F51">
        <v>1.0900000000000001</v>
      </c>
      <c r="G51" t="str">
        <f>CONCATENATE(Таблица271[[#This Row],[Столбец1]],Таблица271[[#This Row],[Столбец2]])</f>
        <v>2,441,09</v>
      </c>
      <c r="I51">
        <v>4.5416666666666696</v>
      </c>
      <c r="J51">
        <v>-13.8166666666667</v>
      </c>
    </row>
    <row r="52" spans="1:10" x14ac:dyDescent="0.25">
      <c r="A52">
        <v>2.4700000000000002</v>
      </c>
      <c r="B52">
        <v>1.07</v>
      </c>
      <c r="C52" t="str">
        <f>CONCATENATE(Таблица258[[#This Row],[Столбец1]],Таблица258[[#This Row],[Столбец2]])</f>
        <v>2,471,07</v>
      </c>
      <c r="E52">
        <v>2.44</v>
      </c>
      <c r="F52">
        <v>1.0900000000000001</v>
      </c>
      <c r="G52" t="str">
        <f>CONCATENATE(Таблица271[[#This Row],[Столбец1]],Таблица271[[#This Row],[Столбец2]])</f>
        <v>2,441,09</v>
      </c>
      <c r="I52">
        <v>4.5999999999999996</v>
      </c>
      <c r="J52">
        <v>-13.8</v>
      </c>
    </row>
    <row r="53" spans="1:10" x14ac:dyDescent="0.25">
      <c r="A53">
        <v>2.4700000000000002</v>
      </c>
      <c r="B53">
        <v>1.07</v>
      </c>
      <c r="C53" t="str">
        <f>CONCATENATE(Таблица258[[#This Row],[Столбец1]],Таблица258[[#This Row],[Столбец2]])</f>
        <v>2,471,07</v>
      </c>
      <c r="E53">
        <v>2.44</v>
      </c>
      <c r="F53">
        <v>1.0900000000000001</v>
      </c>
      <c r="G53" t="str">
        <f>CONCATENATE(Таблица271[[#This Row],[Столбец1]],Таблица271[[#This Row],[Столбец2]])</f>
        <v>2,441,09</v>
      </c>
      <c r="I53">
        <v>4.4833333333333298</v>
      </c>
      <c r="J53">
        <v>-13.8333333333333</v>
      </c>
    </row>
    <row r="54" spans="1:10" x14ac:dyDescent="0.25">
      <c r="A54">
        <v>2.4700000000000002</v>
      </c>
      <c r="B54">
        <v>1.07</v>
      </c>
      <c r="C54" t="str">
        <f>CONCATENATE(Таблица258[[#This Row],[Столбец1]],Таблица258[[#This Row],[Столбец2]])</f>
        <v>2,471,07</v>
      </c>
      <c r="E54">
        <v>2.44</v>
      </c>
      <c r="F54">
        <v>1.0900000000000001</v>
      </c>
      <c r="G54" t="str">
        <f>CONCATENATE(Таблица271[[#This Row],[Столбец1]],Таблица271[[#This Row],[Столбец2]])</f>
        <v>2,441,09</v>
      </c>
      <c r="I54">
        <v>4.4249999999999998</v>
      </c>
      <c r="J54">
        <v>-13.8333333333333</v>
      </c>
    </row>
    <row r="55" spans="1:10" x14ac:dyDescent="0.25">
      <c r="A55">
        <v>2.4700000000000002</v>
      </c>
      <c r="B55">
        <v>1.07</v>
      </c>
      <c r="C55" t="str">
        <f>CONCATENATE(Таблица258[[#This Row],[Столбец1]],Таблица258[[#This Row],[Столбец2]])</f>
        <v>2,471,07</v>
      </c>
      <c r="E55">
        <v>2.44</v>
      </c>
      <c r="F55">
        <v>1.0900000000000001</v>
      </c>
      <c r="G55" t="str">
        <f>CONCATENATE(Таблица271[[#This Row],[Столбец1]],Таблица271[[#This Row],[Столбец2]])</f>
        <v>2,441,09</v>
      </c>
      <c r="I55">
        <v>4.3666666666666698</v>
      </c>
      <c r="J55">
        <v>-13.85</v>
      </c>
    </row>
    <row r="56" spans="1:10" x14ac:dyDescent="0.25">
      <c r="A56">
        <v>2.4700000000000002</v>
      </c>
      <c r="B56">
        <v>1.07</v>
      </c>
      <c r="C56" t="str">
        <f>CONCATENATE(Таблица258[[#This Row],[Столбец1]],Таблица258[[#This Row],[Столбец2]])</f>
        <v>2,471,07</v>
      </c>
      <c r="E56">
        <v>2.4300000000000002</v>
      </c>
      <c r="F56">
        <v>1.1000000000000001</v>
      </c>
      <c r="G56" t="str">
        <f>CONCATENATE(Таблица271[[#This Row],[Столбец1]],Таблица271[[#This Row],[Столбец2]])</f>
        <v>2,431,1</v>
      </c>
      <c r="I56">
        <v>4.30833333333333</v>
      </c>
      <c r="J56">
        <v>-13.866666666666699</v>
      </c>
    </row>
    <row r="57" spans="1:10" x14ac:dyDescent="0.25">
      <c r="A57">
        <v>2.46</v>
      </c>
      <c r="B57">
        <v>1.08</v>
      </c>
      <c r="C57" t="str">
        <f>CONCATENATE(Таблица258[[#This Row],[Столбец1]],Таблица258[[#This Row],[Столбец2]])</f>
        <v>2,461,08</v>
      </c>
      <c r="E57">
        <v>2.4300000000000002</v>
      </c>
      <c r="F57">
        <v>1.1000000000000001</v>
      </c>
      <c r="G57" t="str">
        <f>CONCATENATE(Таблица271[[#This Row],[Столбец1]],Таблица271[[#This Row],[Столбец2]])</f>
        <v>2,431,1</v>
      </c>
      <c r="I57">
        <v>4.25</v>
      </c>
      <c r="J57">
        <v>-13.9</v>
      </c>
    </row>
    <row r="58" spans="1:10" x14ac:dyDescent="0.25">
      <c r="A58">
        <v>2.46</v>
      </c>
      <c r="B58">
        <v>1.08</v>
      </c>
      <c r="C58" t="str">
        <f>CONCATENATE(Таблица258[[#This Row],[Столбец1]],Таблица258[[#This Row],[Столбец2]])</f>
        <v>2,461,08</v>
      </c>
      <c r="E58">
        <v>2.4300000000000002</v>
      </c>
      <c r="F58">
        <v>1.1000000000000001</v>
      </c>
      <c r="G58" t="str">
        <f>CONCATENATE(Таблица271[[#This Row],[Столбец1]],Таблица271[[#This Row],[Столбец2]])</f>
        <v>2,431,1</v>
      </c>
      <c r="I58">
        <v>4.19166666666667</v>
      </c>
      <c r="J58">
        <v>-13.9166666666667</v>
      </c>
    </row>
    <row r="59" spans="1:10" x14ac:dyDescent="0.25">
      <c r="A59">
        <v>2.46</v>
      </c>
      <c r="B59">
        <v>1.08</v>
      </c>
      <c r="C59" t="str">
        <f>CONCATENATE(Таблица258[[#This Row],[Столбец1]],Таблица258[[#This Row],[Столбец2]])</f>
        <v>2,461,08</v>
      </c>
      <c r="E59">
        <v>2.4300000000000002</v>
      </c>
      <c r="F59">
        <v>1.1000000000000001</v>
      </c>
      <c r="G59" t="str">
        <f>CONCATENATE(Таблица271[[#This Row],[Столбец1]],Таблица271[[#This Row],[Столбец2]])</f>
        <v>2,431,1</v>
      </c>
      <c r="I59">
        <v>4.1333333333333302</v>
      </c>
      <c r="J59">
        <v>-13.9333333333333</v>
      </c>
    </row>
    <row r="60" spans="1:10" x14ac:dyDescent="0.25">
      <c r="A60">
        <v>2.46</v>
      </c>
      <c r="B60">
        <v>1.08</v>
      </c>
      <c r="C60" t="str">
        <f>CONCATENATE(Таблица258[[#This Row],[Столбец1]],Таблица258[[#This Row],[Столбец2]])</f>
        <v>2,461,08</v>
      </c>
      <c r="E60">
        <v>2.4300000000000002</v>
      </c>
      <c r="F60">
        <v>1.1000000000000001</v>
      </c>
      <c r="G60" t="str">
        <f>CONCATENATE(Таблица271[[#This Row],[Столбец1]],Таблица271[[#This Row],[Столбец2]])</f>
        <v>2,431,1</v>
      </c>
      <c r="I60">
        <v>4.0750000000000002</v>
      </c>
      <c r="J60">
        <v>-13.966666666666701</v>
      </c>
    </row>
    <row r="61" spans="1:10" x14ac:dyDescent="0.25">
      <c r="A61">
        <v>2.46</v>
      </c>
      <c r="B61">
        <v>1.08</v>
      </c>
      <c r="C61" t="str">
        <f>CONCATENATE(Таблица258[[#This Row],[Столбец1]],Таблица258[[#This Row],[Столбец2]])</f>
        <v>2,461,08</v>
      </c>
      <c r="E61">
        <v>2.4300000000000002</v>
      </c>
      <c r="F61">
        <v>1.1000000000000001</v>
      </c>
      <c r="G61" t="str">
        <f>CONCATENATE(Таблица271[[#This Row],[Столбец1]],Таблица271[[#This Row],[Столбец2]])</f>
        <v>2,431,1</v>
      </c>
      <c r="I61">
        <v>6.6416666666666702</v>
      </c>
      <c r="J61">
        <v>-16.649999999999999</v>
      </c>
    </row>
    <row r="62" spans="1:10" x14ac:dyDescent="0.25">
      <c r="A62">
        <v>2.46</v>
      </c>
      <c r="B62">
        <v>1.08</v>
      </c>
      <c r="C62" t="str">
        <f>CONCATENATE(Таблица258[[#This Row],[Столбец1]],Таблица258[[#This Row],[Столбец2]])</f>
        <v>2,461,08</v>
      </c>
      <c r="E62">
        <v>2.41</v>
      </c>
      <c r="F62">
        <v>1.1100000000000001</v>
      </c>
      <c r="G62" t="str">
        <f>CONCATENATE(Таблица271[[#This Row],[Столбец1]],Таблица271[[#This Row],[Столбец2]])</f>
        <v>2,411,11</v>
      </c>
      <c r="I62">
        <v>6.7</v>
      </c>
      <c r="J62">
        <v>-16.6666666666667</v>
      </c>
    </row>
    <row r="63" spans="1:10" x14ac:dyDescent="0.25">
      <c r="A63">
        <v>2.46</v>
      </c>
      <c r="B63">
        <v>1.08</v>
      </c>
      <c r="C63" t="str">
        <f>CONCATENATE(Таблица258[[#This Row],[Столбец1]],Таблица258[[#This Row],[Столбец2]])</f>
        <v>2,461,08</v>
      </c>
      <c r="E63">
        <v>2.41</v>
      </c>
      <c r="F63">
        <v>1.1100000000000001</v>
      </c>
      <c r="G63" t="str">
        <f>CONCATENATE(Таблица271[[#This Row],[Столбец1]],Таблица271[[#This Row],[Столбец2]])</f>
        <v>2,411,11</v>
      </c>
      <c r="I63">
        <v>3.9583333333333299</v>
      </c>
      <c r="J63">
        <v>-14</v>
      </c>
    </row>
    <row r="64" spans="1:10" x14ac:dyDescent="0.25">
      <c r="A64">
        <v>2.44</v>
      </c>
      <c r="B64">
        <v>1.0900000000000001</v>
      </c>
      <c r="C64" t="str">
        <f>CONCATENATE(Таблица258[[#This Row],[Столбец1]],Таблица258[[#This Row],[Столбец2]])</f>
        <v>2,441,09</v>
      </c>
      <c r="E64">
        <v>2.41</v>
      </c>
      <c r="F64">
        <v>1.1100000000000001</v>
      </c>
      <c r="G64" t="str">
        <f>CONCATENATE(Таблица271[[#This Row],[Столбец1]],Таблица271[[#This Row],[Столбец2]])</f>
        <v>2,411,11</v>
      </c>
      <c r="I64">
        <v>4.0166666666666702</v>
      </c>
      <c r="J64">
        <v>-13.983333333333301</v>
      </c>
    </row>
    <row r="65" spans="1:10" x14ac:dyDescent="0.25">
      <c r="A65">
        <v>2.44</v>
      </c>
      <c r="B65">
        <v>1.0900000000000001</v>
      </c>
      <c r="C65" t="str">
        <f>CONCATENATE(Таблица258[[#This Row],[Столбец1]],Таблица258[[#This Row],[Столбец2]])</f>
        <v>2,441,09</v>
      </c>
      <c r="E65">
        <v>2.41</v>
      </c>
      <c r="F65">
        <v>1.1100000000000001</v>
      </c>
      <c r="G65" t="str">
        <f>CONCATENATE(Таблица271[[#This Row],[Столбец1]],Таблица271[[#This Row],[Столбец2]])</f>
        <v>2,411,11</v>
      </c>
      <c r="I65">
        <v>6.4666666666666703</v>
      </c>
      <c r="J65">
        <v>-16.616666666666699</v>
      </c>
    </row>
    <row r="66" spans="1:10" x14ac:dyDescent="0.25">
      <c r="A66">
        <v>2.44</v>
      </c>
      <c r="B66">
        <v>1.0900000000000001</v>
      </c>
      <c r="C66" t="str">
        <f>CONCATENATE(Таблица258[[#This Row],[Столбец1]],Таблица258[[#This Row],[Столбец2]])</f>
        <v>2,441,09</v>
      </c>
      <c r="E66">
        <v>2.41</v>
      </c>
      <c r="F66">
        <v>1.1100000000000001</v>
      </c>
      <c r="G66" t="str">
        <f>CONCATENATE(Таблица271[[#This Row],[Столбец1]],Таблица271[[#This Row],[Столбец2]])</f>
        <v>2,411,11</v>
      </c>
      <c r="I66">
        <v>6.5250000000000004</v>
      </c>
      <c r="J66">
        <v>-16.633333333333301</v>
      </c>
    </row>
    <row r="67" spans="1:10" x14ac:dyDescent="0.25">
      <c r="A67">
        <v>2.44</v>
      </c>
      <c r="B67">
        <v>1.0900000000000001</v>
      </c>
      <c r="C67" t="str">
        <f>CONCATENATE(Таблица258[[#This Row],[Столбец1]],Таблица258[[#This Row],[Столбец2]])</f>
        <v>2,441,09</v>
      </c>
      <c r="E67">
        <v>2.41</v>
      </c>
      <c r="F67">
        <v>1.1100000000000001</v>
      </c>
      <c r="G67" t="str">
        <f>CONCATENATE(Таблица271[[#This Row],[Столбец1]],Таблица271[[#This Row],[Столбец2]])</f>
        <v>2,411,11</v>
      </c>
      <c r="I67">
        <v>3.9</v>
      </c>
      <c r="J67">
        <v>-14.016666666666699</v>
      </c>
    </row>
    <row r="68" spans="1:10" x14ac:dyDescent="0.25">
      <c r="A68">
        <v>2.44</v>
      </c>
      <c r="B68">
        <v>1.0900000000000001</v>
      </c>
      <c r="C68" t="str">
        <f>CONCATENATE(Таблица258[[#This Row],[Столбец1]],Таблица258[[#This Row],[Столбец2]])</f>
        <v>2,441,09</v>
      </c>
      <c r="E68">
        <v>2.4</v>
      </c>
      <c r="F68">
        <v>1.1200000000000001</v>
      </c>
      <c r="G68" t="str">
        <f>CONCATENATE(Таблица271[[#This Row],[Столбец1]],Таблица271[[#This Row],[Столбец2]])</f>
        <v>2,41,12</v>
      </c>
      <c r="I68">
        <v>6.35</v>
      </c>
      <c r="J68">
        <v>-16.5833333333333</v>
      </c>
    </row>
    <row r="69" spans="1:10" x14ac:dyDescent="0.25">
      <c r="A69">
        <v>2.44</v>
      </c>
      <c r="B69">
        <v>1.0900000000000001</v>
      </c>
      <c r="C69" t="str">
        <f>CONCATENATE(Таблица258[[#This Row],[Столбец1]],Таблица258[[#This Row],[Столбец2]])</f>
        <v>2,441,09</v>
      </c>
      <c r="E69">
        <v>2.4</v>
      </c>
      <c r="F69">
        <v>1.1200000000000001</v>
      </c>
      <c r="G69" t="str">
        <f>CONCATENATE(Таблица271[[#This Row],[Столбец1]],Таблица271[[#This Row],[Столбец2]])</f>
        <v>2,41,12</v>
      </c>
      <c r="I69">
        <v>6.4083333333333297</v>
      </c>
      <c r="J69">
        <v>-16.600000000000001</v>
      </c>
    </row>
    <row r="70" spans="1:10" x14ac:dyDescent="0.25">
      <c r="A70">
        <v>2.44</v>
      </c>
      <c r="B70">
        <v>1.0900000000000001</v>
      </c>
      <c r="C70" t="str">
        <f>CONCATENATE(Таблица258[[#This Row],[Столбец1]],Таблица258[[#This Row],[Столбец2]])</f>
        <v>2,441,09</v>
      </c>
      <c r="E70">
        <v>2.4</v>
      </c>
      <c r="F70">
        <v>1.1200000000000001</v>
      </c>
      <c r="G70" t="str">
        <f>CONCATENATE(Таблица271[[#This Row],[Столбец1]],Таблица271[[#This Row],[Столбец2]])</f>
        <v>2,41,12</v>
      </c>
      <c r="I70">
        <v>3.8416666666666699</v>
      </c>
      <c r="J70">
        <v>-14.05</v>
      </c>
    </row>
    <row r="71" spans="1:10" x14ac:dyDescent="0.25">
      <c r="A71">
        <v>2.4300000000000002</v>
      </c>
      <c r="B71">
        <v>1.1000000000000001</v>
      </c>
      <c r="C71" t="str">
        <f>CONCATENATE(Таблица258[[#This Row],[Столбец1]],Таблица258[[#This Row],[Столбец2]])</f>
        <v>2,431,1</v>
      </c>
      <c r="E71">
        <v>2.4</v>
      </c>
      <c r="F71">
        <v>1.1200000000000001</v>
      </c>
      <c r="G71" t="str">
        <f>CONCATENATE(Таблица271[[#This Row],[Столбец1]],Таблица271[[#This Row],[Столбец2]])</f>
        <v>2,41,12</v>
      </c>
      <c r="I71">
        <v>7.1666666666666696</v>
      </c>
      <c r="J71">
        <v>-17.466666666666701</v>
      </c>
    </row>
    <row r="72" spans="1:10" x14ac:dyDescent="0.25">
      <c r="A72">
        <v>2.4300000000000002</v>
      </c>
      <c r="B72">
        <v>1.1000000000000001</v>
      </c>
      <c r="C72" t="str">
        <f>CONCATENATE(Таблица258[[#This Row],[Столбец1]],Таблица258[[#This Row],[Столбец2]])</f>
        <v>2,431,1</v>
      </c>
      <c r="E72">
        <v>2.4</v>
      </c>
      <c r="F72">
        <v>1.1200000000000001</v>
      </c>
      <c r="G72" t="str">
        <f>CONCATENATE(Таблица271[[#This Row],[Столбец1]],Таблица271[[#This Row],[Столбец2]])</f>
        <v>2,41,12</v>
      </c>
      <c r="I72">
        <v>7.05</v>
      </c>
      <c r="J72">
        <v>-17.366666666666699</v>
      </c>
    </row>
    <row r="73" spans="1:10" x14ac:dyDescent="0.25">
      <c r="A73">
        <v>2.4300000000000002</v>
      </c>
      <c r="B73">
        <v>1.1000000000000001</v>
      </c>
      <c r="C73" t="str">
        <f>CONCATENATE(Таблица258[[#This Row],[Столбец1]],Таблица258[[#This Row],[Столбец2]])</f>
        <v>2,431,1</v>
      </c>
      <c r="E73">
        <v>2.4</v>
      </c>
      <c r="F73">
        <v>1.1200000000000001</v>
      </c>
      <c r="G73" t="str">
        <f>CONCATENATE(Таблица271[[#This Row],[Столбец1]],Таблица271[[#This Row],[Столбец2]])</f>
        <v>2,41,12</v>
      </c>
      <c r="I73">
        <v>7.2249999999999996</v>
      </c>
      <c r="J73">
        <v>-17.5</v>
      </c>
    </row>
    <row r="74" spans="1:10" x14ac:dyDescent="0.25">
      <c r="A74">
        <v>2.4300000000000002</v>
      </c>
      <c r="B74">
        <v>1.1000000000000001</v>
      </c>
      <c r="C74" t="str">
        <f>CONCATENATE(Таблица258[[#This Row],[Столбец1]],Таблица258[[#This Row],[Столбец2]])</f>
        <v>2,431,1</v>
      </c>
      <c r="E74">
        <v>2.38</v>
      </c>
      <c r="F74">
        <v>1.1299999999999999</v>
      </c>
      <c r="G74" t="str">
        <f>CONCATENATE(Таблица271[[#This Row],[Столбец1]],Таблица271[[#This Row],[Столбец2]])</f>
        <v>2,381,13</v>
      </c>
      <c r="I74">
        <v>6.2333333333333298</v>
      </c>
      <c r="J74">
        <v>-16.566666666666698</v>
      </c>
    </row>
    <row r="75" spans="1:10" x14ac:dyDescent="0.25">
      <c r="A75">
        <v>2.4300000000000002</v>
      </c>
      <c r="B75">
        <v>1.1000000000000001</v>
      </c>
      <c r="C75" t="str">
        <f>CONCATENATE(Таблица258[[#This Row],[Столбец1]],Таблица258[[#This Row],[Столбец2]])</f>
        <v>2,431,1</v>
      </c>
      <c r="E75">
        <v>2.38</v>
      </c>
      <c r="F75">
        <v>1.1299999999999999</v>
      </c>
      <c r="G75" t="str">
        <f>CONCATENATE(Таблица271[[#This Row],[Столбец1]],Таблица271[[#This Row],[Столбец2]])</f>
        <v>2,381,13</v>
      </c>
      <c r="I75">
        <v>6.875</v>
      </c>
      <c r="J75">
        <v>-17.25</v>
      </c>
    </row>
    <row r="76" spans="1:10" x14ac:dyDescent="0.25">
      <c r="A76">
        <v>2.4300000000000002</v>
      </c>
      <c r="B76">
        <v>1.1000000000000001</v>
      </c>
      <c r="C76" t="str">
        <f>CONCATENATE(Таблица258[[#This Row],[Столбец1]],Таблица258[[#This Row],[Столбец2]])</f>
        <v>2,431,1</v>
      </c>
      <c r="E76">
        <v>2.38</v>
      </c>
      <c r="F76">
        <v>1.1299999999999999</v>
      </c>
      <c r="G76" t="str">
        <f>CONCATENATE(Таблица271[[#This Row],[Столбец1]],Таблица271[[#This Row],[Столбец2]])</f>
        <v>2,381,13</v>
      </c>
      <c r="I76">
        <v>3.7833333333333301</v>
      </c>
      <c r="J76">
        <v>-14.0666666666667</v>
      </c>
    </row>
    <row r="77" spans="1:10" x14ac:dyDescent="0.25">
      <c r="A77">
        <v>2.4300000000000002</v>
      </c>
      <c r="B77">
        <v>1.1000000000000001</v>
      </c>
      <c r="C77" t="str">
        <f>CONCATENATE(Таблица258[[#This Row],[Столбец1]],Таблица258[[#This Row],[Столбец2]])</f>
        <v>2,431,1</v>
      </c>
      <c r="E77">
        <v>2.38</v>
      </c>
      <c r="F77">
        <v>1.1299999999999999</v>
      </c>
      <c r="G77" t="str">
        <f>CONCATENATE(Таблица271[[#This Row],[Столбец1]],Таблица271[[#This Row],[Столбец2]])</f>
        <v>2,381,13</v>
      </c>
      <c r="I77">
        <v>6.7583333333333302</v>
      </c>
      <c r="J77">
        <v>-17.149999999999999</v>
      </c>
    </row>
    <row r="78" spans="1:10" x14ac:dyDescent="0.25">
      <c r="A78">
        <v>2.41</v>
      </c>
      <c r="B78">
        <v>1.1100000000000001</v>
      </c>
      <c r="C78" t="str">
        <f>CONCATENATE(Таблица258[[#This Row],[Столбец1]],Таблица258[[#This Row],[Столбец2]])</f>
        <v>2,411,11</v>
      </c>
      <c r="E78">
        <v>2.38</v>
      </c>
      <c r="F78">
        <v>1.1299999999999999</v>
      </c>
      <c r="G78" t="str">
        <f>CONCATENATE(Таблица271[[#This Row],[Столбец1]],Таблица271[[#This Row],[Столбец2]])</f>
        <v>2,381,13</v>
      </c>
      <c r="I78">
        <v>6.93333333333333</v>
      </c>
      <c r="J78">
        <v>-17.283333333333299</v>
      </c>
    </row>
    <row r="79" spans="1:10" x14ac:dyDescent="0.25">
      <c r="A79">
        <v>2.41</v>
      </c>
      <c r="B79">
        <v>1.1100000000000001</v>
      </c>
      <c r="C79" t="str">
        <f>CONCATENATE(Таблица258[[#This Row],[Столбец1]],Таблица258[[#This Row],[Столбец2]])</f>
        <v>2,411,11</v>
      </c>
      <c r="E79">
        <v>2.38</v>
      </c>
      <c r="F79">
        <v>1.1299999999999999</v>
      </c>
      <c r="G79" t="str">
        <f>CONCATENATE(Таблица271[[#This Row],[Столбец1]],Таблица271[[#This Row],[Столбец2]])</f>
        <v>2,381,13</v>
      </c>
      <c r="I79">
        <v>3.6666666666666701</v>
      </c>
      <c r="J79">
        <v>-14.1</v>
      </c>
    </row>
    <row r="80" spans="1:10" x14ac:dyDescent="0.25">
      <c r="A80">
        <v>2.41</v>
      </c>
      <c r="B80">
        <v>1.1100000000000001</v>
      </c>
      <c r="C80" t="str">
        <f>CONCATENATE(Таблица258[[#This Row],[Столбец1]],Таблица258[[#This Row],[Столбец2]])</f>
        <v>2,411,11</v>
      </c>
      <c r="E80">
        <v>2.37</v>
      </c>
      <c r="F80">
        <v>1.1399999999999999</v>
      </c>
      <c r="G80" t="str">
        <f>CONCATENATE(Таблица271[[#This Row],[Столбец1]],Таблица271[[#This Row],[Столбец2]])</f>
        <v>2,371,14</v>
      </c>
      <c r="I80">
        <v>3.7250000000000001</v>
      </c>
      <c r="J80">
        <v>-14.0833333333333</v>
      </c>
    </row>
    <row r="81" spans="1:10" x14ac:dyDescent="0.25">
      <c r="A81">
        <v>2.41</v>
      </c>
      <c r="B81">
        <v>1.1100000000000001</v>
      </c>
      <c r="C81" t="str">
        <f>CONCATENATE(Таблица258[[#This Row],[Столбец1]],Таблица258[[#This Row],[Столбец2]])</f>
        <v>2,411,11</v>
      </c>
      <c r="E81">
        <v>2.37</v>
      </c>
      <c r="F81">
        <v>1.1399999999999999</v>
      </c>
      <c r="G81" t="str">
        <f>CONCATENATE(Таблица271[[#This Row],[Столбец1]],Таблица271[[#This Row],[Столбец2]])</f>
        <v>2,371,14</v>
      </c>
      <c r="I81">
        <v>7.1083333333333298</v>
      </c>
      <c r="J81">
        <v>-17.4166666666667</v>
      </c>
    </row>
    <row r="82" spans="1:10" x14ac:dyDescent="0.25">
      <c r="A82">
        <v>2.41</v>
      </c>
      <c r="B82">
        <v>1.1100000000000001</v>
      </c>
      <c r="C82" t="str">
        <f>CONCATENATE(Таблица258[[#This Row],[Столбец1]],Таблица258[[#This Row],[Столбец2]])</f>
        <v>2,411,11</v>
      </c>
      <c r="E82">
        <v>2.37</v>
      </c>
      <c r="F82">
        <v>1.1399999999999999</v>
      </c>
      <c r="G82" t="str">
        <f>CONCATENATE(Таблица271[[#This Row],[Столбец1]],Таблица271[[#This Row],[Столбец2]])</f>
        <v>2,371,14</v>
      </c>
      <c r="I82">
        <v>6.81666666666667</v>
      </c>
      <c r="J82">
        <v>-17.2</v>
      </c>
    </row>
    <row r="83" spans="1:10" x14ac:dyDescent="0.25">
      <c r="A83">
        <v>2.41</v>
      </c>
      <c r="B83">
        <v>1.1100000000000001</v>
      </c>
      <c r="C83" t="str">
        <f>CONCATENATE(Таблица258[[#This Row],[Столбец1]],Таблица258[[#This Row],[Столбец2]])</f>
        <v>2,411,11</v>
      </c>
      <c r="E83">
        <v>2.37</v>
      </c>
      <c r="F83">
        <v>1.1399999999999999</v>
      </c>
      <c r="G83" t="str">
        <f>CONCATENATE(Таблица271[[#This Row],[Столбец1]],Таблица271[[#This Row],[Столбец2]])</f>
        <v>2,371,14</v>
      </c>
      <c r="I83">
        <v>6.9916666666666698</v>
      </c>
      <c r="J83">
        <v>-17.3333333333333</v>
      </c>
    </row>
    <row r="84" spans="1:10" x14ac:dyDescent="0.25">
      <c r="A84">
        <v>2.41</v>
      </c>
      <c r="B84">
        <v>1.1100000000000001</v>
      </c>
      <c r="C84" t="str">
        <f>CONCATENATE(Таблица258[[#This Row],[Столбец1]],Таблица258[[#This Row],[Столбец2]])</f>
        <v>2,411,11</v>
      </c>
      <c r="E84">
        <v>2.37</v>
      </c>
      <c r="F84">
        <v>1.1399999999999999</v>
      </c>
      <c r="G84" t="str">
        <f>CONCATENATE(Таблица271[[#This Row],[Столбец1]],Таблица271[[#This Row],[Столбец2]])</f>
        <v>2,371,14</v>
      </c>
      <c r="I84">
        <v>6.1166666666666698</v>
      </c>
      <c r="J84">
        <v>-16.533333333333299</v>
      </c>
    </row>
    <row r="85" spans="1:10" x14ac:dyDescent="0.25">
      <c r="A85">
        <v>2.4</v>
      </c>
      <c r="B85">
        <v>1.1200000000000001</v>
      </c>
      <c r="C85" t="str">
        <f>CONCATENATE(Таблица258[[#This Row],[Столбец1]],Таблица258[[#This Row],[Столбец2]])</f>
        <v>2,41,12</v>
      </c>
      <c r="E85">
        <v>2.37</v>
      </c>
      <c r="F85">
        <v>1.1399999999999999</v>
      </c>
      <c r="G85" t="str">
        <f>CONCATENATE(Таблица271[[#This Row],[Столбец1]],Таблица271[[#This Row],[Столбец2]])</f>
        <v>2,371,14</v>
      </c>
      <c r="I85">
        <v>6.1749999999999998</v>
      </c>
      <c r="J85">
        <v>-16.55</v>
      </c>
    </row>
    <row r="86" spans="1:10" x14ac:dyDescent="0.25">
      <c r="A86">
        <v>2.4</v>
      </c>
      <c r="B86">
        <v>1.1200000000000001</v>
      </c>
      <c r="C86" t="str">
        <f>CONCATENATE(Таблица258[[#This Row],[Столбец1]],Таблица258[[#This Row],[Столбец2]])</f>
        <v>2,41,12</v>
      </c>
      <c r="E86">
        <v>2.35</v>
      </c>
      <c r="F86">
        <v>1.1499999999999999</v>
      </c>
      <c r="G86" t="str">
        <f>CONCATENATE(Таблица271[[#This Row],[Столбец1]],Таблица271[[#This Row],[Столбец2]])</f>
        <v>2,351,15</v>
      </c>
      <c r="I86">
        <v>5.94166666666667</v>
      </c>
      <c r="J86">
        <v>-16.5</v>
      </c>
    </row>
    <row r="87" spans="1:10" x14ac:dyDescent="0.25">
      <c r="A87">
        <v>2.4</v>
      </c>
      <c r="B87">
        <v>1.1200000000000001</v>
      </c>
      <c r="C87" t="str">
        <f>CONCATENATE(Таблица258[[#This Row],[Столбец1]],Таблица258[[#This Row],[Столбец2]])</f>
        <v>2,41,12</v>
      </c>
      <c r="E87">
        <v>2.35</v>
      </c>
      <c r="F87">
        <v>1.1499999999999999</v>
      </c>
      <c r="G87" t="str">
        <f>CONCATENATE(Таблица271[[#This Row],[Столбец1]],Таблица271[[#This Row],[Столбец2]])</f>
        <v>2,351,15</v>
      </c>
      <c r="I87">
        <v>6</v>
      </c>
      <c r="J87">
        <v>-16.516666666666701</v>
      </c>
    </row>
    <row r="88" spans="1:10" x14ac:dyDescent="0.25">
      <c r="A88">
        <v>2.4</v>
      </c>
      <c r="B88">
        <v>1.1200000000000001</v>
      </c>
      <c r="C88" t="str">
        <f>CONCATENATE(Таблица258[[#This Row],[Столбец1]],Таблица258[[#This Row],[Столбец2]])</f>
        <v>2,41,12</v>
      </c>
      <c r="E88">
        <v>2.35</v>
      </c>
      <c r="F88">
        <v>1.1499999999999999</v>
      </c>
      <c r="G88" t="str">
        <f>CONCATENATE(Таблица271[[#This Row],[Столбец1]],Таблица271[[#This Row],[Столбец2]])</f>
        <v>2,351,15</v>
      </c>
      <c r="I88">
        <v>6.05833333333333</v>
      </c>
      <c r="J88">
        <v>-16.516666666666701</v>
      </c>
    </row>
    <row r="89" spans="1:10" x14ac:dyDescent="0.25">
      <c r="A89">
        <v>2.4</v>
      </c>
      <c r="B89">
        <v>1.1200000000000001</v>
      </c>
      <c r="C89" t="str">
        <f>CONCATENATE(Таблица258[[#This Row],[Столбец1]],Таблица258[[#This Row],[Столбец2]])</f>
        <v>2,41,12</v>
      </c>
      <c r="E89">
        <v>2.35</v>
      </c>
      <c r="F89">
        <v>1.1499999999999999</v>
      </c>
      <c r="G89" t="str">
        <f>CONCATENATE(Таблица271[[#This Row],[Столбец1]],Таблица271[[#This Row],[Столбец2]])</f>
        <v>2,351,15</v>
      </c>
      <c r="I89">
        <v>3.6083333333333298</v>
      </c>
      <c r="J89">
        <v>-14.133333333333301</v>
      </c>
    </row>
    <row r="90" spans="1:10" x14ac:dyDescent="0.25">
      <c r="A90">
        <v>2.4</v>
      </c>
      <c r="B90">
        <v>1.1200000000000001</v>
      </c>
      <c r="C90" t="str">
        <f>CONCATENATE(Таблица258[[#This Row],[Столбец1]],Таблица258[[#This Row],[Столбец2]])</f>
        <v>2,41,12</v>
      </c>
      <c r="E90">
        <v>2.35</v>
      </c>
      <c r="F90">
        <v>1.1499999999999999</v>
      </c>
      <c r="G90" t="str">
        <f>CONCATENATE(Таблица271[[#This Row],[Столбец1]],Таблица271[[#This Row],[Столбец2]])</f>
        <v>2,351,15</v>
      </c>
      <c r="I90">
        <v>3.55</v>
      </c>
      <c r="J90">
        <v>-14.15</v>
      </c>
    </row>
    <row r="91" spans="1:10" x14ac:dyDescent="0.25">
      <c r="A91">
        <v>2.4</v>
      </c>
      <c r="B91">
        <v>1.1200000000000001</v>
      </c>
      <c r="C91" t="str">
        <f>CONCATENATE(Таблица258[[#This Row],[Столбец1]],Таблица258[[#This Row],[Столбец2]])</f>
        <v>2,41,12</v>
      </c>
      <c r="E91">
        <v>2.35</v>
      </c>
      <c r="F91">
        <v>1.1499999999999999</v>
      </c>
      <c r="G91" t="str">
        <f>CONCATENATE(Таблица271[[#This Row],[Столбец1]],Таблица271[[#This Row],[Столбец2]])</f>
        <v>2,351,15</v>
      </c>
      <c r="I91">
        <v>5.8250000000000002</v>
      </c>
      <c r="J91">
        <v>-16.466666666666701</v>
      </c>
    </row>
    <row r="92" spans="1:10" x14ac:dyDescent="0.25">
      <c r="A92">
        <v>2.38</v>
      </c>
      <c r="B92">
        <v>1.1299999999999999</v>
      </c>
      <c r="C92" t="str">
        <f>CONCATENATE(Таблица258[[#This Row],[Столбец1]],Таблица258[[#This Row],[Столбец2]])</f>
        <v>2,381,13</v>
      </c>
      <c r="E92">
        <v>2.36</v>
      </c>
      <c r="F92">
        <v>1.1499999999999999</v>
      </c>
      <c r="G92" t="str">
        <f>CONCATENATE(Таблица271[[#This Row],[Столбец1]],Таблица271[[#This Row],[Столбец2]])</f>
        <v>2,361,15</v>
      </c>
      <c r="I92">
        <v>5.8833333333333302</v>
      </c>
      <c r="J92">
        <v>-16.483333333333299</v>
      </c>
    </row>
    <row r="93" spans="1:10" x14ac:dyDescent="0.25">
      <c r="A93">
        <v>2.38</v>
      </c>
      <c r="B93">
        <v>1.1299999999999999</v>
      </c>
      <c r="C93" t="str">
        <f>CONCATENATE(Таблица258[[#This Row],[Столбец1]],Таблица258[[#This Row],[Столбец2]])</f>
        <v>2,381,13</v>
      </c>
      <c r="E93">
        <v>2.36</v>
      </c>
      <c r="F93">
        <v>1.1499999999999999</v>
      </c>
      <c r="G93" t="str">
        <f>CONCATENATE(Таблица271[[#This Row],[Столбец1]],Таблица271[[#This Row],[Столбец2]])</f>
        <v>2,361,15</v>
      </c>
      <c r="I93">
        <v>5.7083333333333304</v>
      </c>
      <c r="J93">
        <v>-16.45</v>
      </c>
    </row>
    <row r="94" spans="1:10" x14ac:dyDescent="0.25">
      <c r="A94">
        <v>2.38</v>
      </c>
      <c r="B94">
        <v>1.1299999999999999</v>
      </c>
      <c r="C94" t="str">
        <f>CONCATENATE(Таблица258[[#This Row],[Столбец1]],Таблица258[[#This Row],[Столбец2]])</f>
        <v>2,381,13</v>
      </c>
      <c r="E94">
        <v>2.36</v>
      </c>
      <c r="F94">
        <v>1.1499999999999999</v>
      </c>
      <c r="G94" t="str">
        <f>CONCATENATE(Таблица271[[#This Row],[Столбец1]],Таблица271[[#This Row],[Столбец2]])</f>
        <v>2,361,15</v>
      </c>
      <c r="I94">
        <v>3.4916666666666698</v>
      </c>
      <c r="J94">
        <v>-14.1666666666667</v>
      </c>
    </row>
    <row r="95" spans="1:10" x14ac:dyDescent="0.25">
      <c r="A95">
        <v>2.38</v>
      </c>
      <c r="B95">
        <v>1.1299999999999999</v>
      </c>
      <c r="C95" t="str">
        <f>CONCATENATE(Таблица258[[#This Row],[Столбец1]],Таблица258[[#This Row],[Столбец2]])</f>
        <v>2,381,13</v>
      </c>
      <c r="E95">
        <v>2.36</v>
      </c>
      <c r="F95">
        <v>1.1499999999999999</v>
      </c>
      <c r="G95" t="str">
        <f>CONCATENATE(Таблица271[[#This Row],[Столбец1]],Таблица271[[#This Row],[Столбец2]])</f>
        <v>2,361,15</v>
      </c>
      <c r="I95">
        <v>3.43333333333333</v>
      </c>
      <c r="J95">
        <v>-14.2</v>
      </c>
    </row>
    <row r="96" spans="1:10" x14ac:dyDescent="0.25">
      <c r="A96">
        <v>2.38</v>
      </c>
      <c r="B96">
        <v>1.1299999999999999</v>
      </c>
      <c r="C96" t="str">
        <f>CONCATENATE(Таблица258[[#This Row],[Столбец1]],Таблица258[[#This Row],[Столбец2]])</f>
        <v>2,381,13</v>
      </c>
      <c r="E96">
        <v>2.36</v>
      </c>
      <c r="F96">
        <v>1.1499999999999999</v>
      </c>
      <c r="G96" t="str">
        <f>CONCATENATE(Таблица271[[#This Row],[Столбец1]],Таблица271[[#This Row],[Столбец2]])</f>
        <v>2,361,15</v>
      </c>
      <c r="I96">
        <v>5.5333333333333297</v>
      </c>
      <c r="J96">
        <v>-16.399999999999999</v>
      </c>
    </row>
    <row r="97" spans="1:10" x14ac:dyDescent="0.25">
      <c r="A97">
        <v>2.38</v>
      </c>
      <c r="B97">
        <v>1.1299999999999999</v>
      </c>
      <c r="C97" t="str">
        <f>CONCATENATE(Таблица258[[#This Row],[Столбец1]],Таблица258[[#This Row],[Столбец2]])</f>
        <v>2,381,13</v>
      </c>
      <c r="E97">
        <v>2.36</v>
      </c>
      <c r="F97">
        <v>1.1499999999999999</v>
      </c>
      <c r="G97" t="str">
        <f>CONCATENATE(Таблица271[[#This Row],[Столбец1]],Таблица271[[#This Row],[Столбец2]])</f>
        <v>2,361,15</v>
      </c>
      <c r="I97">
        <v>5.5916666666666703</v>
      </c>
      <c r="J97">
        <v>-16.4166666666667</v>
      </c>
    </row>
    <row r="98" spans="1:10" x14ac:dyDescent="0.25">
      <c r="A98">
        <v>2.38</v>
      </c>
      <c r="B98">
        <v>1.1299999999999999</v>
      </c>
      <c r="C98" t="str">
        <f>CONCATENATE(Таблица258[[#This Row],[Столбец1]],Таблица258[[#This Row],[Столбец2]])</f>
        <v>2,381,13</v>
      </c>
      <c r="E98">
        <v>2.34</v>
      </c>
      <c r="F98">
        <v>1.1599999999999999</v>
      </c>
      <c r="G98" t="str">
        <f>CONCATENATE(Таблица271[[#This Row],[Столбец1]],Таблица271[[#This Row],[Столбец2]])</f>
        <v>2,341,16</v>
      </c>
      <c r="I98">
        <v>5.65</v>
      </c>
      <c r="J98">
        <v>-16.433333333333302</v>
      </c>
    </row>
    <row r="99" spans="1:10" x14ac:dyDescent="0.25">
      <c r="A99">
        <v>2.37</v>
      </c>
      <c r="B99">
        <v>1.1399999999999999</v>
      </c>
      <c r="C99" t="str">
        <f>CONCATENATE(Таблица258[[#This Row],[Столбец1]],Таблица258[[#This Row],[Столбец2]])</f>
        <v>2,371,14</v>
      </c>
      <c r="E99">
        <v>2.34</v>
      </c>
      <c r="F99">
        <v>1.1599999999999999</v>
      </c>
      <c r="G99" t="str">
        <f>CONCATENATE(Таблица271[[#This Row],[Столбец1]],Таблица271[[#This Row],[Столбец2]])</f>
        <v>2,341,16</v>
      </c>
      <c r="I99">
        <v>3.375</v>
      </c>
      <c r="J99">
        <v>-14.216666666666701</v>
      </c>
    </row>
    <row r="100" spans="1:10" x14ac:dyDescent="0.25">
      <c r="A100">
        <v>2.37</v>
      </c>
      <c r="B100">
        <v>1.1399999999999999</v>
      </c>
      <c r="C100" t="str">
        <f>CONCATENATE(Таблица258[[#This Row],[Столбец1]],Таблица258[[#This Row],[Столбец2]])</f>
        <v>2,371,14</v>
      </c>
      <c r="E100">
        <v>2.34</v>
      </c>
      <c r="F100">
        <v>1.1599999999999999</v>
      </c>
      <c r="G100" t="str">
        <f>CONCATENATE(Таблица271[[#This Row],[Столбец1]],Таблица271[[#This Row],[Столбец2]])</f>
        <v>2,341,16</v>
      </c>
      <c r="I100">
        <v>5.4166666666666696</v>
      </c>
      <c r="J100">
        <v>-16.383333333333301</v>
      </c>
    </row>
    <row r="101" spans="1:10" x14ac:dyDescent="0.25">
      <c r="A101">
        <v>2.37</v>
      </c>
      <c r="B101">
        <v>1.1399999999999999</v>
      </c>
      <c r="C101" t="str">
        <f>CONCATENATE(Таблица258[[#This Row],[Столбец1]],Таблица258[[#This Row],[Столбец2]])</f>
        <v>2,371,14</v>
      </c>
      <c r="E101">
        <v>2.34</v>
      </c>
      <c r="F101">
        <v>1.1599999999999999</v>
      </c>
      <c r="G101" t="str">
        <f>CONCATENATE(Таблица271[[#This Row],[Столбец1]],Таблица271[[#This Row],[Столбец2]])</f>
        <v>2,341,16</v>
      </c>
      <c r="I101">
        <v>3.31666666666667</v>
      </c>
      <c r="J101">
        <v>-14.233333333333301</v>
      </c>
    </row>
    <row r="102" spans="1:10" x14ac:dyDescent="0.25">
      <c r="A102">
        <v>2.37</v>
      </c>
      <c r="B102">
        <v>1.1399999999999999</v>
      </c>
      <c r="C102" t="str">
        <f>CONCATENATE(Таблица258[[#This Row],[Столбец1]],Таблица258[[#This Row],[Столбец2]])</f>
        <v>2,371,14</v>
      </c>
      <c r="E102">
        <v>2.34</v>
      </c>
      <c r="F102">
        <v>1.1599999999999999</v>
      </c>
      <c r="G102" t="str">
        <f>CONCATENATE(Таблица271[[#This Row],[Столбец1]],Таблица271[[#This Row],[Столбец2]])</f>
        <v>2,341,16</v>
      </c>
      <c r="I102">
        <v>5.4749999999999996</v>
      </c>
      <c r="J102">
        <v>-16.399999999999999</v>
      </c>
    </row>
    <row r="103" spans="1:10" x14ac:dyDescent="0.25">
      <c r="A103">
        <v>2.37</v>
      </c>
      <c r="B103">
        <v>1.1399999999999999</v>
      </c>
      <c r="C103" t="str">
        <f>CONCATENATE(Таблица258[[#This Row],[Столбец1]],Таблица258[[#This Row],[Столбец2]])</f>
        <v>2,371,14</v>
      </c>
      <c r="E103">
        <v>2.34</v>
      </c>
      <c r="F103">
        <v>1.1599999999999999</v>
      </c>
      <c r="G103" t="str">
        <f>CONCATENATE(Таблица271[[#This Row],[Столбец1]],Таблица271[[#This Row],[Столбец2]])</f>
        <v>2,341,16</v>
      </c>
      <c r="I103">
        <v>5.3</v>
      </c>
      <c r="J103">
        <v>-16.350000000000001</v>
      </c>
    </row>
    <row r="104" spans="1:10" x14ac:dyDescent="0.25">
      <c r="A104">
        <v>2.37</v>
      </c>
      <c r="B104">
        <v>1.1399999999999999</v>
      </c>
      <c r="C104" t="str">
        <f>CONCATENATE(Таблица258[[#This Row],[Столбец1]],Таблица258[[#This Row],[Столбец2]])</f>
        <v>2,371,14</v>
      </c>
      <c r="E104">
        <v>2.33</v>
      </c>
      <c r="F104">
        <v>1.17</v>
      </c>
      <c r="G104" t="str">
        <f>CONCATENATE(Таблица271[[#This Row],[Столбец1]],Таблица271[[#This Row],[Столбец2]])</f>
        <v>2,331,17</v>
      </c>
      <c r="I104">
        <v>5.3583333333333298</v>
      </c>
      <c r="J104">
        <v>-16.366666666666699</v>
      </c>
    </row>
    <row r="105" spans="1:10" x14ac:dyDescent="0.25">
      <c r="A105">
        <v>2.37</v>
      </c>
      <c r="B105">
        <v>1.1399999999999999</v>
      </c>
      <c r="C105" t="str">
        <f>CONCATENATE(Таблица258[[#This Row],[Столбец1]],Таблица258[[#This Row],[Столбец2]])</f>
        <v>2,371,14</v>
      </c>
      <c r="E105">
        <v>2.33</v>
      </c>
      <c r="F105">
        <v>1.17</v>
      </c>
      <c r="G105" t="str">
        <f>CONCATENATE(Таблица271[[#This Row],[Столбец1]],Таблица271[[#This Row],[Столбец2]])</f>
        <v>2,331,17</v>
      </c>
      <c r="I105">
        <v>3.2583333333333302</v>
      </c>
      <c r="J105">
        <v>-14.25</v>
      </c>
    </row>
    <row r="106" spans="1:10" x14ac:dyDescent="0.25">
      <c r="A106">
        <v>2.35</v>
      </c>
      <c r="B106">
        <v>1.1499999999999999</v>
      </c>
      <c r="C106" t="str">
        <f>CONCATENATE(Таблица258[[#This Row],[Столбец1]],Таблица258[[#This Row],[Столбец2]])</f>
        <v>2,351,15</v>
      </c>
      <c r="E106">
        <v>2.33</v>
      </c>
      <c r="F106">
        <v>1.17</v>
      </c>
      <c r="G106" t="str">
        <f>CONCATENATE(Таблица271[[#This Row],[Столбец1]],Таблица271[[#This Row],[Столбец2]])</f>
        <v>2,331,17</v>
      </c>
      <c r="I106">
        <v>3.2</v>
      </c>
      <c r="J106">
        <v>-14.283333333333299</v>
      </c>
    </row>
    <row r="107" spans="1:10" x14ac:dyDescent="0.25">
      <c r="A107">
        <v>2.35</v>
      </c>
      <c r="B107">
        <v>1.1499999999999999</v>
      </c>
      <c r="C107" t="str">
        <f>CONCATENATE(Таблица258[[#This Row],[Столбец1]],Таблица258[[#This Row],[Столбец2]])</f>
        <v>2,351,15</v>
      </c>
      <c r="E107">
        <v>2.33</v>
      </c>
      <c r="F107">
        <v>1.17</v>
      </c>
      <c r="G107" t="str">
        <f>CONCATENATE(Таблица271[[#This Row],[Столбец1]],Таблица271[[#This Row],[Столбец2]])</f>
        <v>2,331,17</v>
      </c>
      <c r="I107">
        <v>3.1416666666666702</v>
      </c>
      <c r="J107">
        <v>-14.3</v>
      </c>
    </row>
    <row r="108" spans="1:10" x14ac:dyDescent="0.25">
      <c r="A108">
        <v>2.35</v>
      </c>
      <c r="B108">
        <v>1.1499999999999999</v>
      </c>
      <c r="C108" t="str">
        <f>CONCATENATE(Таблица258[[#This Row],[Столбец1]],Таблица258[[#This Row],[Столбец2]])</f>
        <v>2,351,15</v>
      </c>
      <c r="E108">
        <v>2.33</v>
      </c>
      <c r="F108">
        <v>1.17</v>
      </c>
      <c r="G108" t="str">
        <f>CONCATENATE(Таблица271[[#This Row],[Столбец1]],Таблица271[[#This Row],[Столбец2]])</f>
        <v>2,331,17</v>
      </c>
      <c r="I108">
        <v>5.18333333333333</v>
      </c>
      <c r="J108">
        <v>-16.3333333333333</v>
      </c>
    </row>
    <row r="109" spans="1:10" x14ac:dyDescent="0.25">
      <c r="A109">
        <v>2.35</v>
      </c>
      <c r="B109">
        <v>1.1499999999999999</v>
      </c>
      <c r="C109" t="str">
        <f>CONCATENATE(Таблица258[[#This Row],[Столбец1]],Таблица258[[#This Row],[Столбец2]])</f>
        <v>2,351,15</v>
      </c>
      <c r="E109">
        <v>2.33</v>
      </c>
      <c r="F109">
        <v>1.17</v>
      </c>
      <c r="G109" t="str">
        <f>CONCATENATE(Таблица271[[#This Row],[Столбец1]],Таблица271[[#This Row],[Столбец2]])</f>
        <v>2,331,17</v>
      </c>
      <c r="I109">
        <v>5.0083333333333302</v>
      </c>
      <c r="J109">
        <v>-16.283333333333299</v>
      </c>
    </row>
    <row r="110" spans="1:10" x14ac:dyDescent="0.25">
      <c r="A110">
        <v>2.35</v>
      </c>
      <c r="B110">
        <v>1.1499999999999999</v>
      </c>
      <c r="C110" t="str">
        <f>CONCATENATE(Таблица258[[#This Row],[Столбец1]],Таблица258[[#This Row],[Столбец2]])</f>
        <v>2,351,15</v>
      </c>
      <c r="E110">
        <v>2.31</v>
      </c>
      <c r="F110">
        <v>1.18</v>
      </c>
      <c r="G110" t="str">
        <f>CONCATENATE(Таблица271[[#This Row],[Столбец1]],Таблица271[[#This Row],[Столбец2]])</f>
        <v>2,311,18</v>
      </c>
      <c r="I110">
        <v>5.06666666666667</v>
      </c>
      <c r="J110">
        <v>-16.3</v>
      </c>
    </row>
    <row r="111" spans="1:10" x14ac:dyDescent="0.25">
      <c r="A111">
        <v>2.35</v>
      </c>
      <c r="B111">
        <v>1.1499999999999999</v>
      </c>
      <c r="C111" t="str">
        <f>CONCATENATE(Таблица258[[#This Row],[Столбец1]],Таблица258[[#This Row],[Столбец2]])</f>
        <v>2,351,15</v>
      </c>
      <c r="E111">
        <v>2.31</v>
      </c>
      <c r="F111">
        <v>1.18</v>
      </c>
      <c r="G111" t="str">
        <f>CONCATENATE(Таблица271[[#This Row],[Столбец1]],Таблица271[[#This Row],[Столбец2]])</f>
        <v>2,311,18</v>
      </c>
      <c r="I111">
        <v>5.125</v>
      </c>
      <c r="J111">
        <v>-16.316666666666698</v>
      </c>
    </row>
    <row r="112" spans="1:10" x14ac:dyDescent="0.25">
      <c r="A112">
        <v>2.35</v>
      </c>
      <c r="B112">
        <v>1.1499999999999999</v>
      </c>
      <c r="C112" t="str">
        <f>CONCATENATE(Таблица258[[#This Row],[Столбец1]],Таблица258[[#This Row],[Столбец2]])</f>
        <v>2,351,15</v>
      </c>
      <c r="E112">
        <v>2.31</v>
      </c>
      <c r="F112">
        <v>1.18</v>
      </c>
      <c r="G112" t="str">
        <f>CONCATENATE(Таблица271[[#This Row],[Столбец1]],Таблица271[[#This Row],[Столбец2]])</f>
        <v>2,311,18</v>
      </c>
      <c r="I112">
        <v>3.0833333333333299</v>
      </c>
      <c r="J112">
        <v>-14.3166666666667</v>
      </c>
    </row>
    <row r="113" spans="1:10" x14ac:dyDescent="0.25">
      <c r="A113">
        <v>2.36</v>
      </c>
      <c r="B113">
        <v>1.1499999999999999</v>
      </c>
      <c r="C113" t="str">
        <f>CONCATENATE(Таблица258[[#This Row],[Столбец1]],Таблица258[[#This Row],[Столбец2]])</f>
        <v>2,361,15</v>
      </c>
      <c r="E113">
        <v>2.31</v>
      </c>
      <c r="F113">
        <v>1.18</v>
      </c>
      <c r="G113" t="str">
        <f>CONCATENATE(Таблица271[[#This Row],[Столбец1]],Таблица271[[#This Row],[Столбец2]])</f>
        <v>2,311,18</v>
      </c>
      <c r="I113">
        <v>3.0249999999999999</v>
      </c>
      <c r="J113">
        <v>-14.35</v>
      </c>
    </row>
    <row r="114" spans="1:10" x14ac:dyDescent="0.25">
      <c r="A114">
        <v>2.36</v>
      </c>
      <c r="B114">
        <v>1.1499999999999999</v>
      </c>
      <c r="C114" t="str">
        <f>CONCATENATE(Таблица258[[#This Row],[Столбец1]],Таблица258[[#This Row],[Столбец2]])</f>
        <v>2,361,15</v>
      </c>
      <c r="E114">
        <v>2.31</v>
      </c>
      <c r="F114">
        <v>1.18</v>
      </c>
      <c r="G114" t="str">
        <f>CONCATENATE(Таблица271[[#This Row],[Столбец1]],Таблица271[[#This Row],[Столбец2]])</f>
        <v>2,311,18</v>
      </c>
      <c r="I114">
        <v>4.95</v>
      </c>
      <c r="J114">
        <v>-16.283333333333299</v>
      </c>
    </row>
    <row r="115" spans="1:10" x14ac:dyDescent="0.25">
      <c r="A115">
        <v>2.36</v>
      </c>
      <c r="B115">
        <v>1.1499999999999999</v>
      </c>
      <c r="C115" t="str">
        <f>CONCATENATE(Таблица258[[#This Row],[Столбец1]],Таблица258[[#This Row],[Столбец2]])</f>
        <v>2,361,15</v>
      </c>
      <c r="E115">
        <v>2.31</v>
      </c>
      <c r="F115">
        <v>1.18</v>
      </c>
      <c r="G115" t="str">
        <f>CONCATENATE(Таблица271[[#This Row],[Столбец1]],Таблица271[[#This Row],[Столбец2]])</f>
        <v>2,311,18</v>
      </c>
      <c r="I115">
        <v>4.8916666666666702</v>
      </c>
      <c r="J115">
        <v>-16.266666666666701</v>
      </c>
    </row>
    <row r="116" spans="1:10" x14ac:dyDescent="0.25">
      <c r="A116">
        <v>2.36</v>
      </c>
      <c r="B116">
        <v>1.1499999999999999</v>
      </c>
      <c r="C116" t="str">
        <f>CONCATENATE(Таблица258[[#This Row],[Столбец1]],Таблица258[[#This Row],[Столбец2]])</f>
        <v>2,361,15</v>
      </c>
      <c r="E116">
        <v>2.2799999999999998</v>
      </c>
      <c r="F116">
        <v>1.2</v>
      </c>
      <c r="G116" t="str">
        <f>CONCATENATE(Таблица271[[#This Row],[Столбец1]],Таблица271[[#This Row],[Столбец2]])</f>
        <v>2,281,2</v>
      </c>
      <c r="I116">
        <v>2.9083333333333301</v>
      </c>
      <c r="J116">
        <v>-14.383333333333301</v>
      </c>
    </row>
    <row r="117" spans="1:10" x14ac:dyDescent="0.25">
      <c r="A117">
        <v>2.36</v>
      </c>
      <c r="B117">
        <v>1.1499999999999999</v>
      </c>
      <c r="C117" t="str">
        <f>CONCATENATE(Таблица258[[#This Row],[Столбец1]],Таблица258[[#This Row],[Столбец2]])</f>
        <v>2,361,15</v>
      </c>
      <c r="E117">
        <v>2.2799999999999998</v>
      </c>
      <c r="F117">
        <v>1.2</v>
      </c>
      <c r="G117" t="str">
        <f>CONCATENATE(Таблица271[[#This Row],[Столбец1]],Таблица271[[#This Row],[Столбец2]])</f>
        <v>2,281,2</v>
      </c>
      <c r="I117">
        <v>2.9666666666666699</v>
      </c>
      <c r="J117">
        <v>-14.366666666666699</v>
      </c>
    </row>
    <row r="118" spans="1:10" x14ac:dyDescent="0.25">
      <c r="A118">
        <v>2.36</v>
      </c>
      <c r="B118">
        <v>1.1499999999999999</v>
      </c>
      <c r="C118" t="str">
        <f>CONCATENATE(Таблица258[[#This Row],[Столбец1]],Таблица258[[#This Row],[Столбец2]])</f>
        <v>2,361,15</v>
      </c>
      <c r="E118">
        <v>2.2799999999999998</v>
      </c>
      <c r="F118">
        <v>1.2</v>
      </c>
      <c r="G118" t="str">
        <f>CONCATENATE(Таблица271[[#This Row],[Столбец1]],Таблица271[[#This Row],[Столбец2]])</f>
        <v>2,281,2</v>
      </c>
      <c r="I118">
        <v>4.7750000000000004</v>
      </c>
      <c r="J118">
        <v>-16.233333333333299</v>
      </c>
    </row>
    <row r="119" spans="1:10" x14ac:dyDescent="0.25">
      <c r="A119">
        <v>2.36</v>
      </c>
      <c r="B119">
        <v>1.1499999999999999</v>
      </c>
      <c r="C119" t="str">
        <f>CONCATENATE(Таблица258[[#This Row],[Столбец1]],Таблица258[[#This Row],[Столбец2]])</f>
        <v>2,361,15</v>
      </c>
      <c r="E119">
        <v>2.2799999999999998</v>
      </c>
      <c r="F119">
        <v>1.2</v>
      </c>
      <c r="G119" t="str">
        <f>CONCATENATE(Таблица271[[#This Row],[Столбец1]],Таблица271[[#This Row],[Столбец2]])</f>
        <v>2,281,2</v>
      </c>
      <c r="I119">
        <v>4.8333333333333304</v>
      </c>
      <c r="J119">
        <v>-16.25</v>
      </c>
    </row>
    <row r="120" spans="1:10" x14ac:dyDescent="0.25">
      <c r="A120">
        <v>2.34</v>
      </c>
      <c r="B120">
        <v>1.1599999999999999</v>
      </c>
      <c r="C120" t="str">
        <f>CONCATENATE(Таблица258[[#This Row],[Столбец1]],Таблица258[[#This Row],[Столбец2]])</f>
        <v>2,341,16</v>
      </c>
      <c r="E120">
        <v>2.2799999999999998</v>
      </c>
      <c r="F120">
        <v>1.2</v>
      </c>
      <c r="G120" t="str">
        <f>CONCATENATE(Таблица271[[#This Row],[Столбец1]],Таблица271[[#This Row],[Столбец2]])</f>
        <v>2,281,2</v>
      </c>
      <c r="I120">
        <v>4.7166666666666703</v>
      </c>
      <c r="J120">
        <v>-16.216666666666701</v>
      </c>
    </row>
    <row r="121" spans="1:10" x14ac:dyDescent="0.25">
      <c r="A121">
        <v>2.34</v>
      </c>
      <c r="B121">
        <v>1.1599999999999999</v>
      </c>
      <c r="C121" t="str">
        <f>CONCATENATE(Таблица258[[#This Row],[Столбец1]],Таблица258[[#This Row],[Столбец2]])</f>
        <v>2,341,16</v>
      </c>
      <c r="E121">
        <v>2.2799999999999998</v>
      </c>
      <c r="F121">
        <v>1.2</v>
      </c>
      <c r="G121" t="str">
        <f>CONCATENATE(Таблица271[[#This Row],[Столбец1]],Таблица271[[#This Row],[Столбец2]])</f>
        <v>2,281,2</v>
      </c>
      <c r="I121">
        <v>4.6583333333333297</v>
      </c>
      <c r="J121">
        <v>-16.216666666666701</v>
      </c>
    </row>
    <row r="122" spans="1:10" x14ac:dyDescent="0.25">
      <c r="A122">
        <v>2.34</v>
      </c>
      <c r="B122">
        <v>1.1599999999999999</v>
      </c>
      <c r="C122" t="str">
        <f>CONCATENATE(Таблица258[[#This Row],[Столбец1]],Таблица258[[#This Row],[Столбец2]])</f>
        <v>2,341,16</v>
      </c>
      <c r="E122">
        <v>2.27</v>
      </c>
      <c r="F122">
        <v>1.21</v>
      </c>
      <c r="G122" t="str">
        <f>CONCATENATE(Таблица271[[#This Row],[Столбец1]],Таблица271[[#This Row],[Столбец2]])</f>
        <v>2,271,21</v>
      </c>
      <c r="I122">
        <v>2.85</v>
      </c>
      <c r="J122">
        <v>-14.4</v>
      </c>
    </row>
    <row r="123" spans="1:10" x14ac:dyDescent="0.25">
      <c r="A123">
        <v>2.34</v>
      </c>
      <c r="B123">
        <v>1.1599999999999999</v>
      </c>
      <c r="C123" t="str">
        <f>CONCATENATE(Таблица258[[#This Row],[Столбец1]],Таблица258[[#This Row],[Столбец2]])</f>
        <v>2,341,16</v>
      </c>
      <c r="E123">
        <v>2.27</v>
      </c>
      <c r="F123">
        <v>1.21</v>
      </c>
      <c r="G123" t="str">
        <f>CONCATENATE(Таблица271[[#This Row],[Столбец1]],Таблица271[[#This Row],[Столбец2]])</f>
        <v>2,271,21</v>
      </c>
      <c r="I123">
        <v>4.4833333333333298</v>
      </c>
      <c r="J123">
        <v>-16.1666666666667</v>
      </c>
    </row>
    <row r="124" spans="1:10" x14ac:dyDescent="0.25">
      <c r="A124">
        <v>2.34</v>
      </c>
      <c r="B124">
        <v>1.1599999999999999</v>
      </c>
      <c r="C124" t="str">
        <f>CONCATENATE(Таблица258[[#This Row],[Столбец1]],Таблица258[[#This Row],[Столбец2]])</f>
        <v>2,341,16</v>
      </c>
      <c r="E124">
        <v>2.27</v>
      </c>
      <c r="F124">
        <v>1.21</v>
      </c>
      <c r="G124" t="str">
        <f>CONCATENATE(Таблица271[[#This Row],[Столбец1]],Таблица271[[#This Row],[Столбец2]])</f>
        <v>2,271,21</v>
      </c>
      <c r="I124">
        <v>2.7916666666666701</v>
      </c>
      <c r="J124">
        <v>-14.4333333333333</v>
      </c>
    </row>
    <row r="125" spans="1:10" x14ac:dyDescent="0.25">
      <c r="A125">
        <v>2.34</v>
      </c>
      <c r="B125">
        <v>1.1599999999999999</v>
      </c>
      <c r="C125" t="str">
        <f>CONCATENATE(Таблица258[[#This Row],[Столбец1]],Таблица258[[#This Row],[Столбец2]])</f>
        <v>2,341,16</v>
      </c>
      <c r="E125">
        <v>2.27</v>
      </c>
      <c r="F125">
        <v>1.21</v>
      </c>
      <c r="G125" t="str">
        <f>CONCATENATE(Таблица271[[#This Row],[Столбец1]],Таблица271[[#This Row],[Столбец2]])</f>
        <v>2,271,21</v>
      </c>
      <c r="I125">
        <v>4.5999999999999996</v>
      </c>
      <c r="J125">
        <v>-16.2</v>
      </c>
    </row>
    <row r="126" spans="1:10" x14ac:dyDescent="0.25">
      <c r="A126">
        <v>2.34</v>
      </c>
      <c r="B126">
        <v>1.1599999999999999</v>
      </c>
      <c r="C126" t="str">
        <f>CONCATENATE(Таблица258[[#This Row],[Столбец1]],Таблица258[[#This Row],[Столбец2]])</f>
        <v>2,341,16</v>
      </c>
      <c r="E126">
        <v>2.27</v>
      </c>
      <c r="F126">
        <v>1.21</v>
      </c>
      <c r="G126" t="str">
        <f>CONCATENATE(Таблица271[[#This Row],[Столбец1]],Таблица271[[#This Row],[Столбец2]])</f>
        <v>2,271,21</v>
      </c>
      <c r="I126">
        <v>4.5416666666666696</v>
      </c>
      <c r="J126">
        <v>-16.183333333333302</v>
      </c>
    </row>
    <row r="127" spans="1:10" x14ac:dyDescent="0.25">
      <c r="A127">
        <v>2.33</v>
      </c>
      <c r="B127">
        <v>1.17</v>
      </c>
      <c r="C127" t="str">
        <f>CONCATENATE(Таблица258[[#This Row],[Столбец1]],Таблица258[[#This Row],[Столбец2]])</f>
        <v>2,331,17</v>
      </c>
      <c r="E127">
        <v>2.27</v>
      </c>
      <c r="F127">
        <v>1.21</v>
      </c>
      <c r="G127" t="str">
        <f>CONCATENATE(Таблица271[[#This Row],[Столбец1]],Таблица271[[#This Row],[Столбец2]])</f>
        <v>2,271,21</v>
      </c>
      <c r="I127">
        <v>6.7</v>
      </c>
      <c r="J127">
        <v>-18.3333333333333</v>
      </c>
    </row>
    <row r="128" spans="1:10" x14ac:dyDescent="0.25">
      <c r="A128">
        <v>2.33</v>
      </c>
      <c r="B128">
        <v>1.17</v>
      </c>
      <c r="C128" t="str">
        <f>CONCATENATE(Таблица258[[#This Row],[Столбец1]],Таблица258[[#This Row],[Столбец2]])</f>
        <v>2,331,17</v>
      </c>
      <c r="E128">
        <v>2.25</v>
      </c>
      <c r="F128">
        <v>1.22</v>
      </c>
      <c r="G128" t="str">
        <f>CONCATENATE(Таблица271[[#This Row],[Столбец1]],Таблица271[[#This Row],[Столбец2]])</f>
        <v>2,251,22</v>
      </c>
      <c r="I128">
        <v>4.3666666666666698</v>
      </c>
      <c r="J128">
        <v>-16.149999999999999</v>
      </c>
    </row>
    <row r="129" spans="1:10" x14ac:dyDescent="0.25">
      <c r="A129">
        <v>2.33</v>
      </c>
      <c r="B129">
        <v>1.17</v>
      </c>
      <c r="C129" t="str">
        <f>CONCATENATE(Таблица258[[#This Row],[Столбец1]],Таблица258[[#This Row],[Столбец2]])</f>
        <v>2,331,17</v>
      </c>
      <c r="E129">
        <v>2.25</v>
      </c>
      <c r="F129">
        <v>1.22</v>
      </c>
      <c r="G129" t="str">
        <f>CONCATENATE(Таблица271[[#This Row],[Столбец1]],Таблица271[[#This Row],[Столбец2]])</f>
        <v>2,251,22</v>
      </c>
      <c r="I129">
        <v>4.4249999999999998</v>
      </c>
      <c r="J129">
        <v>-16.1666666666667</v>
      </c>
    </row>
    <row r="130" spans="1:10" x14ac:dyDescent="0.25">
      <c r="A130">
        <v>2.33</v>
      </c>
      <c r="B130">
        <v>1.17</v>
      </c>
      <c r="C130" t="str">
        <f>CONCATENATE(Таблица258[[#This Row],[Столбец1]],Таблица258[[#This Row],[Столбец2]])</f>
        <v>2,331,17</v>
      </c>
      <c r="E130">
        <v>2.25</v>
      </c>
      <c r="F130">
        <v>1.22</v>
      </c>
      <c r="G130" t="str">
        <f>CONCATENATE(Таблица271[[#This Row],[Столбец1]],Таблица271[[#This Row],[Столбец2]])</f>
        <v>2,251,22</v>
      </c>
      <c r="I130">
        <v>2.7333333333333298</v>
      </c>
      <c r="J130">
        <v>-14.45</v>
      </c>
    </row>
    <row r="131" spans="1:10" x14ac:dyDescent="0.25">
      <c r="A131">
        <v>2.33</v>
      </c>
      <c r="B131">
        <v>1.17</v>
      </c>
      <c r="C131" t="str">
        <f>CONCATENATE(Таблица258[[#This Row],[Столбец1]],Таблица258[[#This Row],[Столбец2]])</f>
        <v>2,331,17</v>
      </c>
      <c r="E131">
        <v>2.25</v>
      </c>
      <c r="F131">
        <v>1.22</v>
      </c>
      <c r="G131" t="str">
        <f>CONCATENATE(Таблица271[[#This Row],[Столбец1]],Таблица271[[#This Row],[Столбец2]])</f>
        <v>2,251,22</v>
      </c>
      <c r="I131">
        <v>2.6749999999999998</v>
      </c>
      <c r="J131">
        <v>-14.466666666666701</v>
      </c>
    </row>
    <row r="132" spans="1:10" x14ac:dyDescent="0.25">
      <c r="A132">
        <v>2.33</v>
      </c>
      <c r="B132">
        <v>1.17</v>
      </c>
      <c r="C132" t="str">
        <f>CONCATENATE(Таблица258[[#This Row],[Столбец1]],Таблица258[[#This Row],[Столбец2]])</f>
        <v>2,331,17</v>
      </c>
      <c r="E132">
        <v>2.25</v>
      </c>
      <c r="F132">
        <v>1.22</v>
      </c>
      <c r="G132" t="str">
        <f>CONCATENATE(Таблица271[[#This Row],[Столбец1]],Таблица271[[#This Row],[Столбец2]])</f>
        <v>2,251,22</v>
      </c>
      <c r="I132">
        <v>2.6166666666666698</v>
      </c>
      <c r="J132">
        <v>-14.483333333333301</v>
      </c>
    </row>
    <row r="133" spans="1:10" x14ac:dyDescent="0.25">
      <c r="A133">
        <v>2.33</v>
      </c>
      <c r="B133">
        <v>1.17</v>
      </c>
      <c r="C133" t="str">
        <f>CONCATENATE(Таблица258[[#This Row],[Столбец1]],Таблица258[[#This Row],[Столбец2]])</f>
        <v>2,331,17</v>
      </c>
      <c r="E133">
        <v>2.25</v>
      </c>
      <c r="F133">
        <v>1.22</v>
      </c>
      <c r="G133" t="str">
        <f>CONCATENATE(Таблица271[[#This Row],[Столбец1]],Таблица271[[#This Row],[Столбец2]])</f>
        <v>2,251,22</v>
      </c>
      <c r="I133">
        <v>4.25</v>
      </c>
      <c r="J133">
        <v>-16.100000000000001</v>
      </c>
    </row>
    <row r="134" spans="1:10" x14ac:dyDescent="0.25">
      <c r="A134">
        <v>2.31</v>
      </c>
      <c r="B134">
        <v>1.18</v>
      </c>
      <c r="C134" t="str">
        <f>CONCATENATE(Таблица258[[#This Row],[Столбец1]],Таблица258[[#This Row],[Столбец2]])</f>
        <v>2,311,18</v>
      </c>
      <c r="E134">
        <v>2.2599999999999998</v>
      </c>
      <c r="F134">
        <v>1.22</v>
      </c>
      <c r="G134" t="str">
        <f>CONCATENATE(Таблица271[[#This Row],[Столбец1]],Таблица271[[#This Row],[Столбец2]])</f>
        <v>2,261,22</v>
      </c>
      <c r="I134">
        <v>4.30833333333333</v>
      </c>
      <c r="J134">
        <v>-16.133333333333301</v>
      </c>
    </row>
    <row r="135" spans="1:10" x14ac:dyDescent="0.25">
      <c r="A135">
        <v>2.31</v>
      </c>
      <c r="B135">
        <v>1.18</v>
      </c>
      <c r="C135" t="str">
        <f>CONCATENATE(Таблица258[[#This Row],[Столбец1]],Таблица258[[#This Row],[Столбец2]])</f>
        <v>2,311,18</v>
      </c>
      <c r="E135">
        <v>2.2599999999999998</v>
      </c>
      <c r="F135">
        <v>1.22</v>
      </c>
      <c r="G135" t="str">
        <f>CONCATENATE(Таблица271[[#This Row],[Столбец1]],Таблица271[[#This Row],[Столбец2]])</f>
        <v>2,261,22</v>
      </c>
      <c r="I135">
        <v>4.0750000000000002</v>
      </c>
      <c r="J135">
        <v>-16.033333333333299</v>
      </c>
    </row>
    <row r="136" spans="1:10" x14ac:dyDescent="0.25">
      <c r="A136">
        <v>2.31</v>
      </c>
      <c r="B136">
        <v>1.18</v>
      </c>
      <c r="C136" t="str">
        <f>CONCATENATE(Таблица258[[#This Row],[Столбец1]],Таблица258[[#This Row],[Столбец2]])</f>
        <v>2,311,18</v>
      </c>
      <c r="E136">
        <v>2.2599999999999998</v>
      </c>
      <c r="F136">
        <v>1.22</v>
      </c>
      <c r="G136" t="str">
        <f>CONCATENATE(Таблица271[[#This Row],[Столбец1]],Таблица271[[#This Row],[Столбец2]])</f>
        <v>2,261,22</v>
      </c>
      <c r="I136">
        <v>4.19166666666667</v>
      </c>
      <c r="J136">
        <v>-16.0833333333333</v>
      </c>
    </row>
    <row r="137" spans="1:10" x14ac:dyDescent="0.25">
      <c r="A137">
        <v>2.31</v>
      </c>
      <c r="B137">
        <v>1.18</v>
      </c>
      <c r="C137" t="str">
        <f>CONCATENATE(Таблица258[[#This Row],[Столбец1]],Таблица258[[#This Row],[Столбец2]])</f>
        <v>2,311,18</v>
      </c>
      <c r="E137">
        <v>2.2599999999999998</v>
      </c>
      <c r="F137">
        <v>1.22</v>
      </c>
      <c r="G137" t="str">
        <f>CONCATENATE(Таблица271[[#This Row],[Столбец1]],Таблица271[[#This Row],[Столбец2]])</f>
        <v>2,261,22</v>
      </c>
      <c r="I137">
        <v>4.1333333333333302</v>
      </c>
      <c r="J137">
        <v>-16.066666666666698</v>
      </c>
    </row>
    <row r="138" spans="1:10" x14ac:dyDescent="0.25">
      <c r="A138">
        <v>2.31</v>
      </c>
      <c r="B138">
        <v>1.18</v>
      </c>
      <c r="C138" t="str">
        <f>CONCATENATE(Таблица258[[#This Row],[Столбец1]],Таблица258[[#This Row],[Столбец2]])</f>
        <v>2,311,18</v>
      </c>
      <c r="E138">
        <v>2.2599999999999998</v>
      </c>
      <c r="F138">
        <v>1.22</v>
      </c>
      <c r="G138" t="str">
        <f>CONCATENATE(Таблица271[[#This Row],[Столбец1]],Таблица271[[#This Row],[Столбец2]])</f>
        <v>2,261,22</v>
      </c>
      <c r="I138">
        <v>7.1666666666666696</v>
      </c>
      <c r="J138">
        <v>-19.133333333333301</v>
      </c>
    </row>
    <row r="139" spans="1:10" x14ac:dyDescent="0.25">
      <c r="A139">
        <v>2.31</v>
      </c>
      <c r="B139">
        <v>1.18</v>
      </c>
      <c r="C139" t="str">
        <f>CONCATENATE(Таблица258[[#This Row],[Столбец1]],Таблица258[[#This Row],[Столбец2]])</f>
        <v>2,311,18</v>
      </c>
      <c r="E139">
        <v>2.2599999999999998</v>
      </c>
      <c r="F139">
        <v>1.22</v>
      </c>
      <c r="G139" t="str">
        <f>CONCATENATE(Таблица271[[#This Row],[Столбец1]],Таблица271[[#This Row],[Столбец2]])</f>
        <v>2,261,22</v>
      </c>
      <c r="I139">
        <v>2.55833333333333</v>
      </c>
      <c r="J139">
        <v>-14.516666666666699</v>
      </c>
    </row>
    <row r="140" spans="1:10" x14ac:dyDescent="0.25">
      <c r="A140">
        <v>2.31</v>
      </c>
      <c r="B140">
        <v>1.18</v>
      </c>
      <c r="C140" t="str">
        <f>CONCATENATE(Таблица258[[#This Row],[Столбец1]],Таблица258[[#This Row],[Столбец2]])</f>
        <v>2,311,18</v>
      </c>
      <c r="E140">
        <v>2.2400000000000002</v>
      </c>
      <c r="F140">
        <v>1.23</v>
      </c>
      <c r="G140" t="str">
        <f>CONCATENATE(Таблица271[[#This Row],[Столбец1]],Таблица271[[#This Row],[Столбец2]])</f>
        <v>2,241,23</v>
      </c>
      <c r="I140">
        <v>7.2249999999999996</v>
      </c>
      <c r="J140">
        <v>-19.1666666666667</v>
      </c>
    </row>
    <row r="141" spans="1:10" x14ac:dyDescent="0.25">
      <c r="A141">
        <v>2.2799999999999998</v>
      </c>
      <c r="B141">
        <v>1.2</v>
      </c>
      <c r="C141" t="str">
        <f>CONCATENATE(Таблица258[[#This Row],[Столбец1]],Таблица258[[#This Row],[Столбец2]])</f>
        <v>2,281,2</v>
      </c>
      <c r="E141">
        <v>2.2400000000000002</v>
      </c>
      <c r="F141">
        <v>1.23</v>
      </c>
      <c r="G141" t="str">
        <f>CONCATENATE(Таблица271[[#This Row],[Столбец1]],Таблица271[[#This Row],[Столбец2]])</f>
        <v>2,241,23</v>
      </c>
      <c r="I141">
        <v>7.05</v>
      </c>
      <c r="J141">
        <v>-19.033333333333299</v>
      </c>
    </row>
    <row r="142" spans="1:10" x14ac:dyDescent="0.25">
      <c r="A142">
        <v>2.2799999999999998</v>
      </c>
      <c r="B142">
        <v>1.2</v>
      </c>
      <c r="C142" t="str">
        <f>CONCATENATE(Таблица258[[#This Row],[Столбец1]],Таблица258[[#This Row],[Столбец2]])</f>
        <v>2,281,2</v>
      </c>
      <c r="E142">
        <v>2.2400000000000002</v>
      </c>
      <c r="F142">
        <v>1.23</v>
      </c>
      <c r="G142" t="str">
        <f>CONCATENATE(Таблица271[[#This Row],[Столбец1]],Таблица271[[#This Row],[Столбец2]])</f>
        <v>2,241,23</v>
      </c>
      <c r="I142">
        <v>6.7583333333333302</v>
      </c>
      <c r="J142">
        <v>-18.816666666666698</v>
      </c>
    </row>
    <row r="143" spans="1:10" x14ac:dyDescent="0.25">
      <c r="A143">
        <v>2.2799999999999998</v>
      </c>
      <c r="B143">
        <v>1.2</v>
      </c>
      <c r="C143" t="str">
        <f>CONCATENATE(Таблица258[[#This Row],[Столбец1]],Таблица258[[#This Row],[Столбец2]])</f>
        <v>2,281,2</v>
      </c>
      <c r="E143">
        <v>2.2400000000000002</v>
      </c>
      <c r="F143">
        <v>1.23</v>
      </c>
      <c r="G143" t="str">
        <f>CONCATENATE(Таблица271[[#This Row],[Столбец1]],Таблица271[[#This Row],[Столбец2]])</f>
        <v>2,241,23</v>
      </c>
      <c r="I143">
        <v>6.875</v>
      </c>
      <c r="J143">
        <v>-18.9166666666667</v>
      </c>
    </row>
    <row r="144" spans="1:10" x14ac:dyDescent="0.25">
      <c r="A144">
        <v>2.2799999999999998</v>
      </c>
      <c r="B144">
        <v>1.2</v>
      </c>
      <c r="C144" t="str">
        <f>CONCATENATE(Таблица258[[#This Row],[Столбец1]],Таблица258[[#This Row],[Столбец2]])</f>
        <v>2,281,2</v>
      </c>
      <c r="E144">
        <v>2.2400000000000002</v>
      </c>
      <c r="F144">
        <v>1.23</v>
      </c>
      <c r="G144" t="str">
        <f>CONCATENATE(Таблица271[[#This Row],[Столбец1]],Таблица271[[#This Row],[Столбец2]])</f>
        <v>2,241,23</v>
      </c>
      <c r="I144">
        <v>4.0166666666666702</v>
      </c>
      <c r="J144">
        <v>-16.016666666666701</v>
      </c>
    </row>
    <row r="145" spans="1:10" x14ac:dyDescent="0.25">
      <c r="A145">
        <v>2.2799999999999998</v>
      </c>
      <c r="B145">
        <v>1.2</v>
      </c>
      <c r="C145" t="str">
        <f>CONCATENATE(Таблица258[[#This Row],[Столбец1]],Таблица258[[#This Row],[Столбец2]])</f>
        <v>2,281,2</v>
      </c>
      <c r="E145">
        <v>2.2400000000000002</v>
      </c>
      <c r="F145">
        <v>1.23</v>
      </c>
      <c r="G145" t="str">
        <f>CONCATENATE(Таблица271[[#This Row],[Столбец1]],Таблица271[[#This Row],[Столбец2]])</f>
        <v>2,241,23</v>
      </c>
      <c r="I145">
        <v>6.93333333333333</v>
      </c>
      <c r="J145">
        <v>-18.95</v>
      </c>
    </row>
    <row r="146" spans="1:10" x14ac:dyDescent="0.25">
      <c r="A146">
        <v>2.2799999999999998</v>
      </c>
      <c r="B146">
        <v>1.2</v>
      </c>
      <c r="C146" t="str">
        <f>CONCATENATE(Таблица258[[#This Row],[Столбец1]],Таблица258[[#This Row],[Столбец2]])</f>
        <v>2,281,2</v>
      </c>
      <c r="E146">
        <v>2.23</v>
      </c>
      <c r="F146">
        <v>1.24</v>
      </c>
      <c r="G146" t="str">
        <f>CONCATENATE(Таблица271[[#This Row],[Столбец1]],Таблица271[[#This Row],[Столбец2]])</f>
        <v>2,231,24</v>
      </c>
      <c r="I146">
        <v>3.9583333333333299</v>
      </c>
      <c r="J146">
        <v>-16</v>
      </c>
    </row>
    <row r="147" spans="1:10" x14ac:dyDescent="0.25">
      <c r="A147">
        <v>2.27</v>
      </c>
      <c r="B147">
        <v>1.21</v>
      </c>
      <c r="C147" t="str">
        <f>CONCATENATE(Таблица258[[#This Row],[Столбец1]],Таблица258[[#This Row],[Столбец2]])</f>
        <v>2,271,21</v>
      </c>
      <c r="E147">
        <v>2.23</v>
      </c>
      <c r="F147">
        <v>1.24</v>
      </c>
      <c r="G147" t="str">
        <f>CONCATENATE(Таблица271[[#This Row],[Столбец1]],Таблица271[[#This Row],[Столбец2]])</f>
        <v>2,231,24</v>
      </c>
      <c r="I147">
        <v>2.5</v>
      </c>
      <c r="J147">
        <v>-14.533333333333299</v>
      </c>
    </row>
    <row r="148" spans="1:10" x14ac:dyDescent="0.25">
      <c r="A148">
        <v>2.27</v>
      </c>
      <c r="B148">
        <v>1.21</v>
      </c>
      <c r="C148" t="str">
        <f>CONCATENATE(Таблица258[[#This Row],[Столбец1]],Таблица258[[#This Row],[Столбец2]])</f>
        <v>2,271,21</v>
      </c>
      <c r="E148">
        <v>2.23</v>
      </c>
      <c r="F148">
        <v>1.24</v>
      </c>
      <c r="G148" t="str">
        <f>CONCATENATE(Таблица271[[#This Row],[Столбец1]],Таблица271[[#This Row],[Столбец2]])</f>
        <v>2,231,24</v>
      </c>
      <c r="I148">
        <v>2.5</v>
      </c>
      <c r="J148">
        <v>-14.533333333333299</v>
      </c>
    </row>
    <row r="149" spans="1:10" x14ac:dyDescent="0.25">
      <c r="A149">
        <v>2.27</v>
      </c>
      <c r="B149">
        <v>1.21</v>
      </c>
      <c r="C149" t="str">
        <f>CONCATENATE(Таблица258[[#This Row],[Столбец1]],Таблица258[[#This Row],[Столбец2]])</f>
        <v>2,271,21</v>
      </c>
      <c r="E149">
        <v>2.23</v>
      </c>
      <c r="F149">
        <v>1.24</v>
      </c>
      <c r="G149" t="str">
        <f>CONCATENATE(Таблица271[[#This Row],[Столбец1]],Таблица271[[#This Row],[Столбец2]])</f>
        <v>2,231,24</v>
      </c>
      <c r="I149">
        <v>7.1083333333333298</v>
      </c>
      <c r="J149">
        <v>-19.0833333333333</v>
      </c>
    </row>
    <row r="150" spans="1:10" x14ac:dyDescent="0.25">
      <c r="A150">
        <v>2.27</v>
      </c>
      <c r="B150">
        <v>1.21</v>
      </c>
      <c r="C150" t="str">
        <f>CONCATENATE(Таблица258[[#This Row],[Столбец1]],Таблица258[[#This Row],[Столбец2]])</f>
        <v>2,271,21</v>
      </c>
      <c r="E150">
        <v>2.23</v>
      </c>
      <c r="F150">
        <v>1.24</v>
      </c>
      <c r="G150" t="str">
        <f>CONCATENATE(Таблица271[[#This Row],[Столбец1]],Таблица271[[#This Row],[Столбец2]])</f>
        <v>2,231,24</v>
      </c>
      <c r="I150">
        <v>6.9916666666666698</v>
      </c>
      <c r="J150">
        <v>-19</v>
      </c>
    </row>
    <row r="151" spans="1:10" x14ac:dyDescent="0.25">
      <c r="A151">
        <v>2.27</v>
      </c>
      <c r="B151">
        <v>1.21</v>
      </c>
      <c r="C151" t="str">
        <f>CONCATENATE(Таблица258[[#This Row],[Столбец1]],Таблица258[[#This Row],[Столбец2]])</f>
        <v>2,271,21</v>
      </c>
      <c r="E151">
        <v>2.23</v>
      </c>
      <c r="F151">
        <v>1.24</v>
      </c>
      <c r="G151" t="str">
        <f>CONCATENATE(Таблица271[[#This Row],[Столбец1]],Таблица271[[#This Row],[Столбец2]])</f>
        <v>2,231,24</v>
      </c>
      <c r="I151">
        <v>6.81666666666667</v>
      </c>
      <c r="J151">
        <v>-18.866666666666699</v>
      </c>
    </row>
    <row r="152" spans="1:10" x14ac:dyDescent="0.25">
      <c r="A152">
        <v>2.27</v>
      </c>
      <c r="B152">
        <v>1.21</v>
      </c>
      <c r="C152" t="str">
        <f>CONCATENATE(Таблица258[[#This Row],[Столбец1]],Таблица258[[#This Row],[Столбец2]])</f>
        <v>2,271,21</v>
      </c>
      <c r="E152">
        <v>2.2200000000000002</v>
      </c>
      <c r="F152">
        <v>1.25</v>
      </c>
      <c r="G152" t="str">
        <f>CONCATENATE(Таблица271[[#This Row],[Столбец1]],Таблица271[[#This Row],[Столбец2]])</f>
        <v>2,221,25</v>
      </c>
      <c r="I152">
        <v>3.8416666666666699</v>
      </c>
      <c r="J152">
        <v>-15.95</v>
      </c>
    </row>
    <row r="153" spans="1:10" x14ac:dyDescent="0.25">
      <c r="A153">
        <v>2.27</v>
      </c>
      <c r="B153">
        <v>1.21</v>
      </c>
      <c r="C153" t="str">
        <f>CONCATENATE(Таблица258[[#This Row],[Столбец1]],Таблица258[[#This Row],[Столбец2]])</f>
        <v>2,271,21</v>
      </c>
      <c r="E153">
        <v>2.2200000000000002</v>
      </c>
      <c r="F153">
        <v>1.25</v>
      </c>
      <c r="G153" t="str">
        <f>CONCATENATE(Таблица271[[#This Row],[Столбец1]],Таблица271[[#This Row],[Столбец2]])</f>
        <v>2,221,25</v>
      </c>
      <c r="I153">
        <v>2.35</v>
      </c>
      <c r="J153">
        <v>-14.483333333333301</v>
      </c>
    </row>
    <row r="154" spans="1:10" x14ac:dyDescent="0.25">
      <c r="A154">
        <v>2.25</v>
      </c>
      <c r="B154">
        <v>1.22</v>
      </c>
      <c r="C154" t="str">
        <f>CONCATENATE(Таблица258[[#This Row],[Столбец1]],Таблица258[[#This Row],[Столбец2]])</f>
        <v>2,251,22</v>
      </c>
      <c r="E154">
        <v>2.2200000000000002</v>
      </c>
      <c r="F154">
        <v>1.25</v>
      </c>
      <c r="G154" t="str">
        <f>CONCATENATE(Таблица271[[#This Row],[Столбец1]],Таблица271[[#This Row],[Столбец2]])</f>
        <v>2,221,25</v>
      </c>
      <c r="I154">
        <v>3.9</v>
      </c>
      <c r="J154">
        <v>-15.983333333333301</v>
      </c>
    </row>
    <row r="155" spans="1:10" x14ac:dyDescent="0.25">
      <c r="A155">
        <v>2.2599999999999998</v>
      </c>
      <c r="B155">
        <v>1.22</v>
      </c>
      <c r="C155" t="str">
        <f>CONCATENATE(Таблица258[[#This Row],[Столбец1]],Таблица258[[#This Row],[Столбец2]])</f>
        <v>2,261,22</v>
      </c>
      <c r="E155">
        <v>2.2200000000000002</v>
      </c>
      <c r="F155">
        <v>1.25</v>
      </c>
      <c r="G155" t="str">
        <f>CONCATENATE(Таблица271[[#This Row],[Столбец1]],Таблица271[[#This Row],[Столбец2]])</f>
        <v>2,221,25</v>
      </c>
      <c r="I155">
        <v>2.4249999999999998</v>
      </c>
      <c r="J155">
        <v>-14.516666666666699</v>
      </c>
    </row>
    <row r="156" spans="1:10" x14ac:dyDescent="0.25">
      <c r="A156">
        <v>2.2599999999999998</v>
      </c>
      <c r="B156">
        <v>1.22</v>
      </c>
      <c r="C156" t="str">
        <f>CONCATENATE(Таблица258[[#This Row],[Столбец1]],Таблица258[[#This Row],[Столбец2]])</f>
        <v>2,261,22</v>
      </c>
      <c r="E156">
        <v>2.2200000000000002</v>
      </c>
      <c r="F156">
        <v>1.25</v>
      </c>
      <c r="G156" t="str">
        <f>CONCATENATE(Таблица271[[#This Row],[Столбец1]],Таблица271[[#This Row],[Столбец2]])</f>
        <v>2,221,25</v>
      </c>
      <c r="I156">
        <v>3.6666666666666701</v>
      </c>
      <c r="J156">
        <v>-15.9</v>
      </c>
    </row>
    <row r="157" spans="1:10" x14ac:dyDescent="0.25">
      <c r="A157">
        <v>2.2599999999999998</v>
      </c>
      <c r="B157">
        <v>1.22</v>
      </c>
      <c r="C157" t="str">
        <f>CONCATENATE(Таблица258[[#This Row],[Столбец1]],Таблица258[[#This Row],[Столбец2]])</f>
        <v>2,261,22</v>
      </c>
      <c r="E157">
        <v>2.2200000000000002</v>
      </c>
      <c r="F157">
        <v>1.25</v>
      </c>
      <c r="G157" t="str">
        <f>CONCATENATE(Таблица271[[#This Row],[Столбец1]],Таблица271[[#This Row],[Столбец2]])</f>
        <v>2,221,25</v>
      </c>
      <c r="I157">
        <v>3.7250000000000001</v>
      </c>
      <c r="J157">
        <v>-15.9166666666667</v>
      </c>
    </row>
    <row r="158" spans="1:10" x14ac:dyDescent="0.25">
      <c r="A158">
        <v>2.2599999999999998</v>
      </c>
      <c r="B158">
        <v>1.22</v>
      </c>
      <c r="C158" t="str">
        <f>CONCATENATE(Таблица258[[#This Row],[Столбец1]],Таблица258[[#This Row],[Столбец2]])</f>
        <v>2,261,22</v>
      </c>
      <c r="E158">
        <v>2.21</v>
      </c>
      <c r="F158">
        <v>1.27</v>
      </c>
      <c r="G158" t="str">
        <f>CONCATENATE(Таблица271[[#This Row],[Столбец1]],Таблица271[[#This Row],[Столбец2]])</f>
        <v>2,211,27</v>
      </c>
      <c r="I158">
        <v>3.7833333333333301</v>
      </c>
      <c r="J158">
        <v>-15.9333333333333</v>
      </c>
    </row>
    <row r="159" spans="1:10" x14ac:dyDescent="0.25">
      <c r="A159">
        <v>2.2599999999999998</v>
      </c>
      <c r="B159">
        <v>1.22</v>
      </c>
      <c r="C159" t="str">
        <f>CONCATENATE(Таблица258[[#This Row],[Столбец1]],Таблица258[[#This Row],[Столбец2]])</f>
        <v>2,261,22</v>
      </c>
      <c r="E159">
        <v>2.21</v>
      </c>
      <c r="F159">
        <v>1.27</v>
      </c>
      <c r="G159" t="str">
        <f>CONCATENATE(Таблица271[[#This Row],[Столбец1]],Таблица271[[#This Row],[Столбец2]])</f>
        <v>2,211,27</v>
      </c>
      <c r="I159">
        <v>2.2749999999999999</v>
      </c>
      <c r="J159">
        <v>-14.466666666666701</v>
      </c>
    </row>
    <row r="160" spans="1:10" x14ac:dyDescent="0.25">
      <c r="A160">
        <v>2.2599999999999998</v>
      </c>
      <c r="B160">
        <v>1.22</v>
      </c>
      <c r="C160" t="str">
        <f>CONCATENATE(Таблица258[[#This Row],[Столбец1]],Таблица258[[#This Row],[Столбец2]])</f>
        <v>2,261,22</v>
      </c>
      <c r="E160">
        <v>2.21</v>
      </c>
      <c r="F160">
        <v>1.27</v>
      </c>
      <c r="G160" t="str">
        <f>CONCATENATE(Таблица271[[#This Row],[Столбец1]],Таблица271[[#This Row],[Столбец2]])</f>
        <v>2,211,27</v>
      </c>
      <c r="I160">
        <v>3.55</v>
      </c>
      <c r="J160">
        <v>-15.85</v>
      </c>
    </row>
    <row r="161" spans="1:10" x14ac:dyDescent="0.25">
      <c r="A161">
        <v>2.2599999999999998</v>
      </c>
      <c r="B161">
        <v>1.22</v>
      </c>
      <c r="C161" t="str">
        <f>CONCATENATE(Таблица258[[#This Row],[Столбец1]],Таблица258[[#This Row],[Столбец2]])</f>
        <v>2,261,22</v>
      </c>
      <c r="E161">
        <v>2.21</v>
      </c>
      <c r="F161">
        <v>1.27</v>
      </c>
      <c r="G161" t="str">
        <f>CONCATENATE(Таблица271[[#This Row],[Столбец1]],Таблица271[[#This Row],[Столбец2]])</f>
        <v>2,211,27</v>
      </c>
      <c r="I161">
        <v>3.6083333333333298</v>
      </c>
      <c r="J161">
        <v>-15.866666666666699</v>
      </c>
    </row>
    <row r="162" spans="1:10" x14ac:dyDescent="0.25">
      <c r="A162">
        <v>2.2400000000000002</v>
      </c>
      <c r="B162">
        <v>1.23</v>
      </c>
      <c r="C162" t="str">
        <f>CONCATENATE(Таблица258[[#This Row],[Столбец1]],Таблица258[[#This Row],[Столбец2]])</f>
        <v>2,241,23</v>
      </c>
      <c r="E162">
        <v>2.21</v>
      </c>
      <c r="F162">
        <v>1.27</v>
      </c>
      <c r="G162" t="str">
        <f>CONCATENATE(Таблица271[[#This Row],[Столбец1]],Таблица271[[#This Row],[Столбец2]])</f>
        <v>2,211,27</v>
      </c>
      <c r="I162">
        <v>2.125</v>
      </c>
      <c r="J162">
        <v>-14.4333333333333</v>
      </c>
    </row>
    <row r="163" spans="1:10" x14ac:dyDescent="0.25">
      <c r="A163">
        <v>2.2400000000000002</v>
      </c>
      <c r="B163">
        <v>1.23</v>
      </c>
      <c r="C163" t="str">
        <f>CONCATENATE(Таблица258[[#This Row],[Столбец1]],Таблица258[[#This Row],[Столбец2]])</f>
        <v>2,241,23</v>
      </c>
      <c r="E163">
        <v>2.21</v>
      </c>
      <c r="F163">
        <v>1.27</v>
      </c>
      <c r="G163" t="str">
        <f>CONCATENATE(Таблица271[[#This Row],[Столбец1]],Таблица271[[#This Row],[Столбец2]])</f>
        <v>2,211,27</v>
      </c>
      <c r="I163">
        <v>2.2000000000000002</v>
      </c>
      <c r="J163">
        <v>-14.45</v>
      </c>
    </row>
    <row r="164" spans="1:10" x14ac:dyDescent="0.25">
      <c r="A164">
        <v>2.2400000000000002</v>
      </c>
      <c r="B164">
        <v>1.23</v>
      </c>
      <c r="C164" t="str">
        <f>CONCATENATE(Таблица258[[#This Row],[Столбец1]],Таблица258[[#This Row],[Столбец2]])</f>
        <v>2,241,23</v>
      </c>
      <c r="E164">
        <v>2.2000000000000002</v>
      </c>
      <c r="F164">
        <v>1.28</v>
      </c>
      <c r="G164" t="str">
        <f>CONCATENATE(Таблица271[[#This Row],[Столбец1]],Таблица271[[#This Row],[Столбец2]])</f>
        <v>2,21,28</v>
      </c>
      <c r="I164">
        <v>3.43333333333333</v>
      </c>
      <c r="J164">
        <v>-15.8</v>
      </c>
    </row>
    <row r="165" spans="1:10" x14ac:dyDescent="0.25">
      <c r="A165">
        <v>2.2400000000000002</v>
      </c>
      <c r="B165">
        <v>1.23</v>
      </c>
      <c r="C165" t="str">
        <f>CONCATENATE(Таблица258[[#This Row],[Столбец1]],Таблица258[[#This Row],[Столбец2]])</f>
        <v>2,241,23</v>
      </c>
      <c r="E165">
        <v>2.2000000000000002</v>
      </c>
      <c r="F165">
        <v>1.28</v>
      </c>
      <c r="G165" t="str">
        <f>CONCATENATE(Таблица271[[#This Row],[Столбец1]],Таблица271[[#This Row],[Столбец2]])</f>
        <v>2,21,28</v>
      </c>
      <c r="I165">
        <v>1.9750000000000001</v>
      </c>
      <c r="J165">
        <v>-14.383333333333301</v>
      </c>
    </row>
    <row r="166" spans="1:10" x14ac:dyDescent="0.25">
      <c r="A166">
        <v>2.2400000000000002</v>
      </c>
      <c r="B166">
        <v>1.23</v>
      </c>
      <c r="C166" t="str">
        <f>CONCATENATE(Таблица258[[#This Row],[Столбец1]],Таблица258[[#This Row],[Столбец2]])</f>
        <v>2,241,23</v>
      </c>
      <c r="E166">
        <v>2.2000000000000002</v>
      </c>
      <c r="F166">
        <v>1.28</v>
      </c>
      <c r="G166" t="str">
        <f>CONCATENATE(Таблица271[[#This Row],[Столбец1]],Таблица271[[#This Row],[Столбец2]])</f>
        <v>2,21,28</v>
      </c>
      <c r="I166">
        <v>3.4916666666666698</v>
      </c>
      <c r="J166">
        <v>-15.8333333333333</v>
      </c>
    </row>
    <row r="167" spans="1:10" x14ac:dyDescent="0.25">
      <c r="A167">
        <v>2.2400000000000002</v>
      </c>
      <c r="B167">
        <v>1.23</v>
      </c>
      <c r="C167" t="str">
        <f>CONCATENATE(Таблица258[[#This Row],[Столбец1]],Таблица258[[#This Row],[Столбец2]])</f>
        <v>2,241,23</v>
      </c>
      <c r="E167">
        <v>2.2000000000000002</v>
      </c>
      <c r="F167">
        <v>1.28</v>
      </c>
      <c r="G167" t="str">
        <f>CONCATENATE(Таблица271[[#This Row],[Столбец1]],Таблица271[[#This Row],[Столбец2]])</f>
        <v>2,21,28</v>
      </c>
      <c r="I167">
        <v>2.0499999999999998</v>
      </c>
      <c r="J167">
        <v>-14.4</v>
      </c>
    </row>
    <row r="168" spans="1:10" x14ac:dyDescent="0.25">
      <c r="A168">
        <v>2.2400000000000002</v>
      </c>
      <c r="B168">
        <v>1.23</v>
      </c>
      <c r="C168" t="str">
        <f>CONCATENATE(Таблица258[[#This Row],[Столбец1]],Таблица258[[#This Row],[Столбец2]])</f>
        <v>2,241,23</v>
      </c>
      <c r="E168">
        <v>2.2000000000000002</v>
      </c>
      <c r="F168">
        <v>1.28</v>
      </c>
      <c r="G168" t="str">
        <f>CONCATENATE(Таблица271[[#This Row],[Столбец1]],Таблица271[[#This Row],[Столбец2]])</f>
        <v>2,21,28</v>
      </c>
      <c r="I168">
        <v>3.31666666666667</v>
      </c>
      <c r="J168">
        <v>-15.766666666666699</v>
      </c>
    </row>
    <row r="169" spans="1:10" x14ac:dyDescent="0.25">
      <c r="A169">
        <v>2.23</v>
      </c>
      <c r="B169">
        <v>1.24</v>
      </c>
      <c r="C169" t="str">
        <f>CONCATENATE(Таблица258[[#This Row],[Столбец1]],Таблица258[[#This Row],[Столбец2]])</f>
        <v>2,231,24</v>
      </c>
      <c r="E169">
        <v>2.2000000000000002</v>
      </c>
      <c r="F169">
        <v>1.28</v>
      </c>
      <c r="G169" t="str">
        <f>CONCATENATE(Таблица271[[#This Row],[Столбец1]],Таблица271[[#This Row],[Столбец2]])</f>
        <v>2,21,28</v>
      </c>
      <c r="I169">
        <v>3.375</v>
      </c>
      <c r="J169">
        <v>-15.783333333333299</v>
      </c>
    </row>
    <row r="170" spans="1:10" x14ac:dyDescent="0.25">
      <c r="A170">
        <v>2.23</v>
      </c>
      <c r="B170">
        <v>1.24</v>
      </c>
      <c r="C170" t="str">
        <f>CONCATENATE(Таблица258[[#This Row],[Столбец1]],Таблица258[[#This Row],[Столбец2]])</f>
        <v>2,231,24</v>
      </c>
      <c r="E170">
        <v>2.19</v>
      </c>
      <c r="F170">
        <v>1.3</v>
      </c>
      <c r="G170" t="str">
        <f>CONCATENATE(Таблица271[[#This Row],[Столбец1]],Таблица271[[#This Row],[Столбец2]])</f>
        <v>2,191,3</v>
      </c>
      <c r="I170">
        <v>1.825</v>
      </c>
      <c r="J170">
        <v>-14.35</v>
      </c>
    </row>
    <row r="171" spans="1:10" x14ac:dyDescent="0.25">
      <c r="A171">
        <v>2.23</v>
      </c>
      <c r="B171">
        <v>1.24</v>
      </c>
      <c r="C171" t="str">
        <f>CONCATENATE(Таблица258[[#This Row],[Столбец1]],Таблица258[[#This Row],[Столбец2]])</f>
        <v>2,231,24</v>
      </c>
      <c r="E171">
        <v>2.19</v>
      </c>
      <c r="F171">
        <v>1.3</v>
      </c>
      <c r="G171" t="str">
        <f>CONCATENATE(Таблица271[[#This Row],[Столбец1]],Таблица271[[#This Row],[Столбец2]])</f>
        <v>2,191,3</v>
      </c>
      <c r="I171">
        <v>3.1416666666666702</v>
      </c>
      <c r="J171">
        <v>-15.7</v>
      </c>
    </row>
    <row r="172" spans="1:10" x14ac:dyDescent="0.25">
      <c r="A172">
        <v>2.23</v>
      </c>
      <c r="B172">
        <v>1.24</v>
      </c>
      <c r="C172" t="str">
        <f>CONCATENATE(Таблица258[[#This Row],[Столбец1]],Таблица258[[#This Row],[Столбец2]])</f>
        <v>2,231,24</v>
      </c>
      <c r="E172">
        <v>2.19</v>
      </c>
      <c r="F172">
        <v>1.3</v>
      </c>
      <c r="G172" t="str">
        <f>CONCATENATE(Таблица271[[#This Row],[Столбец1]],Таблица271[[#This Row],[Столбец2]])</f>
        <v>2,191,3</v>
      </c>
      <c r="I172">
        <v>1.9</v>
      </c>
      <c r="J172">
        <v>-14.366666666666699</v>
      </c>
    </row>
    <row r="173" spans="1:10" x14ac:dyDescent="0.25">
      <c r="A173">
        <v>2.23</v>
      </c>
      <c r="B173">
        <v>1.24</v>
      </c>
      <c r="C173" t="str">
        <f>CONCATENATE(Таблица258[[#This Row],[Столбец1]],Таблица258[[#This Row],[Столбец2]])</f>
        <v>2,231,24</v>
      </c>
      <c r="E173">
        <v>2.19</v>
      </c>
      <c r="F173">
        <v>1.3</v>
      </c>
      <c r="G173" t="str">
        <f>CONCATENATE(Таблица271[[#This Row],[Столбец1]],Таблица271[[#This Row],[Столбец2]])</f>
        <v>2,191,3</v>
      </c>
      <c r="I173">
        <v>3.2583333333333302</v>
      </c>
      <c r="J173">
        <v>-15.75</v>
      </c>
    </row>
    <row r="174" spans="1:10" x14ac:dyDescent="0.25">
      <c r="A174">
        <v>2.23</v>
      </c>
      <c r="B174">
        <v>1.24</v>
      </c>
      <c r="C174" t="str">
        <f>CONCATENATE(Таблица258[[#This Row],[Столбец1]],Таблица258[[#This Row],[Столбец2]])</f>
        <v>2,231,24</v>
      </c>
      <c r="E174">
        <v>2.19</v>
      </c>
      <c r="F174">
        <v>1.3</v>
      </c>
      <c r="G174" t="str">
        <f>CONCATENATE(Таблица271[[#This Row],[Столбец1]],Таблица271[[#This Row],[Столбец2]])</f>
        <v>2,191,3</v>
      </c>
      <c r="I174">
        <v>3.2</v>
      </c>
      <c r="J174">
        <v>-15.716666666666701</v>
      </c>
    </row>
    <row r="175" spans="1:10" x14ac:dyDescent="0.25">
      <c r="A175">
        <v>2.23</v>
      </c>
      <c r="B175">
        <v>1.24</v>
      </c>
      <c r="C175" t="str">
        <f>CONCATENATE(Таблица258[[#This Row],[Столбец1]],Таблица258[[#This Row],[Столбец2]])</f>
        <v>2,231,24</v>
      </c>
      <c r="E175">
        <v>2.19</v>
      </c>
      <c r="F175">
        <v>1.3</v>
      </c>
      <c r="G175" t="str">
        <f>CONCATENATE(Таблица271[[#This Row],[Столбец1]],Таблица271[[#This Row],[Столбец2]])</f>
        <v>2,191,3</v>
      </c>
      <c r="I175">
        <v>1.675</v>
      </c>
      <c r="J175">
        <v>-14.3</v>
      </c>
    </row>
    <row r="176" spans="1:10" x14ac:dyDescent="0.25">
      <c r="A176">
        <v>2.2200000000000002</v>
      </c>
      <c r="B176">
        <v>1.25</v>
      </c>
      <c r="C176" t="str">
        <f>CONCATENATE(Таблица258[[#This Row],[Столбец1]],Таблица258[[#This Row],[Столбец2]])</f>
        <v>2,221,25</v>
      </c>
      <c r="E176">
        <v>2.1800000000000002</v>
      </c>
      <c r="F176">
        <v>1.31</v>
      </c>
      <c r="G176" t="str">
        <f>CONCATENATE(Таблица271[[#This Row],[Столбец1]],Таблица271[[#This Row],[Столбец2]])</f>
        <v>2,181,31</v>
      </c>
      <c r="I176">
        <v>1.75</v>
      </c>
      <c r="J176">
        <v>-14.3166666666667</v>
      </c>
    </row>
    <row r="177" spans="1:10" x14ac:dyDescent="0.25">
      <c r="A177">
        <v>2.2200000000000002</v>
      </c>
      <c r="B177">
        <v>1.25</v>
      </c>
      <c r="C177" t="str">
        <f>CONCATENATE(Таблица258[[#This Row],[Столбец1]],Таблица258[[#This Row],[Столбец2]])</f>
        <v>2,221,25</v>
      </c>
      <c r="E177">
        <v>2.1800000000000002</v>
      </c>
      <c r="F177">
        <v>1.31</v>
      </c>
      <c r="G177" t="str">
        <f>CONCATENATE(Таблица271[[#This Row],[Столбец1]],Таблица271[[#This Row],[Столбец2]])</f>
        <v>2,181,31</v>
      </c>
      <c r="I177">
        <v>3.0833333333333299</v>
      </c>
      <c r="J177">
        <v>-15.6833333333333</v>
      </c>
    </row>
    <row r="178" spans="1:10" x14ac:dyDescent="0.25">
      <c r="A178">
        <v>2.2200000000000002</v>
      </c>
      <c r="B178">
        <v>1.25</v>
      </c>
      <c r="C178" t="str">
        <f>CONCATENATE(Таблица258[[#This Row],[Столбец1]],Таблица258[[#This Row],[Столбец2]])</f>
        <v>2,221,25</v>
      </c>
      <c r="E178">
        <v>2.1800000000000002</v>
      </c>
      <c r="F178">
        <v>1.31</v>
      </c>
      <c r="G178" t="str">
        <f>CONCATENATE(Таблица271[[#This Row],[Столбец1]],Таблица271[[#This Row],[Столбец2]])</f>
        <v>2,181,31</v>
      </c>
      <c r="I178">
        <v>3.0249999999999999</v>
      </c>
      <c r="J178">
        <v>-15.65</v>
      </c>
    </row>
    <row r="179" spans="1:10" x14ac:dyDescent="0.25">
      <c r="A179">
        <v>2.2200000000000002</v>
      </c>
      <c r="B179">
        <v>1.25</v>
      </c>
      <c r="C179" t="str">
        <f>CONCATENATE(Таблица258[[#This Row],[Столбец1]],Таблица258[[#This Row],[Столбец2]])</f>
        <v>2,221,25</v>
      </c>
      <c r="E179">
        <v>2.1800000000000002</v>
      </c>
      <c r="F179">
        <v>1.31</v>
      </c>
      <c r="G179" t="str">
        <f>CONCATENATE(Таблица271[[#This Row],[Столбец1]],Таблица271[[#This Row],[Столбец2]])</f>
        <v>2,181,31</v>
      </c>
      <c r="I179">
        <v>2.9083333333333301</v>
      </c>
      <c r="J179">
        <v>-15.616666666666699</v>
      </c>
    </row>
    <row r="180" spans="1:10" x14ac:dyDescent="0.25">
      <c r="A180">
        <v>2.2200000000000002</v>
      </c>
      <c r="B180">
        <v>1.25</v>
      </c>
      <c r="C180" t="str">
        <f>CONCATENATE(Таблица258[[#This Row],[Столбец1]],Таблица258[[#This Row],[Столбец2]])</f>
        <v>2,221,25</v>
      </c>
      <c r="E180">
        <v>2.1800000000000002</v>
      </c>
      <c r="F180">
        <v>1.31</v>
      </c>
      <c r="G180" t="str">
        <f>CONCATENATE(Таблица271[[#This Row],[Столбец1]],Таблица271[[#This Row],[Столбец2]])</f>
        <v>2,181,31</v>
      </c>
      <c r="I180">
        <v>2.9666666666666699</v>
      </c>
      <c r="J180">
        <v>-15.633333333333301</v>
      </c>
    </row>
    <row r="181" spans="1:10" x14ac:dyDescent="0.25">
      <c r="A181">
        <v>2.2200000000000002</v>
      </c>
      <c r="B181">
        <v>1.25</v>
      </c>
      <c r="C181" t="str">
        <f>CONCATENATE(Таблица258[[#This Row],[Столбец1]],Таблица258[[#This Row],[Столбец2]])</f>
        <v>2,221,25</v>
      </c>
      <c r="E181">
        <v>2.1800000000000002</v>
      </c>
      <c r="F181">
        <v>1.31</v>
      </c>
      <c r="G181" t="str">
        <f>CONCATENATE(Таблица271[[#This Row],[Столбец1]],Таблица271[[#This Row],[Столбец2]])</f>
        <v>2,181,31</v>
      </c>
      <c r="I181">
        <v>1.6</v>
      </c>
      <c r="J181">
        <v>-14.283333333333299</v>
      </c>
    </row>
    <row r="182" spans="1:10" x14ac:dyDescent="0.25">
      <c r="A182">
        <v>2.2200000000000002</v>
      </c>
      <c r="B182">
        <v>1.25</v>
      </c>
      <c r="C182" t="str">
        <f>CONCATENATE(Таблица258[[#This Row],[Столбец1]],Таблица258[[#This Row],[Столбец2]])</f>
        <v>2,221,25</v>
      </c>
      <c r="E182">
        <v>2.17</v>
      </c>
      <c r="F182">
        <v>1.33</v>
      </c>
      <c r="G182" t="str">
        <f>CONCATENATE(Таблица271[[#This Row],[Столбец1]],Таблица271[[#This Row],[Столбец2]])</f>
        <v>2,171,33</v>
      </c>
      <c r="I182">
        <v>2.7916666666666701</v>
      </c>
      <c r="J182">
        <v>-15.5666666666667</v>
      </c>
    </row>
    <row r="183" spans="1:10" x14ac:dyDescent="0.25">
      <c r="A183">
        <v>2.21</v>
      </c>
      <c r="B183">
        <v>1.27</v>
      </c>
      <c r="C183" t="str">
        <f>CONCATENATE(Таблица258[[#This Row],[Столбец1]],Таблица258[[#This Row],[Столбец2]])</f>
        <v>2,211,27</v>
      </c>
      <c r="E183">
        <v>2.17</v>
      </c>
      <c r="F183">
        <v>1.33</v>
      </c>
      <c r="G183" t="str">
        <f>CONCATENATE(Таблица271[[#This Row],[Столбец1]],Таблица271[[#This Row],[Столбец2]])</f>
        <v>2,171,33</v>
      </c>
      <c r="I183">
        <v>1.45</v>
      </c>
      <c r="J183">
        <v>-14.233333333333301</v>
      </c>
    </row>
    <row r="184" spans="1:10" x14ac:dyDescent="0.25">
      <c r="A184">
        <v>2.21</v>
      </c>
      <c r="B184">
        <v>1.27</v>
      </c>
      <c r="C184" t="str">
        <f>CONCATENATE(Таблица258[[#This Row],[Столбец1]],Таблица258[[#This Row],[Столбец2]])</f>
        <v>2,211,27</v>
      </c>
      <c r="E184">
        <v>2.17</v>
      </c>
      <c r="F184">
        <v>1.33</v>
      </c>
      <c r="G184" t="str">
        <f>CONCATENATE(Таблица271[[#This Row],[Столбец1]],Таблица271[[#This Row],[Столбец2]])</f>
        <v>2,171,33</v>
      </c>
      <c r="I184">
        <v>1.5249999999999999</v>
      </c>
      <c r="J184">
        <v>-14.25</v>
      </c>
    </row>
    <row r="185" spans="1:10" x14ac:dyDescent="0.25">
      <c r="A185">
        <v>2.21</v>
      </c>
      <c r="B185">
        <v>1.27</v>
      </c>
      <c r="C185" t="str">
        <f>CONCATENATE(Таблица258[[#This Row],[Столбец1]],Таблица258[[#This Row],[Столбец2]])</f>
        <v>2,211,27</v>
      </c>
      <c r="E185">
        <v>2.17</v>
      </c>
      <c r="F185">
        <v>1.33</v>
      </c>
      <c r="G185" t="str">
        <f>CONCATENATE(Таблица271[[#This Row],[Столбец1]],Таблица271[[#This Row],[Столбец2]])</f>
        <v>2,171,33</v>
      </c>
      <c r="I185">
        <v>2.85</v>
      </c>
      <c r="J185">
        <v>-15.6</v>
      </c>
    </row>
    <row r="186" spans="1:10" x14ac:dyDescent="0.25">
      <c r="A186">
        <v>2.21</v>
      </c>
      <c r="B186">
        <v>1.27</v>
      </c>
      <c r="C186" t="str">
        <f>CONCATENATE(Таблица258[[#This Row],[Столбец1]],Таблица258[[#This Row],[Столбец2]])</f>
        <v>2,211,27</v>
      </c>
      <c r="E186">
        <v>2.17</v>
      </c>
      <c r="F186">
        <v>1.33</v>
      </c>
      <c r="G186" t="str">
        <f>CONCATENATE(Таблица271[[#This Row],[Столбец1]],Таблица271[[#This Row],[Столбец2]])</f>
        <v>2,171,33</v>
      </c>
      <c r="I186">
        <v>1.375</v>
      </c>
      <c r="J186">
        <v>-14.216666666666701</v>
      </c>
    </row>
    <row r="187" spans="1:10" x14ac:dyDescent="0.25">
      <c r="A187">
        <v>2.21</v>
      </c>
      <c r="B187">
        <v>1.27</v>
      </c>
      <c r="C187" t="str">
        <f>CONCATENATE(Таблица258[[#This Row],[Столбец1]],Таблица258[[#This Row],[Столбец2]])</f>
        <v>2,211,27</v>
      </c>
      <c r="E187">
        <v>2.17</v>
      </c>
      <c r="F187">
        <v>1.33</v>
      </c>
      <c r="G187" t="str">
        <f>CONCATENATE(Таблица271[[#This Row],[Столбец1]],Таблица271[[#This Row],[Столбец2]])</f>
        <v>2,171,33</v>
      </c>
      <c r="I187">
        <v>1.3</v>
      </c>
      <c r="J187">
        <v>-14.2</v>
      </c>
    </row>
    <row r="188" spans="1:10" x14ac:dyDescent="0.25">
      <c r="A188">
        <v>2.21</v>
      </c>
      <c r="B188">
        <v>1.27</v>
      </c>
      <c r="C188" t="str">
        <f>CONCATENATE(Таблица258[[#This Row],[Столбец1]],Таблица258[[#This Row],[Столбец2]])</f>
        <v>2,211,27</v>
      </c>
      <c r="E188">
        <v>2.16</v>
      </c>
      <c r="F188">
        <v>1.34</v>
      </c>
      <c r="G188" t="str">
        <f>CONCATENATE(Таблица271[[#This Row],[Столбец1]],Таблица271[[#This Row],[Столбец2]])</f>
        <v>2,161,34</v>
      </c>
      <c r="I188">
        <v>2.6166666666666698</v>
      </c>
      <c r="J188">
        <v>-15.516666666666699</v>
      </c>
    </row>
    <row r="189" spans="1:10" x14ac:dyDescent="0.25">
      <c r="A189">
        <v>2.2000000000000002</v>
      </c>
      <c r="B189">
        <v>1.28</v>
      </c>
      <c r="C189" t="str">
        <f>CONCATENATE(Таблица258[[#This Row],[Столбец1]],Таблица258[[#This Row],[Столбец2]])</f>
        <v>2,21,28</v>
      </c>
      <c r="E189">
        <v>2.16</v>
      </c>
      <c r="F189">
        <v>1.34</v>
      </c>
      <c r="G189" t="str">
        <f>CONCATENATE(Таблица271[[#This Row],[Столбец1]],Таблица271[[#This Row],[Столбец2]])</f>
        <v>2,161,34</v>
      </c>
      <c r="I189">
        <v>2.6749999999999998</v>
      </c>
      <c r="J189">
        <v>-15.533333333333299</v>
      </c>
    </row>
    <row r="190" spans="1:10" x14ac:dyDescent="0.25">
      <c r="A190">
        <v>2.2000000000000002</v>
      </c>
      <c r="B190">
        <v>1.28</v>
      </c>
      <c r="C190" t="str">
        <f>CONCATENATE(Таблица258[[#This Row],[Столбец1]],Таблица258[[#This Row],[Столбец2]])</f>
        <v>2,21,28</v>
      </c>
      <c r="E190">
        <v>2.16</v>
      </c>
      <c r="F190">
        <v>1.34</v>
      </c>
      <c r="G190" t="str">
        <f>CONCATENATE(Таблица271[[#This Row],[Столбец1]],Таблица271[[#This Row],[Столбец2]])</f>
        <v>2,161,34</v>
      </c>
      <c r="I190">
        <v>2.7333333333333298</v>
      </c>
      <c r="J190">
        <v>-15.55</v>
      </c>
    </row>
    <row r="191" spans="1:10" x14ac:dyDescent="0.25">
      <c r="A191">
        <v>2.2000000000000002</v>
      </c>
      <c r="B191">
        <v>1.28</v>
      </c>
      <c r="C191" t="str">
        <f>CONCATENATE(Таблица258[[#This Row],[Столбец1]],Таблица258[[#This Row],[Столбец2]])</f>
        <v>2,21,28</v>
      </c>
      <c r="E191">
        <v>2.16</v>
      </c>
      <c r="F191">
        <v>1.34</v>
      </c>
      <c r="G191" t="str">
        <f>CONCATENATE(Таблица271[[#This Row],[Столбец1]],Таблица271[[#This Row],[Столбец2]])</f>
        <v>2,161,34</v>
      </c>
      <c r="I191">
        <v>2.5</v>
      </c>
      <c r="J191">
        <v>-15.466666666666701</v>
      </c>
    </row>
    <row r="192" spans="1:10" x14ac:dyDescent="0.25">
      <c r="A192">
        <v>2.2000000000000002</v>
      </c>
      <c r="B192">
        <v>1.28</v>
      </c>
      <c r="C192" t="str">
        <f>CONCATENATE(Таблица258[[#This Row],[Столбец1]],Таблица258[[#This Row],[Столбец2]])</f>
        <v>2,21,28</v>
      </c>
      <c r="E192">
        <v>2.16</v>
      </c>
      <c r="F192">
        <v>1.34</v>
      </c>
      <c r="G192" t="str">
        <f>CONCATENATE(Таблица271[[#This Row],[Столбец1]],Таблица271[[#This Row],[Столбец2]])</f>
        <v>2,161,34</v>
      </c>
      <c r="I192">
        <v>1.1499999999999999</v>
      </c>
      <c r="J192">
        <v>-14.15</v>
      </c>
    </row>
    <row r="193" spans="1:10" x14ac:dyDescent="0.25">
      <c r="A193">
        <v>2.2000000000000002</v>
      </c>
      <c r="B193">
        <v>1.28</v>
      </c>
      <c r="C193" t="str">
        <f>CONCATENATE(Таблица258[[#This Row],[Столбец1]],Таблица258[[#This Row],[Столбец2]])</f>
        <v>2,21,28</v>
      </c>
      <c r="E193">
        <v>2.16</v>
      </c>
      <c r="F193">
        <v>1.34</v>
      </c>
      <c r="G193" t="str">
        <f>CONCATENATE(Таблица271[[#This Row],[Столбец1]],Таблица271[[#This Row],[Столбец2]])</f>
        <v>2,161,34</v>
      </c>
      <c r="I193">
        <v>2.55833333333333</v>
      </c>
      <c r="J193">
        <v>-15.483333333333301</v>
      </c>
    </row>
    <row r="194" spans="1:10" x14ac:dyDescent="0.25">
      <c r="A194">
        <v>2.2000000000000002</v>
      </c>
      <c r="B194">
        <v>1.28</v>
      </c>
      <c r="C194" t="str">
        <f>CONCATENATE(Таблица258[[#This Row],[Столбец1]],Таблица258[[#This Row],[Столбец2]])</f>
        <v>2,21,28</v>
      </c>
      <c r="E194">
        <v>2.15</v>
      </c>
      <c r="F194">
        <v>1.35</v>
      </c>
      <c r="G194" t="str">
        <f>CONCATENATE(Таблица271[[#This Row],[Столбец1]],Таблица271[[#This Row],[Столбец2]])</f>
        <v>2,151,35</v>
      </c>
      <c r="I194">
        <v>1.2250000000000001</v>
      </c>
      <c r="J194">
        <v>-14.1666666666667</v>
      </c>
    </row>
    <row r="195" spans="1:10" x14ac:dyDescent="0.25">
      <c r="A195">
        <v>2.2000000000000002</v>
      </c>
      <c r="B195">
        <v>1.28</v>
      </c>
      <c r="C195" t="str">
        <f>CONCATENATE(Таблица258[[#This Row],[Столбец1]],Таблица258[[#This Row],[Столбец2]])</f>
        <v>2,21,28</v>
      </c>
      <c r="E195">
        <v>2.15</v>
      </c>
      <c r="F195">
        <v>1.35</v>
      </c>
      <c r="G195" t="str">
        <f>CONCATENATE(Таблица271[[#This Row],[Столбец1]],Таблица271[[#This Row],[Столбец2]])</f>
        <v>2,151,35</v>
      </c>
      <c r="I195">
        <v>1.075</v>
      </c>
      <c r="J195">
        <v>-14.133333333333301</v>
      </c>
    </row>
    <row r="196" spans="1:10" x14ac:dyDescent="0.25">
      <c r="A196">
        <v>2.19</v>
      </c>
      <c r="B196">
        <v>1.3</v>
      </c>
      <c r="C196" t="str">
        <f>CONCATENATE(Таблица258[[#This Row],[Столбец1]],Таблица258[[#This Row],[Столбец2]])</f>
        <v>2,191,3</v>
      </c>
      <c r="E196">
        <v>2.15</v>
      </c>
      <c r="F196">
        <v>1.35</v>
      </c>
      <c r="G196" t="str">
        <f>CONCATENATE(Таблица271[[#This Row],[Столбец1]],Таблица271[[#This Row],[Столбец2]])</f>
        <v>2,151,35</v>
      </c>
      <c r="I196">
        <v>2.4249999999999998</v>
      </c>
      <c r="J196">
        <v>-15.483333333333301</v>
      </c>
    </row>
    <row r="197" spans="1:10" x14ac:dyDescent="0.25">
      <c r="A197">
        <v>2.19</v>
      </c>
      <c r="B197">
        <v>1.3</v>
      </c>
      <c r="C197" t="str">
        <f>CONCATENATE(Таблица258[[#This Row],[Столбец1]],Таблица258[[#This Row],[Столбец2]])</f>
        <v>2,191,3</v>
      </c>
      <c r="E197">
        <v>2.15</v>
      </c>
      <c r="F197">
        <v>1.35</v>
      </c>
      <c r="G197" t="str">
        <f>CONCATENATE(Таблица271[[#This Row],[Столбец1]],Таблица271[[#This Row],[Столбец2]])</f>
        <v>2,151,35</v>
      </c>
      <c r="I197">
        <v>2.35</v>
      </c>
      <c r="J197">
        <v>-15.516666666666699</v>
      </c>
    </row>
    <row r="198" spans="1:10" x14ac:dyDescent="0.25">
      <c r="A198">
        <v>2.19</v>
      </c>
      <c r="B198">
        <v>1.3</v>
      </c>
      <c r="C198" t="str">
        <f>CONCATENATE(Таблица258[[#This Row],[Столбец1]],Таблица258[[#This Row],[Столбец2]])</f>
        <v>2,191,3</v>
      </c>
      <c r="E198">
        <v>2.15</v>
      </c>
      <c r="F198">
        <v>1.35</v>
      </c>
      <c r="G198" t="str">
        <f>CONCATENATE(Таблица271[[#This Row],[Столбец1]],Таблица271[[#This Row],[Столбец2]])</f>
        <v>2,151,35</v>
      </c>
      <c r="I198">
        <v>0.999999999999996</v>
      </c>
      <c r="J198">
        <v>-14.1</v>
      </c>
    </row>
    <row r="199" spans="1:10" x14ac:dyDescent="0.25">
      <c r="A199">
        <v>2.19</v>
      </c>
      <c r="B199">
        <v>1.3</v>
      </c>
      <c r="C199" t="str">
        <f>CONCATENATE(Таблица258[[#This Row],[Столбец1]],Таблица258[[#This Row],[Столбец2]])</f>
        <v>2,191,3</v>
      </c>
      <c r="E199">
        <v>2.15</v>
      </c>
      <c r="F199">
        <v>1.35</v>
      </c>
      <c r="G199" t="str">
        <f>CONCATENATE(Таблица271[[#This Row],[Столбец1]],Таблица271[[#This Row],[Столбец2]])</f>
        <v>2,151,35</v>
      </c>
      <c r="I199">
        <v>0.92500000000000104</v>
      </c>
      <c r="J199">
        <v>-14.0833333333333</v>
      </c>
    </row>
    <row r="200" spans="1:10" x14ac:dyDescent="0.25">
      <c r="A200">
        <v>2.19</v>
      </c>
      <c r="B200">
        <v>1.3</v>
      </c>
      <c r="C200" t="str">
        <f>CONCATENATE(Таблица258[[#This Row],[Столбец1]],Таблица258[[#This Row],[Столбец2]])</f>
        <v>2,191,3</v>
      </c>
      <c r="E200">
        <v>2.14</v>
      </c>
      <c r="F200">
        <v>1.37</v>
      </c>
      <c r="G200" t="str">
        <f>CONCATENATE(Таблица271[[#This Row],[Столбец1]],Таблица271[[#This Row],[Столбец2]])</f>
        <v>2,141,37</v>
      </c>
      <c r="I200">
        <v>0.84999999999999798</v>
      </c>
      <c r="J200">
        <v>-14.0666666666667</v>
      </c>
    </row>
    <row r="201" spans="1:10" x14ac:dyDescent="0.25">
      <c r="A201">
        <v>2.19</v>
      </c>
      <c r="B201">
        <v>1.3</v>
      </c>
      <c r="C201" t="str">
        <f>CONCATENATE(Таблица258[[#This Row],[Столбец1]],Таблица258[[#This Row],[Столбец2]])</f>
        <v>2,191,3</v>
      </c>
      <c r="E201">
        <v>2.14</v>
      </c>
      <c r="F201">
        <v>1.37</v>
      </c>
      <c r="G201" t="str">
        <f>CONCATENATE(Таблица271[[#This Row],[Столбец1]],Таблица271[[#This Row],[Столбец2]])</f>
        <v>2,141,37</v>
      </c>
      <c r="I201">
        <v>0.77499999999999902</v>
      </c>
      <c r="J201">
        <v>-14.05</v>
      </c>
    </row>
    <row r="202" spans="1:10" x14ac:dyDescent="0.25">
      <c r="A202">
        <v>2.1800000000000002</v>
      </c>
      <c r="B202">
        <v>1.31</v>
      </c>
      <c r="C202" t="str">
        <f>CONCATENATE(Таблица258[[#This Row],[Столбец1]],Таблица258[[#This Row],[Столбец2]])</f>
        <v>2,181,31</v>
      </c>
      <c r="E202">
        <v>2.14</v>
      </c>
      <c r="F202">
        <v>1.37</v>
      </c>
      <c r="G202" t="str">
        <f>CONCATENATE(Таблица271[[#This Row],[Столбец1]],Таблица271[[#This Row],[Столбец2]])</f>
        <v>2,141,37</v>
      </c>
      <c r="I202">
        <v>2.2749999999999999</v>
      </c>
      <c r="J202">
        <v>-15.533333333333299</v>
      </c>
    </row>
    <row r="203" spans="1:10" x14ac:dyDescent="0.25">
      <c r="A203">
        <v>2.1800000000000002</v>
      </c>
      <c r="B203">
        <v>1.31</v>
      </c>
      <c r="C203" t="str">
        <f>CONCATENATE(Таблица258[[#This Row],[Столбец1]],Таблица258[[#This Row],[Столбец2]])</f>
        <v>2,181,31</v>
      </c>
      <c r="E203">
        <v>2.14</v>
      </c>
      <c r="F203">
        <v>1.37</v>
      </c>
      <c r="G203" t="str">
        <f>CONCATENATE(Таблица271[[#This Row],[Столбец1]],Таблица271[[#This Row],[Столбец2]])</f>
        <v>2,141,37</v>
      </c>
      <c r="I203">
        <v>0.625</v>
      </c>
      <c r="J203">
        <v>-14</v>
      </c>
    </row>
    <row r="204" spans="1:10" x14ac:dyDescent="0.25">
      <c r="A204">
        <v>2.1800000000000002</v>
      </c>
      <c r="B204">
        <v>1.31</v>
      </c>
      <c r="C204" t="str">
        <f>CONCATENATE(Таблица258[[#This Row],[Столбец1]],Таблица258[[#This Row],[Столбец2]])</f>
        <v>2,181,31</v>
      </c>
      <c r="E204">
        <v>2.14</v>
      </c>
      <c r="F204">
        <v>1.37</v>
      </c>
      <c r="G204" t="str">
        <f>CONCATENATE(Таблица271[[#This Row],[Столбец1]],Таблица271[[#This Row],[Столбец2]])</f>
        <v>2,141,37</v>
      </c>
      <c r="I204">
        <v>0.69999999999999896</v>
      </c>
      <c r="J204">
        <v>-14.016666666666699</v>
      </c>
    </row>
    <row r="205" spans="1:10" x14ac:dyDescent="0.25">
      <c r="A205">
        <v>2.1800000000000002</v>
      </c>
      <c r="B205">
        <v>1.31</v>
      </c>
      <c r="C205" t="str">
        <f>CONCATENATE(Таблица258[[#This Row],[Столбец1]],Таблица258[[#This Row],[Столбец2]])</f>
        <v>2,181,31</v>
      </c>
      <c r="E205">
        <v>2.14</v>
      </c>
      <c r="F205">
        <v>1.37</v>
      </c>
      <c r="G205" t="str">
        <f>CONCATENATE(Таблица271[[#This Row],[Столбец1]],Таблица271[[#This Row],[Столбец2]])</f>
        <v>2,141,37</v>
      </c>
      <c r="I205">
        <v>2.2000000000000002</v>
      </c>
      <c r="J205">
        <v>-15.55</v>
      </c>
    </row>
    <row r="206" spans="1:10" x14ac:dyDescent="0.25">
      <c r="A206">
        <v>2.1800000000000002</v>
      </c>
      <c r="B206">
        <v>1.31</v>
      </c>
      <c r="C206" t="str">
        <f>CONCATENATE(Таблица258[[#This Row],[Столбец1]],Таблица258[[#This Row],[Столбец2]])</f>
        <v>2,181,31</v>
      </c>
      <c r="E206">
        <v>2.13</v>
      </c>
      <c r="F206">
        <v>1.38</v>
      </c>
      <c r="G206" t="str">
        <f>CONCATENATE(Таблица271[[#This Row],[Столбец1]],Таблица271[[#This Row],[Столбец2]])</f>
        <v>2,131,38</v>
      </c>
      <c r="I206">
        <v>2.125</v>
      </c>
      <c r="J206">
        <v>-15.5666666666667</v>
      </c>
    </row>
    <row r="207" spans="1:10" x14ac:dyDescent="0.25">
      <c r="A207">
        <v>2.1800000000000002</v>
      </c>
      <c r="B207">
        <v>1.31</v>
      </c>
      <c r="C207" t="str">
        <f>CONCATENATE(Таблица258[[#This Row],[Столбец1]],Таблица258[[#This Row],[Столбец2]])</f>
        <v>2,181,31</v>
      </c>
      <c r="E207">
        <v>2.13</v>
      </c>
      <c r="F207">
        <v>1.38</v>
      </c>
      <c r="G207" t="str">
        <f>CONCATENATE(Таблица271[[#This Row],[Столбец1]],Таблица271[[#This Row],[Столбец2]])</f>
        <v>2,131,38</v>
      </c>
      <c r="I207">
        <v>0.47500000000000098</v>
      </c>
      <c r="J207">
        <v>-13.966666666666701</v>
      </c>
    </row>
    <row r="208" spans="1:10" x14ac:dyDescent="0.25">
      <c r="A208">
        <v>2.17</v>
      </c>
      <c r="B208">
        <v>1.33</v>
      </c>
      <c r="C208" t="str">
        <f>CONCATENATE(Таблица258[[#This Row],[Столбец1]],Таблица258[[#This Row],[Столбец2]])</f>
        <v>2,171,33</v>
      </c>
      <c r="E208">
        <v>2.13</v>
      </c>
      <c r="F208">
        <v>1.38</v>
      </c>
      <c r="G208" t="str">
        <f>CONCATENATE(Таблица271[[#This Row],[Столбец1]],Таблица271[[#This Row],[Столбец2]])</f>
        <v>2,131,38</v>
      </c>
      <c r="I208">
        <v>0.55000000000000104</v>
      </c>
      <c r="J208">
        <v>-13.983333333333301</v>
      </c>
    </row>
    <row r="209" spans="1:11" x14ac:dyDescent="0.25">
      <c r="A209">
        <v>2.17</v>
      </c>
      <c r="B209">
        <v>1.33</v>
      </c>
      <c r="C209" t="str">
        <f>CONCATENATE(Таблица258[[#This Row],[Столбец1]],Таблица258[[#This Row],[Столбец2]])</f>
        <v>2,171,33</v>
      </c>
      <c r="E209">
        <v>2.13</v>
      </c>
      <c r="F209">
        <v>1.38</v>
      </c>
      <c r="G209" t="str">
        <f>CONCATENATE(Таблица271[[#This Row],[Столбец1]],Таблица271[[#This Row],[Столбец2]])</f>
        <v>2,131,38</v>
      </c>
      <c r="I209">
        <v>0.40000000000000202</v>
      </c>
      <c r="J209">
        <v>-13.9333333333333</v>
      </c>
    </row>
    <row r="210" spans="1:11" x14ac:dyDescent="0.25">
      <c r="A210">
        <v>2.17</v>
      </c>
      <c r="B210">
        <v>1.33</v>
      </c>
      <c r="C210" t="str">
        <f>CONCATENATE(Таблица258[[#This Row],[Столбец1]],Таблица258[[#This Row],[Столбец2]])</f>
        <v>2,171,33</v>
      </c>
      <c r="E210">
        <v>2.13</v>
      </c>
      <c r="F210">
        <v>1.38</v>
      </c>
      <c r="G210" t="str">
        <f>CONCATENATE(Таблица271[[#This Row],[Столбец1]],Таблица271[[#This Row],[Столбец2]])</f>
        <v>2,131,38</v>
      </c>
      <c r="I210">
        <v>1.9750000000000001</v>
      </c>
      <c r="J210">
        <v>-15.616666666666699</v>
      </c>
    </row>
    <row r="211" spans="1:11" x14ac:dyDescent="0.25">
      <c r="A211">
        <v>2.17</v>
      </c>
      <c r="B211">
        <v>1.33</v>
      </c>
      <c r="C211" t="str">
        <f>CONCATENATE(Таблица258[[#This Row],[Столбец1]],Таблица258[[#This Row],[Столбец2]])</f>
        <v>2,171,33</v>
      </c>
      <c r="E211">
        <v>2.13</v>
      </c>
      <c r="F211">
        <v>1.38</v>
      </c>
      <c r="G211" t="str">
        <f>CONCATENATE(Таблица271[[#This Row],[Столбец1]],Таблица271[[#This Row],[Столбец2]])</f>
        <v>2,131,38</v>
      </c>
      <c r="I211">
        <v>2.0499999999999998</v>
      </c>
      <c r="J211">
        <v>-15.6</v>
      </c>
    </row>
    <row r="212" spans="1:11" x14ac:dyDescent="0.25">
      <c r="A212">
        <v>2.17</v>
      </c>
      <c r="B212">
        <v>1.33</v>
      </c>
      <c r="C212" t="str">
        <f>CONCATENATE(Таблица258[[#This Row],[Столбец1]],Таблица258[[#This Row],[Столбец2]])</f>
        <v>2,171,33</v>
      </c>
      <c r="E212">
        <v>2.12</v>
      </c>
      <c r="F212">
        <v>1.4</v>
      </c>
      <c r="G212" t="str">
        <f>CONCATENATE(Таблица271[[#This Row],[Столбец1]],Таблица271[[#This Row],[Столбец2]])</f>
        <v>2,121,4</v>
      </c>
      <c r="I212">
        <v>0.32499999999999901</v>
      </c>
      <c r="J212">
        <v>-13.9166666666667</v>
      </c>
    </row>
    <row r="213" spans="1:11" x14ac:dyDescent="0.25">
      <c r="A213">
        <v>2.17</v>
      </c>
      <c r="B213">
        <v>1.33</v>
      </c>
      <c r="C213" t="str">
        <f>CONCATENATE(Таблица258[[#This Row],[Столбец1]],Таблица258[[#This Row],[Столбец2]])</f>
        <v>2,171,33</v>
      </c>
      <c r="E213">
        <v>2.12</v>
      </c>
      <c r="F213">
        <v>1.4</v>
      </c>
      <c r="G213" t="str">
        <f>CONCATENATE(Таблица271[[#This Row],[Столбец1]],Таблица271[[#This Row],[Столбец2]])</f>
        <v>2,121,4</v>
      </c>
      <c r="I213">
        <v>0.25</v>
      </c>
      <c r="J213">
        <v>-13.9</v>
      </c>
    </row>
    <row r="214" spans="1:11" x14ac:dyDescent="0.25">
      <c r="A214">
        <v>2.16</v>
      </c>
      <c r="B214">
        <v>1.34</v>
      </c>
      <c r="C214" t="str">
        <f>CONCATENATE(Таблица258[[#This Row],[Столбец1]],Таблица258[[#This Row],[Столбец2]])</f>
        <v>2,161,34</v>
      </c>
      <c r="E214">
        <v>2.12</v>
      </c>
      <c r="F214">
        <v>1.4</v>
      </c>
      <c r="G214" t="str">
        <f>CONCATENATE(Таблица271[[#This Row],[Столбец1]],Таблица271[[#This Row],[Столбец2]])</f>
        <v>2,121,4</v>
      </c>
      <c r="I214">
        <v>0.17499999999999699</v>
      </c>
      <c r="J214">
        <v>-13.866666666666699</v>
      </c>
    </row>
    <row r="215" spans="1:11" x14ac:dyDescent="0.25">
      <c r="A215">
        <v>2.16</v>
      </c>
      <c r="B215">
        <v>1.34</v>
      </c>
      <c r="C215" t="str">
        <f>CONCATENATE(Таблица258[[#This Row],[Столбец1]],Таблица258[[#This Row],[Столбец2]])</f>
        <v>2,161,34</v>
      </c>
      <c r="E215">
        <v>2.12</v>
      </c>
      <c r="F215">
        <v>1.4</v>
      </c>
      <c r="G215" t="str">
        <f>CONCATENATE(Таблица271[[#This Row],[Столбец1]],Таблица271[[#This Row],[Столбец2]])</f>
        <v>2,121,4</v>
      </c>
      <c r="I215">
        <v>0.100000000000001</v>
      </c>
      <c r="J215">
        <v>-13.85</v>
      </c>
    </row>
    <row r="216" spans="1:11" x14ac:dyDescent="0.25">
      <c r="A216">
        <v>2.16</v>
      </c>
      <c r="B216">
        <v>1.34</v>
      </c>
      <c r="C216" t="str">
        <f>CONCATENATE(Таблица258[[#This Row],[Столбец1]],Таблица258[[#This Row],[Столбец2]])</f>
        <v>2,161,34</v>
      </c>
      <c r="E216">
        <v>2.12</v>
      </c>
      <c r="F216">
        <v>1.4</v>
      </c>
      <c r="G216" t="str">
        <f>CONCATENATE(Таблица271[[#This Row],[Столбец1]],Таблица271[[#This Row],[Столбец2]])</f>
        <v>2,121,4</v>
      </c>
      <c r="I216">
        <v>1.9</v>
      </c>
      <c r="J216">
        <v>-15.633333333333301</v>
      </c>
    </row>
    <row r="217" spans="1:11" x14ac:dyDescent="0.25">
      <c r="A217">
        <v>2.16</v>
      </c>
      <c r="B217">
        <v>1.34</v>
      </c>
      <c r="C217" t="str">
        <f>CONCATENATE(Таблица258[[#This Row],[Столбец1]],Таблица258[[#This Row],[Столбец2]])</f>
        <v>2,161,34</v>
      </c>
      <c r="E217">
        <v>2.12</v>
      </c>
      <c r="F217">
        <v>1.4</v>
      </c>
      <c r="G217" t="str">
        <f>CONCATENATE(Таблица271[[#This Row],[Столбец1]],Таблица271[[#This Row],[Столбец2]])</f>
        <v>2,121,4</v>
      </c>
      <c r="I217">
        <v>1.825</v>
      </c>
      <c r="J217">
        <v>-15.65</v>
      </c>
    </row>
    <row r="218" spans="1:11" x14ac:dyDescent="0.25">
      <c r="A218">
        <v>2.16</v>
      </c>
      <c r="B218">
        <v>1.34</v>
      </c>
      <c r="C218" t="str">
        <f>CONCATENATE(Таблица258[[#This Row],[Столбец1]],Таблица258[[#This Row],[Столбец2]])</f>
        <v>2,161,34</v>
      </c>
      <c r="E218">
        <v>2.11</v>
      </c>
      <c r="F218">
        <v>1.41</v>
      </c>
      <c r="G218" t="str">
        <f>CONCATENATE(Таблица271[[#This Row],[Столбец1]],Таблица271[[#This Row],[Столбец2]])</f>
        <v>2,111,41</v>
      </c>
      <c r="I218" s="234">
        <v>-4.9999999999997199E-2</v>
      </c>
      <c r="J218">
        <v>-13.8333333333333</v>
      </c>
      <c r="K218" s="234"/>
    </row>
    <row r="219" spans="1:11" x14ac:dyDescent="0.25">
      <c r="A219">
        <v>2.16</v>
      </c>
      <c r="B219">
        <v>1.34</v>
      </c>
      <c r="C219" t="str">
        <f>CONCATENATE(Таблица258[[#This Row],[Столбец1]],Таблица258[[#This Row],[Столбец2]])</f>
        <v>2,161,34</v>
      </c>
      <c r="E219">
        <v>2.11</v>
      </c>
      <c r="F219">
        <v>1.41</v>
      </c>
      <c r="G219" t="str">
        <f>CONCATENATE(Таблица271[[#This Row],[Столбец1]],Таблица271[[#This Row],[Столбец2]])</f>
        <v>2,111,41</v>
      </c>
      <c r="I219" s="234">
        <v>2.49999999999986E-2</v>
      </c>
      <c r="J219">
        <v>-13.8333333333333</v>
      </c>
      <c r="K219" s="234"/>
    </row>
    <row r="220" spans="1:11" x14ac:dyDescent="0.25">
      <c r="A220">
        <v>2.15</v>
      </c>
      <c r="B220">
        <v>1.35</v>
      </c>
      <c r="C220" t="str">
        <f>CONCATENATE(Таблица258[[#This Row],[Столбец1]],Таблица258[[#This Row],[Столбец2]])</f>
        <v>2,151,35</v>
      </c>
      <c r="E220">
        <v>2.11</v>
      </c>
      <c r="F220">
        <v>1.41</v>
      </c>
      <c r="G220" t="str">
        <f>CONCATENATE(Таблица271[[#This Row],[Столбец1]],Таблица271[[#This Row],[Столбец2]])</f>
        <v>2,111,41</v>
      </c>
      <c r="I220">
        <v>1.75</v>
      </c>
      <c r="J220">
        <v>-15.6833333333333</v>
      </c>
    </row>
    <row r="221" spans="1:11" x14ac:dyDescent="0.25">
      <c r="A221">
        <v>2.15</v>
      </c>
      <c r="B221">
        <v>1.35</v>
      </c>
      <c r="C221" t="str">
        <f>CONCATENATE(Таблица258[[#This Row],[Столбец1]],Таблица258[[#This Row],[Столбец2]])</f>
        <v>2,151,35</v>
      </c>
      <c r="E221">
        <v>2.11</v>
      </c>
      <c r="F221">
        <v>1.41</v>
      </c>
      <c r="G221" t="str">
        <f>CONCATENATE(Таблица271[[#This Row],[Столбец1]],Таблица271[[#This Row],[Столбец2]])</f>
        <v>2,111,41</v>
      </c>
      <c r="I221">
        <v>-0.125</v>
      </c>
      <c r="J221">
        <v>-13.8166666666667</v>
      </c>
    </row>
    <row r="222" spans="1:11" x14ac:dyDescent="0.25">
      <c r="A222">
        <v>2.15</v>
      </c>
      <c r="B222">
        <v>1.35</v>
      </c>
      <c r="C222" t="str">
        <f>CONCATENATE(Таблица258[[#This Row],[Столбец1]],Таблица258[[#This Row],[Столбец2]])</f>
        <v>2,151,35</v>
      </c>
      <c r="E222">
        <v>2.11</v>
      </c>
      <c r="F222">
        <v>1.41</v>
      </c>
      <c r="G222" t="str">
        <f>CONCATENATE(Таблица271[[#This Row],[Столбец1]],Таблица271[[#This Row],[Столбец2]])</f>
        <v>2,111,41</v>
      </c>
      <c r="I222">
        <v>1.675</v>
      </c>
      <c r="J222">
        <v>-15.7</v>
      </c>
    </row>
    <row r="223" spans="1:11" x14ac:dyDescent="0.25">
      <c r="A223">
        <v>2.15</v>
      </c>
      <c r="B223">
        <v>1.35</v>
      </c>
      <c r="C223" t="str">
        <f>CONCATENATE(Таблица258[[#This Row],[Столбец1]],Таблица258[[#This Row],[Столбец2]])</f>
        <v>2,151,35</v>
      </c>
      <c r="E223">
        <v>2.11</v>
      </c>
      <c r="F223">
        <v>1.41</v>
      </c>
      <c r="G223" t="str">
        <f>CONCATENATE(Таблица271[[#This Row],[Столбец1]],Таблица271[[#This Row],[Столбец2]])</f>
        <v>2,111,41</v>
      </c>
      <c r="I223">
        <v>-0.27500000000000202</v>
      </c>
      <c r="J223">
        <v>-13.783333333333299</v>
      </c>
    </row>
    <row r="224" spans="1:11" x14ac:dyDescent="0.25">
      <c r="A224">
        <v>2.15</v>
      </c>
      <c r="B224">
        <v>1.35</v>
      </c>
      <c r="C224" t="str">
        <f>CONCATENATE(Таблица258[[#This Row],[Столбец1]],Таблица258[[#This Row],[Столбец2]])</f>
        <v>2,151,35</v>
      </c>
      <c r="E224">
        <v>2.1</v>
      </c>
      <c r="F224">
        <v>1.43</v>
      </c>
      <c r="G224" t="str">
        <f>CONCATENATE(Таблица271[[#This Row],[Столбец1]],Таблица271[[#This Row],[Столбец2]])</f>
        <v>2,11,43</v>
      </c>
      <c r="I224">
        <v>-0.19999999999999901</v>
      </c>
      <c r="J224">
        <v>-13.8</v>
      </c>
    </row>
    <row r="225" spans="1:10" x14ac:dyDescent="0.25">
      <c r="A225">
        <v>2.15</v>
      </c>
      <c r="B225">
        <v>1.35</v>
      </c>
      <c r="C225" t="str">
        <f>CONCATENATE(Таблица258[[#This Row],[Столбец1]],Таблица258[[#This Row],[Столбец2]])</f>
        <v>2,151,35</v>
      </c>
      <c r="E225">
        <v>2.1</v>
      </c>
      <c r="F225">
        <v>1.43</v>
      </c>
      <c r="G225" t="str">
        <f>CONCATENATE(Таблица271[[#This Row],[Столбец1]],Таблица271[[#This Row],[Столбец2]])</f>
        <v>2,11,43</v>
      </c>
      <c r="I225">
        <v>1.6</v>
      </c>
      <c r="J225">
        <v>-15.716666666666701</v>
      </c>
    </row>
    <row r="226" spans="1:10" x14ac:dyDescent="0.25">
      <c r="A226">
        <v>2.14</v>
      </c>
      <c r="B226">
        <v>1.37</v>
      </c>
      <c r="C226" t="str">
        <f>CONCATENATE(Таблица258[[#This Row],[Столбец1]],Таблица258[[#This Row],[Столбец2]])</f>
        <v>2,141,37</v>
      </c>
      <c r="E226">
        <v>2.1</v>
      </c>
      <c r="F226">
        <v>1.43</v>
      </c>
      <c r="G226" t="str">
        <f>CONCATENATE(Таблица271[[#This Row],[Столбец1]],Таблица271[[#This Row],[Столбец2]])</f>
        <v>2,11,43</v>
      </c>
      <c r="I226">
        <v>-0.42500000000000099</v>
      </c>
      <c r="J226">
        <v>-13.766666666666699</v>
      </c>
    </row>
    <row r="227" spans="1:10" x14ac:dyDescent="0.25">
      <c r="A227">
        <v>2.14</v>
      </c>
      <c r="B227">
        <v>1.37</v>
      </c>
      <c r="C227" t="str">
        <f>CONCATENATE(Таблица258[[#This Row],[Столбец1]],Таблица258[[#This Row],[Столбец2]])</f>
        <v>2,141,37</v>
      </c>
      <c r="E227">
        <v>2.1</v>
      </c>
      <c r="F227">
        <v>1.43</v>
      </c>
      <c r="G227" t="str">
        <f>CONCATENATE(Таблица271[[#This Row],[Столбец1]],Таблица271[[#This Row],[Столбец2]])</f>
        <v>2,11,43</v>
      </c>
      <c r="I227">
        <v>-0.34999999999999798</v>
      </c>
      <c r="J227">
        <v>-13.783333333333299</v>
      </c>
    </row>
    <row r="228" spans="1:10" x14ac:dyDescent="0.25">
      <c r="A228">
        <v>2.14</v>
      </c>
      <c r="B228">
        <v>1.37</v>
      </c>
      <c r="C228" t="str">
        <f>CONCATENATE(Таблица258[[#This Row],[Столбец1]],Таблица258[[#This Row],[Столбец2]])</f>
        <v>2,141,37</v>
      </c>
      <c r="E228">
        <v>2.1</v>
      </c>
      <c r="F228">
        <v>1.43</v>
      </c>
      <c r="G228" t="str">
        <f>CONCATENATE(Таблица271[[#This Row],[Столбец1]],Таблица271[[#This Row],[Столбец2]])</f>
        <v>2,11,43</v>
      </c>
      <c r="I228">
        <v>-0.5</v>
      </c>
      <c r="J228">
        <v>-13.75</v>
      </c>
    </row>
    <row r="229" spans="1:10" x14ac:dyDescent="0.25">
      <c r="A229">
        <v>2.14</v>
      </c>
      <c r="B229">
        <v>1.37</v>
      </c>
      <c r="C229" t="str">
        <f>CONCATENATE(Таблица258[[#This Row],[Столбец1]],Таблица258[[#This Row],[Столбец2]])</f>
        <v>2,141,37</v>
      </c>
      <c r="E229">
        <v>2.1</v>
      </c>
      <c r="F229">
        <v>1.43</v>
      </c>
      <c r="G229" t="str">
        <f>CONCATENATE(Таблица271[[#This Row],[Столбец1]],Таблица271[[#This Row],[Столбец2]])</f>
        <v>2,11,43</v>
      </c>
      <c r="I229">
        <v>1.5249999999999999</v>
      </c>
      <c r="J229">
        <v>-15.75</v>
      </c>
    </row>
    <row r="230" spans="1:10" x14ac:dyDescent="0.25">
      <c r="A230">
        <v>2.14</v>
      </c>
      <c r="B230">
        <v>1.37</v>
      </c>
      <c r="C230" t="str">
        <f>CONCATENATE(Таблица258[[#This Row],[Столбец1]],Таблица258[[#This Row],[Столбец2]])</f>
        <v>2,141,37</v>
      </c>
      <c r="E230">
        <v>2.09</v>
      </c>
      <c r="F230">
        <v>1.44</v>
      </c>
      <c r="G230" t="str">
        <f>CONCATENATE(Таблица271[[#This Row],[Столбец1]],Таблица271[[#This Row],[Столбец2]])</f>
        <v>2,091,44</v>
      </c>
      <c r="I230">
        <v>-0.57500000000000295</v>
      </c>
      <c r="J230">
        <v>-13.733333333333301</v>
      </c>
    </row>
    <row r="231" spans="1:10" x14ac:dyDescent="0.25">
      <c r="A231">
        <v>2.14</v>
      </c>
      <c r="B231">
        <v>1.37</v>
      </c>
      <c r="C231" t="str">
        <f>CONCATENATE(Таблица258[[#This Row],[Столбец1]],Таблица258[[#This Row],[Столбец2]])</f>
        <v>2,141,37</v>
      </c>
      <c r="E231">
        <v>2.09</v>
      </c>
      <c r="F231">
        <v>1.44</v>
      </c>
      <c r="G231" t="str">
        <f>CONCATENATE(Таблица271[[#This Row],[Столбец1]],Таблица271[[#This Row],[Столбец2]])</f>
        <v>2,091,44</v>
      </c>
      <c r="I231">
        <v>1.45</v>
      </c>
      <c r="J231">
        <v>-15.766666666666699</v>
      </c>
    </row>
    <row r="232" spans="1:10" x14ac:dyDescent="0.25">
      <c r="A232">
        <v>2.13</v>
      </c>
      <c r="B232">
        <v>1.38</v>
      </c>
      <c r="C232" t="str">
        <f>CONCATENATE(Таблица258[[#This Row],[Столбец1]],Таблица258[[#This Row],[Столбец2]])</f>
        <v>2,131,38</v>
      </c>
      <c r="E232">
        <v>2.09</v>
      </c>
      <c r="F232">
        <v>1.44</v>
      </c>
      <c r="G232" t="str">
        <f>CONCATENATE(Таблица271[[#This Row],[Столбец1]],Таблица271[[#This Row],[Столбец2]])</f>
        <v>2,091,44</v>
      </c>
      <c r="I232">
        <v>-0.72500000000000098</v>
      </c>
      <c r="J232">
        <v>-13.716666666666701</v>
      </c>
    </row>
    <row r="233" spans="1:10" x14ac:dyDescent="0.25">
      <c r="A233">
        <v>2.13</v>
      </c>
      <c r="B233">
        <v>1.38</v>
      </c>
      <c r="C233" t="str">
        <f>CONCATENATE(Таблица258[[#This Row],[Столбец1]],Таблица258[[#This Row],[Столбец2]])</f>
        <v>2,131,38</v>
      </c>
      <c r="E233">
        <v>2.09</v>
      </c>
      <c r="F233">
        <v>1.44</v>
      </c>
      <c r="G233" t="str">
        <f>CONCATENATE(Таблица271[[#This Row],[Столбец1]],Таблица271[[#This Row],[Столбец2]])</f>
        <v>2,091,44</v>
      </c>
      <c r="I233">
        <v>-0.64999999999999902</v>
      </c>
      <c r="J233">
        <v>-13.716666666666701</v>
      </c>
    </row>
    <row r="234" spans="1:10" x14ac:dyDescent="0.25">
      <c r="A234">
        <v>2.13</v>
      </c>
      <c r="B234">
        <v>1.38</v>
      </c>
      <c r="C234" t="str">
        <f>CONCATENATE(Таблица258[[#This Row],[Столбец1]],Таблица258[[#This Row],[Столбец2]])</f>
        <v>2,131,38</v>
      </c>
      <c r="E234">
        <v>2.09</v>
      </c>
      <c r="F234">
        <v>1.44</v>
      </c>
      <c r="G234" t="str">
        <f>CONCATENATE(Таблица271[[#This Row],[Столбец1]],Таблица271[[#This Row],[Столбец2]])</f>
        <v>2,091,44</v>
      </c>
      <c r="I234">
        <v>1.3</v>
      </c>
      <c r="J234">
        <v>-15.8</v>
      </c>
    </row>
    <row r="235" spans="1:10" x14ac:dyDescent="0.25">
      <c r="A235">
        <v>2.13</v>
      </c>
      <c r="B235">
        <v>1.38</v>
      </c>
      <c r="C235" t="str">
        <f>CONCATENATE(Таблица258[[#This Row],[Столбец1]],Таблица258[[#This Row],[Столбец2]])</f>
        <v>2,131,38</v>
      </c>
      <c r="E235">
        <v>2.09</v>
      </c>
      <c r="F235">
        <v>1.44</v>
      </c>
      <c r="G235" t="str">
        <f>CONCATENATE(Таблица271[[#This Row],[Столбец1]],Таблица271[[#This Row],[Столбец2]])</f>
        <v>2,091,44</v>
      </c>
      <c r="I235">
        <v>1.375</v>
      </c>
      <c r="J235">
        <v>-15.783333333333299</v>
      </c>
    </row>
    <row r="236" spans="1:10" x14ac:dyDescent="0.25">
      <c r="A236">
        <v>2.13</v>
      </c>
      <c r="B236">
        <v>1.38</v>
      </c>
      <c r="C236" t="str">
        <f>CONCATENATE(Таблица258[[#This Row],[Столбец1]],Таблица258[[#This Row],[Столбец2]])</f>
        <v>2,131,38</v>
      </c>
      <c r="E236">
        <v>2.08</v>
      </c>
      <c r="F236">
        <v>1.46</v>
      </c>
      <c r="G236" t="str">
        <f>CONCATENATE(Таблица271[[#This Row],[Столбец1]],Таблица271[[#This Row],[Столбец2]])</f>
        <v>2,081,46</v>
      </c>
      <c r="I236">
        <v>-0.79999999999999705</v>
      </c>
      <c r="J236">
        <v>-13.7</v>
      </c>
    </row>
    <row r="237" spans="1:10" x14ac:dyDescent="0.25">
      <c r="A237">
        <v>2.13</v>
      </c>
      <c r="B237">
        <v>1.38</v>
      </c>
      <c r="C237" t="str">
        <f>CONCATENATE(Таблица258[[#This Row],[Столбец1]],Таблица258[[#This Row],[Столбец2]])</f>
        <v>2,131,38</v>
      </c>
      <c r="E237">
        <v>2.08</v>
      </c>
      <c r="F237">
        <v>1.46</v>
      </c>
      <c r="G237" t="str">
        <f>CONCATENATE(Таблица271[[#This Row],[Столбец1]],Таблица271[[#This Row],[Столбец2]])</f>
        <v>2,081,46</v>
      </c>
      <c r="I237">
        <v>-0.875</v>
      </c>
      <c r="J237">
        <v>-13.6833333333333</v>
      </c>
    </row>
    <row r="238" spans="1:10" x14ac:dyDescent="0.25">
      <c r="A238">
        <v>2.12</v>
      </c>
      <c r="B238">
        <v>1.4</v>
      </c>
      <c r="C238" t="str">
        <f>CONCATENATE(Таблица258[[#This Row],[Столбец1]],Таблица258[[#This Row],[Столбец2]])</f>
        <v>2,121,4</v>
      </c>
      <c r="E238">
        <v>2.08</v>
      </c>
      <c r="F238">
        <v>1.46</v>
      </c>
      <c r="G238" t="str">
        <f>CONCATENATE(Таблица271[[#This Row],[Столбец1]],Таблица271[[#This Row],[Столбец2]])</f>
        <v>2,081,46</v>
      </c>
      <c r="I238">
        <v>-0.94999999999999896</v>
      </c>
      <c r="J238">
        <v>-13.6666666666667</v>
      </c>
    </row>
    <row r="239" spans="1:10" x14ac:dyDescent="0.25">
      <c r="A239">
        <v>2.12</v>
      </c>
      <c r="B239">
        <v>1.4</v>
      </c>
      <c r="C239" t="str">
        <f>CONCATENATE(Таблица258[[#This Row],[Столбец1]],Таблица258[[#This Row],[Столбец2]])</f>
        <v>2,121,4</v>
      </c>
      <c r="E239">
        <v>2.08</v>
      </c>
      <c r="F239">
        <v>1.46</v>
      </c>
      <c r="G239" t="str">
        <f>CONCATENATE(Таблица271[[#This Row],[Столбец1]],Таблица271[[#This Row],[Столбец2]])</f>
        <v>2,081,46</v>
      </c>
      <c r="I239">
        <v>1.1499999999999999</v>
      </c>
      <c r="J239">
        <v>-15.85</v>
      </c>
    </row>
    <row r="240" spans="1:10" x14ac:dyDescent="0.25">
      <c r="A240">
        <v>2.12</v>
      </c>
      <c r="B240">
        <v>1.4</v>
      </c>
      <c r="C240" t="str">
        <f>CONCATENATE(Таблица258[[#This Row],[Столбец1]],Таблица258[[#This Row],[Столбец2]])</f>
        <v>2,121,4</v>
      </c>
      <c r="E240">
        <v>2.08</v>
      </c>
      <c r="F240">
        <v>1.46</v>
      </c>
      <c r="G240" t="str">
        <f>CONCATENATE(Таблица271[[#This Row],[Столбец1]],Таблица271[[#This Row],[Столбец2]])</f>
        <v>2,081,46</v>
      </c>
      <c r="I240">
        <v>1.2250000000000001</v>
      </c>
      <c r="J240">
        <v>-15.8333333333333</v>
      </c>
    </row>
    <row r="241" spans="1:10" x14ac:dyDescent="0.25">
      <c r="A241">
        <v>2.12</v>
      </c>
      <c r="B241">
        <v>1.4</v>
      </c>
      <c r="C241" t="str">
        <f>CONCATENATE(Таблица258[[#This Row],[Столбец1]],Таблица258[[#This Row],[Столбец2]])</f>
        <v>2,121,4</v>
      </c>
      <c r="E241">
        <v>2.08</v>
      </c>
      <c r="F241">
        <v>1.46</v>
      </c>
      <c r="G241" t="str">
        <f>CONCATENATE(Таблица271[[#This Row],[Столбец1]],Таблица271[[#This Row],[Столбец2]])</f>
        <v>2,081,46</v>
      </c>
      <c r="I241">
        <v>-1.1000000000000001</v>
      </c>
      <c r="J241">
        <v>-13.65</v>
      </c>
    </row>
    <row r="242" spans="1:10" x14ac:dyDescent="0.25">
      <c r="A242">
        <v>2.12</v>
      </c>
      <c r="B242">
        <v>1.4</v>
      </c>
      <c r="C242" t="str">
        <f>CONCATENATE(Таблица258[[#This Row],[Столбец1]],Таблица258[[#This Row],[Столбец2]])</f>
        <v>2,121,4</v>
      </c>
      <c r="E242">
        <v>2.0699999999999998</v>
      </c>
      <c r="F242">
        <v>1.47</v>
      </c>
      <c r="G242" t="str">
        <f>CONCATENATE(Таблица271[[#This Row],[Столбец1]],Таблица271[[#This Row],[Столбец2]])</f>
        <v>2,071,47</v>
      </c>
      <c r="I242">
        <v>-1.25</v>
      </c>
      <c r="J242">
        <v>-13.616666666666699</v>
      </c>
    </row>
    <row r="243" spans="1:10" x14ac:dyDescent="0.25">
      <c r="A243">
        <v>2.12</v>
      </c>
      <c r="B243">
        <v>1.4</v>
      </c>
      <c r="C243" t="str">
        <f>CONCATENATE(Таблица258[[#This Row],[Столбец1]],Таблица258[[#This Row],[Столбец2]])</f>
        <v>2,121,4</v>
      </c>
      <c r="E243">
        <v>2.0699999999999998</v>
      </c>
      <c r="F243">
        <v>1.47</v>
      </c>
      <c r="G243" t="str">
        <f>CONCATENATE(Таблица271[[#This Row],[Столбец1]],Таблица271[[#This Row],[Столбец2]])</f>
        <v>2,071,47</v>
      </c>
      <c r="I243">
        <v>1.075</v>
      </c>
      <c r="J243">
        <v>-15.866666666666699</v>
      </c>
    </row>
    <row r="244" spans="1:10" x14ac:dyDescent="0.25">
      <c r="A244">
        <v>2.11</v>
      </c>
      <c r="B244">
        <v>1.41</v>
      </c>
      <c r="C244" t="str">
        <f>CONCATENATE(Таблица258[[#This Row],[Столбец1]],Таблица258[[#This Row],[Столбец2]])</f>
        <v>2,111,41</v>
      </c>
      <c r="E244">
        <v>2.0699999999999998</v>
      </c>
      <c r="F244">
        <v>1.47</v>
      </c>
      <c r="G244" t="str">
        <f>CONCATENATE(Таблица271[[#This Row],[Столбец1]],Таблица271[[#This Row],[Столбец2]])</f>
        <v>2,071,47</v>
      </c>
      <c r="I244">
        <v>-1.175</v>
      </c>
      <c r="J244">
        <v>-13.633333333333301</v>
      </c>
    </row>
    <row r="245" spans="1:10" x14ac:dyDescent="0.25">
      <c r="A245">
        <v>2.11</v>
      </c>
      <c r="B245">
        <v>1.41</v>
      </c>
      <c r="C245" t="str">
        <f>CONCATENATE(Таблица258[[#This Row],[Столбец1]],Таблица258[[#This Row],[Столбец2]])</f>
        <v>2,111,41</v>
      </c>
      <c r="E245">
        <v>2.0699999999999998</v>
      </c>
      <c r="F245">
        <v>1.47</v>
      </c>
      <c r="G245" t="str">
        <f>CONCATENATE(Таблица271[[#This Row],[Столбец1]],Таблица271[[#This Row],[Столбец2]])</f>
        <v>2,071,47</v>
      </c>
      <c r="I245">
        <v>-1.4</v>
      </c>
      <c r="J245">
        <v>-13.6</v>
      </c>
    </row>
    <row r="246" spans="1:10" x14ac:dyDescent="0.25">
      <c r="A246">
        <v>2.11</v>
      </c>
      <c r="B246">
        <v>1.41</v>
      </c>
      <c r="C246" t="str">
        <f>CONCATENATE(Таблица258[[#This Row],[Столбец1]],Таблица258[[#This Row],[Столбец2]])</f>
        <v>2,111,41</v>
      </c>
      <c r="E246">
        <v>2.0699999999999998</v>
      </c>
      <c r="F246">
        <v>1.47</v>
      </c>
      <c r="G246" t="str">
        <f>CONCATENATE(Таблица271[[#This Row],[Столбец1]],Таблица271[[#This Row],[Столбец2]])</f>
        <v>2,071,47</v>
      </c>
      <c r="I246">
        <v>-1.325</v>
      </c>
      <c r="J246">
        <v>-13.6</v>
      </c>
    </row>
    <row r="247" spans="1:10" x14ac:dyDescent="0.25">
      <c r="A247">
        <v>2.11</v>
      </c>
      <c r="B247">
        <v>1.41</v>
      </c>
      <c r="C247" t="str">
        <f>CONCATENATE(Таблица258[[#This Row],[Столбец1]],Таблица258[[#This Row],[Столбец2]])</f>
        <v>2,111,41</v>
      </c>
      <c r="E247">
        <v>2.0699999999999998</v>
      </c>
      <c r="F247">
        <v>1.47</v>
      </c>
      <c r="G247" t="str">
        <f>CONCATENATE(Таблица271[[#This Row],[Столбец1]],Таблица271[[#This Row],[Столбец2]])</f>
        <v>2,071,47</v>
      </c>
      <c r="I247">
        <v>0.999999999999996</v>
      </c>
      <c r="J247">
        <v>-15.9</v>
      </c>
    </row>
    <row r="248" spans="1:10" x14ac:dyDescent="0.25">
      <c r="A248">
        <v>2.11</v>
      </c>
      <c r="B248">
        <v>1.41</v>
      </c>
      <c r="C248" t="str">
        <f>CONCATENATE(Таблица258[[#This Row],[Столбец1]],Таблица258[[#This Row],[Столбец2]])</f>
        <v>2,111,41</v>
      </c>
      <c r="E248">
        <v>2.06</v>
      </c>
      <c r="F248">
        <v>1.48</v>
      </c>
      <c r="G248" t="str">
        <f>CONCATENATE(Таблица271[[#This Row],[Столбец1]],Таблица271[[#This Row],[Столбец2]])</f>
        <v>2,061,48</v>
      </c>
      <c r="I248">
        <v>0.92500000000000104</v>
      </c>
      <c r="J248">
        <v>-15.9166666666667</v>
      </c>
    </row>
    <row r="249" spans="1:10" x14ac:dyDescent="0.25">
      <c r="A249">
        <v>2.11</v>
      </c>
      <c r="B249">
        <v>1.41</v>
      </c>
      <c r="C249" t="str">
        <f>CONCATENATE(Таблица258[[#This Row],[Столбец1]],Таблица258[[#This Row],[Столбец2]])</f>
        <v>2,111,41</v>
      </c>
      <c r="E249">
        <v>2.06</v>
      </c>
      <c r="F249">
        <v>1.48</v>
      </c>
      <c r="G249" t="str">
        <f>CONCATENATE(Таблица271[[#This Row],[Столбец1]],Таблица271[[#This Row],[Столбец2]])</f>
        <v>2,061,48</v>
      </c>
      <c r="I249">
        <v>-1.4750000000000001</v>
      </c>
      <c r="J249">
        <v>-13.5833333333333</v>
      </c>
    </row>
    <row r="250" spans="1:10" x14ac:dyDescent="0.25">
      <c r="A250">
        <v>2.1</v>
      </c>
      <c r="B250">
        <v>1.43</v>
      </c>
      <c r="C250" t="str">
        <f>CONCATENATE(Таблица258[[#This Row],[Столбец1]],Таблица258[[#This Row],[Столбец2]])</f>
        <v>2,11,43</v>
      </c>
      <c r="E250">
        <v>2.06</v>
      </c>
      <c r="F250">
        <v>1.48</v>
      </c>
      <c r="G250" t="str">
        <f>CONCATENATE(Таблица271[[#This Row],[Столбец1]],Таблица271[[#This Row],[Столбец2]])</f>
        <v>2,061,48</v>
      </c>
      <c r="I250">
        <v>0.84999999999999798</v>
      </c>
      <c r="J250">
        <v>-15.9333333333333</v>
      </c>
    </row>
    <row r="251" spans="1:10" x14ac:dyDescent="0.25">
      <c r="A251">
        <v>2.1</v>
      </c>
      <c r="B251">
        <v>1.43</v>
      </c>
      <c r="C251" t="str">
        <f>CONCATENATE(Таблица258[[#This Row],[Столбец1]],Таблица258[[#This Row],[Столбец2]])</f>
        <v>2,11,43</v>
      </c>
      <c r="E251">
        <v>2.06</v>
      </c>
      <c r="F251">
        <v>1.48</v>
      </c>
      <c r="G251" t="str">
        <f>CONCATENATE(Таблица271[[#This Row],[Столбец1]],Таблица271[[#This Row],[Столбец2]])</f>
        <v>2,061,48</v>
      </c>
      <c r="I251">
        <v>0.77499999999999902</v>
      </c>
      <c r="J251">
        <v>-15.95</v>
      </c>
    </row>
    <row r="252" spans="1:10" x14ac:dyDescent="0.25">
      <c r="A252">
        <v>2.1</v>
      </c>
      <c r="B252">
        <v>1.43</v>
      </c>
      <c r="C252" t="str">
        <f>CONCATENATE(Таблица258[[#This Row],[Столбец1]],Таблица258[[#This Row],[Столбец2]])</f>
        <v>2,11,43</v>
      </c>
      <c r="E252">
        <v>2.06</v>
      </c>
      <c r="F252">
        <v>1.48</v>
      </c>
      <c r="G252" t="str">
        <f>CONCATENATE(Таблица271[[#This Row],[Столбец1]],Таблица271[[#This Row],[Столбец2]])</f>
        <v>2,061,48</v>
      </c>
      <c r="I252">
        <v>-1.55</v>
      </c>
      <c r="J252">
        <v>-13.5666666666667</v>
      </c>
    </row>
    <row r="253" spans="1:10" x14ac:dyDescent="0.25">
      <c r="A253">
        <v>2.1</v>
      </c>
      <c r="B253">
        <v>1.43</v>
      </c>
      <c r="C253" t="str">
        <f>CONCATENATE(Таблица258[[#This Row],[Столбец1]],Таблица258[[#This Row],[Столбец2]])</f>
        <v>2,11,43</v>
      </c>
      <c r="E253">
        <v>2.06</v>
      </c>
      <c r="F253">
        <v>1.48</v>
      </c>
      <c r="G253" t="str">
        <f>CONCATENATE(Таблица271[[#This Row],[Столбец1]],Таблица271[[#This Row],[Столбец2]])</f>
        <v>2,061,48</v>
      </c>
      <c r="I253">
        <v>-1.625</v>
      </c>
      <c r="J253">
        <v>-13.55</v>
      </c>
    </row>
    <row r="254" spans="1:10" x14ac:dyDescent="0.25">
      <c r="A254">
        <v>2.1</v>
      </c>
      <c r="B254">
        <v>1.43</v>
      </c>
      <c r="C254" t="str">
        <f>CONCATENATE(Таблица258[[#This Row],[Столбец1]],Таблица258[[#This Row],[Столбец2]])</f>
        <v>2,11,43</v>
      </c>
      <c r="E254">
        <v>2.0499999999999998</v>
      </c>
      <c r="F254">
        <v>1.5</v>
      </c>
      <c r="G254" t="str">
        <f>CONCATENATE(Таблица271[[#This Row],[Столбец1]],Таблица271[[#This Row],[Столбец2]])</f>
        <v>2,051,5</v>
      </c>
      <c r="I254">
        <v>-1.7749999999999999</v>
      </c>
      <c r="J254">
        <v>-13.533333333333299</v>
      </c>
    </row>
    <row r="255" spans="1:10" x14ac:dyDescent="0.25">
      <c r="A255">
        <v>2.1</v>
      </c>
      <c r="B255">
        <v>1.43</v>
      </c>
      <c r="C255" t="str">
        <f>CONCATENATE(Таблица258[[#This Row],[Столбец1]],Таблица258[[#This Row],[Столбец2]])</f>
        <v>2,11,43</v>
      </c>
      <c r="E255">
        <v>2.0499999999999998</v>
      </c>
      <c r="F255">
        <v>1.5</v>
      </c>
      <c r="G255" t="str">
        <f>CONCATENATE(Таблица271[[#This Row],[Столбец1]],Таблица271[[#This Row],[Столбец2]])</f>
        <v>2,051,5</v>
      </c>
      <c r="I255">
        <v>0.69999999999999896</v>
      </c>
      <c r="J255">
        <v>-15.983333333333301</v>
      </c>
    </row>
    <row r="256" spans="1:10" x14ac:dyDescent="0.25">
      <c r="A256">
        <v>2.09</v>
      </c>
      <c r="B256">
        <v>1.44</v>
      </c>
      <c r="C256" t="str">
        <f>CONCATENATE(Таблица258[[#This Row],[Столбец1]],Таблица258[[#This Row],[Столбец2]])</f>
        <v>2,091,44</v>
      </c>
      <c r="E256">
        <v>2.0499999999999998</v>
      </c>
      <c r="F256">
        <v>1.5</v>
      </c>
      <c r="G256" t="str">
        <f>CONCATENATE(Таблица271[[#This Row],[Столбец1]],Таблица271[[#This Row],[Столбец2]])</f>
        <v>2,051,5</v>
      </c>
      <c r="I256">
        <v>0.625</v>
      </c>
      <c r="J256">
        <v>-16</v>
      </c>
    </row>
    <row r="257" spans="1:10" x14ac:dyDescent="0.25">
      <c r="A257">
        <v>2.09</v>
      </c>
      <c r="B257">
        <v>1.44</v>
      </c>
      <c r="C257" t="str">
        <f>CONCATENATE(Таблица258[[#This Row],[Столбец1]],Таблица258[[#This Row],[Столбец2]])</f>
        <v>2,091,44</v>
      </c>
      <c r="E257">
        <v>2.0499999999999998</v>
      </c>
      <c r="F257">
        <v>1.5</v>
      </c>
      <c r="G257" t="str">
        <f>CONCATENATE(Таблица271[[#This Row],[Столбец1]],Таблица271[[#This Row],[Столбец2]])</f>
        <v>2,051,5</v>
      </c>
      <c r="I257">
        <v>-1.925</v>
      </c>
      <c r="J257">
        <v>-13.5</v>
      </c>
    </row>
    <row r="258" spans="1:10" x14ac:dyDescent="0.25">
      <c r="A258">
        <v>2.09</v>
      </c>
      <c r="B258">
        <v>1.44</v>
      </c>
      <c r="C258" t="str">
        <f>CONCATENATE(Таблица258[[#This Row],[Столбец1]],Таблица258[[#This Row],[Столбец2]])</f>
        <v>2,091,44</v>
      </c>
      <c r="E258">
        <v>2.0499999999999998</v>
      </c>
      <c r="F258">
        <v>1.5</v>
      </c>
      <c r="G258" t="str">
        <f>CONCATENATE(Таблица271[[#This Row],[Столбец1]],Таблица271[[#This Row],[Столбец2]])</f>
        <v>2,051,5</v>
      </c>
      <c r="I258">
        <v>-1.85</v>
      </c>
      <c r="J258">
        <v>-13.516666666666699</v>
      </c>
    </row>
    <row r="259" spans="1:10" x14ac:dyDescent="0.25">
      <c r="A259">
        <v>2.09</v>
      </c>
      <c r="B259">
        <v>1.44</v>
      </c>
      <c r="C259" t="str">
        <f>CONCATENATE(Таблица258[[#This Row],[Столбец1]],Таблица258[[#This Row],[Столбец2]])</f>
        <v>2,091,44</v>
      </c>
      <c r="E259">
        <v>2.0499999999999998</v>
      </c>
      <c r="F259">
        <v>1.5</v>
      </c>
      <c r="G259" t="str">
        <f>CONCATENATE(Таблица271[[#This Row],[Столбец1]],Таблица271[[#This Row],[Столбец2]])</f>
        <v>2,051,5</v>
      </c>
      <c r="I259">
        <v>0.55000000000000104</v>
      </c>
      <c r="J259">
        <v>-16.016666666666701</v>
      </c>
    </row>
    <row r="260" spans="1:10" x14ac:dyDescent="0.25">
      <c r="A260">
        <v>2.09</v>
      </c>
      <c r="B260">
        <v>1.44</v>
      </c>
      <c r="C260" t="str">
        <f>CONCATENATE(Таблица258[[#This Row],[Столбец1]],Таблица258[[#This Row],[Столбец2]])</f>
        <v>2,091,44</v>
      </c>
      <c r="E260">
        <v>2.04</v>
      </c>
      <c r="F260">
        <v>1.51</v>
      </c>
      <c r="G260" t="str">
        <f>CONCATENATE(Таблица271[[#This Row],[Столбец1]],Таблица271[[#This Row],[Столбец2]])</f>
        <v>2,041,51</v>
      </c>
      <c r="I260">
        <v>-2</v>
      </c>
      <c r="J260">
        <v>-13.483333333333301</v>
      </c>
    </row>
    <row r="261" spans="1:10" x14ac:dyDescent="0.25">
      <c r="A261">
        <v>2.09</v>
      </c>
      <c r="B261">
        <v>1.44</v>
      </c>
      <c r="C261" t="str">
        <f>CONCATENATE(Таблица258[[#This Row],[Столбец1]],Таблица258[[#This Row],[Столбец2]])</f>
        <v>2,091,44</v>
      </c>
      <c r="E261">
        <v>2.04</v>
      </c>
      <c r="F261">
        <v>1.51</v>
      </c>
      <c r="G261" t="str">
        <f>CONCATENATE(Таблица271[[#This Row],[Столбец1]],Таблица271[[#This Row],[Столбец2]])</f>
        <v>2,041,51</v>
      </c>
      <c r="I261">
        <v>0.47500000000000098</v>
      </c>
      <c r="J261">
        <v>-16.033333333333299</v>
      </c>
    </row>
    <row r="262" spans="1:10" x14ac:dyDescent="0.25">
      <c r="A262">
        <v>2.08</v>
      </c>
      <c r="B262">
        <v>1.46</v>
      </c>
      <c r="C262" t="str">
        <f>CONCATENATE(Таблица258[[#This Row],[Столбец1]],Таблица258[[#This Row],[Столбец2]])</f>
        <v>2,081,46</v>
      </c>
      <c r="E262">
        <v>2.04</v>
      </c>
      <c r="F262">
        <v>1.51</v>
      </c>
      <c r="G262" t="str">
        <f>CONCATENATE(Таблица271[[#This Row],[Столбец1]],Таблица271[[#This Row],[Столбец2]])</f>
        <v>2,041,51</v>
      </c>
      <c r="I262">
        <v>-2.15</v>
      </c>
      <c r="J262">
        <v>-13.466666666666701</v>
      </c>
    </row>
    <row r="263" spans="1:10" x14ac:dyDescent="0.25">
      <c r="A263">
        <v>2.08</v>
      </c>
      <c r="B263">
        <v>1.46</v>
      </c>
      <c r="C263" t="str">
        <f>CONCATENATE(Таблица258[[#This Row],[Столбец1]],Таблица258[[#This Row],[Столбец2]])</f>
        <v>2,081,46</v>
      </c>
      <c r="E263">
        <v>2.04</v>
      </c>
      <c r="F263">
        <v>1.51</v>
      </c>
      <c r="G263" t="str">
        <f>CONCATENATE(Таблица271[[#This Row],[Столбец1]],Таблица271[[#This Row],[Столбец2]])</f>
        <v>2,041,51</v>
      </c>
      <c r="I263">
        <v>-2.0750000000000002</v>
      </c>
      <c r="J263">
        <v>-13.483333333333301</v>
      </c>
    </row>
    <row r="264" spans="1:10" x14ac:dyDescent="0.25">
      <c r="A264">
        <v>2.08</v>
      </c>
      <c r="B264">
        <v>1.46</v>
      </c>
      <c r="C264" t="str">
        <f>CONCATENATE(Таблица258[[#This Row],[Столбец1]],Таблица258[[#This Row],[Столбец2]])</f>
        <v>2,081,46</v>
      </c>
      <c r="E264">
        <v>2.04</v>
      </c>
      <c r="F264">
        <v>1.51</v>
      </c>
      <c r="G264" t="str">
        <f>CONCATENATE(Таблица271[[#This Row],[Столбец1]],Таблица271[[#This Row],[Столбец2]])</f>
        <v>2,041,51</v>
      </c>
      <c r="I264">
        <v>0.40000000000000202</v>
      </c>
      <c r="J264">
        <v>-16.066666666666698</v>
      </c>
    </row>
    <row r="265" spans="1:10" x14ac:dyDescent="0.25">
      <c r="A265">
        <v>2.08</v>
      </c>
      <c r="B265">
        <v>1.46</v>
      </c>
      <c r="C265" t="str">
        <f>CONCATENATE(Таблица258[[#This Row],[Столбец1]],Таблица258[[#This Row],[Столбец2]])</f>
        <v>2,081,46</v>
      </c>
      <c r="E265">
        <v>2.04</v>
      </c>
      <c r="F265">
        <v>1.51</v>
      </c>
      <c r="G265" t="str">
        <f>CONCATENATE(Таблица271[[#This Row],[Столбец1]],Таблица271[[#This Row],[Столбец2]])</f>
        <v>2,041,51</v>
      </c>
      <c r="I265">
        <v>-2.2250000000000001</v>
      </c>
      <c r="J265">
        <v>-13.45</v>
      </c>
    </row>
    <row r="266" spans="1:10" x14ac:dyDescent="0.25">
      <c r="A266">
        <v>2.08</v>
      </c>
      <c r="B266">
        <v>1.46</v>
      </c>
      <c r="C266" t="str">
        <f>CONCATENATE(Таблица258[[#This Row],[Столбец1]],Таблица258[[#This Row],[Столбец2]])</f>
        <v>2,081,46</v>
      </c>
      <c r="E266">
        <v>2.0299999999999998</v>
      </c>
      <c r="F266">
        <v>1.53</v>
      </c>
      <c r="G266" t="str">
        <f>CONCATENATE(Таблица271[[#This Row],[Столбец1]],Таблица271[[#This Row],[Столбец2]])</f>
        <v>2,031,53</v>
      </c>
      <c r="I266">
        <v>-2.2999999999999998</v>
      </c>
      <c r="J266">
        <v>-13.4333333333333</v>
      </c>
    </row>
    <row r="267" spans="1:10" x14ac:dyDescent="0.25">
      <c r="A267">
        <v>2.08</v>
      </c>
      <c r="B267">
        <v>1.46</v>
      </c>
      <c r="C267" t="str">
        <f>CONCATENATE(Таблица258[[#This Row],[Столбец1]],Таблица258[[#This Row],[Столбец2]])</f>
        <v>2,081,46</v>
      </c>
      <c r="E267">
        <v>2.0299999999999998</v>
      </c>
      <c r="F267">
        <v>1.53</v>
      </c>
      <c r="G267" t="str">
        <f>CONCATENATE(Таблица271[[#This Row],[Столбец1]],Таблица271[[#This Row],[Столбец2]])</f>
        <v>2,031,53</v>
      </c>
      <c r="I267">
        <v>-3.125</v>
      </c>
      <c r="J267">
        <v>-12.75</v>
      </c>
    </row>
    <row r="268" spans="1:10" x14ac:dyDescent="0.25">
      <c r="A268">
        <v>2.0699999999999998</v>
      </c>
      <c r="B268">
        <v>1.47</v>
      </c>
      <c r="C268" t="str">
        <f>CONCATENATE(Таблица258[[#This Row],[Столбец1]],Таблица258[[#This Row],[Столбец2]])</f>
        <v>2,071,47</v>
      </c>
      <c r="E268">
        <v>2.0299999999999998</v>
      </c>
      <c r="F268">
        <v>1.53</v>
      </c>
      <c r="G268" t="str">
        <f>CONCATENATE(Таблица271[[#This Row],[Столбец1]],Таблица271[[#This Row],[Столбец2]])</f>
        <v>2,031,53</v>
      </c>
      <c r="I268">
        <v>-2.4500000000000002</v>
      </c>
      <c r="J268">
        <v>-13.4166666666667</v>
      </c>
    </row>
    <row r="269" spans="1:10" x14ac:dyDescent="0.25">
      <c r="A269">
        <v>2.0699999999999998</v>
      </c>
      <c r="B269">
        <v>1.47</v>
      </c>
      <c r="C269" t="str">
        <f>CONCATENATE(Таблица258[[#This Row],[Столбец1]],Таблица258[[#This Row],[Столбец2]])</f>
        <v>2,071,47</v>
      </c>
      <c r="E269">
        <v>2.0299999999999998</v>
      </c>
      <c r="F269">
        <v>1.53</v>
      </c>
      <c r="G269" t="str">
        <f>CONCATENATE(Таблица271[[#This Row],[Столбец1]],Таблица271[[#This Row],[Столбец2]])</f>
        <v>2,031,53</v>
      </c>
      <c r="I269">
        <v>-2.9750000000000001</v>
      </c>
      <c r="J269">
        <v>-12.85</v>
      </c>
    </row>
    <row r="270" spans="1:10" x14ac:dyDescent="0.25">
      <c r="A270">
        <v>2.0699999999999998</v>
      </c>
      <c r="B270">
        <v>1.47</v>
      </c>
      <c r="C270" t="str">
        <f>CONCATENATE(Таблица258[[#This Row],[Столбец1]],Таблица258[[#This Row],[Столбец2]])</f>
        <v>2,071,47</v>
      </c>
      <c r="E270">
        <v>2.0299999999999998</v>
      </c>
      <c r="F270">
        <v>1.53</v>
      </c>
      <c r="G270" t="str">
        <f>CONCATENATE(Таблица271[[#This Row],[Столбец1]],Таблица271[[#This Row],[Столбец2]])</f>
        <v>2,031,53</v>
      </c>
      <c r="I270">
        <v>0.32499999999999901</v>
      </c>
      <c r="J270">
        <v>-16.0833333333333</v>
      </c>
    </row>
    <row r="271" spans="1:10" x14ac:dyDescent="0.25">
      <c r="A271">
        <v>2.0699999999999998</v>
      </c>
      <c r="B271">
        <v>1.47</v>
      </c>
      <c r="C271" t="str">
        <f>CONCATENATE(Таблица258[[#This Row],[Столбец1]],Таблица258[[#This Row],[Столбец2]])</f>
        <v>2,071,47</v>
      </c>
      <c r="E271">
        <v>2.0299999999999998</v>
      </c>
      <c r="F271">
        <v>1.53</v>
      </c>
      <c r="G271" t="str">
        <f>CONCATENATE(Таблица271[[#This Row],[Столбец1]],Таблица271[[#This Row],[Столбец2]])</f>
        <v>2,031,53</v>
      </c>
      <c r="I271">
        <v>0.25</v>
      </c>
      <c r="J271">
        <v>-16.100000000000001</v>
      </c>
    </row>
    <row r="272" spans="1:10" x14ac:dyDescent="0.25">
      <c r="A272">
        <v>2.0699999999999998</v>
      </c>
      <c r="B272">
        <v>1.47</v>
      </c>
      <c r="C272" t="str">
        <f>CONCATENATE(Таблица258[[#This Row],[Столбец1]],Таблица258[[#This Row],[Столбец2]])</f>
        <v>2,071,47</v>
      </c>
      <c r="E272">
        <v>2.02</v>
      </c>
      <c r="F272">
        <v>1.54</v>
      </c>
      <c r="G272" t="str">
        <f>CONCATENATE(Таблица271[[#This Row],[Столбец1]],Таблица271[[#This Row],[Столбец2]])</f>
        <v>2,021,54</v>
      </c>
      <c r="I272">
        <v>-3.05</v>
      </c>
      <c r="J272">
        <v>-12.8</v>
      </c>
    </row>
    <row r="273" spans="1:11" x14ac:dyDescent="0.25">
      <c r="A273">
        <v>2.0699999999999998</v>
      </c>
      <c r="B273">
        <v>1.47</v>
      </c>
      <c r="C273" t="str">
        <f>CONCATENATE(Таблица258[[#This Row],[Столбец1]],Таблица258[[#This Row],[Столбец2]])</f>
        <v>2,071,47</v>
      </c>
      <c r="E273">
        <v>2.02</v>
      </c>
      <c r="F273">
        <v>1.54</v>
      </c>
      <c r="G273" t="str">
        <f>CONCATENATE(Таблица271[[#This Row],[Столбец1]],Таблица271[[#This Row],[Столбец2]])</f>
        <v>2,021,54</v>
      </c>
      <c r="I273">
        <v>-2.5249999999999999</v>
      </c>
      <c r="J273">
        <v>-13.4</v>
      </c>
    </row>
    <row r="274" spans="1:11" x14ac:dyDescent="0.25">
      <c r="A274">
        <v>2.0699999999999998</v>
      </c>
      <c r="B274">
        <v>1.47</v>
      </c>
      <c r="C274" t="str">
        <f>CONCATENATE(Таблица258[[#This Row],[Столбец1]],Таблица258[[#This Row],[Столбец2]])</f>
        <v>2,071,47</v>
      </c>
      <c r="E274">
        <v>2.02</v>
      </c>
      <c r="F274">
        <v>1.54</v>
      </c>
      <c r="G274" t="str">
        <f>CONCATENATE(Таблица271[[#This Row],[Столбец1]],Таблица271[[#This Row],[Столбец2]])</f>
        <v>2,021,54</v>
      </c>
      <c r="I274">
        <v>-3.2</v>
      </c>
      <c r="J274">
        <v>-12.716666666666701</v>
      </c>
    </row>
    <row r="275" spans="1:11" x14ac:dyDescent="0.25">
      <c r="A275">
        <v>2.06</v>
      </c>
      <c r="B275">
        <v>1.48</v>
      </c>
      <c r="C275" t="str">
        <f>CONCATENATE(Таблица258[[#This Row],[Столбец1]],Таблица258[[#This Row],[Столбец2]])</f>
        <v>2,061,48</v>
      </c>
      <c r="E275">
        <v>2.02</v>
      </c>
      <c r="F275">
        <v>1.54</v>
      </c>
      <c r="G275" t="str">
        <f>CONCATENATE(Таблица271[[#This Row],[Столбец1]],Таблица271[[#This Row],[Столбец2]])</f>
        <v>2,021,54</v>
      </c>
      <c r="I275">
        <v>-3.35</v>
      </c>
      <c r="J275">
        <v>-12.633333333333301</v>
      </c>
    </row>
    <row r="276" spans="1:11" x14ac:dyDescent="0.25">
      <c r="A276">
        <v>2.06</v>
      </c>
      <c r="B276">
        <v>1.48</v>
      </c>
      <c r="C276" t="str">
        <f>CONCATENATE(Таблица258[[#This Row],[Столбец1]],Таблица258[[#This Row],[Столбец2]])</f>
        <v>2,061,48</v>
      </c>
      <c r="E276">
        <v>2.02</v>
      </c>
      <c r="F276">
        <v>1.54</v>
      </c>
      <c r="G276" t="str">
        <f>CONCATENATE(Таблица271[[#This Row],[Столбец1]],Таблица271[[#This Row],[Столбец2]])</f>
        <v>2,021,54</v>
      </c>
      <c r="I276">
        <v>-3.5</v>
      </c>
      <c r="J276">
        <v>-12.533333333333299</v>
      </c>
    </row>
    <row r="277" spans="1:11" x14ac:dyDescent="0.25">
      <c r="A277">
        <v>2.06</v>
      </c>
      <c r="B277">
        <v>1.48</v>
      </c>
      <c r="C277" t="str">
        <f>CONCATENATE(Таблица258[[#This Row],[Столбец1]],Таблица258[[#This Row],[Столбец2]])</f>
        <v>2,061,48</v>
      </c>
      <c r="E277">
        <v>2.02</v>
      </c>
      <c r="F277">
        <v>1.54</v>
      </c>
      <c r="G277" t="str">
        <f>CONCATENATE(Таблица271[[#This Row],[Столбец1]],Таблица271[[#This Row],[Столбец2]])</f>
        <v>2,021,54</v>
      </c>
      <c r="I277">
        <v>0.100000000000001</v>
      </c>
      <c r="J277">
        <v>-16.149999999999999</v>
      </c>
    </row>
    <row r="278" spans="1:11" x14ac:dyDescent="0.25">
      <c r="A278">
        <v>2.06</v>
      </c>
      <c r="B278">
        <v>1.48</v>
      </c>
      <c r="C278" t="str">
        <f>CONCATENATE(Таблица258[[#This Row],[Столбец1]],Таблица258[[#This Row],[Столбец2]])</f>
        <v>2,061,48</v>
      </c>
      <c r="E278">
        <v>2.0099999999999998</v>
      </c>
      <c r="F278">
        <v>1.56</v>
      </c>
      <c r="G278" t="str">
        <f>CONCATENATE(Таблица271[[#This Row],[Столбец1]],Таблица271[[#This Row],[Столбец2]])</f>
        <v>2,011,56</v>
      </c>
      <c r="I278">
        <v>-3.2749999999999999</v>
      </c>
      <c r="J278">
        <v>-12.6666666666667</v>
      </c>
    </row>
    <row r="279" spans="1:11" x14ac:dyDescent="0.25">
      <c r="A279">
        <v>2.06</v>
      </c>
      <c r="B279">
        <v>1.48</v>
      </c>
      <c r="C279" t="str">
        <f>CONCATENATE(Таблица258[[#This Row],[Столбец1]],Таблица258[[#This Row],[Столбец2]])</f>
        <v>2,061,48</v>
      </c>
      <c r="E279">
        <v>2.0099999999999998</v>
      </c>
      <c r="F279">
        <v>1.56</v>
      </c>
      <c r="G279" t="str">
        <f>CONCATENATE(Таблица271[[#This Row],[Столбец1]],Таблица271[[#This Row],[Столбец2]])</f>
        <v>2,011,56</v>
      </c>
      <c r="I279">
        <v>0.17499999999999699</v>
      </c>
      <c r="J279">
        <v>-16.133333333333301</v>
      </c>
    </row>
    <row r="280" spans="1:11" x14ac:dyDescent="0.25">
      <c r="A280">
        <v>2.06</v>
      </c>
      <c r="B280">
        <v>1.48</v>
      </c>
      <c r="C280" t="str">
        <f>CONCATENATE(Таблица258[[#This Row],[Столбец1]],Таблица258[[#This Row],[Столбец2]])</f>
        <v>2,061,48</v>
      </c>
      <c r="E280">
        <v>2.0099999999999998</v>
      </c>
      <c r="F280">
        <v>1.56</v>
      </c>
      <c r="G280" t="str">
        <f>CONCATENATE(Таблица271[[#This Row],[Столбец1]],Таблица271[[#This Row],[Столбец2]])</f>
        <v>2,011,56</v>
      </c>
      <c r="I280">
        <v>-2.6749999999999998</v>
      </c>
      <c r="J280">
        <v>-13.366666666666699</v>
      </c>
    </row>
    <row r="281" spans="1:11" x14ac:dyDescent="0.25">
      <c r="A281">
        <v>2.06</v>
      </c>
      <c r="B281">
        <v>1.48</v>
      </c>
      <c r="C281" t="str">
        <f>CONCATENATE(Таблица258[[#This Row],[Столбец1]],Таблица258[[#This Row],[Столбец2]])</f>
        <v>2,061,48</v>
      </c>
      <c r="E281">
        <v>2.0099999999999998</v>
      </c>
      <c r="F281">
        <v>1.56</v>
      </c>
      <c r="G281" t="str">
        <f>CONCATENATE(Таблица271[[#This Row],[Столбец1]],Таблица271[[#This Row],[Столбец2]])</f>
        <v>2,011,56</v>
      </c>
      <c r="I281">
        <v>-2.6</v>
      </c>
      <c r="J281">
        <v>-13.383333333333301</v>
      </c>
    </row>
    <row r="282" spans="1:11" x14ac:dyDescent="0.25">
      <c r="A282">
        <v>2.0499999999999998</v>
      </c>
      <c r="B282">
        <v>1.5</v>
      </c>
      <c r="C282" t="str">
        <f>CONCATENATE(Таблица258[[#This Row],[Столбец1]],Таблица258[[#This Row],[Столбец2]])</f>
        <v>2,051,5</v>
      </c>
      <c r="E282">
        <v>2.0099999999999998</v>
      </c>
      <c r="F282">
        <v>1.56</v>
      </c>
      <c r="G282" t="str">
        <f>CONCATENATE(Таблица271[[#This Row],[Столбец1]],Таблица271[[#This Row],[Столбец2]])</f>
        <v>2,011,56</v>
      </c>
      <c r="I282">
        <v>-3.4249999999999998</v>
      </c>
      <c r="J282">
        <v>-12.5833333333333</v>
      </c>
    </row>
    <row r="283" spans="1:11" x14ac:dyDescent="0.25">
      <c r="A283">
        <v>2.0499999999999998</v>
      </c>
      <c r="B283">
        <v>1.5</v>
      </c>
      <c r="C283" t="str">
        <f>CONCATENATE(Таблица258[[#This Row],[Столбец1]],Таблица258[[#This Row],[Столбец2]])</f>
        <v>2,051,5</v>
      </c>
      <c r="E283">
        <v>2.0099999999999998</v>
      </c>
      <c r="F283">
        <v>1.56</v>
      </c>
      <c r="G283" t="str">
        <f>CONCATENATE(Таблица271[[#This Row],[Столбец1]],Таблица271[[#This Row],[Столбец2]])</f>
        <v>2,011,56</v>
      </c>
      <c r="I283">
        <v>-3.5750000000000002</v>
      </c>
      <c r="J283">
        <v>-12.5</v>
      </c>
    </row>
    <row r="284" spans="1:11" x14ac:dyDescent="0.25">
      <c r="A284">
        <v>2.0499999999999998</v>
      </c>
      <c r="B284">
        <v>1.5</v>
      </c>
      <c r="C284" t="str">
        <f>CONCATENATE(Таблица258[[#This Row],[Столбец1]],Таблица258[[#This Row],[Столбец2]])</f>
        <v>2,051,5</v>
      </c>
      <c r="E284">
        <v>1.57</v>
      </c>
      <c r="F284">
        <v>1.57</v>
      </c>
      <c r="G284" t="str">
        <f>CONCATENATE(Таблица271[[#This Row],[Столбец1]],Таблица271[[#This Row],[Столбец2]])</f>
        <v>1,571,57</v>
      </c>
      <c r="I284">
        <v>-2.8250000000000002</v>
      </c>
      <c r="J284">
        <v>-13.35</v>
      </c>
    </row>
    <row r="285" spans="1:11" x14ac:dyDescent="0.25">
      <c r="A285">
        <v>2.0499999999999998</v>
      </c>
      <c r="B285">
        <v>1.5</v>
      </c>
      <c r="C285" t="str">
        <f>CONCATENATE(Таблица258[[#This Row],[Столбец1]],Таблица258[[#This Row],[Столбец2]])</f>
        <v>2,051,5</v>
      </c>
      <c r="E285">
        <v>1.57</v>
      </c>
      <c r="F285">
        <v>1.57</v>
      </c>
      <c r="G285" t="str">
        <f>CONCATENATE(Таблица271[[#This Row],[Столбец1]],Таблица271[[#This Row],[Столбец2]])</f>
        <v>1,571,57</v>
      </c>
      <c r="I285" s="234">
        <v>2.49999999999986E-2</v>
      </c>
      <c r="J285">
        <v>-16.1666666666667</v>
      </c>
      <c r="K285" s="234"/>
    </row>
    <row r="286" spans="1:11" x14ac:dyDescent="0.25">
      <c r="A286">
        <v>2.0499999999999998</v>
      </c>
      <c r="B286">
        <v>1.5</v>
      </c>
      <c r="C286" t="str">
        <f>CONCATENATE(Таблица258[[#This Row],[Столбец1]],Таблица258[[#This Row],[Столбец2]])</f>
        <v>2,051,5</v>
      </c>
      <c r="E286">
        <v>1.57</v>
      </c>
      <c r="F286">
        <v>1.57</v>
      </c>
      <c r="G286" t="str">
        <f>CONCATENATE(Таблица271[[#This Row],[Столбец1]],Таблица271[[#This Row],[Столбец2]])</f>
        <v>1,571,57</v>
      </c>
      <c r="I286" s="234">
        <v>-4.9999999999997199E-2</v>
      </c>
      <c r="J286">
        <v>-16.1666666666667</v>
      </c>
      <c r="K286" s="234"/>
    </row>
    <row r="287" spans="1:11" x14ac:dyDescent="0.25">
      <c r="A287">
        <v>2.0499999999999998</v>
      </c>
      <c r="B287">
        <v>1.5</v>
      </c>
      <c r="C287" t="str">
        <f>CONCATENATE(Таблица258[[#This Row],[Столбец1]],Таблица258[[#This Row],[Столбец2]])</f>
        <v>2,051,5</v>
      </c>
      <c r="E287">
        <v>1.57</v>
      </c>
      <c r="F287">
        <v>1.57</v>
      </c>
      <c r="G287" t="str">
        <f>CONCATENATE(Таблица271[[#This Row],[Столбец1]],Таблица271[[#This Row],[Столбец2]])</f>
        <v>1,571,57</v>
      </c>
      <c r="I287">
        <v>-2.9</v>
      </c>
      <c r="J287">
        <v>-13.3333333333333</v>
      </c>
    </row>
    <row r="288" spans="1:11" x14ac:dyDescent="0.25">
      <c r="A288">
        <v>2.04</v>
      </c>
      <c r="B288">
        <v>1.51</v>
      </c>
      <c r="C288" t="str">
        <f>CONCATENATE(Таблица258[[#This Row],[Столбец1]],Таблица258[[#This Row],[Столбец2]])</f>
        <v>2,041,51</v>
      </c>
      <c r="E288">
        <v>1.57</v>
      </c>
      <c r="F288">
        <v>1.57</v>
      </c>
      <c r="G288" t="str">
        <f>CONCATENATE(Таблица271[[#This Row],[Столбец1]],Таблица271[[#This Row],[Столбец2]])</f>
        <v>1,571,57</v>
      </c>
      <c r="I288">
        <v>-2.9</v>
      </c>
      <c r="J288">
        <v>-11.6666666666667</v>
      </c>
    </row>
    <row r="289" spans="1:10" x14ac:dyDescent="0.25">
      <c r="A289">
        <v>2.04</v>
      </c>
      <c r="B289">
        <v>1.51</v>
      </c>
      <c r="C289" t="str">
        <f>CONCATENATE(Таблица258[[#This Row],[Столбец1]],Таблица258[[#This Row],[Столбец2]])</f>
        <v>2,041,51</v>
      </c>
      <c r="E289">
        <v>1.57</v>
      </c>
      <c r="F289">
        <v>1.57</v>
      </c>
      <c r="G289" t="str">
        <f>CONCATENATE(Таблица271[[#This Row],[Столбец1]],Таблица271[[#This Row],[Столбец2]])</f>
        <v>1,571,57</v>
      </c>
      <c r="I289">
        <v>-0.125</v>
      </c>
      <c r="J289">
        <v>-16.183333333333302</v>
      </c>
    </row>
    <row r="290" spans="1:10" x14ac:dyDescent="0.25">
      <c r="A290">
        <v>2.04</v>
      </c>
      <c r="B290">
        <v>1.51</v>
      </c>
      <c r="C290" t="str">
        <f>CONCATENATE(Таблица258[[#This Row],[Столбец1]],Таблица258[[#This Row],[Столбец2]])</f>
        <v>2,041,51</v>
      </c>
      <c r="E290">
        <v>1.58</v>
      </c>
      <c r="F290">
        <v>1.57</v>
      </c>
      <c r="G290" t="str">
        <f>CONCATENATE(Таблица271[[#This Row],[Столбец1]],Таблица271[[#This Row],[Столбец2]])</f>
        <v>1,581,57</v>
      </c>
      <c r="I290">
        <v>-0.27500000000000202</v>
      </c>
      <c r="J290">
        <v>-16.216666666666701</v>
      </c>
    </row>
    <row r="291" spans="1:10" x14ac:dyDescent="0.25">
      <c r="A291">
        <v>2.04</v>
      </c>
      <c r="B291">
        <v>1.51</v>
      </c>
      <c r="C291" t="str">
        <f>CONCATENATE(Таблица258[[#This Row],[Столбец1]],Таблица258[[#This Row],[Столбец2]])</f>
        <v>2,041,51</v>
      </c>
      <c r="E291">
        <v>1.58</v>
      </c>
      <c r="F291">
        <v>1.57</v>
      </c>
      <c r="G291" t="str">
        <f>CONCATENATE(Таблица271[[#This Row],[Столбец1]],Таблица271[[#This Row],[Столбец2]])</f>
        <v>1,581,57</v>
      </c>
      <c r="I291">
        <v>-0.19999999999999901</v>
      </c>
      <c r="J291">
        <v>-16.2</v>
      </c>
    </row>
    <row r="292" spans="1:10" x14ac:dyDescent="0.25">
      <c r="A292">
        <v>2.04</v>
      </c>
      <c r="B292">
        <v>1.51</v>
      </c>
      <c r="C292" t="str">
        <f>CONCATENATE(Таблица258[[#This Row],[Столбец1]],Таблица258[[#This Row],[Столбец2]])</f>
        <v>2,041,51</v>
      </c>
      <c r="E292">
        <v>1.58</v>
      </c>
      <c r="F292">
        <v>1.57</v>
      </c>
      <c r="G292" t="str">
        <f>CONCATENATE(Таблица271[[#This Row],[Столбец1]],Таблица271[[#This Row],[Столбец2]])</f>
        <v>1,581,57</v>
      </c>
      <c r="I292">
        <v>-0.34999999999999798</v>
      </c>
      <c r="J292">
        <v>-16.216666666666701</v>
      </c>
    </row>
    <row r="293" spans="1:10" x14ac:dyDescent="0.25">
      <c r="A293">
        <v>2.04</v>
      </c>
      <c r="B293">
        <v>1.51</v>
      </c>
      <c r="C293" t="str">
        <f>CONCATENATE(Таблица258[[#This Row],[Столбец1]],Таблица258[[#This Row],[Столбец2]])</f>
        <v>2,041,51</v>
      </c>
      <c r="E293">
        <v>1.58</v>
      </c>
      <c r="F293">
        <v>1.57</v>
      </c>
      <c r="G293" t="str">
        <f>CONCATENATE(Таблица271[[#This Row],[Столбец1]],Таблица271[[#This Row],[Столбец2]])</f>
        <v>1,581,57</v>
      </c>
      <c r="I293">
        <v>-0.42500000000000099</v>
      </c>
      <c r="J293">
        <v>-16.233333333333299</v>
      </c>
    </row>
    <row r="294" spans="1:10" x14ac:dyDescent="0.25">
      <c r="A294">
        <v>2.0299999999999998</v>
      </c>
      <c r="B294">
        <v>1.53</v>
      </c>
      <c r="C294" t="str">
        <f>CONCATENATE(Таблица258[[#This Row],[Столбец1]],Таблица258[[#This Row],[Столбец2]])</f>
        <v>2,031,53</v>
      </c>
      <c r="E294">
        <v>1.58</v>
      </c>
      <c r="F294">
        <v>1.57</v>
      </c>
      <c r="G294" t="str">
        <f>CONCATENATE(Таблица271[[#This Row],[Столбец1]],Таблица271[[#This Row],[Столбец2]])</f>
        <v>1,581,57</v>
      </c>
      <c r="I294">
        <v>-2.9750000000000001</v>
      </c>
      <c r="J294">
        <v>-11.1833333333333</v>
      </c>
    </row>
    <row r="295" spans="1:10" x14ac:dyDescent="0.25">
      <c r="A295">
        <v>2.0299999999999998</v>
      </c>
      <c r="B295">
        <v>1.53</v>
      </c>
      <c r="C295" t="str">
        <f>CONCATENATE(Таблица258[[#This Row],[Столбец1]],Таблица258[[#This Row],[Столбец2]])</f>
        <v>2,031,53</v>
      </c>
      <c r="E295">
        <v>1.58</v>
      </c>
      <c r="F295">
        <v>1.57</v>
      </c>
      <c r="G295" t="str">
        <f>CONCATENATE(Таблица271[[#This Row],[Столбец1]],Таблица271[[#This Row],[Столбец2]])</f>
        <v>1,581,57</v>
      </c>
      <c r="I295">
        <v>-0.5</v>
      </c>
      <c r="J295">
        <v>-16.25</v>
      </c>
    </row>
    <row r="296" spans="1:10" x14ac:dyDescent="0.25">
      <c r="A296">
        <v>2.0299999999999998</v>
      </c>
      <c r="B296">
        <v>1.53</v>
      </c>
      <c r="C296" t="str">
        <f>CONCATENATE(Таблица258[[#This Row],[Столбец1]],Таблица258[[#This Row],[Столбец2]])</f>
        <v>2,031,53</v>
      </c>
      <c r="E296">
        <v>1.59</v>
      </c>
      <c r="F296">
        <v>1.57</v>
      </c>
      <c r="G296" t="str">
        <f>CONCATENATE(Таблица271[[#This Row],[Столбец1]],Таблица271[[#This Row],[Столбец2]])</f>
        <v>1,591,57</v>
      </c>
      <c r="I296">
        <v>-0.57500000000000295</v>
      </c>
      <c r="J296">
        <v>-16.266666666666701</v>
      </c>
    </row>
    <row r="297" spans="1:10" x14ac:dyDescent="0.25">
      <c r="A297">
        <v>2.0299999999999998</v>
      </c>
      <c r="B297">
        <v>1.53</v>
      </c>
      <c r="C297" t="str">
        <f>CONCATENATE(Таблица258[[#This Row],[Столбец1]],Таблица258[[#This Row],[Столбец2]])</f>
        <v>2,031,53</v>
      </c>
      <c r="E297">
        <v>1.59</v>
      </c>
      <c r="F297">
        <v>1.57</v>
      </c>
      <c r="G297" t="str">
        <f>CONCATENATE(Таблица271[[#This Row],[Столбец1]],Таблица271[[#This Row],[Столбец2]])</f>
        <v>1,591,57</v>
      </c>
      <c r="I297">
        <v>-3.05</v>
      </c>
      <c r="J297">
        <v>-11.133333333333301</v>
      </c>
    </row>
    <row r="298" spans="1:10" x14ac:dyDescent="0.25">
      <c r="A298">
        <v>2.0299999999999998</v>
      </c>
      <c r="B298">
        <v>1.53</v>
      </c>
      <c r="C298" t="str">
        <f>CONCATENATE(Таблица258[[#This Row],[Столбец1]],Таблица258[[#This Row],[Столбец2]])</f>
        <v>2,031,53</v>
      </c>
      <c r="E298">
        <v>1.59</v>
      </c>
      <c r="F298">
        <v>1.57</v>
      </c>
      <c r="G298" t="str">
        <f>CONCATENATE(Таблица271[[#This Row],[Столбец1]],Таблица271[[#This Row],[Столбец2]])</f>
        <v>1,591,57</v>
      </c>
      <c r="I298">
        <v>-0.64999999999999902</v>
      </c>
      <c r="J298">
        <v>-16.283333333333299</v>
      </c>
    </row>
    <row r="299" spans="1:10" x14ac:dyDescent="0.25">
      <c r="A299">
        <v>2.0299999999999998</v>
      </c>
      <c r="B299">
        <v>1.53</v>
      </c>
      <c r="C299" t="str">
        <f>CONCATENATE(Таблица258[[#This Row],[Столбец1]],Таблица258[[#This Row],[Столбец2]])</f>
        <v>2,031,53</v>
      </c>
      <c r="E299">
        <v>1.59</v>
      </c>
      <c r="F299">
        <v>1.57</v>
      </c>
      <c r="G299" t="str">
        <f>CONCATENATE(Таблица271[[#This Row],[Столбец1]],Таблица271[[#This Row],[Столбец2]])</f>
        <v>1,591,57</v>
      </c>
      <c r="I299">
        <v>-0.72500000000000098</v>
      </c>
      <c r="J299">
        <v>-16.283333333333299</v>
      </c>
    </row>
    <row r="300" spans="1:10" x14ac:dyDescent="0.25">
      <c r="A300">
        <v>2.02</v>
      </c>
      <c r="B300">
        <v>1.54</v>
      </c>
      <c r="C300" t="str">
        <f>CONCATENATE(Таблица258[[#This Row],[Столбец1]],Таблица258[[#This Row],[Столбец2]])</f>
        <v>2,021,54</v>
      </c>
      <c r="E300">
        <v>1.59</v>
      </c>
      <c r="F300">
        <v>1.57</v>
      </c>
      <c r="G300" t="str">
        <f>CONCATENATE(Таблица271[[#This Row],[Столбец1]],Таблица271[[#This Row],[Столбец2]])</f>
        <v>1,591,57</v>
      </c>
      <c r="I300">
        <v>-3.125</v>
      </c>
      <c r="J300">
        <v>-11.0833333333333</v>
      </c>
    </row>
    <row r="301" spans="1:10" x14ac:dyDescent="0.25">
      <c r="A301">
        <v>2.02</v>
      </c>
      <c r="B301">
        <v>1.54</v>
      </c>
      <c r="C301" t="str">
        <f>CONCATENATE(Таблица258[[#This Row],[Столбец1]],Таблица258[[#This Row],[Столбец2]])</f>
        <v>2,021,54</v>
      </c>
      <c r="E301">
        <v>1.59</v>
      </c>
      <c r="F301">
        <v>1.57</v>
      </c>
      <c r="G301" t="str">
        <f>CONCATENATE(Таблица271[[#This Row],[Столбец1]],Таблица271[[#This Row],[Столбец2]])</f>
        <v>1,591,57</v>
      </c>
      <c r="I301">
        <v>-0.79999999999999705</v>
      </c>
      <c r="J301">
        <v>-16.3</v>
      </c>
    </row>
    <row r="302" spans="1:10" x14ac:dyDescent="0.25">
      <c r="A302">
        <v>2.02</v>
      </c>
      <c r="B302">
        <v>1.54</v>
      </c>
      <c r="C302" t="str">
        <f>CONCATENATE(Таблица258[[#This Row],[Столбец1]],Таблица258[[#This Row],[Столбец2]])</f>
        <v>2,021,54</v>
      </c>
      <c r="E302">
        <v>1.6</v>
      </c>
      <c r="F302">
        <v>1.57</v>
      </c>
      <c r="G302" t="str">
        <f>CONCATENATE(Таблица271[[#This Row],[Столбец1]],Таблица271[[#This Row],[Столбец2]])</f>
        <v>1,61,57</v>
      </c>
      <c r="I302">
        <v>-3.2</v>
      </c>
      <c r="J302">
        <v>-11.05</v>
      </c>
    </row>
    <row r="303" spans="1:10" x14ac:dyDescent="0.25">
      <c r="A303">
        <v>2.02</v>
      </c>
      <c r="B303">
        <v>1.54</v>
      </c>
      <c r="C303" t="str">
        <f>CONCATENATE(Таблица258[[#This Row],[Столбец1]],Таблица258[[#This Row],[Столбец2]])</f>
        <v>2,021,54</v>
      </c>
      <c r="E303">
        <v>1.6</v>
      </c>
      <c r="F303">
        <v>1.57</v>
      </c>
      <c r="G303" t="str">
        <f>CONCATENATE(Таблица271[[#This Row],[Столбец1]],Таблица271[[#This Row],[Столбец2]])</f>
        <v>1,61,57</v>
      </c>
      <c r="I303">
        <v>-0.875</v>
      </c>
      <c r="J303">
        <v>-16.316666666666698</v>
      </c>
    </row>
    <row r="304" spans="1:10" x14ac:dyDescent="0.25">
      <c r="A304">
        <v>2.02</v>
      </c>
      <c r="B304">
        <v>1.54</v>
      </c>
      <c r="C304" t="str">
        <f>CONCATENATE(Таблица258[[#This Row],[Столбец1]],Таблица258[[#This Row],[Столбец2]])</f>
        <v>2,021,54</v>
      </c>
      <c r="E304">
        <v>1.6</v>
      </c>
      <c r="F304">
        <v>1.57</v>
      </c>
      <c r="G304" t="str">
        <f>CONCATENATE(Таблица271[[#This Row],[Столбец1]],Таблица271[[#This Row],[Столбец2]])</f>
        <v>1,61,57</v>
      </c>
      <c r="I304">
        <v>-0.94999999999999896</v>
      </c>
      <c r="J304">
        <v>-16.3333333333333</v>
      </c>
    </row>
    <row r="305" spans="1:10" x14ac:dyDescent="0.25">
      <c r="A305">
        <v>2.02</v>
      </c>
      <c r="B305">
        <v>1.54</v>
      </c>
      <c r="C305" t="str">
        <f>CONCATENATE(Таблица258[[#This Row],[Столбец1]],Таблица258[[#This Row],[Столбец2]])</f>
        <v>2,021,54</v>
      </c>
      <c r="E305">
        <v>1.6</v>
      </c>
      <c r="F305">
        <v>1.57</v>
      </c>
      <c r="G305" t="str">
        <f>CONCATENATE(Таблица271[[#This Row],[Столбец1]],Таблица271[[#This Row],[Столбец2]])</f>
        <v>1,61,57</v>
      </c>
      <c r="I305">
        <v>-3.2749999999999999</v>
      </c>
      <c r="J305">
        <v>-11</v>
      </c>
    </row>
    <row r="306" spans="1:10" x14ac:dyDescent="0.25">
      <c r="A306">
        <v>2.0099999999999998</v>
      </c>
      <c r="B306">
        <v>1.56</v>
      </c>
      <c r="C306" t="str">
        <f>CONCATENATE(Таблица258[[#This Row],[Столбец1]],Таблица258[[#This Row],[Столбец2]])</f>
        <v>2,011,56</v>
      </c>
      <c r="E306">
        <v>1.6</v>
      </c>
      <c r="F306">
        <v>1.57</v>
      </c>
      <c r="G306" t="str">
        <f>CONCATENATE(Таблица271[[#This Row],[Столбец1]],Таблица271[[#This Row],[Столбец2]])</f>
        <v>1,61,57</v>
      </c>
      <c r="I306">
        <v>-3.35</v>
      </c>
      <c r="J306">
        <v>-10.966666666666701</v>
      </c>
    </row>
    <row r="307" spans="1:10" x14ac:dyDescent="0.25">
      <c r="A307">
        <v>2.0099999999999998</v>
      </c>
      <c r="B307">
        <v>1.56</v>
      </c>
      <c r="C307" t="str">
        <f>CONCATENATE(Таблица258[[#This Row],[Столбец1]],Таблица258[[#This Row],[Столбец2]])</f>
        <v>2,011,56</v>
      </c>
      <c r="E307">
        <v>1.6</v>
      </c>
      <c r="F307">
        <v>1.57</v>
      </c>
      <c r="G307" t="str">
        <f>CONCATENATE(Таблица271[[#This Row],[Столбец1]],Таблица271[[#This Row],[Столбец2]])</f>
        <v>1,61,57</v>
      </c>
      <c r="I307">
        <v>-1.1000000000000001</v>
      </c>
      <c r="J307">
        <v>-16.350000000000001</v>
      </c>
    </row>
    <row r="308" spans="1:10" x14ac:dyDescent="0.25">
      <c r="A308">
        <v>2.0099999999999998</v>
      </c>
      <c r="B308">
        <v>1.56</v>
      </c>
      <c r="C308" t="str">
        <f>CONCATENATE(Таблица258[[#This Row],[Столбец1]],Таблица258[[#This Row],[Столбец2]])</f>
        <v>2,011,56</v>
      </c>
      <c r="E308">
        <v>1.61</v>
      </c>
      <c r="F308">
        <v>1.57</v>
      </c>
      <c r="G308" t="str">
        <f>CONCATENATE(Таблица271[[#This Row],[Столбец1]],Таблица271[[#This Row],[Столбец2]])</f>
        <v>1,611,57</v>
      </c>
      <c r="I308">
        <v>-3.4249999999999998</v>
      </c>
      <c r="J308">
        <v>-10.9166666666667</v>
      </c>
    </row>
    <row r="309" spans="1:10" x14ac:dyDescent="0.25">
      <c r="A309">
        <v>2.0099999999999998</v>
      </c>
      <c r="B309">
        <v>1.56</v>
      </c>
      <c r="C309" t="str">
        <f>CONCATENATE(Таблица258[[#This Row],[Столбец1]],Таблица258[[#This Row],[Столбец2]])</f>
        <v>2,011,56</v>
      </c>
      <c r="E309">
        <v>1.61</v>
      </c>
      <c r="F309">
        <v>1.57</v>
      </c>
      <c r="G309" t="str">
        <f>CONCATENATE(Таблица271[[#This Row],[Столбец1]],Таблица271[[#This Row],[Столбец2]])</f>
        <v>1,611,57</v>
      </c>
      <c r="I309">
        <v>-1.25</v>
      </c>
      <c r="J309">
        <v>-16.383333333333301</v>
      </c>
    </row>
    <row r="310" spans="1:10" x14ac:dyDescent="0.25">
      <c r="A310">
        <v>2.0099999999999998</v>
      </c>
      <c r="B310">
        <v>1.56</v>
      </c>
      <c r="C310" t="str">
        <f>CONCATENATE(Таблица258[[#This Row],[Столбец1]],Таблица258[[#This Row],[Столбец2]])</f>
        <v>2,011,56</v>
      </c>
      <c r="E310">
        <v>1.61</v>
      </c>
      <c r="F310">
        <v>1.57</v>
      </c>
      <c r="G310" t="str">
        <f>CONCATENATE(Таблица271[[#This Row],[Столбец1]],Таблица271[[#This Row],[Столбец2]])</f>
        <v>1,611,57</v>
      </c>
      <c r="I310">
        <v>-1.175</v>
      </c>
      <c r="J310">
        <v>-16.366666666666699</v>
      </c>
    </row>
    <row r="311" spans="1:10" x14ac:dyDescent="0.25">
      <c r="A311">
        <v>2.0099999999999998</v>
      </c>
      <c r="B311">
        <v>1.56</v>
      </c>
      <c r="C311" t="str">
        <f>CONCATENATE(Таблица258[[#This Row],[Столбец1]],Таблица258[[#This Row],[Столбец2]])</f>
        <v>2,011,56</v>
      </c>
      <c r="E311">
        <v>1.61</v>
      </c>
      <c r="F311">
        <v>1.57</v>
      </c>
      <c r="G311" t="str">
        <f>CONCATENATE(Таблица271[[#This Row],[Столбец1]],Таблица271[[#This Row],[Столбец2]])</f>
        <v>1,611,57</v>
      </c>
      <c r="I311">
        <v>-3.5</v>
      </c>
      <c r="J311">
        <v>-10.866666666666699</v>
      </c>
    </row>
    <row r="312" spans="1:10" x14ac:dyDescent="0.25">
      <c r="A312">
        <v>1.57</v>
      </c>
      <c r="B312">
        <v>1.57</v>
      </c>
      <c r="C312" t="str">
        <f>CONCATENATE(Таблица258[[#This Row],[Столбец1]],Таблица258[[#This Row],[Столбец2]])</f>
        <v>1,571,57</v>
      </c>
      <c r="E312">
        <v>1.61</v>
      </c>
      <c r="F312">
        <v>1.57</v>
      </c>
      <c r="G312" t="str">
        <f>CONCATENATE(Таблица271[[#This Row],[Столбец1]],Таблица271[[#This Row],[Столбец2]])</f>
        <v>1,611,57</v>
      </c>
      <c r="I312">
        <v>-1.325</v>
      </c>
      <c r="J312">
        <v>-16.399999999999999</v>
      </c>
    </row>
    <row r="313" spans="1:10" x14ac:dyDescent="0.25">
      <c r="A313">
        <v>1.57</v>
      </c>
      <c r="B313">
        <v>1.57</v>
      </c>
      <c r="C313" t="str">
        <f>CONCATENATE(Таблица258[[#This Row],[Столбец1]],Таблица258[[#This Row],[Столбец2]])</f>
        <v>1,571,57</v>
      </c>
      <c r="E313">
        <v>1.61</v>
      </c>
      <c r="F313">
        <v>1.57</v>
      </c>
      <c r="G313" t="str">
        <f>CONCATENATE(Таблица271[[#This Row],[Столбец1]],Таблица271[[#This Row],[Столбец2]])</f>
        <v>1,611,57</v>
      </c>
      <c r="I313">
        <v>-1.4</v>
      </c>
      <c r="J313">
        <v>-16.399999999999999</v>
      </c>
    </row>
    <row r="314" spans="1:10" x14ac:dyDescent="0.25">
      <c r="A314">
        <v>1.57</v>
      </c>
      <c r="B314">
        <v>1.57</v>
      </c>
      <c r="C314" t="str">
        <f>CONCATENATE(Таблица258[[#This Row],[Столбец1]],Таблица258[[#This Row],[Столбец2]])</f>
        <v>1,571,57</v>
      </c>
      <c r="E314">
        <v>1.62</v>
      </c>
      <c r="F314">
        <v>1.57</v>
      </c>
      <c r="G314" t="str">
        <f>CONCATENATE(Таблица271[[#This Row],[Столбец1]],Таблица271[[#This Row],[Столбец2]])</f>
        <v>1,621,57</v>
      </c>
      <c r="I314">
        <v>-3.5750000000000002</v>
      </c>
      <c r="J314">
        <v>-10.8333333333333</v>
      </c>
    </row>
    <row r="315" spans="1:10" x14ac:dyDescent="0.25">
      <c r="A315">
        <v>1.57</v>
      </c>
      <c r="B315">
        <v>1.57</v>
      </c>
      <c r="C315" t="str">
        <f>CONCATENATE(Таблица258[[#This Row],[Столбец1]],Таблица258[[#This Row],[Столбец2]])</f>
        <v>1,571,57</v>
      </c>
      <c r="E315">
        <v>1.62</v>
      </c>
      <c r="F315">
        <v>1.57</v>
      </c>
      <c r="G315" t="str">
        <f>CONCATENATE(Таблица271[[#This Row],[Столбец1]],Таблица271[[#This Row],[Столбец2]])</f>
        <v>1,621,57</v>
      </c>
      <c r="I315">
        <v>-1.4750000000000001</v>
      </c>
      <c r="J315">
        <v>-16.4166666666667</v>
      </c>
    </row>
    <row r="316" spans="1:10" x14ac:dyDescent="0.25">
      <c r="A316">
        <v>1.57</v>
      </c>
      <c r="B316">
        <v>1.57</v>
      </c>
      <c r="C316" t="str">
        <f>CONCATENATE(Таблица258[[#This Row],[Столбец1]],Таблица258[[#This Row],[Столбец2]])</f>
        <v>1,571,57</v>
      </c>
      <c r="E316">
        <v>1.62</v>
      </c>
      <c r="F316">
        <v>1.57</v>
      </c>
      <c r="G316" t="str">
        <f>CONCATENATE(Таблица271[[#This Row],[Столбец1]],Таблица271[[#This Row],[Столбец2]])</f>
        <v>1,621,57</v>
      </c>
      <c r="I316">
        <v>-1.625</v>
      </c>
      <c r="J316">
        <v>-16.45</v>
      </c>
    </row>
    <row r="317" spans="1:10" x14ac:dyDescent="0.25">
      <c r="A317">
        <v>1.57</v>
      </c>
      <c r="B317">
        <v>1.57</v>
      </c>
      <c r="C317" t="str">
        <f>CONCATENATE(Таблица258[[#This Row],[Столбец1]],Таблица258[[#This Row],[Столбец2]])</f>
        <v>1,571,57</v>
      </c>
      <c r="E317">
        <v>1.62</v>
      </c>
      <c r="F317">
        <v>1.57</v>
      </c>
      <c r="G317" t="str">
        <f>CONCATENATE(Таблица271[[#This Row],[Столбец1]],Таблица271[[#This Row],[Столбец2]])</f>
        <v>1,621,57</v>
      </c>
      <c r="I317">
        <v>-1.55</v>
      </c>
      <c r="J317">
        <v>-16.433333333333302</v>
      </c>
    </row>
    <row r="318" spans="1:10" x14ac:dyDescent="0.25">
      <c r="A318">
        <v>1.58</v>
      </c>
      <c r="B318">
        <v>1.57</v>
      </c>
      <c r="C318" t="str">
        <f>CONCATENATE(Таблица258[[#This Row],[Столбец1]],Таблица258[[#This Row],[Столбец2]])</f>
        <v>1,581,57</v>
      </c>
      <c r="E318">
        <v>1.62</v>
      </c>
      <c r="F318">
        <v>1.57</v>
      </c>
      <c r="G318" t="str">
        <f>CONCATENATE(Таблица271[[#This Row],[Столбец1]],Таблица271[[#This Row],[Столбец2]])</f>
        <v>1,621,57</v>
      </c>
      <c r="I318">
        <v>-1.7749999999999999</v>
      </c>
      <c r="J318">
        <v>-16.466666666666701</v>
      </c>
    </row>
    <row r="319" spans="1:10" x14ac:dyDescent="0.25">
      <c r="A319">
        <v>1.58</v>
      </c>
      <c r="B319">
        <v>1.57</v>
      </c>
      <c r="C319" t="str">
        <f>CONCATENATE(Таблица258[[#This Row],[Столбец1]],Таблица258[[#This Row],[Столбец2]])</f>
        <v>1,581,57</v>
      </c>
      <c r="E319">
        <v>1.62</v>
      </c>
      <c r="F319">
        <v>1.57</v>
      </c>
      <c r="G319" t="str">
        <f>CONCATENATE(Таблица271[[#This Row],[Столбец1]],Таблица271[[#This Row],[Столбец2]])</f>
        <v>1,621,57</v>
      </c>
      <c r="I319">
        <v>-1.85</v>
      </c>
      <c r="J319">
        <v>-16.483333333333299</v>
      </c>
    </row>
    <row r="320" spans="1:10" x14ac:dyDescent="0.25">
      <c r="A320">
        <v>1.58</v>
      </c>
      <c r="B320">
        <v>1.57</v>
      </c>
      <c r="C320" t="str">
        <f>CONCATENATE(Таблица258[[#This Row],[Столбец1]],Таблица258[[#This Row],[Столбец2]])</f>
        <v>1,581,57</v>
      </c>
      <c r="E320">
        <v>1.63</v>
      </c>
      <c r="F320">
        <v>1.57</v>
      </c>
      <c r="G320" t="str">
        <f>CONCATENATE(Таблица271[[#This Row],[Столбец1]],Таблица271[[#This Row],[Столбец2]])</f>
        <v>1,631,57</v>
      </c>
      <c r="I320">
        <v>-1.925</v>
      </c>
      <c r="J320">
        <v>-16.5</v>
      </c>
    </row>
    <row r="321" spans="1:10" x14ac:dyDescent="0.25">
      <c r="A321">
        <v>1.58</v>
      </c>
      <c r="B321">
        <v>1.57</v>
      </c>
      <c r="C321" t="str">
        <f>CONCATENATE(Таблица258[[#This Row],[Столбец1]],Таблица258[[#This Row],[Столбец2]])</f>
        <v>1,581,57</v>
      </c>
      <c r="E321">
        <v>1.63</v>
      </c>
      <c r="F321">
        <v>1.57</v>
      </c>
      <c r="G321" t="str">
        <f>CONCATENATE(Таблица271[[#This Row],[Столбец1]],Таблица271[[#This Row],[Столбец2]])</f>
        <v>1,631,57</v>
      </c>
      <c r="I321">
        <v>-2</v>
      </c>
      <c r="J321">
        <v>-16.516666666666701</v>
      </c>
    </row>
    <row r="322" spans="1:10" x14ac:dyDescent="0.25">
      <c r="A322">
        <v>1.58</v>
      </c>
      <c r="B322">
        <v>1.57</v>
      </c>
      <c r="C322" t="str">
        <f>CONCATENATE(Таблица258[[#This Row],[Столбец1]],Таблица258[[#This Row],[Столбец2]])</f>
        <v>1,581,57</v>
      </c>
      <c r="E322">
        <v>1.63</v>
      </c>
      <c r="F322">
        <v>1.57</v>
      </c>
      <c r="G322" t="str">
        <f>CONCATENATE(Таблица271[[#This Row],[Столбец1]],Таблица271[[#This Row],[Столбец2]])</f>
        <v>1,631,57</v>
      </c>
      <c r="I322">
        <v>-2.0750000000000002</v>
      </c>
      <c r="J322">
        <v>-16.516666666666701</v>
      </c>
    </row>
    <row r="323" spans="1:10" x14ac:dyDescent="0.25">
      <c r="A323">
        <v>1.58</v>
      </c>
      <c r="B323">
        <v>1.57</v>
      </c>
      <c r="C323" t="str">
        <f>CONCATENATE(Таблица258[[#This Row],[Столбец1]],Таблица258[[#This Row],[Столбец2]])</f>
        <v>1,581,57</v>
      </c>
      <c r="E323">
        <v>1.63</v>
      </c>
      <c r="F323">
        <v>1.57</v>
      </c>
      <c r="G323" t="str">
        <f>CONCATENATE(Таблица271[[#This Row],[Столбец1]],Таблица271[[#This Row],[Столбец2]])</f>
        <v>1,631,57</v>
      </c>
      <c r="I323">
        <v>-2.15</v>
      </c>
      <c r="J323">
        <v>-16.533333333333299</v>
      </c>
    </row>
    <row r="324" spans="1:10" x14ac:dyDescent="0.25">
      <c r="A324">
        <v>1.59</v>
      </c>
      <c r="B324">
        <v>1.57</v>
      </c>
      <c r="C324" t="str">
        <f>CONCATENATE(Таблица258[[#This Row],[Столбец1]],Таблица258[[#This Row],[Столбец2]])</f>
        <v>1,591,57</v>
      </c>
      <c r="E324">
        <v>1.63</v>
      </c>
      <c r="F324">
        <v>1.57</v>
      </c>
      <c r="G324" t="str">
        <f>CONCATENATE(Таблица271[[#This Row],[Столбец1]],Таблица271[[#This Row],[Столбец2]])</f>
        <v>1,631,57</v>
      </c>
      <c r="I324">
        <v>-2.2999999999999998</v>
      </c>
      <c r="J324">
        <v>-16.566666666666698</v>
      </c>
    </row>
    <row r="325" spans="1:10" x14ac:dyDescent="0.25">
      <c r="A325">
        <v>1.59</v>
      </c>
      <c r="B325">
        <v>1.57</v>
      </c>
      <c r="C325" t="str">
        <f>CONCATENATE(Таблица258[[#This Row],[Столбец1]],Таблица258[[#This Row],[Столбец2]])</f>
        <v>1,591,57</v>
      </c>
      <c r="E325">
        <v>1.63</v>
      </c>
      <c r="F325">
        <v>1.57</v>
      </c>
      <c r="G325" t="str">
        <f>CONCATENATE(Таблица271[[#This Row],[Столбец1]],Таблица271[[#This Row],[Столбец2]])</f>
        <v>1,631,57</v>
      </c>
      <c r="I325">
        <v>-2.2250000000000001</v>
      </c>
      <c r="J325">
        <v>-16.55</v>
      </c>
    </row>
    <row r="326" spans="1:10" x14ac:dyDescent="0.25">
      <c r="A326">
        <v>1.59</v>
      </c>
      <c r="B326">
        <v>1.57</v>
      </c>
      <c r="C326" t="str">
        <f>CONCATENATE(Таблица258[[#This Row],[Столбец1]],Таблица258[[#This Row],[Столбец2]])</f>
        <v>1,591,57</v>
      </c>
      <c r="E326">
        <v>1.64</v>
      </c>
      <c r="F326">
        <v>1.57</v>
      </c>
      <c r="G326" t="str">
        <f>CONCATENATE(Таблица271[[#This Row],[Столбец1]],Таблица271[[#This Row],[Столбец2]])</f>
        <v>1,641,57</v>
      </c>
      <c r="I326">
        <v>-2.4500000000000002</v>
      </c>
      <c r="J326">
        <v>-16.5833333333333</v>
      </c>
    </row>
    <row r="327" spans="1:10" x14ac:dyDescent="0.25">
      <c r="A327">
        <v>1.59</v>
      </c>
      <c r="B327">
        <v>1.57</v>
      </c>
      <c r="C327" t="str">
        <f>CONCATENATE(Таблица258[[#This Row],[Столбец1]],Таблица258[[#This Row],[Столбец2]])</f>
        <v>1,591,57</v>
      </c>
      <c r="E327">
        <v>1.64</v>
      </c>
      <c r="F327">
        <v>1.57</v>
      </c>
      <c r="G327" t="str">
        <f>CONCATENATE(Таблица271[[#This Row],[Столбец1]],Таблица271[[#This Row],[Столбец2]])</f>
        <v>1,641,57</v>
      </c>
      <c r="I327">
        <v>-2.5249999999999999</v>
      </c>
      <c r="J327">
        <v>-16.600000000000001</v>
      </c>
    </row>
    <row r="328" spans="1:10" x14ac:dyDescent="0.25">
      <c r="A328">
        <v>1.59</v>
      </c>
      <c r="B328">
        <v>1.57</v>
      </c>
      <c r="C328" t="str">
        <f>CONCATENATE(Таблица258[[#This Row],[Столбец1]],Таблица258[[#This Row],[Столбец2]])</f>
        <v>1,591,57</v>
      </c>
      <c r="E328">
        <v>1.64</v>
      </c>
      <c r="F328">
        <v>1.57</v>
      </c>
      <c r="G328" t="str">
        <f>CONCATENATE(Таблица271[[#This Row],[Столбец1]],Таблица271[[#This Row],[Столбец2]])</f>
        <v>1,641,57</v>
      </c>
      <c r="I328">
        <v>-2.6749999999999998</v>
      </c>
      <c r="J328">
        <v>-16.633333333333301</v>
      </c>
    </row>
    <row r="329" spans="1:10" x14ac:dyDescent="0.25">
      <c r="A329">
        <v>1.59</v>
      </c>
      <c r="B329">
        <v>1.57</v>
      </c>
      <c r="C329" t="str">
        <f>CONCATENATE(Таблица258[[#This Row],[Столбец1]],Таблица258[[#This Row],[Столбец2]])</f>
        <v>1,591,57</v>
      </c>
      <c r="E329">
        <v>1.64</v>
      </c>
      <c r="F329">
        <v>1.57</v>
      </c>
      <c r="G329" t="str">
        <f>CONCATENATE(Таблица271[[#This Row],[Столбец1]],Таблица271[[#This Row],[Столбец2]])</f>
        <v>1,641,57</v>
      </c>
      <c r="I329">
        <v>-2.6</v>
      </c>
      <c r="J329">
        <v>-16.616666666666699</v>
      </c>
    </row>
    <row r="330" spans="1:10" x14ac:dyDescent="0.25">
      <c r="A330">
        <v>1.6</v>
      </c>
      <c r="B330">
        <v>1.57</v>
      </c>
      <c r="C330" t="str">
        <f>CONCATENATE(Таблица258[[#This Row],[Столбец1]],Таблица258[[#This Row],[Столбец2]])</f>
        <v>1,61,57</v>
      </c>
      <c r="E330">
        <v>1.64</v>
      </c>
      <c r="F330">
        <v>1.57</v>
      </c>
      <c r="G330" t="str">
        <f>CONCATENATE(Таблица271[[#This Row],[Столбец1]],Таблица271[[#This Row],[Столбец2]])</f>
        <v>1,641,57</v>
      </c>
      <c r="I330">
        <v>-2.8250000000000002</v>
      </c>
      <c r="J330">
        <v>-16.649999999999999</v>
      </c>
    </row>
    <row r="331" spans="1:10" x14ac:dyDescent="0.25">
      <c r="A331">
        <v>1.6</v>
      </c>
      <c r="B331">
        <v>1.57</v>
      </c>
      <c r="C331" t="str">
        <f>CONCATENATE(Таблица258[[#This Row],[Столбец1]],Таблица258[[#This Row],[Столбец2]])</f>
        <v>1,61,57</v>
      </c>
      <c r="E331">
        <v>1.64</v>
      </c>
      <c r="F331">
        <v>1.57</v>
      </c>
      <c r="G331" t="str">
        <f>CONCATENATE(Таблица271[[#This Row],[Столбец1]],Таблица271[[#This Row],[Столбец2]])</f>
        <v>1,641,57</v>
      </c>
      <c r="I331">
        <v>-2.9</v>
      </c>
      <c r="J331">
        <v>-16.6666666666667</v>
      </c>
    </row>
    <row r="332" spans="1:10" x14ac:dyDescent="0.25">
      <c r="A332">
        <v>1.6</v>
      </c>
      <c r="B332">
        <v>1.57</v>
      </c>
      <c r="C332" t="str">
        <f>CONCATENATE(Таблица258[[#This Row],[Столбец1]],Таблица258[[#This Row],[Столбец2]])</f>
        <v>1,61,57</v>
      </c>
      <c r="E332">
        <v>1.65</v>
      </c>
      <c r="F332">
        <v>1.57</v>
      </c>
      <c r="G332" t="str">
        <f>CONCATENATE(Таблица271[[#This Row],[Столбец1]],Таблица271[[#This Row],[Столбец2]])</f>
        <v>1,651,57</v>
      </c>
      <c r="I332">
        <v>-2.9750000000000001</v>
      </c>
      <c r="J332">
        <v>-17.149999999999999</v>
      </c>
    </row>
    <row r="333" spans="1:10" x14ac:dyDescent="0.25">
      <c r="A333">
        <v>1.6</v>
      </c>
      <c r="B333">
        <v>1.57</v>
      </c>
      <c r="C333" t="str">
        <f>CONCATENATE(Таблица258[[#This Row],[Столбец1]],Таблица258[[#This Row],[Столбец2]])</f>
        <v>1,61,57</v>
      </c>
      <c r="E333">
        <v>1.65</v>
      </c>
      <c r="F333">
        <v>1.57</v>
      </c>
      <c r="G333" t="str">
        <f>CONCATENATE(Таблица271[[#This Row],[Столбец1]],Таблица271[[#This Row],[Столбец2]])</f>
        <v>1,651,57</v>
      </c>
      <c r="I333">
        <v>-3.05</v>
      </c>
      <c r="J333">
        <v>-17.2</v>
      </c>
    </row>
    <row r="334" spans="1:10" x14ac:dyDescent="0.25">
      <c r="A334">
        <v>1.6</v>
      </c>
      <c r="B334">
        <v>1.57</v>
      </c>
      <c r="C334" t="str">
        <f>CONCATENATE(Таблица258[[#This Row],[Столбец1]],Таблица258[[#This Row],[Столбец2]])</f>
        <v>1,61,57</v>
      </c>
      <c r="E334">
        <v>1.65</v>
      </c>
      <c r="F334">
        <v>1.57</v>
      </c>
      <c r="G334" t="str">
        <f>CONCATENATE(Таблица271[[#This Row],[Столбец1]],Таблица271[[#This Row],[Столбец2]])</f>
        <v>1,651,57</v>
      </c>
      <c r="I334">
        <v>-3.125</v>
      </c>
      <c r="J334">
        <v>-17.25</v>
      </c>
    </row>
    <row r="335" spans="1:10" x14ac:dyDescent="0.25">
      <c r="A335">
        <v>1.6</v>
      </c>
      <c r="B335">
        <v>1.57</v>
      </c>
      <c r="C335" t="str">
        <f>CONCATENATE(Таблица258[[#This Row],[Столбец1]],Таблица258[[#This Row],[Столбец2]])</f>
        <v>1,61,57</v>
      </c>
      <c r="E335">
        <v>1.65</v>
      </c>
      <c r="F335">
        <v>1.57</v>
      </c>
      <c r="G335" t="str">
        <f>CONCATENATE(Таблица271[[#This Row],[Столбец1]],Таблица271[[#This Row],[Столбец2]])</f>
        <v>1,651,57</v>
      </c>
      <c r="I335">
        <v>-3.2</v>
      </c>
      <c r="J335">
        <v>-17.283333333333299</v>
      </c>
    </row>
    <row r="336" spans="1:10" x14ac:dyDescent="0.25">
      <c r="A336">
        <v>1.61</v>
      </c>
      <c r="B336">
        <v>1.57</v>
      </c>
      <c r="C336" t="str">
        <f>CONCATENATE(Таблица258[[#This Row],[Столбец1]],Таблица258[[#This Row],[Столбец2]])</f>
        <v>1,611,57</v>
      </c>
      <c r="E336">
        <v>1.65</v>
      </c>
      <c r="F336">
        <v>1.57</v>
      </c>
      <c r="G336" t="str">
        <f>CONCATENATE(Таблица271[[#This Row],[Столбец1]],Таблица271[[#This Row],[Столбец2]])</f>
        <v>1,651,57</v>
      </c>
      <c r="I336">
        <v>-3.2749999999999999</v>
      </c>
      <c r="J336">
        <v>-17.3333333333333</v>
      </c>
    </row>
    <row r="337" spans="1:10" x14ac:dyDescent="0.25">
      <c r="A337">
        <v>1.61</v>
      </c>
      <c r="B337">
        <v>1.57</v>
      </c>
      <c r="C337" t="str">
        <f>CONCATENATE(Таблица258[[#This Row],[Столбец1]],Таблица258[[#This Row],[Столбец2]])</f>
        <v>1,611,57</v>
      </c>
      <c r="E337">
        <v>1.65</v>
      </c>
      <c r="F337">
        <v>1.57</v>
      </c>
      <c r="G337" t="str">
        <f>CONCATENATE(Таблица271[[#This Row],[Столбец1]],Таблица271[[#This Row],[Столбец2]])</f>
        <v>1,651,57</v>
      </c>
      <c r="I337">
        <v>-3.35</v>
      </c>
      <c r="J337">
        <v>-17.366666666666699</v>
      </c>
    </row>
    <row r="338" spans="1:10" x14ac:dyDescent="0.25">
      <c r="A338">
        <v>1.61</v>
      </c>
      <c r="B338">
        <v>1.57</v>
      </c>
      <c r="C338" t="str">
        <f>CONCATENATE(Таблица258[[#This Row],[Столбец1]],Таблица258[[#This Row],[Столбец2]])</f>
        <v>1,611,57</v>
      </c>
      <c r="E338">
        <v>1.66</v>
      </c>
      <c r="F338">
        <v>1.57</v>
      </c>
      <c r="G338" t="str">
        <f>CONCATENATE(Таблица271[[#This Row],[Столбец1]],Таблица271[[#This Row],[Столбец2]])</f>
        <v>1,661,57</v>
      </c>
      <c r="I338">
        <v>-3.4249999999999998</v>
      </c>
      <c r="J338">
        <v>-17.4166666666667</v>
      </c>
    </row>
    <row r="339" spans="1:10" x14ac:dyDescent="0.25">
      <c r="A339">
        <v>1.61</v>
      </c>
      <c r="B339">
        <v>1.57</v>
      </c>
      <c r="C339" t="str">
        <f>CONCATENATE(Таблица258[[#This Row],[Столбец1]],Таблица258[[#This Row],[Столбец2]])</f>
        <v>1,611,57</v>
      </c>
      <c r="E339">
        <v>1.66</v>
      </c>
      <c r="F339">
        <v>1.57</v>
      </c>
      <c r="G339" t="str">
        <f>CONCATENATE(Таблица271[[#This Row],[Столбец1]],Таблица271[[#This Row],[Столбец2]])</f>
        <v>1,661,57</v>
      </c>
      <c r="I339">
        <v>-3.5</v>
      </c>
      <c r="J339">
        <v>-17.466666666666701</v>
      </c>
    </row>
    <row r="340" spans="1:10" x14ac:dyDescent="0.25">
      <c r="A340">
        <v>1.61</v>
      </c>
      <c r="B340">
        <v>1.57</v>
      </c>
      <c r="C340" t="str">
        <f>CONCATENATE(Таблица258[[#This Row],[Столбец1]],Таблица258[[#This Row],[Столбец2]])</f>
        <v>1,611,57</v>
      </c>
      <c r="E340">
        <v>1.66</v>
      </c>
      <c r="F340">
        <v>1.57</v>
      </c>
      <c r="G340" t="str">
        <f>CONCATENATE(Таблица271[[#This Row],[Столбец1]],Таблица271[[#This Row],[Столбец2]])</f>
        <v>1,661,57</v>
      </c>
      <c r="I340">
        <v>-3.5750000000000002</v>
      </c>
      <c r="J340">
        <v>-17.5</v>
      </c>
    </row>
    <row r="341" spans="1:10" x14ac:dyDescent="0.25">
      <c r="A341">
        <v>1.61</v>
      </c>
      <c r="B341">
        <v>1.57</v>
      </c>
      <c r="C341" t="str">
        <f>CONCATENATE(Таблица258[[#This Row],[Столбец1]],Таблица258[[#This Row],[Столбец2]])</f>
        <v>1,611,57</v>
      </c>
      <c r="E341">
        <v>1.66</v>
      </c>
      <c r="F341">
        <v>1.57</v>
      </c>
      <c r="G341" t="str">
        <f>CONCATENATE(Таблица271[[#This Row],[Столбец1]],Таблица271[[#This Row],[Столбец2]])</f>
        <v>1,661,57</v>
      </c>
      <c r="I341">
        <v>-2.9</v>
      </c>
      <c r="J341">
        <v>-18.3333333333333</v>
      </c>
    </row>
    <row r="342" spans="1:10" x14ac:dyDescent="0.25">
      <c r="A342">
        <v>1.62</v>
      </c>
      <c r="B342">
        <v>1.57</v>
      </c>
      <c r="C342" t="str">
        <f>CONCATENATE(Таблица258[[#This Row],[Столбец1]],Таблица258[[#This Row],[Столбец2]])</f>
        <v>1,621,57</v>
      </c>
      <c r="E342">
        <v>1.66</v>
      </c>
      <c r="F342">
        <v>1.57</v>
      </c>
      <c r="G342" t="str">
        <f>CONCATENATE(Таблица271[[#This Row],[Столбец1]],Таблица271[[#This Row],[Столбец2]])</f>
        <v>1,661,57</v>
      </c>
      <c r="I342">
        <v>-2.9750000000000001</v>
      </c>
      <c r="J342">
        <v>-18.816666666666698</v>
      </c>
    </row>
    <row r="343" spans="1:10" x14ac:dyDescent="0.25">
      <c r="A343">
        <v>1.62</v>
      </c>
      <c r="B343">
        <v>1.57</v>
      </c>
      <c r="C343" t="str">
        <f>CONCATENATE(Таблица258[[#This Row],[Столбец1]],Таблица258[[#This Row],[Столбец2]])</f>
        <v>1,621,57</v>
      </c>
      <c r="E343">
        <v>1.66</v>
      </c>
      <c r="F343">
        <v>1.57</v>
      </c>
      <c r="G343" t="str">
        <f>CONCATENATE(Таблица271[[#This Row],[Столбец1]],Таблица271[[#This Row],[Столбец2]])</f>
        <v>1,661,57</v>
      </c>
      <c r="I343">
        <v>-3.05</v>
      </c>
      <c r="J343">
        <v>-18.866666666666699</v>
      </c>
    </row>
    <row r="344" spans="1:10" x14ac:dyDescent="0.25">
      <c r="A344">
        <v>1.62</v>
      </c>
      <c r="B344">
        <v>1.57</v>
      </c>
      <c r="C344" t="str">
        <f>CONCATENATE(Таблица258[[#This Row],[Столбец1]],Таблица258[[#This Row],[Столбец2]])</f>
        <v>1,621,57</v>
      </c>
      <c r="E344">
        <v>1.67</v>
      </c>
      <c r="F344">
        <v>1.57</v>
      </c>
      <c r="G344" t="str">
        <f>CONCATENATE(Таблица271[[#This Row],[Столбец1]],Таблица271[[#This Row],[Столбец2]])</f>
        <v>1,671,57</v>
      </c>
      <c r="I344">
        <v>-3.125</v>
      </c>
      <c r="J344">
        <v>-18.9166666666667</v>
      </c>
    </row>
    <row r="345" spans="1:10" x14ac:dyDescent="0.25">
      <c r="A345">
        <v>1.62</v>
      </c>
      <c r="B345">
        <v>1.57</v>
      </c>
      <c r="C345" t="str">
        <f>CONCATENATE(Таблица258[[#This Row],[Столбец1]],Таблица258[[#This Row],[Столбец2]])</f>
        <v>1,621,57</v>
      </c>
      <c r="E345">
        <v>1.67</v>
      </c>
      <c r="F345">
        <v>1.57</v>
      </c>
      <c r="G345" t="str">
        <f>CONCATENATE(Таблица271[[#This Row],[Столбец1]],Таблица271[[#This Row],[Столбец2]])</f>
        <v>1,671,57</v>
      </c>
      <c r="I345">
        <v>-3.2</v>
      </c>
      <c r="J345">
        <v>-18.95</v>
      </c>
    </row>
    <row r="346" spans="1:10" x14ac:dyDescent="0.25">
      <c r="A346">
        <v>1.62</v>
      </c>
      <c r="B346">
        <v>1.57</v>
      </c>
      <c r="C346" t="str">
        <f>CONCATENATE(Таблица258[[#This Row],[Столбец1]],Таблица258[[#This Row],[Столбец2]])</f>
        <v>1,621,57</v>
      </c>
      <c r="E346">
        <v>1.67</v>
      </c>
      <c r="F346">
        <v>1.57</v>
      </c>
      <c r="G346" t="str">
        <f>CONCATENATE(Таблица271[[#This Row],[Столбец1]],Таблица271[[#This Row],[Столбец2]])</f>
        <v>1,671,57</v>
      </c>
      <c r="I346">
        <v>-3.2749999999999999</v>
      </c>
      <c r="J346">
        <v>-19</v>
      </c>
    </row>
    <row r="347" spans="1:10" x14ac:dyDescent="0.25">
      <c r="A347">
        <v>1.62</v>
      </c>
      <c r="B347">
        <v>1.57</v>
      </c>
      <c r="C347" t="str">
        <f>CONCATENATE(Таблица258[[#This Row],[Столбец1]],Таблица258[[#This Row],[Столбец2]])</f>
        <v>1,621,57</v>
      </c>
      <c r="E347">
        <v>1.67</v>
      </c>
      <c r="F347">
        <v>1.57</v>
      </c>
      <c r="G347" t="str">
        <f>CONCATENATE(Таблица271[[#This Row],[Столбец1]],Таблица271[[#This Row],[Столбец2]])</f>
        <v>1,671,57</v>
      </c>
      <c r="I347">
        <v>-3.35</v>
      </c>
      <c r="J347">
        <v>-19.033333333333299</v>
      </c>
    </row>
    <row r="348" spans="1:10" x14ac:dyDescent="0.25">
      <c r="A348">
        <v>1.63</v>
      </c>
      <c r="B348">
        <v>1.57</v>
      </c>
      <c r="C348" t="str">
        <f>CONCATENATE(Таблица258[[#This Row],[Столбец1]],Таблица258[[#This Row],[Столбец2]])</f>
        <v>1,631,57</v>
      </c>
      <c r="E348">
        <v>1.67</v>
      </c>
      <c r="F348">
        <v>1.57</v>
      </c>
      <c r="G348" t="str">
        <f>CONCATENATE(Таблица271[[#This Row],[Столбец1]],Таблица271[[#This Row],[Столбец2]])</f>
        <v>1,671,57</v>
      </c>
      <c r="I348">
        <v>-3.4249999999999998</v>
      </c>
      <c r="J348">
        <v>-19.0833333333333</v>
      </c>
    </row>
    <row r="349" spans="1:10" x14ac:dyDescent="0.25">
      <c r="A349">
        <v>1.63</v>
      </c>
      <c r="B349">
        <v>1.57</v>
      </c>
      <c r="C349" t="str">
        <f>CONCATENATE(Таблица258[[#This Row],[Столбец1]],Таблица258[[#This Row],[Столбец2]])</f>
        <v>1,631,57</v>
      </c>
      <c r="E349">
        <v>1.67</v>
      </c>
      <c r="F349">
        <v>1.57</v>
      </c>
      <c r="G349" t="str">
        <f>CONCATENATE(Таблица271[[#This Row],[Столбец1]],Таблица271[[#This Row],[Столбец2]])</f>
        <v>1,671,57</v>
      </c>
      <c r="I349">
        <v>-3.5</v>
      </c>
      <c r="J349">
        <v>-19.133333333333301</v>
      </c>
    </row>
    <row r="350" spans="1:10" x14ac:dyDescent="0.25">
      <c r="A350">
        <v>1.63</v>
      </c>
      <c r="B350">
        <v>1.57</v>
      </c>
      <c r="C350" t="str">
        <f>CONCATENATE(Таблица258[[#This Row],[Столбец1]],Таблица258[[#This Row],[Столбец2]])</f>
        <v>1,631,57</v>
      </c>
      <c r="E350">
        <v>1.68</v>
      </c>
      <c r="F350">
        <v>1.57</v>
      </c>
      <c r="G350" t="str">
        <f>CONCATENATE(Таблица271[[#This Row],[Столбец1]],Таблица271[[#This Row],[Столбец2]])</f>
        <v>1,681,57</v>
      </c>
    </row>
    <row r="351" spans="1:10" x14ac:dyDescent="0.25">
      <c r="A351">
        <v>1.63</v>
      </c>
      <c r="B351">
        <v>1.57</v>
      </c>
      <c r="C351" t="str">
        <f>CONCATENATE(Таблица258[[#This Row],[Столбец1]],Таблица258[[#This Row],[Столбец2]])</f>
        <v>1,631,57</v>
      </c>
      <c r="E351">
        <v>1.68</v>
      </c>
      <c r="F351">
        <v>1.57</v>
      </c>
      <c r="G351" t="str">
        <f>CONCATENATE(Таблица271[[#This Row],[Столбец1]],Таблица271[[#This Row],[Столбец2]])</f>
        <v>1,681,57</v>
      </c>
    </row>
    <row r="352" spans="1:10" x14ac:dyDescent="0.25">
      <c r="A352">
        <v>1.63</v>
      </c>
      <c r="B352">
        <v>1.57</v>
      </c>
      <c r="C352" t="str">
        <f>CONCATENATE(Таблица258[[#This Row],[Столбец1]],Таблица258[[#This Row],[Столбец2]])</f>
        <v>1,631,57</v>
      </c>
      <c r="E352">
        <v>1.68</v>
      </c>
      <c r="F352">
        <v>1.57</v>
      </c>
      <c r="G352" t="str">
        <f>CONCATENATE(Таблица271[[#This Row],[Столбец1]],Таблица271[[#This Row],[Столбец2]])</f>
        <v>1,681,57</v>
      </c>
    </row>
    <row r="353" spans="1:7" x14ac:dyDescent="0.25">
      <c r="A353">
        <v>1.63</v>
      </c>
      <c r="B353">
        <v>1.57</v>
      </c>
      <c r="C353" t="str">
        <f>CONCATENATE(Таблица258[[#This Row],[Столбец1]],Таблица258[[#This Row],[Столбец2]])</f>
        <v>1,631,57</v>
      </c>
      <c r="E353">
        <v>1.68</v>
      </c>
      <c r="F353">
        <v>1.57</v>
      </c>
      <c r="G353" t="str">
        <f>CONCATENATE(Таблица271[[#This Row],[Столбец1]],Таблица271[[#This Row],[Столбец2]])</f>
        <v>1,681,57</v>
      </c>
    </row>
    <row r="354" spans="1:7" x14ac:dyDescent="0.25">
      <c r="A354">
        <v>1.64</v>
      </c>
      <c r="B354">
        <v>1.57</v>
      </c>
      <c r="C354" t="str">
        <f>CONCATENATE(Таблица258[[#This Row],[Столбец1]],Таблица258[[#This Row],[Столбец2]])</f>
        <v>1,641,57</v>
      </c>
      <c r="E354">
        <v>1.68</v>
      </c>
      <c r="F354">
        <v>1.57</v>
      </c>
      <c r="G354" t="str">
        <f>CONCATENATE(Таблица271[[#This Row],[Столбец1]],Таблица271[[#This Row],[Столбец2]])</f>
        <v>1,681,57</v>
      </c>
    </row>
    <row r="355" spans="1:7" x14ac:dyDescent="0.25">
      <c r="A355">
        <v>1.64</v>
      </c>
      <c r="B355">
        <v>1.57</v>
      </c>
      <c r="C355" t="str">
        <f>CONCATENATE(Таблица258[[#This Row],[Столбец1]],Таблица258[[#This Row],[Столбец2]])</f>
        <v>1,641,57</v>
      </c>
      <c r="E355">
        <v>1.68</v>
      </c>
      <c r="F355">
        <v>1.57</v>
      </c>
      <c r="G355" t="str">
        <f>CONCATENATE(Таблица271[[#This Row],[Столбец1]],Таблица271[[#This Row],[Столбец2]])</f>
        <v>1,681,57</v>
      </c>
    </row>
    <row r="356" spans="1:7" x14ac:dyDescent="0.25">
      <c r="A356">
        <v>1.64</v>
      </c>
      <c r="B356">
        <v>1.57</v>
      </c>
      <c r="C356" t="str">
        <f>CONCATENATE(Таблица258[[#This Row],[Столбец1]],Таблица258[[#This Row],[Столбец2]])</f>
        <v>1,641,57</v>
      </c>
      <c r="E356">
        <v>1.69</v>
      </c>
      <c r="F356">
        <v>1.57</v>
      </c>
      <c r="G356" t="str">
        <f>CONCATENATE(Таблица271[[#This Row],[Столбец1]],Таблица271[[#This Row],[Столбец2]])</f>
        <v>1,691,57</v>
      </c>
    </row>
    <row r="357" spans="1:7" x14ac:dyDescent="0.25">
      <c r="A357">
        <v>1.64</v>
      </c>
      <c r="B357">
        <v>1.57</v>
      </c>
      <c r="C357" t="str">
        <f>CONCATENATE(Таблица258[[#This Row],[Столбец1]],Таблица258[[#This Row],[Столбец2]])</f>
        <v>1,641,57</v>
      </c>
      <c r="E357">
        <v>1.69</v>
      </c>
      <c r="F357">
        <v>1.57</v>
      </c>
      <c r="G357" t="str">
        <f>CONCATENATE(Таблица271[[#This Row],[Столбец1]],Таблица271[[#This Row],[Столбец2]])</f>
        <v>1,691,57</v>
      </c>
    </row>
    <row r="358" spans="1:7" x14ac:dyDescent="0.25">
      <c r="A358">
        <v>1.64</v>
      </c>
      <c r="B358">
        <v>1.57</v>
      </c>
      <c r="C358" t="str">
        <f>CONCATENATE(Таблица258[[#This Row],[Столбец1]],Таблица258[[#This Row],[Столбец2]])</f>
        <v>1,641,57</v>
      </c>
      <c r="E358">
        <v>1.69</v>
      </c>
      <c r="F358">
        <v>1.57</v>
      </c>
      <c r="G358" t="str">
        <f>CONCATENATE(Таблица271[[#This Row],[Столбец1]],Таблица271[[#This Row],[Столбец2]])</f>
        <v>1,691,57</v>
      </c>
    </row>
    <row r="359" spans="1:7" x14ac:dyDescent="0.25">
      <c r="A359">
        <v>1.64</v>
      </c>
      <c r="B359">
        <v>1.57</v>
      </c>
      <c r="C359" t="str">
        <f>CONCATENATE(Таблица258[[#This Row],[Столбец1]],Таблица258[[#This Row],[Столбец2]])</f>
        <v>1,641,57</v>
      </c>
      <c r="E359">
        <v>1.69</v>
      </c>
      <c r="F359">
        <v>1.57</v>
      </c>
      <c r="G359" t="str">
        <f>CONCATENATE(Таблица271[[#This Row],[Столбец1]],Таблица271[[#This Row],[Столбец2]])</f>
        <v>1,691,57</v>
      </c>
    </row>
    <row r="360" spans="1:7" x14ac:dyDescent="0.25">
      <c r="A360">
        <v>1.65</v>
      </c>
      <c r="B360">
        <v>1.57</v>
      </c>
      <c r="C360" t="str">
        <f>CONCATENATE(Таблица258[[#This Row],[Столбец1]],Таблица258[[#This Row],[Столбец2]])</f>
        <v>1,651,57</v>
      </c>
      <c r="E360">
        <v>1.69</v>
      </c>
      <c r="F360">
        <v>1.57</v>
      </c>
      <c r="G360" t="str">
        <f>CONCATENATE(Таблица271[[#This Row],[Столбец1]],Таблица271[[#This Row],[Столбец2]])</f>
        <v>1,691,57</v>
      </c>
    </row>
    <row r="361" spans="1:7" x14ac:dyDescent="0.25">
      <c r="A361">
        <v>1.65</v>
      </c>
      <c r="B361">
        <v>1.57</v>
      </c>
      <c r="C361" t="str">
        <f>CONCATENATE(Таблица258[[#This Row],[Столбец1]],Таблица258[[#This Row],[Столбец2]])</f>
        <v>1,651,57</v>
      </c>
      <c r="E361">
        <v>1.69</v>
      </c>
      <c r="F361">
        <v>1.57</v>
      </c>
      <c r="G361" t="str">
        <f>CONCATENATE(Таблица271[[#This Row],[Столбец1]],Таблица271[[#This Row],[Столбец2]])</f>
        <v>1,691,57</v>
      </c>
    </row>
    <row r="362" spans="1:7" x14ac:dyDescent="0.25">
      <c r="A362">
        <v>1.65</v>
      </c>
      <c r="B362">
        <v>1.57</v>
      </c>
      <c r="C362" t="str">
        <f>CONCATENATE(Таблица258[[#This Row],[Столбец1]],Таблица258[[#This Row],[Столбец2]])</f>
        <v>1,651,57</v>
      </c>
      <c r="E362">
        <v>1.7</v>
      </c>
      <c r="F362">
        <v>1.57</v>
      </c>
      <c r="G362" t="str">
        <f>CONCATENATE(Таблица271[[#This Row],[Столбец1]],Таблица271[[#This Row],[Столбец2]])</f>
        <v>1,71,57</v>
      </c>
    </row>
    <row r="363" spans="1:7" x14ac:dyDescent="0.25">
      <c r="A363">
        <v>1.65</v>
      </c>
      <c r="B363">
        <v>1.57</v>
      </c>
      <c r="C363" t="str">
        <f>CONCATENATE(Таблица258[[#This Row],[Столбец1]],Таблица258[[#This Row],[Столбец2]])</f>
        <v>1,651,57</v>
      </c>
      <c r="E363">
        <v>1.7</v>
      </c>
      <c r="F363">
        <v>1.57</v>
      </c>
      <c r="G363" t="str">
        <f>CONCATENATE(Таблица271[[#This Row],[Столбец1]],Таблица271[[#This Row],[Столбец2]])</f>
        <v>1,71,57</v>
      </c>
    </row>
    <row r="364" spans="1:7" x14ac:dyDescent="0.25">
      <c r="A364">
        <v>1.65</v>
      </c>
      <c r="B364">
        <v>1.57</v>
      </c>
      <c r="C364" t="str">
        <f>CONCATENATE(Таблица258[[#This Row],[Столбец1]],Таблица258[[#This Row],[Столбец2]])</f>
        <v>1,651,57</v>
      </c>
      <c r="E364">
        <v>1.7</v>
      </c>
      <c r="F364">
        <v>1.57</v>
      </c>
      <c r="G364" t="str">
        <f>CONCATENATE(Таблица271[[#This Row],[Столбец1]],Таблица271[[#This Row],[Столбец2]])</f>
        <v>1,71,57</v>
      </c>
    </row>
    <row r="365" spans="1:7" x14ac:dyDescent="0.25">
      <c r="A365">
        <v>1.65</v>
      </c>
      <c r="B365">
        <v>1.57</v>
      </c>
      <c r="C365" t="str">
        <f>CONCATENATE(Таблица258[[#This Row],[Столбец1]],Таблица258[[#This Row],[Столбец2]])</f>
        <v>1,651,57</v>
      </c>
      <c r="E365">
        <v>1.7</v>
      </c>
      <c r="F365">
        <v>1.57</v>
      </c>
      <c r="G365" t="str">
        <f>CONCATENATE(Таблица271[[#This Row],[Столбец1]],Таблица271[[#This Row],[Столбец2]])</f>
        <v>1,71,57</v>
      </c>
    </row>
    <row r="366" spans="1:7" x14ac:dyDescent="0.25">
      <c r="A366">
        <v>1.66</v>
      </c>
      <c r="B366">
        <v>1.57</v>
      </c>
      <c r="C366" t="str">
        <f>CONCATENATE(Таблица258[[#This Row],[Столбец1]],Таблица258[[#This Row],[Столбец2]])</f>
        <v>1,661,57</v>
      </c>
      <c r="E366">
        <v>1.7</v>
      </c>
      <c r="F366">
        <v>1.57</v>
      </c>
      <c r="G366" t="str">
        <f>CONCATENATE(Таблица271[[#This Row],[Столбец1]],Таблица271[[#This Row],[Столбец2]])</f>
        <v>1,71,57</v>
      </c>
    </row>
    <row r="367" spans="1:7" x14ac:dyDescent="0.25">
      <c r="A367">
        <v>1.66</v>
      </c>
      <c r="B367">
        <v>1.57</v>
      </c>
      <c r="C367" t="str">
        <f>CONCATENATE(Таблица258[[#This Row],[Столбец1]],Таблица258[[#This Row],[Столбец2]])</f>
        <v>1,661,57</v>
      </c>
      <c r="E367">
        <v>1.7</v>
      </c>
      <c r="F367">
        <v>1.57</v>
      </c>
      <c r="G367" t="str">
        <f>CONCATENATE(Таблица271[[#This Row],[Столбец1]],Таблица271[[#This Row],[Столбец2]])</f>
        <v>1,71,57</v>
      </c>
    </row>
    <row r="368" spans="1:7" x14ac:dyDescent="0.25">
      <c r="A368">
        <v>1.66</v>
      </c>
      <c r="B368">
        <v>1.57</v>
      </c>
      <c r="C368" t="str">
        <f>CONCATENATE(Таблица258[[#This Row],[Столбец1]],Таблица258[[#This Row],[Столбец2]])</f>
        <v>1,661,57</v>
      </c>
      <c r="E368">
        <v>1.71</v>
      </c>
      <c r="F368">
        <v>1.57</v>
      </c>
      <c r="G368" t="str">
        <f>CONCATENATE(Таблица271[[#This Row],[Столбец1]],Таблица271[[#This Row],[Столбец2]])</f>
        <v>1,711,57</v>
      </c>
    </row>
    <row r="369" spans="1:7" x14ac:dyDescent="0.25">
      <c r="A369">
        <v>1.66</v>
      </c>
      <c r="B369">
        <v>1.57</v>
      </c>
      <c r="C369" t="str">
        <f>CONCATENATE(Таблица258[[#This Row],[Столбец1]],Таблица258[[#This Row],[Столбец2]])</f>
        <v>1,661,57</v>
      </c>
      <c r="E369">
        <v>1.71</v>
      </c>
      <c r="F369">
        <v>1.57</v>
      </c>
      <c r="G369" t="str">
        <f>CONCATENATE(Таблица271[[#This Row],[Столбец1]],Таблица271[[#This Row],[Столбец2]])</f>
        <v>1,711,57</v>
      </c>
    </row>
    <row r="370" spans="1:7" x14ac:dyDescent="0.25">
      <c r="A370">
        <v>1.66</v>
      </c>
      <c r="B370">
        <v>1.57</v>
      </c>
      <c r="C370" t="str">
        <f>CONCATENATE(Таблица258[[#This Row],[Столбец1]],Таблица258[[#This Row],[Столбец2]])</f>
        <v>1,661,57</v>
      </c>
      <c r="E370">
        <v>1.71</v>
      </c>
      <c r="F370">
        <v>1.57</v>
      </c>
      <c r="G370" t="str">
        <f>CONCATENATE(Таблица271[[#This Row],[Столбец1]],Таблица271[[#This Row],[Столбец2]])</f>
        <v>1,711,57</v>
      </c>
    </row>
    <row r="371" spans="1:7" x14ac:dyDescent="0.25">
      <c r="A371">
        <v>1.66</v>
      </c>
      <c r="B371">
        <v>1.57</v>
      </c>
      <c r="C371" t="str">
        <f>CONCATENATE(Таблица258[[#This Row],[Столбец1]],Таблица258[[#This Row],[Столбец2]])</f>
        <v>1,661,57</v>
      </c>
      <c r="E371">
        <v>1.71</v>
      </c>
      <c r="F371">
        <v>1.57</v>
      </c>
      <c r="G371" t="str">
        <f>CONCATENATE(Таблица271[[#This Row],[Столбец1]],Таблица271[[#This Row],[Столбец2]])</f>
        <v>1,711,57</v>
      </c>
    </row>
    <row r="372" spans="1:7" x14ac:dyDescent="0.25">
      <c r="A372">
        <v>1.67</v>
      </c>
      <c r="B372">
        <v>1.57</v>
      </c>
      <c r="C372" t="str">
        <f>CONCATENATE(Таблица258[[#This Row],[Столбец1]],Таблица258[[#This Row],[Столбец2]])</f>
        <v>1,671,57</v>
      </c>
      <c r="E372">
        <v>1.71</v>
      </c>
      <c r="F372">
        <v>1.57</v>
      </c>
      <c r="G372" t="str">
        <f>CONCATENATE(Таблица271[[#This Row],[Столбец1]],Таблица271[[#This Row],[Столбец2]])</f>
        <v>1,711,57</v>
      </c>
    </row>
    <row r="373" spans="1:7" x14ac:dyDescent="0.25">
      <c r="A373">
        <v>1.67</v>
      </c>
      <c r="B373">
        <v>1.57</v>
      </c>
      <c r="C373" t="str">
        <f>CONCATENATE(Таблица258[[#This Row],[Столбец1]],Таблица258[[#This Row],[Столбец2]])</f>
        <v>1,671,57</v>
      </c>
      <c r="E373">
        <v>1.71</v>
      </c>
      <c r="F373">
        <v>1.57</v>
      </c>
      <c r="G373" t="str">
        <f>CONCATENATE(Таблица271[[#This Row],[Столбец1]],Таблица271[[#This Row],[Столбец2]])</f>
        <v>1,711,57</v>
      </c>
    </row>
    <row r="374" spans="1:7" x14ac:dyDescent="0.25">
      <c r="A374">
        <v>1.67</v>
      </c>
      <c r="B374">
        <v>1.57</v>
      </c>
      <c r="C374" t="str">
        <f>CONCATENATE(Таблица258[[#This Row],[Столбец1]],Таблица258[[#This Row],[Столбец2]])</f>
        <v>1,671,57</v>
      </c>
      <c r="E374">
        <v>1.72</v>
      </c>
      <c r="F374">
        <v>1.57</v>
      </c>
      <c r="G374" t="str">
        <f>CONCATENATE(Таблица271[[#This Row],[Столбец1]],Таблица271[[#This Row],[Столбец2]])</f>
        <v>1,721,57</v>
      </c>
    </row>
    <row r="375" spans="1:7" x14ac:dyDescent="0.25">
      <c r="A375">
        <v>1.67</v>
      </c>
      <c r="B375">
        <v>1.57</v>
      </c>
      <c r="C375" t="str">
        <f>CONCATENATE(Таблица258[[#This Row],[Столбец1]],Таблица258[[#This Row],[Столбец2]])</f>
        <v>1,671,57</v>
      </c>
      <c r="E375">
        <v>1.72</v>
      </c>
      <c r="F375">
        <v>1.57</v>
      </c>
      <c r="G375" t="str">
        <f>CONCATENATE(Таблица271[[#This Row],[Столбец1]],Таблица271[[#This Row],[Столбец2]])</f>
        <v>1,721,57</v>
      </c>
    </row>
    <row r="376" spans="1:7" x14ac:dyDescent="0.25">
      <c r="A376">
        <v>1.67</v>
      </c>
      <c r="B376">
        <v>1.57</v>
      </c>
      <c r="C376" t="str">
        <f>CONCATENATE(Таблица258[[#This Row],[Столбец1]],Таблица258[[#This Row],[Столбец2]])</f>
        <v>1,671,57</v>
      </c>
      <c r="E376">
        <v>1.72</v>
      </c>
      <c r="F376">
        <v>1.57</v>
      </c>
      <c r="G376" t="str">
        <f>CONCATENATE(Таблица271[[#This Row],[Столбец1]],Таблица271[[#This Row],[Столбец2]])</f>
        <v>1,721,57</v>
      </c>
    </row>
    <row r="377" spans="1:7" x14ac:dyDescent="0.25">
      <c r="A377">
        <v>1.67</v>
      </c>
      <c r="B377">
        <v>1.57</v>
      </c>
      <c r="C377" t="str">
        <f>CONCATENATE(Таблица258[[#This Row],[Столбец1]],Таблица258[[#This Row],[Столбец2]])</f>
        <v>1,671,57</v>
      </c>
      <c r="E377">
        <v>1.72</v>
      </c>
      <c r="F377">
        <v>1.57</v>
      </c>
      <c r="G377" t="str">
        <f>CONCATENATE(Таблица271[[#This Row],[Столбец1]],Таблица271[[#This Row],[Столбец2]])</f>
        <v>1,721,57</v>
      </c>
    </row>
    <row r="378" spans="1:7" x14ac:dyDescent="0.25">
      <c r="A378">
        <v>1.68</v>
      </c>
      <c r="B378">
        <v>1.57</v>
      </c>
      <c r="C378" t="str">
        <f>CONCATENATE(Таблица258[[#This Row],[Столбец1]],Таблица258[[#This Row],[Столбец2]])</f>
        <v>1,681,57</v>
      </c>
      <c r="E378">
        <v>1.72</v>
      </c>
      <c r="F378">
        <v>1.57</v>
      </c>
      <c r="G378" t="str">
        <f>CONCATENATE(Таблица271[[#This Row],[Столбец1]],Таблица271[[#This Row],[Столбец2]])</f>
        <v>1,721,57</v>
      </c>
    </row>
    <row r="379" spans="1:7" x14ac:dyDescent="0.25">
      <c r="A379">
        <v>1.68</v>
      </c>
      <c r="B379">
        <v>1.57</v>
      </c>
      <c r="C379" t="str">
        <f>CONCATENATE(Таблица258[[#This Row],[Столбец1]],Таблица258[[#This Row],[Столбец2]])</f>
        <v>1,681,57</v>
      </c>
      <c r="E379">
        <v>1.72</v>
      </c>
      <c r="F379">
        <v>1.57</v>
      </c>
      <c r="G379" t="str">
        <f>CONCATENATE(Таблица271[[#This Row],[Столбец1]],Таблица271[[#This Row],[Столбец2]])</f>
        <v>1,721,57</v>
      </c>
    </row>
    <row r="380" spans="1:7" x14ac:dyDescent="0.25">
      <c r="A380">
        <v>1.68</v>
      </c>
      <c r="B380">
        <v>1.57</v>
      </c>
      <c r="C380" t="str">
        <f>CONCATENATE(Таблица258[[#This Row],[Столбец1]],Таблица258[[#This Row],[Столбец2]])</f>
        <v>1,681,57</v>
      </c>
      <c r="E380">
        <v>1.73</v>
      </c>
      <c r="F380">
        <v>1.57</v>
      </c>
      <c r="G380" t="str">
        <f>CONCATENATE(Таблица271[[#This Row],[Столбец1]],Таблица271[[#This Row],[Столбец2]])</f>
        <v>1,731,57</v>
      </c>
    </row>
    <row r="381" spans="1:7" x14ac:dyDescent="0.25">
      <c r="A381">
        <v>1.68</v>
      </c>
      <c r="B381">
        <v>1.57</v>
      </c>
      <c r="C381" t="str">
        <f>CONCATENATE(Таблица258[[#This Row],[Столбец1]],Таблица258[[#This Row],[Столбец2]])</f>
        <v>1,681,57</v>
      </c>
      <c r="E381">
        <v>1.73</v>
      </c>
      <c r="F381">
        <v>1.57</v>
      </c>
      <c r="G381" t="str">
        <f>CONCATENATE(Таблица271[[#This Row],[Столбец1]],Таблица271[[#This Row],[Столбец2]])</f>
        <v>1,731,57</v>
      </c>
    </row>
    <row r="382" spans="1:7" x14ac:dyDescent="0.25">
      <c r="A382">
        <v>1.68</v>
      </c>
      <c r="B382">
        <v>1.57</v>
      </c>
      <c r="C382" t="str">
        <f>CONCATENATE(Таблица258[[#This Row],[Столбец1]],Таблица258[[#This Row],[Столбец2]])</f>
        <v>1,681,57</v>
      </c>
      <c r="E382">
        <v>1.73</v>
      </c>
      <c r="F382">
        <v>1.57</v>
      </c>
      <c r="G382" t="str">
        <f>CONCATENATE(Таблица271[[#This Row],[Столбец1]],Таблица271[[#This Row],[Столбец2]])</f>
        <v>1,731,57</v>
      </c>
    </row>
    <row r="383" spans="1:7" x14ac:dyDescent="0.25">
      <c r="A383">
        <v>1.68</v>
      </c>
      <c r="B383">
        <v>1.57</v>
      </c>
      <c r="C383" t="str">
        <f>CONCATENATE(Таблица258[[#This Row],[Столбец1]],Таблица258[[#This Row],[Столбец2]])</f>
        <v>1,681,57</v>
      </c>
      <c r="E383">
        <v>1.73</v>
      </c>
      <c r="F383">
        <v>1.57</v>
      </c>
      <c r="G383" t="str">
        <f>CONCATENATE(Таблица271[[#This Row],[Столбец1]],Таблица271[[#This Row],[Столбец2]])</f>
        <v>1,731,57</v>
      </c>
    </row>
    <row r="384" spans="1:7" x14ac:dyDescent="0.25">
      <c r="A384">
        <v>1.69</v>
      </c>
      <c r="B384">
        <v>1.57</v>
      </c>
      <c r="C384" t="str">
        <f>CONCATENATE(Таблица258[[#This Row],[Столбец1]],Таблица258[[#This Row],[Столбец2]])</f>
        <v>1,691,57</v>
      </c>
      <c r="E384">
        <v>1.73</v>
      </c>
      <c r="F384">
        <v>1.57</v>
      </c>
      <c r="G384" t="str">
        <f>CONCATENATE(Таблица271[[#This Row],[Столбец1]],Таблица271[[#This Row],[Столбец2]])</f>
        <v>1,731,57</v>
      </c>
    </row>
    <row r="385" spans="1:7" x14ac:dyDescent="0.25">
      <c r="A385">
        <v>1.69</v>
      </c>
      <c r="B385">
        <v>1.57</v>
      </c>
      <c r="C385" t="str">
        <f>CONCATENATE(Таблица258[[#This Row],[Столбец1]],Таблица258[[#This Row],[Столбец2]])</f>
        <v>1,691,57</v>
      </c>
      <c r="E385">
        <v>1.73</v>
      </c>
      <c r="F385">
        <v>1.57</v>
      </c>
      <c r="G385" t="str">
        <f>CONCATENATE(Таблица271[[#This Row],[Столбец1]],Таблица271[[#This Row],[Столбец2]])</f>
        <v>1,731,57</v>
      </c>
    </row>
    <row r="386" spans="1:7" x14ac:dyDescent="0.25">
      <c r="A386">
        <v>1.69</v>
      </c>
      <c r="B386">
        <v>1.57</v>
      </c>
      <c r="C386" t="str">
        <f>CONCATENATE(Таблица258[[#This Row],[Столбец1]],Таблица258[[#This Row],[Столбец2]])</f>
        <v>1,691,57</v>
      </c>
      <c r="E386">
        <v>1.74</v>
      </c>
      <c r="F386">
        <v>1.57</v>
      </c>
      <c r="G386" t="str">
        <f>CONCATENATE(Таблица271[[#This Row],[Столбец1]],Таблица271[[#This Row],[Столбец2]])</f>
        <v>1,741,57</v>
      </c>
    </row>
    <row r="387" spans="1:7" x14ac:dyDescent="0.25">
      <c r="A387">
        <v>1.69</v>
      </c>
      <c r="B387">
        <v>1.57</v>
      </c>
      <c r="C387" t="str">
        <f>CONCATENATE(Таблица258[[#This Row],[Столбец1]],Таблица258[[#This Row],[Столбец2]])</f>
        <v>1,691,57</v>
      </c>
      <c r="E387">
        <v>1.74</v>
      </c>
      <c r="F387">
        <v>1.57</v>
      </c>
      <c r="G387" t="str">
        <f>CONCATENATE(Таблица271[[#This Row],[Столбец1]],Таблица271[[#This Row],[Столбец2]])</f>
        <v>1,741,57</v>
      </c>
    </row>
    <row r="388" spans="1:7" x14ac:dyDescent="0.25">
      <c r="A388">
        <v>1.69</v>
      </c>
      <c r="B388">
        <v>1.57</v>
      </c>
      <c r="C388" t="str">
        <f>CONCATENATE(Таблица258[[#This Row],[Столбец1]],Таблица258[[#This Row],[Столбец2]])</f>
        <v>1,691,57</v>
      </c>
      <c r="E388">
        <v>1.74</v>
      </c>
      <c r="F388">
        <v>1.57</v>
      </c>
      <c r="G388" t="str">
        <f>CONCATENATE(Таблица271[[#This Row],[Столбец1]],Таблица271[[#This Row],[Столбец2]])</f>
        <v>1,741,57</v>
      </c>
    </row>
    <row r="389" spans="1:7" x14ac:dyDescent="0.25">
      <c r="A389">
        <v>1.69</v>
      </c>
      <c r="B389">
        <v>1.57</v>
      </c>
      <c r="C389" t="str">
        <f>CONCATENATE(Таблица258[[#This Row],[Столбец1]],Таблица258[[#This Row],[Столбец2]])</f>
        <v>1,691,57</v>
      </c>
      <c r="E389">
        <v>1.74</v>
      </c>
      <c r="F389">
        <v>1.57</v>
      </c>
      <c r="G389" t="str">
        <f>CONCATENATE(Таблица271[[#This Row],[Столбец1]],Таблица271[[#This Row],[Столбец2]])</f>
        <v>1,741,57</v>
      </c>
    </row>
    <row r="390" spans="1:7" x14ac:dyDescent="0.25">
      <c r="A390">
        <v>1.7</v>
      </c>
      <c r="B390">
        <v>1.57</v>
      </c>
      <c r="C390" t="str">
        <f>CONCATENATE(Таблица258[[#This Row],[Столбец1]],Таблица258[[#This Row],[Столбец2]])</f>
        <v>1,71,57</v>
      </c>
      <c r="E390">
        <v>1.74</v>
      </c>
      <c r="F390">
        <v>1.57</v>
      </c>
      <c r="G390" t="str">
        <f>CONCATENATE(Таблица271[[#This Row],[Столбец1]],Таблица271[[#This Row],[Столбец2]])</f>
        <v>1,741,57</v>
      </c>
    </row>
    <row r="391" spans="1:7" x14ac:dyDescent="0.25">
      <c r="A391">
        <v>1.7</v>
      </c>
      <c r="B391">
        <v>1.57</v>
      </c>
      <c r="C391" t="str">
        <f>CONCATENATE(Таблица258[[#This Row],[Столбец1]],Таблица258[[#This Row],[Столбец2]])</f>
        <v>1,71,57</v>
      </c>
      <c r="E391">
        <v>1.74</v>
      </c>
      <c r="F391">
        <v>1.57</v>
      </c>
      <c r="G391" t="str">
        <f>CONCATENATE(Таблица271[[#This Row],[Столбец1]],Таблица271[[#This Row],[Столбец2]])</f>
        <v>1,741,57</v>
      </c>
    </row>
    <row r="392" spans="1:7" x14ac:dyDescent="0.25">
      <c r="A392">
        <v>1.7</v>
      </c>
      <c r="B392">
        <v>1.57</v>
      </c>
      <c r="C392" t="str">
        <f>CONCATENATE(Таблица258[[#This Row],[Столбец1]],Таблица258[[#This Row],[Столбец2]])</f>
        <v>1,71,57</v>
      </c>
      <c r="E392">
        <v>1.75</v>
      </c>
      <c r="F392">
        <v>1.57</v>
      </c>
      <c r="G392" t="str">
        <f>CONCATENATE(Таблица271[[#This Row],[Столбец1]],Таблица271[[#This Row],[Столбец2]])</f>
        <v>1,751,57</v>
      </c>
    </row>
    <row r="393" spans="1:7" x14ac:dyDescent="0.25">
      <c r="A393">
        <v>1.7</v>
      </c>
      <c r="B393">
        <v>1.57</v>
      </c>
      <c r="C393" t="str">
        <f>CONCATENATE(Таблица258[[#This Row],[Столбец1]],Таблица258[[#This Row],[Столбец2]])</f>
        <v>1,71,57</v>
      </c>
      <c r="E393">
        <v>1.75</v>
      </c>
      <c r="F393">
        <v>1.57</v>
      </c>
      <c r="G393" t="str">
        <f>CONCATENATE(Таблица271[[#This Row],[Столбец1]],Таблица271[[#This Row],[Столбец2]])</f>
        <v>1,751,57</v>
      </c>
    </row>
    <row r="394" spans="1:7" x14ac:dyDescent="0.25">
      <c r="A394">
        <v>1.7</v>
      </c>
      <c r="B394">
        <v>1.57</v>
      </c>
      <c r="C394" t="str">
        <f>CONCATENATE(Таблица258[[#This Row],[Столбец1]],Таблица258[[#This Row],[Столбец2]])</f>
        <v>1,71,57</v>
      </c>
      <c r="E394">
        <v>1.75</v>
      </c>
      <c r="F394">
        <v>1.57</v>
      </c>
      <c r="G394" t="str">
        <f>CONCATENATE(Таблица271[[#This Row],[Столбец1]],Таблица271[[#This Row],[Столбец2]])</f>
        <v>1,751,57</v>
      </c>
    </row>
    <row r="395" spans="1:7" x14ac:dyDescent="0.25">
      <c r="A395">
        <v>1.7</v>
      </c>
      <c r="B395">
        <v>1.57</v>
      </c>
      <c r="C395" t="str">
        <f>CONCATENATE(Таблица258[[#This Row],[Столбец1]],Таблица258[[#This Row],[Столбец2]])</f>
        <v>1,71,57</v>
      </c>
      <c r="E395">
        <v>1.75</v>
      </c>
      <c r="F395">
        <v>1.57</v>
      </c>
      <c r="G395" t="str">
        <f>CONCATENATE(Таблица271[[#This Row],[Столбец1]],Таблица271[[#This Row],[Столбец2]])</f>
        <v>1,751,57</v>
      </c>
    </row>
    <row r="396" spans="1:7" x14ac:dyDescent="0.25">
      <c r="A396">
        <v>1.71</v>
      </c>
      <c r="B396">
        <v>1.57</v>
      </c>
      <c r="C396" t="str">
        <f>CONCATENATE(Таблица258[[#This Row],[Столбец1]],Таблица258[[#This Row],[Столбец2]])</f>
        <v>1,711,57</v>
      </c>
      <c r="E396">
        <v>1.75</v>
      </c>
      <c r="F396">
        <v>1.57</v>
      </c>
      <c r="G396" t="str">
        <f>CONCATENATE(Таблица271[[#This Row],[Столбец1]],Таблица271[[#This Row],[Столбец2]])</f>
        <v>1,751,57</v>
      </c>
    </row>
    <row r="397" spans="1:7" x14ac:dyDescent="0.25">
      <c r="A397">
        <v>1.71</v>
      </c>
      <c r="B397">
        <v>1.57</v>
      </c>
      <c r="C397" t="str">
        <f>CONCATENATE(Таблица258[[#This Row],[Столбец1]],Таблица258[[#This Row],[Столбец2]])</f>
        <v>1,711,57</v>
      </c>
      <c r="E397">
        <v>1.75</v>
      </c>
      <c r="F397">
        <v>1.57</v>
      </c>
      <c r="G397" t="str">
        <f>CONCATENATE(Таблица271[[#This Row],[Столбец1]],Таблица271[[#This Row],[Столбец2]])</f>
        <v>1,751,57</v>
      </c>
    </row>
    <row r="398" spans="1:7" x14ac:dyDescent="0.25">
      <c r="A398">
        <v>1.71</v>
      </c>
      <c r="B398">
        <v>1.57</v>
      </c>
      <c r="C398" t="str">
        <f>CONCATENATE(Таблица258[[#This Row],[Столбец1]],Таблица258[[#This Row],[Столбец2]])</f>
        <v>1,711,57</v>
      </c>
      <c r="E398">
        <v>1.76</v>
      </c>
      <c r="F398">
        <v>1.57</v>
      </c>
      <c r="G398" t="str">
        <f>CONCATENATE(Таблица271[[#This Row],[Столбец1]],Таблица271[[#This Row],[Столбец2]])</f>
        <v>1,761,57</v>
      </c>
    </row>
    <row r="399" spans="1:7" x14ac:dyDescent="0.25">
      <c r="A399">
        <v>1.71</v>
      </c>
      <c r="B399">
        <v>1.57</v>
      </c>
      <c r="C399" t="str">
        <f>CONCATENATE(Таблица258[[#This Row],[Столбец1]],Таблица258[[#This Row],[Столбец2]])</f>
        <v>1,711,57</v>
      </c>
      <c r="E399">
        <v>1.76</v>
      </c>
      <c r="F399">
        <v>1.57</v>
      </c>
      <c r="G399" t="str">
        <f>CONCATENATE(Таблица271[[#This Row],[Столбец1]],Таблица271[[#This Row],[Столбец2]])</f>
        <v>1,761,57</v>
      </c>
    </row>
    <row r="400" spans="1:7" x14ac:dyDescent="0.25">
      <c r="A400">
        <v>1.71</v>
      </c>
      <c r="B400">
        <v>1.57</v>
      </c>
      <c r="C400" t="str">
        <f>CONCATENATE(Таблица258[[#This Row],[Столбец1]],Таблица258[[#This Row],[Столбец2]])</f>
        <v>1,711,57</v>
      </c>
      <c r="E400">
        <v>1.76</v>
      </c>
      <c r="F400">
        <v>1.57</v>
      </c>
      <c r="G400" t="str">
        <f>CONCATENATE(Таблица271[[#This Row],[Столбец1]],Таблица271[[#This Row],[Столбец2]])</f>
        <v>1,761,57</v>
      </c>
    </row>
    <row r="401" spans="1:7" x14ac:dyDescent="0.25">
      <c r="A401">
        <v>1.71</v>
      </c>
      <c r="B401">
        <v>1.57</v>
      </c>
      <c r="C401" t="str">
        <f>CONCATENATE(Таблица258[[#This Row],[Столбец1]],Таблица258[[#This Row],[Столбец2]])</f>
        <v>1,711,57</v>
      </c>
      <c r="E401">
        <v>1.76</v>
      </c>
      <c r="F401">
        <v>1.57</v>
      </c>
      <c r="G401" t="str">
        <f>CONCATENATE(Таблица271[[#This Row],[Столбец1]],Таблица271[[#This Row],[Столбец2]])</f>
        <v>1,761,57</v>
      </c>
    </row>
    <row r="402" spans="1:7" x14ac:dyDescent="0.25">
      <c r="A402">
        <v>1.72</v>
      </c>
      <c r="B402">
        <v>1.57</v>
      </c>
      <c r="C402" t="str">
        <f>CONCATENATE(Таблица258[[#This Row],[Столбец1]],Таблица258[[#This Row],[Столбец2]])</f>
        <v>1,721,57</v>
      </c>
      <c r="E402">
        <v>1.76</v>
      </c>
      <c r="F402">
        <v>1.57</v>
      </c>
      <c r="G402" t="str">
        <f>CONCATENATE(Таблица271[[#This Row],[Столбец1]],Таблица271[[#This Row],[Столбец2]])</f>
        <v>1,761,57</v>
      </c>
    </row>
    <row r="403" spans="1:7" x14ac:dyDescent="0.25">
      <c r="A403">
        <v>1.72</v>
      </c>
      <c r="B403">
        <v>1.57</v>
      </c>
      <c r="C403" t="str">
        <f>CONCATENATE(Таблица258[[#This Row],[Столбец1]],Таблица258[[#This Row],[Столбец2]])</f>
        <v>1,721,57</v>
      </c>
      <c r="E403">
        <v>1.76</v>
      </c>
      <c r="F403">
        <v>1.57</v>
      </c>
      <c r="G403" t="str">
        <f>CONCATENATE(Таблица271[[#This Row],[Столбец1]],Таблица271[[#This Row],[Столбец2]])</f>
        <v>1,761,57</v>
      </c>
    </row>
    <row r="404" spans="1:7" x14ac:dyDescent="0.25">
      <c r="A404">
        <v>1.72</v>
      </c>
      <c r="B404">
        <v>1.57</v>
      </c>
      <c r="C404" t="str">
        <f>CONCATENATE(Таблица258[[#This Row],[Столбец1]],Таблица258[[#This Row],[Столбец2]])</f>
        <v>1,721,57</v>
      </c>
      <c r="E404">
        <v>1.77</v>
      </c>
      <c r="F404">
        <v>1.57</v>
      </c>
      <c r="G404" t="str">
        <f>CONCATENATE(Таблица271[[#This Row],[Столбец1]],Таблица271[[#This Row],[Столбец2]])</f>
        <v>1,771,57</v>
      </c>
    </row>
    <row r="405" spans="1:7" x14ac:dyDescent="0.25">
      <c r="A405">
        <v>1.72</v>
      </c>
      <c r="B405">
        <v>1.57</v>
      </c>
      <c r="C405" t="str">
        <f>CONCATENATE(Таблица258[[#This Row],[Столбец1]],Таблица258[[#This Row],[Столбец2]])</f>
        <v>1,721,57</v>
      </c>
      <c r="E405">
        <v>1.77</v>
      </c>
      <c r="F405">
        <v>1.57</v>
      </c>
      <c r="G405" t="str">
        <f>CONCATENATE(Таблица271[[#This Row],[Столбец1]],Таблица271[[#This Row],[Столбец2]])</f>
        <v>1,771,57</v>
      </c>
    </row>
    <row r="406" spans="1:7" x14ac:dyDescent="0.25">
      <c r="A406">
        <v>1.72</v>
      </c>
      <c r="B406">
        <v>1.57</v>
      </c>
      <c r="C406" t="str">
        <f>CONCATENATE(Таблица258[[#This Row],[Столбец1]],Таблица258[[#This Row],[Столбец2]])</f>
        <v>1,721,57</v>
      </c>
      <c r="E406">
        <v>1.77</v>
      </c>
      <c r="F406">
        <v>1.57</v>
      </c>
      <c r="G406" t="str">
        <f>CONCATENATE(Таблица271[[#This Row],[Столбец1]],Таблица271[[#This Row],[Столбец2]])</f>
        <v>1,771,57</v>
      </c>
    </row>
    <row r="407" spans="1:7" x14ac:dyDescent="0.25">
      <c r="A407">
        <v>1.72</v>
      </c>
      <c r="B407">
        <v>1.57</v>
      </c>
      <c r="C407" t="str">
        <f>CONCATENATE(Таблица258[[#This Row],[Столбец1]],Таблица258[[#This Row],[Столбец2]])</f>
        <v>1,721,57</v>
      </c>
      <c r="E407">
        <v>1.77</v>
      </c>
      <c r="F407">
        <v>1.57</v>
      </c>
      <c r="G407" t="str">
        <f>CONCATENATE(Таблица271[[#This Row],[Столбец1]],Таблица271[[#This Row],[Столбец2]])</f>
        <v>1,771,57</v>
      </c>
    </row>
    <row r="408" spans="1:7" x14ac:dyDescent="0.25">
      <c r="A408">
        <v>1.73</v>
      </c>
      <c r="B408">
        <v>1.57</v>
      </c>
      <c r="C408" t="str">
        <f>CONCATENATE(Таблица258[[#This Row],[Столбец1]],Таблица258[[#This Row],[Столбец2]])</f>
        <v>1,731,57</v>
      </c>
      <c r="E408">
        <v>1.77</v>
      </c>
      <c r="F408">
        <v>1.57</v>
      </c>
      <c r="G408" t="str">
        <f>CONCATENATE(Таблица271[[#This Row],[Столбец1]],Таблица271[[#This Row],[Столбец2]])</f>
        <v>1,771,57</v>
      </c>
    </row>
    <row r="409" spans="1:7" x14ac:dyDescent="0.25">
      <c r="A409">
        <v>1.73</v>
      </c>
      <c r="B409">
        <v>1.57</v>
      </c>
      <c r="C409" t="str">
        <f>CONCATENATE(Таблица258[[#This Row],[Столбец1]],Таблица258[[#This Row],[Столбец2]])</f>
        <v>1,731,57</v>
      </c>
      <c r="E409">
        <v>1.77</v>
      </c>
      <c r="F409">
        <v>1.57</v>
      </c>
      <c r="G409" t="str">
        <f>CONCATENATE(Таблица271[[#This Row],[Столбец1]],Таблица271[[#This Row],[Столбец2]])</f>
        <v>1,771,57</v>
      </c>
    </row>
    <row r="410" spans="1:7" x14ac:dyDescent="0.25">
      <c r="A410">
        <v>1.73</v>
      </c>
      <c r="B410">
        <v>1.57</v>
      </c>
      <c r="C410" t="str">
        <f>CONCATENATE(Таблица258[[#This Row],[Столбец1]],Таблица258[[#This Row],[Столбец2]])</f>
        <v>1,731,57</v>
      </c>
      <c r="E410">
        <v>1.78</v>
      </c>
      <c r="F410">
        <v>1.57</v>
      </c>
      <c r="G410" t="str">
        <f>CONCATENATE(Таблица271[[#This Row],[Столбец1]],Таблица271[[#This Row],[Столбец2]])</f>
        <v>1,781,57</v>
      </c>
    </row>
    <row r="411" spans="1:7" x14ac:dyDescent="0.25">
      <c r="A411">
        <v>1.73</v>
      </c>
      <c r="B411">
        <v>1.57</v>
      </c>
      <c r="C411" t="str">
        <f>CONCATENATE(Таблица258[[#This Row],[Столбец1]],Таблица258[[#This Row],[Столбец2]])</f>
        <v>1,731,57</v>
      </c>
      <c r="E411">
        <v>1.78</v>
      </c>
      <c r="F411">
        <v>1.57</v>
      </c>
      <c r="G411" t="str">
        <f>CONCATENATE(Таблица271[[#This Row],[Столбец1]],Таблица271[[#This Row],[Столбец2]])</f>
        <v>1,781,57</v>
      </c>
    </row>
    <row r="412" spans="1:7" x14ac:dyDescent="0.25">
      <c r="A412">
        <v>1.73</v>
      </c>
      <c r="B412">
        <v>1.57</v>
      </c>
      <c r="C412" t="str">
        <f>CONCATENATE(Таблица258[[#This Row],[Столбец1]],Таблица258[[#This Row],[Столбец2]])</f>
        <v>1,731,57</v>
      </c>
      <c r="E412">
        <v>1.78</v>
      </c>
      <c r="F412">
        <v>1.57</v>
      </c>
      <c r="G412" t="str">
        <f>CONCATENATE(Таблица271[[#This Row],[Столбец1]],Таблица271[[#This Row],[Столбец2]])</f>
        <v>1,781,57</v>
      </c>
    </row>
    <row r="413" spans="1:7" x14ac:dyDescent="0.25">
      <c r="A413">
        <v>1.73</v>
      </c>
      <c r="B413">
        <v>1.57</v>
      </c>
      <c r="C413" t="str">
        <f>CONCATENATE(Таблица258[[#This Row],[Столбец1]],Таблица258[[#This Row],[Столбец2]])</f>
        <v>1,731,57</v>
      </c>
      <c r="E413">
        <v>1.78</v>
      </c>
      <c r="F413">
        <v>1.57</v>
      </c>
      <c r="G413" t="str">
        <f>CONCATENATE(Таблица271[[#This Row],[Столбец1]],Таблица271[[#This Row],[Столбец2]])</f>
        <v>1,781,57</v>
      </c>
    </row>
    <row r="414" spans="1:7" x14ac:dyDescent="0.25">
      <c r="A414">
        <v>1.74</v>
      </c>
      <c r="B414">
        <v>1.57</v>
      </c>
      <c r="C414" t="str">
        <f>CONCATENATE(Таблица258[[#This Row],[Столбец1]],Таблица258[[#This Row],[Столбец2]])</f>
        <v>1,741,57</v>
      </c>
      <c r="E414">
        <v>1.78</v>
      </c>
      <c r="F414">
        <v>1.57</v>
      </c>
      <c r="G414" t="str">
        <f>CONCATENATE(Таблица271[[#This Row],[Столбец1]],Таблица271[[#This Row],[Столбец2]])</f>
        <v>1,781,57</v>
      </c>
    </row>
    <row r="415" spans="1:7" x14ac:dyDescent="0.25">
      <c r="A415">
        <v>1.74</v>
      </c>
      <c r="B415">
        <v>1.57</v>
      </c>
      <c r="C415" t="str">
        <f>CONCATENATE(Таблица258[[#This Row],[Столбец1]],Таблица258[[#This Row],[Столбец2]])</f>
        <v>1,741,57</v>
      </c>
      <c r="E415">
        <v>1.78</v>
      </c>
      <c r="F415">
        <v>1.57</v>
      </c>
      <c r="G415" t="str">
        <f>CONCATENATE(Таблица271[[#This Row],[Столбец1]],Таблица271[[#This Row],[Столбец2]])</f>
        <v>1,781,57</v>
      </c>
    </row>
    <row r="416" spans="1:7" x14ac:dyDescent="0.25">
      <c r="A416">
        <v>1.74</v>
      </c>
      <c r="B416">
        <v>1.57</v>
      </c>
      <c r="C416" t="str">
        <f>CONCATENATE(Таблица258[[#This Row],[Столбец1]],Таблица258[[#This Row],[Столбец2]])</f>
        <v>1,741,57</v>
      </c>
      <c r="E416">
        <v>1.79</v>
      </c>
      <c r="F416">
        <v>1.57</v>
      </c>
      <c r="G416" t="str">
        <f>CONCATENATE(Таблица271[[#This Row],[Столбец1]],Таблица271[[#This Row],[Столбец2]])</f>
        <v>1,791,57</v>
      </c>
    </row>
    <row r="417" spans="1:7" x14ac:dyDescent="0.25">
      <c r="A417">
        <v>1.74</v>
      </c>
      <c r="B417">
        <v>1.57</v>
      </c>
      <c r="C417" t="str">
        <f>CONCATENATE(Таблица258[[#This Row],[Столбец1]],Таблица258[[#This Row],[Столбец2]])</f>
        <v>1,741,57</v>
      </c>
      <c r="E417">
        <v>1.79</v>
      </c>
      <c r="F417">
        <v>1.57</v>
      </c>
      <c r="G417" t="str">
        <f>CONCATENATE(Таблица271[[#This Row],[Столбец1]],Таблица271[[#This Row],[Столбец2]])</f>
        <v>1,791,57</v>
      </c>
    </row>
    <row r="418" spans="1:7" x14ac:dyDescent="0.25">
      <c r="A418">
        <v>1.74</v>
      </c>
      <c r="B418">
        <v>1.57</v>
      </c>
      <c r="C418" t="str">
        <f>CONCATENATE(Таблица258[[#This Row],[Столбец1]],Таблица258[[#This Row],[Столбец2]])</f>
        <v>1,741,57</v>
      </c>
      <c r="E418">
        <v>1.79</v>
      </c>
      <c r="F418">
        <v>1.57</v>
      </c>
      <c r="G418" t="str">
        <f>CONCATENATE(Таблица271[[#This Row],[Столбец1]],Таблица271[[#This Row],[Столбец2]])</f>
        <v>1,791,57</v>
      </c>
    </row>
    <row r="419" spans="1:7" x14ac:dyDescent="0.25">
      <c r="A419">
        <v>1.74</v>
      </c>
      <c r="B419">
        <v>1.57</v>
      </c>
      <c r="C419" t="str">
        <f>CONCATENATE(Таблица258[[#This Row],[Столбец1]],Таблица258[[#This Row],[Столбец2]])</f>
        <v>1,741,57</v>
      </c>
      <c r="E419">
        <v>1.79</v>
      </c>
      <c r="F419">
        <v>1.57</v>
      </c>
      <c r="G419" t="str">
        <f>CONCATENATE(Таблица271[[#This Row],[Столбец1]],Таблица271[[#This Row],[Столбец2]])</f>
        <v>1,791,57</v>
      </c>
    </row>
    <row r="420" spans="1:7" x14ac:dyDescent="0.25">
      <c r="A420">
        <v>1.75</v>
      </c>
      <c r="B420">
        <v>1.57</v>
      </c>
      <c r="C420" t="str">
        <f>CONCATENATE(Таблица258[[#This Row],[Столбец1]],Таблица258[[#This Row],[Столбец2]])</f>
        <v>1,751,57</v>
      </c>
      <c r="E420">
        <v>1.79</v>
      </c>
      <c r="F420">
        <v>1.57</v>
      </c>
      <c r="G420" t="str">
        <f>CONCATENATE(Таблица271[[#This Row],[Столбец1]],Таблица271[[#This Row],[Столбец2]])</f>
        <v>1,791,57</v>
      </c>
    </row>
    <row r="421" spans="1:7" x14ac:dyDescent="0.25">
      <c r="A421">
        <v>1.75</v>
      </c>
      <c r="B421">
        <v>1.57</v>
      </c>
      <c r="C421" t="str">
        <f>CONCATENATE(Таблица258[[#This Row],[Столбец1]],Таблица258[[#This Row],[Столбец2]])</f>
        <v>1,751,57</v>
      </c>
      <c r="E421">
        <v>1.79</v>
      </c>
      <c r="F421">
        <v>1.57</v>
      </c>
      <c r="G421" t="str">
        <f>CONCATENATE(Таблица271[[#This Row],[Столбец1]],Таблица271[[#This Row],[Столбец2]])</f>
        <v>1,791,57</v>
      </c>
    </row>
    <row r="422" spans="1:7" x14ac:dyDescent="0.25">
      <c r="A422">
        <v>1.75</v>
      </c>
      <c r="B422">
        <v>1.57</v>
      </c>
      <c r="C422" t="str">
        <f>CONCATENATE(Таблица258[[#This Row],[Столбец1]],Таблица258[[#This Row],[Столбец2]])</f>
        <v>1,751,57</v>
      </c>
      <c r="E422">
        <v>1.8</v>
      </c>
      <c r="F422">
        <v>1.57</v>
      </c>
      <c r="G422" t="str">
        <f>CONCATENATE(Таблица271[[#This Row],[Столбец1]],Таблица271[[#This Row],[Столбец2]])</f>
        <v>1,81,57</v>
      </c>
    </row>
    <row r="423" spans="1:7" x14ac:dyDescent="0.25">
      <c r="A423">
        <v>1.75</v>
      </c>
      <c r="B423">
        <v>1.57</v>
      </c>
      <c r="C423" t="str">
        <f>CONCATENATE(Таблица258[[#This Row],[Столбец1]],Таблица258[[#This Row],[Столбец2]])</f>
        <v>1,751,57</v>
      </c>
      <c r="E423">
        <v>1.8</v>
      </c>
      <c r="F423">
        <v>1.57</v>
      </c>
      <c r="G423" t="str">
        <f>CONCATENATE(Таблица271[[#This Row],[Столбец1]],Таблица271[[#This Row],[Столбец2]])</f>
        <v>1,81,57</v>
      </c>
    </row>
    <row r="424" spans="1:7" x14ac:dyDescent="0.25">
      <c r="A424">
        <v>1.75</v>
      </c>
      <c r="B424">
        <v>1.57</v>
      </c>
      <c r="C424" t="str">
        <f>CONCATENATE(Таблица258[[#This Row],[Столбец1]],Таблица258[[#This Row],[Столбец2]])</f>
        <v>1,751,57</v>
      </c>
      <c r="E424">
        <v>1.8</v>
      </c>
      <c r="F424">
        <v>1.57</v>
      </c>
      <c r="G424" t="str">
        <f>CONCATENATE(Таблица271[[#This Row],[Столбец1]],Таблица271[[#This Row],[Столбец2]])</f>
        <v>1,81,57</v>
      </c>
    </row>
    <row r="425" spans="1:7" x14ac:dyDescent="0.25">
      <c r="A425">
        <v>1.75</v>
      </c>
      <c r="B425">
        <v>1.57</v>
      </c>
      <c r="C425" t="str">
        <f>CONCATENATE(Таблица258[[#This Row],[Столбец1]],Таблица258[[#This Row],[Столбец2]])</f>
        <v>1,751,57</v>
      </c>
      <c r="E425">
        <v>1.8</v>
      </c>
      <c r="F425">
        <v>1.57</v>
      </c>
      <c r="G425" t="str">
        <f>CONCATENATE(Таблица271[[#This Row],[Столбец1]],Таблица271[[#This Row],[Столбец2]])</f>
        <v>1,81,57</v>
      </c>
    </row>
    <row r="426" spans="1:7" x14ac:dyDescent="0.25">
      <c r="A426">
        <v>1.76</v>
      </c>
      <c r="B426">
        <v>1.57</v>
      </c>
      <c r="C426" t="str">
        <f>CONCATENATE(Таблица258[[#This Row],[Столбец1]],Таблица258[[#This Row],[Столбец2]])</f>
        <v>1,761,57</v>
      </c>
      <c r="E426">
        <v>1.8</v>
      </c>
      <c r="F426">
        <v>1.57</v>
      </c>
      <c r="G426" t="str">
        <f>CONCATENATE(Таблица271[[#This Row],[Столбец1]],Таблица271[[#This Row],[Столбец2]])</f>
        <v>1,81,57</v>
      </c>
    </row>
    <row r="427" spans="1:7" x14ac:dyDescent="0.25">
      <c r="A427">
        <v>1.76</v>
      </c>
      <c r="B427">
        <v>1.57</v>
      </c>
      <c r="C427" t="str">
        <f>CONCATENATE(Таблица258[[#This Row],[Столбец1]],Таблица258[[#This Row],[Столбец2]])</f>
        <v>1,761,57</v>
      </c>
      <c r="E427">
        <v>1.8</v>
      </c>
      <c r="F427">
        <v>1.57</v>
      </c>
      <c r="G427" t="str">
        <f>CONCATENATE(Таблица271[[#This Row],[Столбец1]],Таблица271[[#This Row],[Столбец2]])</f>
        <v>1,81,57</v>
      </c>
    </row>
    <row r="428" spans="1:7" x14ac:dyDescent="0.25">
      <c r="A428">
        <v>1.76</v>
      </c>
      <c r="B428">
        <v>1.57</v>
      </c>
      <c r="C428" t="str">
        <f>CONCATENATE(Таблица258[[#This Row],[Столбец1]],Таблица258[[#This Row],[Столбец2]])</f>
        <v>1,761,57</v>
      </c>
      <c r="E428">
        <v>1.81</v>
      </c>
      <c r="F428">
        <v>1.57</v>
      </c>
      <c r="G428" t="str">
        <f>CONCATENATE(Таблица271[[#This Row],[Столбец1]],Таблица271[[#This Row],[Столбец2]])</f>
        <v>1,811,57</v>
      </c>
    </row>
    <row r="429" spans="1:7" x14ac:dyDescent="0.25">
      <c r="A429">
        <v>1.76</v>
      </c>
      <c r="B429">
        <v>1.57</v>
      </c>
      <c r="C429" t="str">
        <f>CONCATENATE(Таблица258[[#This Row],[Столбец1]],Таблица258[[#This Row],[Столбец2]])</f>
        <v>1,761,57</v>
      </c>
      <c r="E429">
        <v>1.81</v>
      </c>
      <c r="F429">
        <v>1.57</v>
      </c>
      <c r="G429" t="str">
        <f>CONCATENATE(Таблица271[[#This Row],[Столбец1]],Таблица271[[#This Row],[Столбец2]])</f>
        <v>1,811,57</v>
      </c>
    </row>
    <row r="430" spans="1:7" x14ac:dyDescent="0.25">
      <c r="A430">
        <v>1.76</v>
      </c>
      <c r="B430">
        <v>1.57</v>
      </c>
      <c r="C430" t="str">
        <f>CONCATENATE(Таблица258[[#This Row],[Столбец1]],Таблица258[[#This Row],[Столбец2]])</f>
        <v>1,761,57</v>
      </c>
      <c r="E430">
        <v>1.81</v>
      </c>
      <c r="F430">
        <v>1.57</v>
      </c>
      <c r="G430" t="str">
        <f>CONCATENATE(Таблица271[[#This Row],[Столбец1]],Таблица271[[#This Row],[Столбец2]])</f>
        <v>1,811,57</v>
      </c>
    </row>
    <row r="431" spans="1:7" x14ac:dyDescent="0.25">
      <c r="A431">
        <v>1.76</v>
      </c>
      <c r="B431">
        <v>1.57</v>
      </c>
      <c r="C431" t="str">
        <f>CONCATENATE(Таблица258[[#This Row],[Столбец1]],Таблица258[[#This Row],[Столбец2]])</f>
        <v>1,761,57</v>
      </c>
      <c r="E431">
        <v>1.81</v>
      </c>
      <c r="F431">
        <v>1.57</v>
      </c>
      <c r="G431" t="str">
        <f>CONCATENATE(Таблица271[[#This Row],[Столбец1]],Таблица271[[#This Row],[Столбец2]])</f>
        <v>1,811,57</v>
      </c>
    </row>
    <row r="432" spans="1:7" x14ac:dyDescent="0.25">
      <c r="A432">
        <v>1.77</v>
      </c>
      <c r="B432">
        <v>1.57</v>
      </c>
      <c r="C432" t="str">
        <f>CONCATENATE(Таблица258[[#This Row],[Столбец1]],Таблица258[[#This Row],[Столбец2]])</f>
        <v>1,771,57</v>
      </c>
      <c r="E432">
        <v>1.81</v>
      </c>
      <c r="F432">
        <v>1.57</v>
      </c>
      <c r="G432" t="str">
        <f>CONCATENATE(Таблица271[[#This Row],[Столбец1]],Таблица271[[#This Row],[Столбец2]])</f>
        <v>1,811,57</v>
      </c>
    </row>
    <row r="433" spans="1:7" x14ac:dyDescent="0.25">
      <c r="A433">
        <v>1.77</v>
      </c>
      <c r="B433">
        <v>1.57</v>
      </c>
      <c r="C433" t="str">
        <f>CONCATENATE(Таблица258[[#This Row],[Столбец1]],Таблица258[[#This Row],[Столбец2]])</f>
        <v>1,771,57</v>
      </c>
      <c r="E433">
        <v>1.81</v>
      </c>
      <c r="F433">
        <v>1.57</v>
      </c>
      <c r="G433" t="str">
        <f>CONCATENATE(Таблица271[[#This Row],[Столбец1]],Таблица271[[#This Row],[Столбец2]])</f>
        <v>1,811,57</v>
      </c>
    </row>
    <row r="434" spans="1:7" x14ac:dyDescent="0.25">
      <c r="A434">
        <v>1.77</v>
      </c>
      <c r="B434">
        <v>1.57</v>
      </c>
      <c r="C434" t="str">
        <f>CONCATENATE(Таблица258[[#This Row],[Столбец1]],Таблица258[[#This Row],[Столбец2]])</f>
        <v>1,771,57</v>
      </c>
      <c r="E434">
        <v>1.82</v>
      </c>
      <c r="F434">
        <v>1.57</v>
      </c>
      <c r="G434" t="str">
        <f>CONCATENATE(Таблица271[[#This Row],[Столбец1]],Таблица271[[#This Row],[Столбец2]])</f>
        <v>1,821,57</v>
      </c>
    </row>
    <row r="435" spans="1:7" x14ac:dyDescent="0.25">
      <c r="A435">
        <v>1.77</v>
      </c>
      <c r="B435">
        <v>1.57</v>
      </c>
      <c r="C435" t="str">
        <f>CONCATENATE(Таблица258[[#This Row],[Столбец1]],Таблица258[[#This Row],[Столбец2]])</f>
        <v>1,771,57</v>
      </c>
      <c r="E435">
        <v>1.82</v>
      </c>
      <c r="F435">
        <v>1.57</v>
      </c>
      <c r="G435" t="str">
        <f>CONCATENATE(Таблица271[[#This Row],[Столбец1]],Таблица271[[#This Row],[Столбец2]])</f>
        <v>1,821,57</v>
      </c>
    </row>
    <row r="436" spans="1:7" x14ac:dyDescent="0.25">
      <c r="A436">
        <v>1.77</v>
      </c>
      <c r="B436">
        <v>1.57</v>
      </c>
      <c r="C436" t="str">
        <f>CONCATENATE(Таблица258[[#This Row],[Столбец1]],Таблица258[[#This Row],[Столбец2]])</f>
        <v>1,771,57</v>
      </c>
      <c r="E436">
        <v>1.82</v>
      </c>
      <c r="F436">
        <v>1.57</v>
      </c>
      <c r="G436" t="str">
        <f>CONCATENATE(Таблица271[[#This Row],[Столбец1]],Таблица271[[#This Row],[Столбец2]])</f>
        <v>1,821,57</v>
      </c>
    </row>
    <row r="437" spans="1:7" x14ac:dyDescent="0.25">
      <c r="A437">
        <v>1.77</v>
      </c>
      <c r="B437">
        <v>1.57</v>
      </c>
      <c r="C437" t="str">
        <f>CONCATENATE(Таблица258[[#This Row],[Столбец1]],Таблица258[[#This Row],[Столбец2]])</f>
        <v>1,771,57</v>
      </c>
      <c r="E437">
        <v>1.82</v>
      </c>
      <c r="F437">
        <v>1.57</v>
      </c>
      <c r="G437" t="str">
        <f>CONCATENATE(Таблица271[[#This Row],[Столбец1]],Таблица271[[#This Row],[Столбец2]])</f>
        <v>1,821,57</v>
      </c>
    </row>
    <row r="438" spans="1:7" x14ac:dyDescent="0.25">
      <c r="A438">
        <v>1.78</v>
      </c>
      <c r="B438">
        <v>1.57</v>
      </c>
      <c r="C438" t="str">
        <f>CONCATENATE(Таблица258[[#This Row],[Столбец1]],Таблица258[[#This Row],[Столбец2]])</f>
        <v>1,781,57</v>
      </c>
      <c r="E438">
        <v>1.82</v>
      </c>
      <c r="F438">
        <v>1.57</v>
      </c>
      <c r="G438" t="str">
        <f>CONCATENATE(Таблица271[[#This Row],[Столбец1]],Таблица271[[#This Row],[Столбец2]])</f>
        <v>1,821,57</v>
      </c>
    </row>
    <row r="439" spans="1:7" x14ac:dyDescent="0.25">
      <c r="A439">
        <v>1.78</v>
      </c>
      <c r="B439">
        <v>1.57</v>
      </c>
      <c r="C439" t="str">
        <f>CONCATENATE(Таблица258[[#This Row],[Столбец1]],Таблица258[[#This Row],[Столбец2]])</f>
        <v>1,781,57</v>
      </c>
      <c r="E439">
        <v>1.82</v>
      </c>
      <c r="F439">
        <v>1.57</v>
      </c>
      <c r="G439" t="str">
        <f>CONCATENATE(Таблица271[[#This Row],[Столбец1]],Таблица271[[#This Row],[Столбец2]])</f>
        <v>1,821,57</v>
      </c>
    </row>
    <row r="440" spans="1:7" x14ac:dyDescent="0.25">
      <c r="A440">
        <v>1.78</v>
      </c>
      <c r="B440">
        <v>1.57</v>
      </c>
      <c r="C440" t="str">
        <f>CONCATENATE(Таблица258[[#This Row],[Столбец1]],Таблица258[[#This Row],[Столбец2]])</f>
        <v>1,781,57</v>
      </c>
      <c r="E440">
        <v>1.83</v>
      </c>
      <c r="F440">
        <v>1.57</v>
      </c>
      <c r="G440" t="str">
        <f>CONCATENATE(Таблица271[[#This Row],[Столбец1]],Таблица271[[#This Row],[Столбец2]])</f>
        <v>1,831,57</v>
      </c>
    </row>
    <row r="441" spans="1:7" x14ac:dyDescent="0.25">
      <c r="A441">
        <v>1.78</v>
      </c>
      <c r="B441">
        <v>1.57</v>
      </c>
      <c r="C441" t="str">
        <f>CONCATENATE(Таблица258[[#This Row],[Столбец1]],Таблица258[[#This Row],[Столбец2]])</f>
        <v>1,781,57</v>
      </c>
      <c r="E441">
        <v>1.83</v>
      </c>
      <c r="F441">
        <v>1.57</v>
      </c>
      <c r="G441" t="str">
        <f>CONCATENATE(Таблица271[[#This Row],[Столбец1]],Таблица271[[#This Row],[Столбец2]])</f>
        <v>1,831,57</v>
      </c>
    </row>
    <row r="442" spans="1:7" x14ac:dyDescent="0.25">
      <c r="A442">
        <v>1.78</v>
      </c>
      <c r="B442">
        <v>1.57</v>
      </c>
      <c r="C442" t="str">
        <f>CONCATENATE(Таблица258[[#This Row],[Столбец1]],Таблица258[[#This Row],[Столбец2]])</f>
        <v>1,781,57</v>
      </c>
      <c r="E442">
        <v>1.83</v>
      </c>
      <c r="F442">
        <v>1.57</v>
      </c>
      <c r="G442" t="str">
        <f>CONCATENATE(Таблица271[[#This Row],[Столбец1]],Таблица271[[#This Row],[Столбец2]])</f>
        <v>1,831,57</v>
      </c>
    </row>
    <row r="443" spans="1:7" x14ac:dyDescent="0.25">
      <c r="A443">
        <v>1.78</v>
      </c>
      <c r="B443">
        <v>1.57</v>
      </c>
      <c r="C443" t="str">
        <f>CONCATENATE(Таблица258[[#This Row],[Столбец1]],Таблица258[[#This Row],[Столбец2]])</f>
        <v>1,781,57</v>
      </c>
      <c r="E443">
        <v>1.83</v>
      </c>
      <c r="F443">
        <v>1.57</v>
      </c>
      <c r="G443" t="str">
        <f>CONCATENATE(Таблица271[[#This Row],[Столбец1]],Таблица271[[#This Row],[Столбец2]])</f>
        <v>1,831,57</v>
      </c>
    </row>
    <row r="444" spans="1:7" x14ac:dyDescent="0.25">
      <c r="A444">
        <v>1.79</v>
      </c>
      <c r="B444">
        <v>1.57</v>
      </c>
      <c r="C444" t="str">
        <f>CONCATENATE(Таблица258[[#This Row],[Столбец1]],Таблица258[[#This Row],[Столбец2]])</f>
        <v>1,791,57</v>
      </c>
      <c r="E444">
        <v>1.83</v>
      </c>
      <c r="F444">
        <v>1.57</v>
      </c>
      <c r="G444" t="str">
        <f>CONCATENATE(Таблица271[[#This Row],[Столбец1]],Таблица271[[#This Row],[Столбец2]])</f>
        <v>1,831,57</v>
      </c>
    </row>
    <row r="445" spans="1:7" x14ac:dyDescent="0.25">
      <c r="A445">
        <v>1.79</v>
      </c>
      <c r="B445">
        <v>1.57</v>
      </c>
      <c r="C445" t="str">
        <f>CONCATENATE(Таблица258[[#This Row],[Столбец1]],Таблица258[[#This Row],[Столбец2]])</f>
        <v>1,791,57</v>
      </c>
      <c r="E445">
        <v>1.83</v>
      </c>
      <c r="F445">
        <v>1.57</v>
      </c>
      <c r="G445" t="str">
        <f>CONCATENATE(Таблица271[[#This Row],[Столбец1]],Таблица271[[#This Row],[Столбец2]])</f>
        <v>1,831,57</v>
      </c>
    </row>
    <row r="446" spans="1:7" x14ac:dyDescent="0.25">
      <c r="A446">
        <v>1.79</v>
      </c>
      <c r="B446">
        <v>1.57</v>
      </c>
      <c r="C446" t="str">
        <f>CONCATENATE(Таблица258[[#This Row],[Столбец1]],Таблица258[[#This Row],[Столбец2]])</f>
        <v>1,791,57</v>
      </c>
      <c r="E446">
        <v>1.84</v>
      </c>
      <c r="F446">
        <v>1.57</v>
      </c>
      <c r="G446" t="str">
        <f>CONCATENATE(Таблица271[[#This Row],[Столбец1]],Таблица271[[#This Row],[Столбец2]])</f>
        <v>1,841,57</v>
      </c>
    </row>
    <row r="447" spans="1:7" x14ac:dyDescent="0.25">
      <c r="A447">
        <v>1.79</v>
      </c>
      <c r="B447">
        <v>1.57</v>
      </c>
      <c r="C447" t="str">
        <f>CONCATENATE(Таблица258[[#This Row],[Столбец1]],Таблица258[[#This Row],[Столбец2]])</f>
        <v>1,791,57</v>
      </c>
      <c r="E447">
        <v>1.84</v>
      </c>
      <c r="F447">
        <v>1.57</v>
      </c>
      <c r="G447" t="str">
        <f>CONCATENATE(Таблица271[[#This Row],[Столбец1]],Таблица271[[#This Row],[Столбец2]])</f>
        <v>1,841,57</v>
      </c>
    </row>
    <row r="448" spans="1:7" x14ac:dyDescent="0.25">
      <c r="A448">
        <v>1.79</v>
      </c>
      <c r="B448">
        <v>1.57</v>
      </c>
      <c r="C448" t="str">
        <f>CONCATENATE(Таблица258[[#This Row],[Столбец1]],Таблица258[[#This Row],[Столбец2]])</f>
        <v>1,791,57</v>
      </c>
      <c r="E448">
        <v>1.84</v>
      </c>
      <c r="F448">
        <v>1.57</v>
      </c>
      <c r="G448" t="str">
        <f>CONCATENATE(Таблица271[[#This Row],[Столбец1]],Таблица271[[#This Row],[Столбец2]])</f>
        <v>1,841,57</v>
      </c>
    </row>
    <row r="449" spans="1:7" x14ac:dyDescent="0.25">
      <c r="A449">
        <v>1.79</v>
      </c>
      <c r="B449">
        <v>1.57</v>
      </c>
      <c r="C449" t="str">
        <f>CONCATENATE(Таблица258[[#This Row],[Столбец1]],Таблица258[[#This Row],[Столбец2]])</f>
        <v>1,791,57</v>
      </c>
      <c r="E449">
        <v>1.84</v>
      </c>
      <c r="F449">
        <v>1.57</v>
      </c>
      <c r="G449" t="str">
        <f>CONCATENATE(Таблица271[[#This Row],[Столбец1]],Таблица271[[#This Row],[Столбец2]])</f>
        <v>1,841,57</v>
      </c>
    </row>
    <row r="450" spans="1:7" x14ac:dyDescent="0.25">
      <c r="A450">
        <v>1.8</v>
      </c>
      <c r="B450">
        <v>1.57</v>
      </c>
      <c r="C450" t="str">
        <f>CONCATENATE(Таблица258[[#This Row],[Столбец1]],Таблица258[[#This Row],[Столбец2]])</f>
        <v>1,81,57</v>
      </c>
      <c r="E450">
        <v>1.84</v>
      </c>
      <c r="F450">
        <v>1.57</v>
      </c>
      <c r="G450" t="str">
        <f>CONCATENATE(Таблица271[[#This Row],[Столбец1]],Таблица271[[#This Row],[Столбец2]])</f>
        <v>1,841,57</v>
      </c>
    </row>
    <row r="451" spans="1:7" x14ac:dyDescent="0.25">
      <c r="A451">
        <v>1.8</v>
      </c>
      <c r="B451">
        <v>1.57</v>
      </c>
      <c r="C451" t="str">
        <f>CONCATENATE(Таблица258[[#This Row],[Столбец1]],Таблица258[[#This Row],[Столбец2]])</f>
        <v>1,81,57</v>
      </c>
      <c r="E451">
        <v>1.84</v>
      </c>
      <c r="F451">
        <v>1.57</v>
      </c>
      <c r="G451" t="str">
        <f>CONCATENATE(Таблица271[[#This Row],[Столбец1]],Таблица271[[#This Row],[Столбец2]])</f>
        <v>1,841,57</v>
      </c>
    </row>
    <row r="452" spans="1:7" x14ac:dyDescent="0.25">
      <c r="A452">
        <v>1.8</v>
      </c>
      <c r="B452">
        <v>1.57</v>
      </c>
      <c r="C452" t="str">
        <f>CONCATENATE(Таблица258[[#This Row],[Столбец1]],Таблица258[[#This Row],[Столбец2]])</f>
        <v>1,81,57</v>
      </c>
      <c r="E452">
        <v>1.85</v>
      </c>
      <c r="F452">
        <v>1.57</v>
      </c>
      <c r="G452" t="str">
        <f>CONCATENATE(Таблица271[[#This Row],[Столбец1]],Таблица271[[#This Row],[Столбец2]])</f>
        <v>1,851,57</v>
      </c>
    </row>
    <row r="453" spans="1:7" x14ac:dyDescent="0.25">
      <c r="A453">
        <v>1.8</v>
      </c>
      <c r="B453">
        <v>1.57</v>
      </c>
      <c r="C453" t="str">
        <f>CONCATENATE(Таблица258[[#This Row],[Столбец1]],Таблица258[[#This Row],[Столбец2]])</f>
        <v>1,81,57</v>
      </c>
      <c r="E453">
        <v>1.85</v>
      </c>
      <c r="F453">
        <v>1.57</v>
      </c>
      <c r="G453" t="str">
        <f>CONCATENATE(Таблица271[[#This Row],[Столбец1]],Таблица271[[#This Row],[Столбец2]])</f>
        <v>1,851,57</v>
      </c>
    </row>
    <row r="454" spans="1:7" x14ac:dyDescent="0.25">
      <c r="A454">
        <v>1.8</v>
      </c>
      <c r="B454">
        <v>1.57</v>
      </c>
      <c r="C454" t="str">
        <f>CONCATENATE(Таблица258[[#This Row],[Столбец1]],Таблица258[[#This Row],[Столбец2]])</f>
        <v>1,81,57</v>
      </c>
      <c r="E454">
        <v>1.85</v>
      </c>
      <c r="F454">
        <v>1.57</v>
      </c>
      <c r="G454" t="str">
        <f>CONCATENATE(Таблица271[[#This Row],[Столбец1]],Таблица271[[#This Row],[Столбец2]])</f>
        <v>1,851,57</v>
      </c>
    </row>
    <row r="455" spans="1:7" x14ac:dyDescent="0.25">
      <c r="A455">
        <v>1.8</v>
      </c>
      <c r="B455">
        <v>1.57</v>
      </c>
      <c r="C455" t="str">
        <f>CONCATENATE(Таблица258[[#This Row],[Столбец1]],Таблица258[[#This Row],[Столбец2]])</f>
        <v>1,81,57</v>
      </c>
      <c r="E455">
        <v>1.85</v>
      </c>
      <c r="F455">
        <v>1.57</v>
      </c>
      <c r="G455" t="str">
        <f>CONCATENATE(Таблица271[[#This Row],[Столбец1]],Таблица271[[#This Row],[Столбец2]])</f>
        <v>1,851,57</v>
      </c>
    </row>
    <row r="456" spans="1:7" x14ac:dyDescent="0.25">
      <c r="A456">
        <v>1.81</v>
      </c>
      <c r="B456">
        <v>1.57</v>
      </c>
      <c r="C456" t="str">
        <f>CONCATENATE(Таблица258[[#This Row],[Столбец1]],Таблица258[[#This Row],[Столбец2]])</f>
        <v>1,811,57</v>
      </c>
      <c r="E456">
        <v>1.85</v>
      </c>
      <c r="F456">
        <v>1.57</v>
      </c>
      <c r="G456" t="str">
        <f>CONCATENATE(Таблица271[[#This Row],[Столбец1]],Таблица271[[#This Row],[Столбец2]])</f>
        <v>1,851,57</v>
      </c>
    </row>
    <row r="457" spans="1:7" x14ac:dyDescent="0.25">
      <c r="A457">
        <v>1.81</v>
      </c>
      <c r="B457">
        <v>1.57</v>
      </c>
      <c r="C457" t="str">
        <f>CONCATENATE(Таблица258[[#This Row],[Столбец1]],Таблица258[[#This Row],[Столбец2]])</f>
        <v>1,811,57</v>
      </c>
      <c r="E457">
        <v>1.85</v>
      </c>
      <c r="F457">
        <v>1.57</v>
      </c>
      <c r="G457" t="str">
        <f>CONCATENATE(Таблица271[[#This Row],[Столбец1]],Таблица271[[#This Row],[Столбец2]])</f>
        <v>1,851,57</v>
      </c>
    </row>
    <row r="458" spans="1:7" x14ac:dyDescent="0.25">
      <c r="A458">
        <v>1.81</v>
      </c>
      <c r="B458">
        <v>1.57</v>
      </c>
      <c r="C458" t="str">
        <f>CONCATENATE(Таблица258[[#This Row],[Столбец1]],Таблица258[[#This Row],[Столбец2]])</f>
        <v>1,811,57</v>
      </c>
      <c r="E458">
        <v>1.86</v>
      </c>
      <c r="F458">
        <v>1.57</v>
      </c>
      <c r="G458" t="str">
        <f>CONCATENATE(Таблица271[[#This Row],[Столбец1]],Таблица271[[#This Row],[Столбец2]])</f>
        <v>1,861,57</v>
      </c>
    </row>
    <row r="459" spans="1:7" x14ac:dyDescent="0.25">
      <c r="A459">
        <v>1.81</v>
      </c>
      <c r="B459">
        <v>1.57</v>
      </c>
      <c r="C459" t="str">
        <f>CONCATENATE(Таблица258[[#This Row],[Столбец1]],Таблица258[[#This Row],[Столбец2]])</f>
        <v>1,811,57</v>
      </c>
      <c r="E459">
        <v>1.86</v>
      </c>
      <c r="F459">
        <v>1.57</v>
      </c>
      <c r="G459" t="str">
        <f>CONCATENATE(Таблица271[[#This Row],[Столбец1]],Таблица271[[#This Row],[Столбец2]])</f>
        <v>1,861,57</v>
      </c>
    </row>
    <row r="460" spans="1:7" x14ac:dyDescent="0.25">
      <c r="A460">
        <v>1.81</v>
      </c>
      <c r="B460">
        <v>1.57</v>
      </c>
      <c r="C460" t="str">
        <f>CONCATENATE(Таблица258[[#This Row],[Столбец1]],Таблица258[[#This Row],[Столбец2]])</f>
        <v>1,811,57</v>
      </c>
      <c r="E460">
        <v>1.86</v>
      </c>
      <c r="F460">
        <v>1.57</v>
      </c>
      <c r="G460" t="str">
        <f>CONCATENATE(Таблица271[[#This Row],[Столбец1]],Таблица271[[#This Row],[Столбец2]])</f>
        <v>1,861,57</v>
      </c>
    </row>
    <row r="461" spans="1:7" x14ac:dyDescent="0.25">
      <c r="A461">
        <v>1.81</v>
      </c>
      <c r="B461">
        <v>1.57</v>
      </c>
      <c r="C461" t="str">
        <f>CONCATENATE(Таблица258[[#This Row],[Столбец1]],Таблица258[[#This Row],[Столбец2]])</f>
        <v>1,811,57</v>
      </c>
      <c r="E461">
        <v>1.86</v>
      </c>
      <c r="F461">
        <v>1.57</v>
      </c>
      <c r="G461" t="str">
        <f>CONCATENATE(Таблица271[[#This Row],[Столбец1]],Таблица271[[#This Row],[Столбец2]])</f>
        <v>1,861,57</v>
      </c>
    </row>
    <row r="462" spans="1:7" x14ac:dyDescent="0.25">
      <c r="A462">
        <v>1.82</v>
      </c>
      <c r="B462">
        <v>1.57</v>
      </c>
      <c r="C462" t="str">
        <f>CONCATENATE(Таблица258[[#This Row],[Столбец1]],Таблица258[[#This Row],[Столбец2]])</f>
        <v>1,821,57</v>
      </c>
      <c r="E462">
        <v>1.86</v>
      </c>
      <c r="F462">
        <v>1.57</v>
      </c>
      <c r="G462" t="str">
        <f>CONCATENATE(Таблица271[[#This Row],[Столбец1]],Таблица271[[#This Row],[Столбец2]])</f>
        <v>1,861,57</v>
      </c>
    </row>
    <row r="463" spans="1:7" x14ac:dyDescent="0.25">
      <c r="A463">
        <v>1.82</v>
      </c>
      <c r="B463">
        <v>1.57</v>
      </c>
      <c r="C463" t="str">
        <f>CONCATENATE(Таблица258[[#This Row],[Столбец1]],Таблица258[[#This Row],[Столбец2]])</f>
        <v>1,821,57</v>
      </c>
      <c r="E463">
        <v>1.86</v>
      </c>
      <c r="F463">
        <v>1.57</v>
      </c>
      <c r="G463" t="str">
        <f>CONCATENATE(Таблица271[[#This Row],[Столбец1]],Таблица271[[#This Row],[Столбец2]])</f>
        <v>1,861,57</v>
      </c>
    </row>
    <row r="464" spans="1:7" x14ac:dyDescent="0.25">
      <c r="A464">
        <v>1.82</v>
      </c>
      <c r="B464">
        <v>1.57</v>
      </c>
      <c r="C464" t="str">
        <f>CONCATENATE(Таблица258[[#This Row],[Столбец1]],Таблица258[[#This Row],[Столбец2]])</f>
        <v>1,821,57</v>
      </c>
      <c r="E464">
        <v>1.87</v>
      </c>
      <c r="F464">
        <v>1.57</v>
      </c>
      <c r="G464" t="str">
        <f>CONCATENATE(Таблица271[[#This Row],[Столбец1]],Таблица271[[#This Row],[Столбец2]])</f>
        <v>1,871,57</v>
      </c>
    </row>
    <row r="465" spans="1:7" x14ac:dyDescent="0.25">
      <c r="A465">
        <v>1.82</v>
      </c>
      <c r="B465">
        <v>1.57</v>
      </c>
      <c r="C465" t="str">
        <f>CONCATENATE(Таблица258[[#This Row],[Столбец1]],Таблица258[[#This Row],[Столбец2]])</f>
        <v>1,821,57</v>
      </c>
      <c r="E465">
        <v>1.87</v>
      </c>
      <c r="F465">
        <v>1.57</v>
      </c>
      <c r="G465" t="str">
        <f>CONCATENATE(Таблица271[[#This Row],[Столбец1]],Таблица271[[#This Row],[Столбец2]])</f>
        <v>1,871,57</v>
      </c>
    </row>
    <row r="466" spans="1:7" x14ac:dyDescent="0.25">
      <c r="A466">
        <v>1.82</v>
      </c>
      <c r="B466">
        <v>1.57</v>
      </c>
      <c r="C466" t="str">
        <f>CONCATENATE(Таблица258[[#This Row],[Столбец1]],Таблица258[[#This Row],[Столбец2]])</f>
        <v>1,821,57</v>
      </c>
      <c r="E466">
        <v>1.87</v>
      </c>
      <c r="F466">
        <v>1.57</v>
      </c>
      <c r="G466" t="str">
        <f>CONCATENATE(Таблица271[[#This Row],[Столбец1]],Таблица271[[#This Row],[Столбец2]])</f>
        <v>1,871,57</v>
      </c>
    </row>
    <row r="467" spans="1:7" x14ac:dyDescent="0.25">
      <c r="A467">
        <v>1.82</v>
      </c>
      <c r="B467">
        <v>1.57</v>
      </c>
      <c r="C467" t="str">
        <f>CONCATENATE(Таблица258[[#This Row],[Столбец1]],Таблица258[[#This Row],[Столбец2]])</f>
        <v>1,821,57</v>
      </c>
      <c r="E467">
        <v>1.87</v>
      </c>
      <c r="F467">
        <v>1.57</v>
      </c>
      <c r="G467" t="str">
        <f>CONCATENATE(Таблица271[[#This Row],[Столбец1]],Таблица271[[#This Row],[Столбец2]])</f>
        <v>1,871,57</v>
      </c>
    </row>
    <row r="468" spans="1:7" x14ac:dyDescent="0.25">
      <c r="A468">
        <v>1.83</v>
      </c>
      <c r="B468">
        <v>1.57</v>
      </c>
      <c r="C468" t="str">
        <f>CONCATENATE(Таблица258[[#This Row],[Столбец1]],Таблица258[[#This Row],[Столбец2]])</f>
        <v>1,831,57</v>
      </c>
      <c r="E468">
        <v>1.87</v>
      </c>
      <c r="F468">
        <v>1.57</v>
      </c>
      <c r="G468" t="str">
        <f>CONCATENATE(Таблица271[[#This Row],[Столбец1]],Таблица271[[#This Row],[Столбец2]])</f>
        <v>1,871,57</v>
      </c>
    </row>
    <row r="469" spans="1:7" x14ac:dyDescent="0.25">
      <c r="A469">
        <v>1.83</v>
      </c>
      <c r="B469">
        <v>1.57</v>
      </c>
      <c r="C469" t="str">
        <f>CONCATENATE(Таблица258[[#This Row],[Столбец1]],Таблица258[[#This Row],[Столбец2]])</f>
        <v>1,831,57</v>
      </c>
      <c r="E469">
        <v>1.87</v>
      </c>
      <c r="F469">
        <v>1.57</v>
      </c>
      <c r="G469" t="str">
        <f>CONCATENATE(Таблица271[[#This Row],[Столбец1]],Таблица271[[#This Row],[Столбец2]])</f>
        <v>1,871,57</v>
      </c>
    </row>
    <row r="470" spans="1:7" x14ac:dyDescent="0.25">
      <c r="A470">
        <v>1.83</v>
      </c>
      <c r="B470">
        <v>1.57</v>
      </c>
      <c r="C470" t="str">
        <f>CONCATENATE(Таблица258[[#This Row],[Столбец1]],Таблица258[[#This Row],[Столбец2]])</f>
        <v>1,831,57</v>
      </c>
      <c r="E470">
        <v>1.88</v>
      </c>
      <c r="F470">
        <v>1.57</v>
      </c>
      <c r="G470" t="str">
        <f>CONCATENATE(Таблица271[[#This Row],[Столбец1]],Таблица271[[#This Row],[Столбец2]])</f>
        <v>1,881,57</v>
      </c>
    </row>
    <row r="471" spans="1:7" x14ac:dyDescent="0.25">
      <c r="A471">
        <v>1.83</v>
      </c>
      <c r="B471">
        <v>1.57</v>
      </c>
      <c r="C471" t="str">
        <f>CONCATENATE(Таблица258[[#This Row],[Столбец1]],Таблица258[[#This Row],[Столбец2]])</f>
        <v>1,831,57</v>
      </c>
      <c r="E471">
        <v>1.88</v>
      </c>
      <c r="F471">
        <v>1.57</v>
      </c>
      <c r="G471" t="str">
        <f>CONCATENATE(Таблица271[[#This Row],[Столбец1]],Таблица271[[#This Row],[Столбец2]])</f>
        <v>1,881,57</v>
      </c>
    </row>
    <row r="472" spans="1:7" x14ac:dyDescent="0.25">
      <c r="A472">
        <v>1.83</v>
      </c>
      <c r="B472">
        <v>1.57</v>
      </c>
      <c r="C472" t="str">
        <f>CONCATENATE(Таблица258[[#This Row],[Столбец1]],Таблица258[[#This Row],[Столбец2]])</f>
        <v>1,831,57</v>
      </c>
      <c r="E472">
        <v>1.88</v>
      </c>
      <c r="F472">
        <v>1.57</v>
      </c>
      <c r="G472" t="str">
        <f>CONCATENATE(Таблица271[[#This Row],[Столбец1]],Таблица271[[#This Row],[Столбец2]])</f>
        <v>1,881,57</v>
      </c>
    </row>
    <row r="473" spans="1:7" x14ac:dyDescent="0.25">
      <c r="A473">
        <v>1.83</v>
      </c>
      <c r="B473">
        <v>1.57</v>
      </c>
      <c r="C473" t="str">
        <f>CONCATENATE(Таблица258[[#This Row],[Столбец1]],Таблица258[[#This Row],[Столбец2]])</f>
        <v>1,831,57</v>
      </c>
      <c r="E473">
        <v>1.88</v>
      </c>
      <c r="F473">
        <v>1.57</v>
      </c>
      <c r="G473" t="str">
        <f>CONCATENATE(Таблица271[[#This Row],[Столбец1]],Таблица271[[#This Row],[Столбец2]])</f>
        <v>1,881,57</v>
      </c>
    </row>
    <row r="474" spans="1:7" x14ac:dyDescent="0.25">
      <c r="A474">
        <v>1.84</v>
      </c>
      <c r="B474">
        <v>1.57</v>
      </c>
      <c r="C474" t="str">
        <f>CONCATENATE(Таблица258[[#This Row],[Столбец1]],Таблица258[[#This Row],[Столбец2]])</f>
        <v>1,841,57</v>
      </c>
      <c r="E474">
        <v>1.88</v>
      </c>
      <c r="F474">
        <v>1.57</v>
      </c>
      <c r="G474" t="str">
        <f>CONCATENATE(Таблица271[[#This Row],[Столбец1]],Таблица271[[#This Row],[Столбец2]])</f>
        <v>1,881,57</v>
      </c>
    </row>
    <row r="475" spans="1:7" x14ac:dyDescent="0.25">
      <c r="A475">
        <v>1.84</v>
      </c>
      <c r="B475">
        <v>1.57</v>
      </c>
      <c r="C475" t="str">
        <f>CONCATENATE(Таблица258[[#This Row],[Столбец1]],Таблица258[[#This Row],[Столбец2]])</f>
        <v>1,841,57</v>
      </c>
      <c r="E475">
        <v>1.88</v>
      </c>
      <c r="F475">
        <v>1.57</v>
      </c>
      <c r="G475" t="str">
        <f>CONCATENATE(Таблица271[[#This Row],[Столбец1]],Таблица271[[#This Row],[Столбец2]])</f>
        <v>1,881,57</v>
      </c>
    </row>
    <row r="476" spans="1:7" x14ac:dyDescent="0.25">
      <c r="A476">
        <v>1.84</v>
      </c>
      <c r="B476">
        <v>1.57</v>
      </c>
      <c r="C476" t="str">
        <f>CONCATENATE(Таблица258[[#This Row],[Столбец1]],Таблица258[[#This Row],[Столбец2]])</f>
        <v>1,841,57</v>
      </c>
      <c r="E476">
        <v>1.89</v>
      </c>
      <c r="F476">
        <v>1.57</v>
      </c>
      <c r="G476" t="str">
        <f>CONCATENATE(Таблица271[[#This Row],[Столбец1]],Таблица271[[#This Row],[Столбец2]])</f>
        <v>1,891,57</v>
      </c>
    </row>
    <row r="477" spans="1:7" x14ac:dyDescent="0.25">
      <c r="A477">
        <v>1.84</v>
      </c>
      <c r="B477">
        <v>1.57</v>
      </c>
      <c r="C477" t="str">
        <f>CONCATENATE(Таблица258[[#This Row],[Столбец1]],Таблица258[[#This Row],[Столбец2]])</f>
        <v>1,841,57</v>
      </c>
      <c r="E477">
        <v>1.89</v>
      </c>
      <c r="F477">
        <v>1.57</v>
      </c>
      <c r="G477" t="str">
        <f>CONCATENATE(Таблица271[[#This Row],[Столбец1]],Таблица271[[#This Row],[Столбец2]])</f>
        <v>1,891,57</v>
      </c>
    </row>
    <row r="478" spans="1:7" x14ac:dyDescent="0.25">
      <c r="A478">
        <v>1.84</v>
      </c>
      <c r="B478">
        <v>1.57</v>
      </c>
      <c r="C478" t="str">
        <f>CONCATENATE(Таблица258[[#This Row],[Столбец1]],Таблица258[[#This Row],[Столбец2]])</f>
        <v>1,841,57</v>
      </c>
      <c r="E478">
        <v>1.89</v>
      </c>
      <c r="F478">
        <v>1.57</v>
      </c>
      <c r="G478" t="str">
        <f>CONCATENATE(Таблица271[[#This Row],[Столбец1]],Таблица271[[#This Row],[Столбец2]])</f>
        <v>1,891,57</v>
      </c>
    </row>
    <row r="479" spans="1:7" x14ac:dyDescent="0.25">
      <c r="A479">
        <v>1.84</v>
      </c>
      <c r="B479">
        <v>1.57</v>
      </c>
      <c r="C479" t="str">
        <f>CONCATENATE(Таблица258[[#This Row],[Столбец1]],Таблица258[[#This Row],[Столбец2]])</f>
        <v>1,841,57</v>
      </c>
      <c r="E479">
        <v>1.89</v>
      </c>
      <c r="F479">
        <v>1.57</v>
      </c>
      <c r="G479" t="str">
        <f>CONCATENATE(Таблица271[[#This Row],[Столбец1]],Таблица271[[#This Row],[Столбец2]])</f>
        <v>1,891,57</v>
      </c>
    </row>
    <row r="480" spans="1:7" x14ac:dyDescent="0.25">
      <c r="A480">
        <v>1.85</v>
      </c>
      <c r="B480">
        <v>1.57</v>
      </c>
      <c r="C480" t="str">
        <f>CONCATENATE(Таблица258[[#This Row],[Столбец1]],Таблица258[[#This Row],[Столбец2]])</f>
        <v>1,851,57</v>
      </c>
      <c r="E480">
        <v>1.89</v>
      </c>
      <c r="F480">
        <v>1.57</v>
      </c>
      <c r="G480" t="str">
        <f>CONCATENATE(Таблица271[[#This Row],[Столбец1]],Таблица271[[#This Row],[Столбец2]])</f>
        <v>1,891,57</v>
      </c>
    </row>
    <row r="481" spans="1:7" x14ac:dyDescent="0.25">
      <c r="A481">
        <v>1.85</v>
      </c>
      <c r="B481">
        <v>1.57</v>
      </c>
      <c r="C481" t="str">
        <f>CONCATENATE(Таблица258[[#This Row],[Столбец1]],Таблица258[[#This Row],[Столбец2]])</f>
        <v>1,851,57</v>
      </c>
      <c r="E481">
        <v>1.89</v>
      </c>
      <c r="F481">
        <v>1.57</v>
      </c>
      <c r="G481" t="str">
        <f>CONCATENATE(Таблица271[[#This Row],[Столбец1]],Таблица271[[#This Row],[Столбец2]])</f>
        <v>1,891,57</v>
      </c>
    </row>
    <row r="482" spans="1:7" x14ac:dyDescent="0.25">
      <c r="A482">
        <v>1.85</v>
      </c>
      <c r="B482">
        <v>1.57</v>
      </c>
      <c r="C482" t="str">
        <f>CONCATENATE(Таблица258[[#This Row],[Столбец1]],Таблица258[[#This Row],[Столбец2]])</f>
        <v>1,851,57</v>
      </c>
      <c r="E482">
        <v>1.9</v>
      </c>
      <c r="F482">
        <v>1.57</v>
      </c>
      <c r="G482" t="str">
        <f>CONCATENATE(Таблица271[[#This Row],[Столбец1]],Таблица271[[#This Row],[Столбец2]])</f>
        <v>1,91,57</v>
      </c>
    </row>
    <row r="483" spans="1:7" x14ac:dyDescent="0.25">
      <c r="A483">
        <v>1.85</v>
      </c>
      <c r="B483">
        <v>1.57</v>
      </c>
      <c r="C483" t="str">
        <f>CONCATENATE(Таблица258[[#This Row],[Столбец1]],Таблица258[[#This Row],[Столбец2]])</f>
        <v>1,851,57</v>
      </c>
      <c r="E483">
        <v>1.9</v>
      </c>
      <c r="F483">
        <v>1.57</v>
      </c>
      <c r="G483" t="str">
        <f>CONCATENATE(Таблица271[[#This Row],[Столбец1]],Таблица271[[#This Row],[Столбец2]])</f>
        <v>1,91,57</v>
      </c>
    </row>
    <row r="484" spans="1:7" x14ac:dyDescent="0.25">
      <c r="A484">
        <v>1.85</v>
      </c>
      <c r="B484">
        <v>1.57</v>
      </c>
      <c r="C484" t="str">
        <f>CONCATENATE(Таблица258[[#This Row],[Столбец1]],Таблица258[[#This Row],[Столбец2]])</f>
        <v>1,851,57</v>
      </c>
      <c r="E484">
        <v>1.9</v>
      </c>
      <c r="F484">
        <v>1.57</v>
      </c>
      <c r="G484" t="str">
        <f>CONCATENATE(Таблица271[[#This Row],[Столбец1]],Таблица271[[#This Row],[Столбец2]])</f>
        <v>1,91,57</v>
      </c>
    </row>
    <row r="485" spans="1:7" x14ac:dyDescent="0.25">
      <c r="A485">
        <v>1.85</v>
      </c>
      <c r="B485">
        <v>1.57</v>
      </c>
      <c r="C485" t="str">
        <f>CONCATENATE(Таблица258[[#This Row],[Столбец1]],Таблица258[[#This Row],[Столбец2]])</f>
        <v>1,851,57</v>
      </c>
      <c r="E485">
        <v>1.9</v>
      </c>
      <c r="F485">
        <v>1.57</v>
      </c>
      <c r="G485" t="str">
        <f>CONCATENATE(Таблица271[[#This Row],[Столбец1]],Таблица271[[#This Row],[Столбец2]])</f>
        <v>1,91,57</v>
      </c>
    </row>
    <row r="486" spans="1:7" x14ac:dyDescent="0.25">
      <c r="A486">
        <v>1.86</v>
      </c>
      <c r="B486">
        <v>1.57</v>
      </c>
      <c r="C486" t="str">
        <f>CONCATENATE(Таблица258[[#This Row],[Столбец1]],Таблица258[[#This Row],[Столбец2]])</f>
        <v>1,861,57</v>
      </c>
      <c r="E486">
        <v>1.9</v>
      </c>
      <c r="F486">
        <v>1.57</v>
      </c>
      <c r="G486" t="str">
        <f>CONCATENATE(Таблица271[[#This Row],[Столбец1]],Таблица271[[#This Row],[Столбец2]])</f>
        <v>1,91,57</v>
      </c>
    </row>
    <row r="487" spans="1:7" x14ac:dyDescent="0.25">
      <c r="A487">
        <v>1.86</v>
      </c>
      <c r="B487">
        <v>1.57</v>
      </c>
      <c r="C487" t="str">
        <f>CONCATENATE(Таблица258[[#This Row],[Столбец1]],Таблица258[[#This Row],[Столбец2]])</f>
        <v>1,861,57</v>
      </c>
      <c r="E487">
        <v>1.9</v>
      </c>
      <c r="F487">
        <v>1.57</v>
      </c>
      <c r="G487" t="str">
        <f>CONCATENATE(Таблица271[[#This Row],[Столбец1]],Таблица271[[#This Row],[Столбец2]])</f>
        <v>1,91,57</v>
      </c>
    </row>
    <row r="488" spans="1:7" x14ac:dyDescent="0.25">
      <c r="A488">
        <v>1.86</v>
      </c>
      <c r="B488">
        <v>1.57</v>
      </c>
      <c r="C488" t="str">
        <f>CONCATENATE(Таблица258[[#This Row],[Столбец1]],Таблица258[[#This Row],[Столбец2]])</f>
        <v>1,861,57</v>
      </c>
      <c r="E488">
        <v>1.91</v>
      </c>
      <c r="F488">
        <v>1.57</v>
      </c>
      <c r="G488" t="str">
        <f>CONCATENATE(Таблица271[[#This Row],[Столбец1]],Таблица271[[#This Row],[Столбец2]])</f>
        <v>1,911,57</v>
      </c>
    </row>
    <row r="489" spans="1:7" x14ac:dyDescent="0.25">
      <c r="A489">
        <v>1.86</v>
      </c>
      <c r="B489">
        <v>1.57</v>
      </c>
      <c r="C489" t="str">
        <f>CONCATENATE(Таблица258[[#This Row],[Столбец1]],Таблица258[[#This Row],[Столбец2]])</f>
        <v>1,861,57</v>
      </c>
      <c r="E489">
        <v>1.91</v>
      </c>
      <c r="F489">
        <v>1.57</v>
      </c>
      <c r="G489" t="str">
        <f>CONCATENATE(Таблица271[[#This Row],[Столбец1]],Таблица271[[#This Row],[Столбец2]])</f>
        <v>1,911,57</v>
      </c>
    </row>
    <row r="490" spans="1:7" x14ac:dyDescent="0.25">
      <c r="A490">
        <v>1.86</v>
      </c>
      <c r="B490">
        <v>1.57</v>
      </c>
      <c r="C490" t="str">
        <f>CONCATENATE(Таблица258[[#This Row],[Столбец1]],Таблица258[[#This Row],[Столбец2]])</f>
        <v>1,861,57</v>
      </c>
      <c r="E490">
        <v>1.91</v>
      </c>
      <c r="F490">
        <v>1.57</v>
      </c>
      <c r="G490" t="str">
        <f>CONCATENATE(Таблица271[[#This Row],[Столбец1]],Таблица271[[#This Row],[Столбец2]])</f>
        <v>1,911,57</v>
      </c>
    </row>
    <row r="491" spans="1:7" x14ac:dyDescent="0.25">
      <c r="A491">
        <v>1.86</v>
      </c>
      <c r="B491">
        <v>1.57</v>
      </c>
      <c r="C491" t="str">
        <f>CONCATENATE(Таблица258[[#This Row],[Столбец1]],Таблица258[[#This Row],[Столбец2]])</f>
        <v>1,861,57</v>
      </c>
      <c r="E491">
        <v>1.91</v>
      </c>
      <c r="F491">
        <v>1.57</v>
      </c>
      <c r="G491" t="str">
        <f>CONCATENATE(Таблица271[[#This Row],[Столбец1]],Таблица271[[#This Row],[Столбец2]])</f>
        <v>1,911,57</v>
      </c>
    </row>
    <row r="492" spans="1:7" x14ac:dyDescent="0.25">
      <c r="A492">
        <v>1.87</v>
      </c>
      <c r="B492">
        <v>1.57</v>
      </c>
      <c r="C492" t="str">
        <f>CONCATENATE(Таблица258[[#This Row],[Столбец1]],Таблица258[[#This Row],[Столбец2]])</f>
        <v>1,871,57</v>
      </c>
      <c r="E492">
        <v>1.91</v>
      </c>
      <c r="F492">
        <v>1.57</v>
      </c>
      <c r="G492" t="str">
        <f>CONCATENATE(Таблица271[[#This Row],[Столбец1]],Таблица271[[#This Row],[Столбец2]])</f>
        <v>1,911,57</v>
      </c>
    </row>
    <row r="493" spans="1:7" x14ac:dyDescent="0.25">
      <c r="A493">
        <v>1.87</v>
      </c>
      <c r="B493">
        <v>1.57</v>
      </c>
      <c r="C493" t="str">
        <f>CONCATENATE(Таблица258[[#This Row],[Столбец1]],Таблица258[[#This Row],[Столбец2]])</f>
        <v>1,871,57</v>
      </c>
      <c r="E493">
        <v>1.91</v>
      </c>
      <c r="F493">
        <v>1.57</v>
      </c>
      <c r="G493" t="str">
        <f>CONCATENATE(Таблица271[[#This Row],[Столбец1]],Таблица271[[#This Row],[Столбец2]])</f>
        <v>1,911,57</v>
      </c>
    </row>
    <row r="494" spans="1:7" x14ac:dyDescent="0.25">
      <c r="A494">
        <v>1.87</v>
      </c>
      <c r="B494">
        <v>1.57</v>
      </c>
      <c r="C494" t="str">
        <f>CONCATENATE(Таблица258[[#This Row],[Столбец1]],Таблица258[[#This Row],[Столбец2]])</f>
        <v>1,871,57</v>
      </c>
      <c r="E494">
        <v>1.92</v>
      </c>
      <c r="F494">
        <v>1.57</v>
      </c>
      <c r="G494" t="str">
        <f>CONCATENATE(Таблица271[[#This Row],[Столбец1]],Таблица271[[#This Row],[Столбец2]])</f>
        <v>1,921,57</v>
      </c>
    </row>
    <row r="495" spans="1:7" x14ac:dyDescent="0.25">
      <c r="A495">
        <v>1.87</v>
      </c>
      <c r="B495">
        <v>1.57</v>
      </c>
      <c r="C495" t="str">
        <f>CONCATENATE(Таблица258[[#This Row],[Столбец1]],Таблица258[[#This Row],[Столбец2]])</f>
        <v>1,871,57</v>
      </c>
      <c r="E495">
        <v>1.92</v>
      </c>
      <c r="F495">
        <v>1.57</v>
      </c>
      <c r="G495" t="str">
        <f>CONCATENATE(Таблица271[[#This Row],[Столбец1]],Таблица271[[#This Row],[Столбец2]])</f>
        <v>1,921,57</v>
      </c>
    </row>
    <row r="496" spans="1:7" x14ac:dyDescent="0.25">
      <c r="A496">
        <v>1.87</v>
      </c>
      <c r="B496">
        <v>1.57</v>
      </c>
      <c r="C496" t="str">
        <f>CONCATENATE(Таблица258[[#This Row],[Столбец1]],Таблица258[[#This Row],[Столбец2]])</f>
        <v>1,871,57</v>
      </c>
      <c r="E496">
        <v>1.92</v>
      </c>
      <c r="F496">
        <v>1.57</v>
      </c>
      <c r="G496" t="str">
        <f>CONCATENATE(Таблица271[[#This Row],[Столбец1]],Таблица271[[#This Row],[Столбец2]])</f>
        <v>1,921,57</v>
      </c>
    </row>
    <row r="497" spans="1:7" x14ac:dyDescent="0.25">
      <c r="A497">
        <v>1.87</v>
      </c>
      <c r="B497">
        <v>1.57</v>
      </c>
      <c r="C497" t="str">
        <f>CONCATENATE(Таблица258[[#This Row],[Столбец1]],Таблица258[[#This Row],[Столбец2]])</f>
        <v>1,871,57</v>
      </c>
      <c r="E497">
        <v>1.92</v>
      </c>
      <c r="F497">
        <v>1.57</v>
      </c>
      <c r="G497" t="str">
        <f>CONCATENATE(Таблица271[[#This Row],[Столбец1]],Таблица271[[#This Row],[Столбец2]])</f>
        <v>1,921,57</v>
      </c>
    </row>
    <row r="498" spans="1:7" x14ac:dyDescent="0.25">
      <c r="A498">
        <v>1.88</v>
      </c>
      <c r="B498">
        <v>1.57</v>
      </c>
      <c r="C498" t="str">
        <f>CONCATENATE(Таблица258[[#This Row],[Столбец1]],Таблица258[[#This Row],[Столбец2]])</f>
        <v>1,881,57</v>
      </c>
      <c r="E498">
        <v>1.92</v>
      </c>
      <c r="F498">
        <v>1.57</v>
      </c>
      <c r="G498" t="str">
        <f>CONCATENATE(Таблица271[[#This Row],[Столбец1]],Таблица271[[#This Row],[Столбец2]])</f>
        <v>1,921,57</v>
      </c>
    </row>
    <row r="499" spans="1:7" x14ac:dyDescent="0.25">
      <c r="A499">
        <v>1.88</v>
      </c>
      <c r="B499">
        <v>1.57</v>
      </c>
      <c r="C499" t="str">
        <f>CONCATENATE(Таблица258[[#This Row],[Столбец1]],Таблица258[[#This Row],[Столбец2]])</f>
        <v>1,881,57</v>
      </c>
      <c r="E499">
        <v>1.92</v>
      </c>
      <c r="F499">
        <v>1.57</v>
      </c>
      <c r="G499" t="str">
        <f>CONCATENATE(Таблица271[[#This Row],[Столбец1]],Таблица271[[#This Row],[Столбец2]])</f>
        <v>1,921,57</v>
      </c>
    </row>
    <row r="500" spans="1:7" x14ac:dyDescent="0.25">
      <c r="A500">
        <v>1.88</v>
      </c>
      <c r="B500">
        <v>1.57</v>
      </c>
      <c r="C500" t="str">
        <f>CONCATENATE(Таблица258[[#This Row],[Столбец1]],Таблица258[[#This Row],[Столбец2]])</f>
        <v>1,881,57</v>
      </c>
      <c r="E500">
        <v>1.93</v>
      </c>
      <c r="F500">
        <v>1.57</v>
      </c>
      <c r="G500" t="str">
        <f>CONCATENATE(Таблица271[[#This Row],[Столбец1]],Таблица271[[#This Row],[Столбец2]])</f>
        <v>1,931,57</v>
      </c>
    </row>
    <row r="501" spans="1:7" x14ac:dyDescent="0.25">
      <c r="A501">
        <v>1.88</v>
      </c>
      <c r="B501">
        <v>1.57</v>
      </c>
      <c r="C501" t="str">
        <f>CONCATENATE(Таблица258[[#This Row],[Столбец1]],Таблица258[[#This Row],[Столбец2]])</f>
        <v>1,881,57</v>
      </c>
      <c r="E501">
        <v>1.93</v>
      </c>
      <c r="F501">
        <v>1.57</v>
      </c>
      <c r="G501" t="str">
        <f>CONCATENATE(Таблица271[[#This Row],[Столбец1]],Таблица271[[#This Row],[Столбец2]])</f>
        <v>1,931,57</v>
      </c>
    </row>
    <row r="502" spans="1:7" x14ac:dyDescent="0.25">
      <c r="A502">
        <v>1.88</v>
      </c>
      <c r="B502">
        <v>1.57</v>
      </c>
      <c r="C502" t="str">
        <f>CONCATENATE(Таблица258[[#This Row],[Столбец1]],Таблица258[[#This Row],[Столбец2]])</f>
        <v>1,881,57</v>
      </c>
      <c r="E502">
        <v>1.93</v>
      </c>
      <c r="F502">
        <v>1.57</v>
      </c>
      <c r="G502" t="str">
        <f>CONCATENATE(Таблица271[[#This Row],[Столбец1]],Таблица271[[#This Row],[Столбец2]])</f>
        <v>1,931,57</v>
      </c>
    </row>
    <row r="503" spans="1:7" x14ac:dyDescent="0.25">
      <c r="A503">
        <v>1.88</v>
      </c>
      <c r="B503">
        <v>1.57</v>
      </c>
      <c r="C503" t="str">
        <f>CONCATENATE(Таблица258[[#This Row],[Столбец1]],Таблица258[[#This Row],[Столбец2]])</f>
        <v>1,881,57</v>
      </c>
      <c r="E503">
        <v>1.93</v>
      </c>
      <c r="F503">
        <v>1.57</v>
      </c>
      <c r="G503" t="str">
        <f>CONCATENATE(Таблица271[[#This Row],[Столбец1]],Таблица271[[#This Row],[Столбец2]])</f>
        <v>1,931,57</v>
      </c>
    </row>
    <row r="504" spans="1:7" x14ac:dyDescent="0.25">
      <c r="A504">
        <v>1.89</v>
      </c>
      <c r="B504">
        <v>1.57</v>
      </c>
      <c r="C504" t="str">
        <f>CONCATENATE(Таблица258[[#This Row],[Столбец1]],Таблица258[[#This Row],[Столбец2]])</f>
        <v>1,891,57</v>
      </c>
      <c r="E504">
        <v>1.93</v>
      </c>
      <c r="F504">
        <v>1.57</v>
      </c>
      <c r="G504" t="str">
        <f>CONCATENATE(Таблица271[[#This Row],[Столбец1]],Таблица271[[#This Row],[Столбец2]])</f>
        <v>1,931,57</v>
      </c>
    </row>
    <row r="505" spans="1:7" x14ac:dyDescent="0.25">
      <c r="A505">
        <v>1.89</v>
      </c>
      <c r="B505">
        <v>1.57</v>
      </c>
      <c r="C505" t="str">
        <f>CONCATENATE(Таблица258[[#This Row],[Столбец1]],Таблица258[[#This Row],[Столбец2]])</f>
        <v>1,891,57</v>
      </c>
      <c r="E505">
        <v>1.93</v>
      </c>
      <c r="F505">
        <v>1.57</v>
      </c>
      <c r="G505" t="str">
        <f>CONCATENATE(Таблица271[[#This Row],[Столбец1]],Таблица271[[#This Row],[Столбец2]])</f>
        <v>1,931,57</v>
      </c>
    </row>
    <row r="506" spans="1:7" x14ac:dyDescent="0.25">
      <c r="A506">
        <v>1.89</v>
      </c>
      <c r="B506">
        <v>1.57</v>
      </c>
      <c r="C506" t="str">
        <f>CONCATENATE(Таблица258[[#This Row],[Столбец1]],Таблица258[[#This Row],[Столбец2]])</f>
        <v>1,891,57</v>
      </c>
      <c r="E506">
        <v>1.94</v>
      </c>
      <c r="F506">
        <v>1.57</v>
      </c>
      <c r="G506" t="str">
        <f>CONCATENATE(Таблица271[[#This Row],[Столбец1]],Таблица271[[#This Row],[Столбец2]])</f>
        <v>1,941,57</v>
      </c>
    </row>
    <row r="507" spans="1:7" x14ac:dyDescent="0.25">
      <c r="A507">
        <v>1.89</v>
      </c>
      <c r="B507">
        <v>1.57</v>
      </c>
      <c r="C507" t="str">
        <f>CONCATENATE(Таблица258[[#This Row],[Столбец1]],Таблица258[[#This Row],[Столбец2]])</f>
        <v>1,891,57</v>
      </c>
      <c r="E507">
        <v>1.94</v>
      </c>
      <c r="F507">
        <v>1.57</v>
      </c>
      <c r="G507" t="str">
        <f>CONCATENATE(Таблица271[[#This Row],[Столбец1]],Таблица271[[#This Row],[Столбец2]])</f>
        <v>1,941,57</v>
      </c>
    </row>
    <row r="508" spans="1:7" x14ac:dyDescent="0.25">
      <c r="A508">
        <v>1.89</v>
      </c>
      <c r="B508">
        <v>1.57</v>
      </c>
      <c r="C508" t="str">
        <f>CONCATENATE(Таблица258[[#This Row],[Столбец1]],Таблица258[[#This Row],[Столбец2]])</f>
        <v>1,891,57</v>
      </c>
      <c r="E508">
        <v>1.94</v>
      </c>
      <c r="F508">
        <v>1.57</v>
      </c>
      <c r="G508" t="str">
        <f>CONCATENATE(Таблица271[[#This Row],[Столбец1]],Таблица271[[#This Row],[Столбец2]])</f>
        <v>1,941,57</v>
      </c>
    </row>
    <row r="509" spans="1:7" x14ac:dyDescent="0.25">
      <c r="A509">
        <v>1.89</v>
      </c>
      <c r="B509">
        <v>1.57</v>
      </c>
      <c r="C509" t="str">
        <f>CONCATENATE(Таблица258[[#This Row],[Столбец1]],Таблица258[[#This Row],[Столбец2]])</f>
        <v>1,891,57</v>
      </c>
      <c r="E509">
        <v>1.94</v>
      </c>
      <c r="F509">
        <v>1.57</v>
      </c>
      <c r="G509" t="str">
        <f>CONCATENATE(Таблица271[[#This Row],[Столбец1]],Таблица271[[#This Row],[Столбец2]])</f>
        <v>1,941,57</v>
      </c>
    </row>
    <row r="510" spans="1:7" x14ac:dyDescent="0.25">
      <c r="A510">
        <v>1.9</v>
      </c>
      <c r="B510">
        <v>1.57</v>
      </c>
      <c r="C510" t="str">
        <f>CONCATENATE(Таблица258[[#This Row],[Столбец1]],Таблица258[[#This Row],[Столбец2]])</f>
        <v>1,91,57</v>
      </c>
      <c r="E510">
        <v>1.94</v>
      </c>
      <c r="F510">
        <v>1.57</v>
      </c>
      <c r="G510" t="str">
        <f>CONCATENATE(Таблица271[[#This Row],[Столбец1]],Таблица271[[#This Row],[Столбец2]])</f>
        <v>1,941,57</v>
      </c>
    </row>
    <row r="511" spans="1:7" x14ac:dyDescent="0.25">
      <c r="A511">
        <v>1.9</v>
      </c>
      <c r="B511">
        <v>1.57</v>
      </c>
      <c r="C511" t="str">
        <f>CONCATENATE(Таблица258[[#This Row],[Столбец1]],Таблица258[[#This Row],[Столбец2]])</f>
        <v>1,91,57</v>
      </c>
      <c r="E511">
        <v>1.94</v>
      </c>
      <c r="F511">
        <v>1.57</v>
      </c>
      <c r="G511" t="str">
        <f>CONCATENATE(Таблица271[[#This Row],[Столбец1]],Таблица271[[#This Row],[Столбец2]])</f>
        <v>1,941,57</v>
      </c>
    </row>
    <row r="512" spans="1:7" x14ac:dyDescent="0.25">
      <c r="A512">
        <v>1.9</v>
      </c>
      <c r="B512">
        <v>1.57</v>
      </c>
      <c r="C512" t="str">
        <f>CONCATENATE(Таблица258[[#This Row],[Столбец1]],Таблица258[[#This Row],[Столбец2]])</f>
        <v>1,91,57</v>
      </c>
      <c r="E512">
        <v>1.95</v>
      </c>
      <c r="F512">
        <v>1.57</v>
      </c>
      <c r="G512" t="str">
        <f>CONCATENATE(Таблица271[[#This Row],[Столбец1]],Таблица271[[#This Row],[Столбец2]])</f>
        <v>1,951,57</v>
      </c>
    </row>
    <row r="513" spans="1:7" x14ac:dyDescent="0.25">
      <c r="A513">
        <v>1.9</v>
      </c>
      <c r="B513">
        <v>1.57</v>
      </c>
      <c r="C513" t="str">
        <f>CONCATENATE(Таблица258[[#This Row],[Столбец1]],Таблица258[[#This Row],[Столбец2]])</f>
        <v>1,91,57</v>
      </c>
      <c r="E513">
        <v>1.95</v>
      </c>
      <c r="F513">
        <v>1.57</v>
      </c>
      <c r="G513" t="str">
        <f>CONCATENATE(Таблица271[[#This Row],[Столбец1]],Таблица271[[#This Row],[Столбец2]])</f>
        <v>1,951,57</v>
      </c>
    </row>
    <row r="514" spans="1:7" x14ac:dyDescent="0.25">
      <c r="A514">
        <v>1.9</v>
      </c>
      <c r="B514">
        <v>1.57</v>
      </c>
      <c r="C514" t="str">
        <f>CONCATENATE(Таблица258[[#This Row],[Столбец1]],Таблица258[[#This Row],[Столбец2]])</f>
        <v>1,91,57</v>
      </c>
      <c r="E514">
        <v>1.95</v>
      </c>
      <c r="F514">
        <v>1.57</v>
      </c>
      <c r="G514" t="str">
        <f>CONCATENATE(Таблица271[[#This Row],[Столбец1]],Таблица271[[#This Row],[Столбец2]])</f>
        <v>1,951,57</v>
      </c>
    </row>
    <row r="515" spans="1:7" x14ac:dyDescent="0.25">
      <c r="A515">
        <v>1.9</v>
      </c>
      <c r="B515">
        <v>1.57</v>
      </c>
      <c r="C515" t="str">
        <f>CONCATENATE(Таблица258[[#This Row],[Столбец1]],Таблица258[[#This Row],[Столбец2]])</f>
        <v>1,91,57</v>
      </c>
      <c r="E515">
        <v>1.95</v>
      </c>
      <c r="F515">
        <v>1.57</v>
      </c>
      <c r="G515" t="str">
        <f>CONCATENATE(Таблица271[[#This Row],[Столбец1]],Таблица271[[#This Row],[Столбец2]])</f>
        <v>1,951,57</v>
      </c>
    </row>
    <row r="516" spans="1:7" x14ac:dyDescent="0.25">
      <c r="A516">
        <v>1.91</v>
      </c>
      <c r="B516">
        <v>1.57</v>
      </c>
      <c r="C516" t="str">
        <f>CONCATENATE(Таблица258[[#This Row],[Столбец1]],Таблица258[[#This Row],[Столбец2]])</f>
        <v>1,911,57</v>
      </c>
      <c r="E516">
        <v>1.95</v>
      </c>
      <c r="F516">
        <v>1.57</v>
      </c>
      <c r="G516" t="str">
        <f>CONCATENATE(Таблица271[[#This Row],[Столбец1]],Таблица271[[#This Row],[Столбец2]])</f>
        <v>1,951,57</v>
      </c>
    </row>
    <row r="517" spans="1:7" x14ac:dyDescent="0.25">
      <c r="A517">
        <v>1.91</v>
      </c>
      <c r="B517">
        <v>1.57</v>
      </c>
      <c r="C517" t="str">
        <f>CONCATENATE(Таблица258[[#This Row],[Столбец1]],Таблица258[[#This Row],[Столбец2]])</f>
        <v>1,911,57</v>
      </c>
      <c r="E517">
        <v>1.95</v>
      </c>
      <c r="F517">
        <v>1.57</v>
      </c>
      <c r="G517" t="str">
        <f>CONCATENATE(Таблица271[[#This Row],[Столбец1]],Таблица271[[#This Row],[Столбец2]])</f>
        <v>1,951,57</v>
      </c>
    </row>
    <row r="518" spans="1:7" x14ac:dyDescent="0.25">
      <c r="A518">
        <v>1.91</v>
      </c>
      <c r="B518">
        <v>1.57</v>
      </c>
      <c r="C518" t="str">
        <f>CONCATENATE(Таблица258[[#This Row],[Столбец1]],Таблица258[[#This Row],[Столбец2]])</f>
        <v>1,911,57</v>
      </c>
      <c r="E518">
        <v>1.96</v>
      </c>
      <c r="F518">
        <v>1.57</v>
      </c>
      <c r="G518" t="str">
        <f>CONCATENATE(Таблица271[[#This Row],[Столбец1]],Таблица271[[#This Row],[Столбец2]])</f>
        <v>1,961,57</v>
      </c>
    </row>
    <row r="519" spans="1:7" x14ac:dyDescent="0.25">
      <c r="A519">
        <v>1.91</v>
      </c>
      <c r="B519">
        <v>1.57</v>
      </c>
      <c r="C519" t="str">
        <f>CONCATENATE(Таблица258[[#This Row],[Столбец1]],Таблица258[[#This Row],[Столбец2]])</f>
        <v>1,911,57</v>
      </c>
      <c r="E519">
        <v>1.96</v>
      </c>
      <c r="F519">
        <v>1.57</v>
      </c>
      <c r="G519" t="str">
        <f>CONCATENATE(Таблица271[[#This Row],[Столбец1]],Таблица271[[#This Row],[Столбец2]])</f>
        <v>1,961,57</v>
      </c>
    </row>
    <row r="520" spans="1:7" x14ac:dyDescent="0.25">
      <c r="A520">
        <v>1.91</v>
      </c>
      <c r="B520">
        <v>1.57</v>
      </c>
      <c r="C520" t="str">
        <f>CONCATENATE(Таблица258[[#This Row],[Столбец1]],Таблица258[[#This Row],[Столбец2]])</f>
        <v>1,911,57</v>
      </c>
      <c r="E520">
        <v>1.96</v>
      </c>
      <c r="F520">
        <v>1.57</v>
      </c>
      <c r="G520" t="str">
        <f>CONCATENATE(Таблица271[[#This Row],[Столбец1]],Таблица271[[#This Row],[Столбец2]])</f>
        <v>1,961,57</v>
      </c>
    </row>
    <row r="521" spans="1:7" x14ac:dyDescent="0.25">
      <c r="A521">
        <v>1.91</v>
      </c>
      <c r="B521">
        <v>1.57</v>
      </c>
      <c r="C521" t="str">
        <f>CONCATENATE(Таблица258[[#This Row],[Столбец1]],Таблица258[[#This Row],[Столбец2]])</f>
        <v>1,911,57</v>
      </c>
      <c r="E521">
        <v>1.96</v>
      </c>
      <c r="F521">
        <v>1.57</v>
      </c>
      <c r="G521" t="str">
        <f>CONCATENATE(Таблица271[[#This Row],[Столбец1]],Таблица271[[#This Row],[Столбец2]])</f>
        <v>1,961,57</v>
      </c>
    </row>
    <row r="522" spans="1:7" x14ac:dyDescent="0.25">
      <c r="A522">
        <v>1.92</v>
      </c>
      <c r="B522">
        <v>1.57</v>
      </c>
      <c r="C522" t="str">
        <f>CONCATENATE(Таблица258[[#This Row],[Столбец1]],Таблица258[[#This Row],[Столбец2]])</f>
        <v>1,921,57</v>
      </c>
      <c r="E522">
        <v>1.96</v>
      </c>
      <c r="F522">
        <v>1.57</v>
      </c>
      <c r="G522" t="str">
        <f>CONCATENATE(Таблица271[[#This Row],[Столбец1]],Таблица271[[#This Row],[Столбец2]])</f>
        <v>1,961,57</v>
      </c>
    </row>
    <row r="523" spans="1:7" x14ac:dyDescent="0.25">
      <c r="A523">
        <v>1.92</v>
      </c>
      <c r="B523">
        <v>1.57</v>
      </c>
      <c r="C523" t="str">
        <f>CONCATENATE(Таблица258[[#This Row],[Столбец1]],Таблица258[[#This Row],[Столбец2]])</f>
        <v>1,921,57</v>
      </c>
      <c r="E523">
        <v>1.96</v>
      </c>
      <c r="F523">
        <v>1.57</v>
      </c>
      <c r="G523" t="str">
        <f>CONCATENATE(Таблица271[[#This Row],[Столбец1]],Таблица271[[#This Row],[Столбец2]])</f>
        <v>1,961,57</v>
      </c>
    </row>
    <row r="524" spans="1:7" x14ac:dyDescent="0.25">
      <c r="A524">
        <v>1.92</v>
      </c>
      <c r="B524">
        <v>1.57</v>
      </c>
      <c r="C524" t="str">
        <f>CONCATENATE(Таблица258[[#This Row],[Столбец1]],Таблица258[[#This Row],[Столбец2]])</f>
        <v>1,921,57</v>
      </c>
      <c r="E524">
        <v>1.97</v>
      </c>
      <c r="F524">
        <v>1.57</v>
      </c>
      <c r="G524" t="str">
        <f>CONCATENATE(Таблица271[[#This Row],[Столбец1]],Таблица271[[#This Row],[Столбец2]])</f>
        <v>1,971,57</v>
      </c>
    </row>
    <row r="525" spans="1:7" x14ac:dyDescent="0.25">
      <c r="A525">
        <v>1.92</v>
      </c>
      <c r="B525">
        <v>1.57</v>
      </c>
      <c r="C525" t="str">
        <f>CONCATENATE(Таблица258[[#This Row],[Столбец1]],Таблица258[[#This Row],[Столбец2]])</f>
        <v>1,921,57</v>
      </c>
      <c r="E525">
        <v>1.97</v>
      </c>
      <c r="F525">
        <v>1.57</v>
      </c>
      <c r="G525" t="str">
        <f>CONCATENATE(Таблица271[[#This Row],[Столбец1]],Таблица271[[#This Row],[Столбец2]])</f>
        <v>1,971,57</v>
      </c>
    </row>
    <row r="526" spans="1:7" x14ac:dyDescent="0.25">
      <c r="A526">
        <v>1.92</v>
      </c>
      <c r="B526">
        <v>1.57</v>
      </c>
      <c r="C526" t="str">
        <f>CONCATENATE(Таблица258[[#This Row],[Столбец1]],Таблица258[[#This Row],[Столбец2]])</f>
        <v>1,921,57</v>
      </c>
      <c r="E526">
        <v>1.97</v>
      </c>
      <c r="F526">
        <v>1.57</v>
      </c>
      <c r="G526" t="str">
        <f>CONCATENATE(Таблица271[[#This Row],[Столбец1]],Таблица271[[#This Row],[Столбец2]])</f>
        <v>1,971,57</v>
      </c>
    </row>
    <row r="527" spans="1:7" x14ac:dyDescent="0.25">
      <c r="A527">
        <v>1.92</v>
      </c>
      <c r="B527">
        <v>1.57</v>
      </c>
      <c r="C527" t="str">
        <f>CONCATENATE(Таблица258[[#This Row],[Столбец1]],Таблица258[[#This Row],[Столбец2]])</f>
        <v>1,921,57</v>
      </c>
      <c r="E527">
        <v>1.97</v>
      </c>
      <c r="F527">
        <v>1.57</v>
      </c>
      <c r="G527" t="str">
        <f>CONCATENATE(Таблица271[[#This Row],[Столбец1]],Таблица271[[#This Row],[Столбец2]])</f>
        <v>1,971,57</v>
      </c>
    </row>
    <row r="528" spans="1:7" x14ac:dyDescent="0.25">
      <c r="A528">
        <v>1.93</v>
      </c>
      <c r="B528">
        <v>1.57</v>
      </c>
      <c r="C528" t="str">
        <f>CONCATENATE(Таблица258[[#This Row],[Столбец1]],Таблица258[[#This Row],[Столбец2]])</f>
        <v>1,931,57</v>
      </c>
      <c r="E528">
        <v>1.97</v>
      </c>
      <c r="F528">
        <v>1.57</v>
      </c>
      <c r="G528" t="str">
        <f>CONCATENATE(Таблица271[[#This Row],[Столбец1]],Таблица271[[#This Row],[Столбец2]])</f>
        <v>1,971,57</v>
      </c>
    </row>
    <row r="529" spans="1:7" x14ac:dyDescent="0.25">
      <c r="A529">
        <v>1.93</v>
      </c>
      <c r="B529">
        <v>1.57</v>
      </c>
      <c r="C529" t="str">
        <f>CONCATENATE(Таблица258[[#This Row],[Столбец1]],Таблица258[[#This Row],[Столбец2]])</f>
        <v>1,931,57</v>
      </c>
      <c r="E529">
        <v>1.97</v>
      </c>
      <c r="F529">
        <v>1.57</v>
      </c>
      <c r="G529" t="str">
        <f>CONCATENATE(Таблица271[[#This Row],[Столбец1]],Таблица271[[#This Row],[Столбец2]])</f>
        <v>1,971,57</v>
      </c>
    </row>
    <row r="530" spans="1:7" x14ac:dyDescent="0.25">
      <c r="A530">
        <v>1.93</v>
      </c>
      <c r="B530">
        <v>1.57</v>
      </c>
      <c r="C530" t="str">
        <f>CONCATENATE(Таблица258[[#This Row],[Столбец1]],Таблица258[[#This Row],[Столбец2]])</f>
        <v>1,931,57</v>
      </c>
      <c r="E530">
        <v>1.98</v>
      </c>
      <c r="F530">
        <v>1.57</v>
      </c>
      <c r="G530" t="str">
        <f>CONCATENATE(Таблица271[[#This Row],[Столбец1]],Таблица271[[#This Row],[Столбец2]])</f>
        <v>1,981,57</v>
      </c>
    </row>
    <row r="531" spans="1:7" x14ac:dyDescent="0.25">
      <c r="A531">
        <v>1.93</v>
      </c>
      <c r="B531">
        <v>1.57</v>
      </c>
      <c r="C531" t="str">
        <f>CONCATENATE(Таблица258[[#This Row],[Столбец1]],Таблица258[[#This Row],[Столбец2]])</f>
        <v>1,931,57</v>
      </c>
      <c r="E531">
        <v>1.98</v>
      </c>
      <c r="F531">
        <v>1.57</v>
      </c>
      <c r="G531" t="str">
        <f>CONCATENATE(Таблица271[[#This Row],[Столбец1]],Таблица271[[#This Row],[Столбец2]])</f>
        <v>1,981,57</v>
      </c>
    </row>
    <row r="532" spans="1:7" x14ac:dyDescent="0.25">
      <c r="A532">
        <v>1.93</v>
      </c>
      <c r="B532">
        <v>1.57</v>
      </c>
      <c r="C532" t="str">
        <f>CONCATENATE(Таблица258[[#This Row],[Столбец1]],Таблица258[[#This Row],[Столбец2]])</f>
        <v>1,931,57</v>
      </c>
      <c r="E532">
        <v>1.98</v>
      </c>
      <c r="F532">
        <v>1.57</v>
      </c>
      <c r="G532" t="str">
        <f>CONCATENATE(Таблица271[[#This Row],[Столбец1]],Таблица271[[#This Row],[Столбец2]])</f>
        <v>1,981,57</v>
      </c>
    </row>
    <row r="533" spans="1:7" x14ac:dyDescent="0.25">
      <c r="A533">
        <v>1.93</v>
      </c>
      <c r="B533">
        <v>1.57</v>
      </c>
      <c r="C533" t="str">
        <f>CONCATENATE(Таблица258[[#This Row],[Столбец1]],Таблица258[[#This Row],[Столбец2]])</f>
        <v>1,931,57</v>
      </c>
      <c r="E533">
        <v>1.98</v>
      </c>
      <c r="F533">
        <v>1.57</v>
      </c>
      <c r="G533" t="str">
        <f>CONCATENATE(Таблица271[[#This Row],[Столбец1]],Таблица271[[#This Row],[Столбец2]])</f>
        <v>1,981,57</v>
      </c>
    </row>
    <row r="534" spans="1:7" x14ac:dyDescent="0.25">
      <c r="A534">
        <v>1.94</v>
      </c>
      <c r="B534">
        <v>1.57</v>
      </c>
      <c r="C534" t="str">
        <f>CONCATENATE(Таблица258[[#This Row],[Столбец1]],Таблица258[[#This Row],[Столбец2]])</f>
        <v>1,941,57</v>
      </c>
      <c r="E534">
        <v>1.98</v>
      </c>
      <c r="F534">
        <v>1.57</v>
      </c>
      <c r="G534" t="str">
        <f>CONCATENATE(Таблица271[[#This Row],[Столбец1]],Таблица271[[#This Row],[Столбец2]])</f>
        <v>1,981,57</v>
      </c>
    </row>
    <row r="535" spans="1:7" x14ac:dyDescent="0.25">
      <c r="A535">
        <v>1.94</v>
      </c>
      <c r="B535">
        <v>1.57</v>
      </c>
      <c r="C535" t="str">
        <f>CONCATENATE(Таблица258[[#This Row],[Столбец1]],Таблица258[[#This Row],[Столбец2]])</f>
        <v>1,941,57</v>
      </c>
      <c r="E535">
        <v>1.98</v>
      </c>
      <c r="F535">
        <v>1.57</v>
      </c>
      <c r="G535" t="str">
        <f>CONCATENATE(Таблица271[[#This Row],[Столбец1]],Таблица271[[#This Row],[Столбец2]])</f>
        <v>1,981,57</v>
      </c>
    </row>
    <row r="536" spans="1:7" x14ac:dyDescent="0.25">
      <c r="A536">
        <v>1.94</v>
      </c>
      <c r="B536">
        <v>1.57</v>
      </c>
      <c r="C536" t="str">
        <f>CONCATENATE(Таблица258[[#This Row],[Столбец1]],Таблица258[[#This Row],[Столбец2]])</f>
        <v>1,941,57</v>
      </c>
      <c r="E536">
        <v>1.99</v>
      </c>
      <c r="F536">
        <v>1.57</v>
      </c>
      <c r="G536" t="str">
        <f>CONCATENATE(Таблица271[[#This Row],[Столбец1]],Таблица271[[#This Row],[Столбец2]])</f>
        <v>1,991,57</v>
      </c>
    </row>
    <row r="537" spans="1:7" x14ac:dyDescent="0.25">
      <c r="A537">
        <v>1.94</v>
      </c>
      <c r="B537">
        <v>1.57</v>
      </c>
      <c r="C537" t="str">
        <f>CONCATENATE(Таблица258[[#This Row],[Столбец1]],Таблица258[[#This Row],[Столбец2]])</f>
        <v>1,941,57</v>
      </c>
      <c r="E537">
        <v>1.99</v>
      </c>
      <c r="F537">
        <v>1.57</v>
      </c>
      <c r="G537" t="str">
        <f>CONCATENATE(Таблица271[[#This Row],[Столбец1]],Таблица271[[#This Row],[Столбец2]])</f>
        <v>1,991,57</v>
      </c>
    </row>
    <row r="538" spans="1:7" x14ac:dyDescent="0.25">
      <c r="A538">
        <v>1.94</v>
      </c>
      <c r="B538">
        <v>1.57</v>
      </c>
      <c r="C538" t="str">
        <f>CONCATENATE(Таблица258[[#This Row],[Столбец1]],Таблица258[[#This Row],[Столбец2]])</f>
        <v>1,941,57</v>
      </c>
      <c r="E538">
        <v>1.99</v>
      </c>
      <c r="F538">
        <v>1.57</v>
      </c>
      <c r="G538" t="str">
        <f>CONCATENATE(Таблица271[[#This Row],[Столбец1]],Таблица271[[#This Row],[Столбец2]])</f>
        <v>1,991,57</v>
      </c>
    </row>
    <row r="539" spans="1:7" x14ac:dyDescent="0.25">
      <c r="A539">
        <v>1.94</v>
      </c>
      <c r="B539">
        <v>1.57</v>
      </c>
      <c r="C539" t="str">
        <f>CONCATENATE(Таблица258[[#This Row],[Столбец1]],Таблица258[[#This Row],[Столбец2]])</f>
        <v>1,941,57</v>
      </c>
      <c r="E539">
        <v>1.99</v>
      </c>
      <c r="F539">
        <v>1.57</v>
      </c>
      <c r="G539" t="str">
        <f>CONCATENATE(Таблица271[[#This Row],[Столбец1]],Таблица271[[#This Row],[Столбец2]])</f>
        <v>1,991,57</v>
      </c>
    </row>
    <row r="540" spans="1:7" x14ac:dyDescent="0.25">
      <c r="A540">
        <v>1.95</v>
      </c>
      <c r="B540">
        <v>1.57</v>
      </c>
      <c r="C540" t="str">
        <f>CONCATENATE(Таблица258[[#This Row],[Столбец1]],Таблица258[[#This Row],[Столбец2]])</f>
        <v>1,951,57</v>
      </c>
      <c r="E540">
        <v>1.99</v>
      </c>
      <c r="F540">
        <v>1.57</v>
      </c>
      <c r="G540" t="str">
        <f>CONCATENATE(Таблица271[[#This Row],[Столбец1]],Таблица271[[#This Row],[Столбец2]])</f>
        <v>1,991,57</v>
      </c>
    </row>
    <row r="541" spans="1:7" x14ac:dyDescent="0.25">
      <c r="A541">
        <v>1.95</v>
      </c>
      <c r="B541">
        <v>1.57</v>
      </c>
      <c r="C541" t="str">
        <f>CONCATENATE(Таблица258[[#This Row],[Столбец1]],Таблица258[[#This Row],[Столбец2]])</f>
        <v>1,951,57</v>
      </c>
      <c r="E541">
        <v>1.99</v>
      </c>
      <c r="F541">
        <v>1.57</v>
      </c>
      <c r="G541" t="str">
        <f>CONCATENATE(Таблица271[[#This Row],[Столбец1]],Таблица271[[#This Row],[Столбец2]])</f>
        <v>1,991,57</v>
      </c>
    </row>
    <row r="542" spans="1:7" x14ac:dyDescent="0.25">
      <c r="A542">
        <v>1.95</v>
      </c>
      <c r="B542">
        <v>1.57</v>
      </c>
      <c r="C542" t="str">
        <f>CONCATENATE(Таблица258[[#This Row],[Столбец1]],Таблица258[[#This Row],[Столбец2]])</f>
        <v>1,951,57</v>
      </c>
      <c r="E542">
        <v>2</v>
      </c>
      <c r="F542">
        <v>1.57</v>
      </c>
      <c r="G542" t="str">
        <f>CONCATENATE(Таблица271[[#This Row],[Столбец1]],Таблица271[[#This Row],[Столбец2]])</f>
        <v>21,57</v>
      </c>
    </row>
    <row r="543" spans="1:7" x14ac:dyDescent="0.25">
      <c r="A543">
        <v>1.95</v>
      </c>
      <c r="B543">
        <v>1.57</v>
      </c>
      <c r="C543" t="str">
        <f>CONCATENATE(Таблица258[[#This Row],[Столбец1]],Таблица258[[#This Row],[Столбец2]])</f>
        <v>1,951,57</v>
      </c>
      <c r="E543">
        <v>2</v>
      </c>
      <c r="F543">
        <v>1.57</v>
      </c>
      <c r="G543" t="str">
        <f>CONCATENATE(Таблица271[[#This Row],[Столбец1]],Таблица271[[#This Row],[Столбец2]])</f>
        <v>21,57</v>
      </c>
    </row>
    <row r="544" spans="1:7" x14ac:dyDescent="0.25">
      <c r="A544">
        <v>1.95</v>
      </c>
      <c r="B544">
        <v>1.57</v>
      </c>
      <c r="C544" t="str">
        <f>CONCATENATE(Таблица258[[#This Row],[Столбец1]],Таблица258[[#This Row],[Столбец2]])</f>
        <v>1,951,57</v>
      </c>
      <c r="E544">
        <v>2</v>
      </c>
      <c r="F544">
        <v>1.57</v>
      </c>
      <c r="G544" t="str">
        <f>CONCATENATE(Таблица271[[#This Row],[Столбец1]],Таблица271[[#This Row],[Столбец2]])</f>
        <v>21,57</v>
      </c>
    </row>
    <row r="545" spans="1:7" x14ac:dyDescent="0.25">
      <c r="A545">
        <v>1.95</v>
      </c>
      <c r="B545">
        <v>1.57</v>
      </c>
      <c r="C545" t="str">
        <f>CONCATENATE(Таблица258[[#This Row],[Столбец1]],Таблица258[[#This Row],[Столбец2]])</f>
        <v>1,951,57</v>
      </c>
      <c r="E545">
        <v>2</v>
      </c>
      <c r="F545">
        <v>1.57</v>
      </c>
      <c r="G545" t="str">
        <f>CONCATENATE(Таблица271[[#This Row],[Столбец1]],Таблица271[[#This Row],[Столбец2]])</f>
        <v>21,57</v>
      </c>
    </row>
    <row r="546" spans="1:7" x14ac:dyDescent="0.25">
      <c r="A546">
        <v>1.96</v>
      </c>
      <c r="B546">
        <v>1.57</v>
      </c>
      <c r="C546" t="str">
        <f>CONCATENATE(Таблица258[[#This Row],[Столбец1]],Таблица258[[#This Row],[Столбец2]])</f>
        <v>1,961,57</v>
      </c>
      <c r="E546">
        <v>2</v>
      </c>
      <c r="F546">
        <v>1.57</v>
      </c>
      <c r="G546" t="str">
        <f>CONCATENATE(Таблица271[[#This Row],[Столбец1]],Таблица271[[#This Row],[Столбец2]])</f>
        <v>21,57</v>
      </c>
    </row>
    <row r="547" spans="1:7" x14ac:dyDescent="0.25">
      <c r="A547">
        <v>1.96</v>
      </c>
      <c r="B547">
        <v>1.57</v>
      </c>
      <c r="C547" t="str">
        <f>CONCATENATE(Таблица258[[#This Row],[Столбец1]],Таблица258[[#This Row],[Столбец2]])</f>
        <v>1,961,57</v>
      </c>
      <c r="E547">
        <v>2</v>
      </c>
      <c r="F547">
        <v>1.57</v>
      </c>
      <c r="G547" t="str">
        <f>CONCATENATE(Таблица271[[#This Row],[Столбец1]],Таблица271[[#This Row],[Столбец2]])</f>
        <v>21,57</v>
      </c>
    </row>
    <row r="548" spans="1:7" x14ac:dyDescent="0.25">
      <c r="A548">
        <v>1.96</v>
      </c>
      <c r="B548">
        <v>1.57</v>
      </c>
      <c r="C548" t="str">
        <f>CONCATENATE(Таблица258[[#This Row],[Столбец1]],Таблица258[[#This Row],[Столбец2]])</f>
        <v>1,961,57</v>
      </c>
      <c r="E548">
        <v>2</v>
      </c>
      <c r="F548">
        <v>1.57</v>
      </c>
      <c r="G548" t="str">
        <f>CONCATENATE(Таблица271[[#This Row],[Столбец1]],Таблица271[[#This Row],[Столбец2]])</f>
        <v>21,57</v>
      </c>
    </row>
    <row r="549" spans="1:7" x14ac:dyDescent="0.25">
      <c r="A549">
        <v>1.96</v>
      </c>
      <c r="B549">
        <v>1.57</v>
      </c>
      <c r="C549" t="str">
        <f>CONCATENATE(Таблица258[[#This Row],[Столбец1]],Таблица258[[#This Row],[Столбец2]])</f>
        <v>1,961,57</v>
      </c>
      <c r="E549">
        <v>2</v>
      </c>
      <c r="F549">
        <v>1.57</v>
      </c>
      <c r="G549" t="str">
        <f>CONCATENATE(Таблица271[[#This Row],[Столбец1]],Таблица271[[#This Row],[Столбец2]])</f>
        <v>21,57</v>
      </c>
    </row>
    <row r="550" spans="1:7" x14ac:dyDescent="0.25">
      <c r="A550">
        <v>1.96</v>
      </c>
      <c r="B550">
        <v>1.57</v>
      </c>
      <c r="C550" t="str">
        <f>CONCATENATE(Таблица258[[#This Row],[Столбец1]],Таблица258[[#This Row],[Столбец2]])</f>
        <v>1,961,57</v>
      </c>
      <c r="E550">
        <v>2</v>
      </c>
      <c r="F550">
        <v>1.57</v>
      </c>
      <c r="G550" t="str">
        <f>CONCATENATE(Таблица271[[#This Row],[Столбец1]],Таблица271[[#This Row],[Столбец2]])</f>
        <v>21,57</v>
      </c>
    </row>
    <row r="551" spans="1:7" x14ac:dyDescent="0.25">
      <c r="A551">
        <v>1.96</v>
      </c>
      <c r="B551">
        <v>1.57</v>
      </c>
      <c r="C551" t="str">
        <f>CONCATENATE(Таблица258[[#This Row],[Столбец1]],Таблица258[[#This Row],[Столбец2]])</f>
        <v>1,961,57</v>
      </c>
      <c r="E551">
        <v>2</v>
      </c>
      <c r="F551">
        <v>1.57</v>
      </c>
      <c r="G551" t="str">
        <f>CONCATENATE(Таблица271[[#This Row],[Столбец1]],Таблица271[[#This Row],[Столбец2]])</f>
        <v>21,57</v>
      </c>
    </row>
    <row r="552" spans="1:7" x14ac:dyDescent="0.25">
      <c r="A552">
        <v>1.97</v>
      </c>
      <c r="B552">
        <v>1.57</v>
      </c>
      <c r="C552" t="str">
        <f>CONCATENATE(Таблица258[[#This Row],[Столбец1]],Таблица258[[#This Row],[Столбец2]])</f>
        <v>1,971,57</v>
      </c>
      <c r="E552">
        <v>2</v>
      </c>
      <c r="F552">
        <v>1.57</v>
      </c>
      <c r="G552" t="str">
        <f>CONCATENATE(Таблица271[[#This Row],[Столбец1]],Таблица271[[#This Row],[Столбец2]])</f>
        <v>21,57</v>
      </c>
    </row>
    <row r="553" spans="1:7" x14ac:dyDescent="0.25">
      <c r="A553">
        <v>1.97</v>
      </c>
      <c r="B553">
        <v>1.57</v>
      </c>
      <c r="C553" t="str">
        <f>CONCATENATE(Таблица258[[#This Row],[Столбец1]],Таблица258[[#This Row],[Столбец2]])</f>
        <v>1,971,57</v>
      </c>
      <c r="E553">
        <v>2</v>
      </c>
      <c r="F553">
        <v>1.57</v>
      </c>
      <c r="G553" t="str">
        <f>CONCATENATE(Таблица271[[#This Row],[Столбец1]],Таблица271[[#This Row],[Столбец2]])</f>
        <v>21,57</v>
      </c>
    </row>
    <row r="554" spans="1:7" x14ac:dyDescent="0.25">
      <c r="A554">
        <v>1.97</v>
      </c>
      <c r="B554">
        <v>1.57</v>
      </c>
      <c r="C554" t="str">
        <f>CONCATENATE(Таблица258[[#This Row],[Столбец1]],Таблица258[[#This Row],[Столбец2]])</f>
        <v>1,971,57</v>
      </c>
      <c r="E554">
        <v>1.57</v>
      </c>
      <c r="F554">
        <v>2</v>
      </c>
      <c r="G554" t="str">
        <f>CONCATENATE(Таблица271[[#This Row],[Столбец1]],Таблица271[[#This Row],[Столбец2]])</f>
        <v>1,572</v>
      </c>
    </row>
    <row r="555" spans="1:7" x14ac:dyDescent="0.25">
      <c r="A555">
        <v>1.97</v>
      </c>
      <c r="B555">
        <v>1.57</v>
      </c>
      <c r="C555" t="str">
        <f>CONCATENATE(Таблица258[[#This Row],[Столбец1]],Таблица258[[#This Row],[Столбец2]])</f>
        <v>1,971,57</v>
      </c>
      <c r="E555">
        <v>1.57</v>
      </c>
      <c r="F555">
        <v>2</v>
      </c>
      <c r="G555" t="str">
        <f>CONCATENATE(Таблица271[[#This Row],[Столбец1]],Таблица271[[#This Row],[Столбец2]])</f>
        <v>1,572</v>
      </c>
    </row>
    <row r="556" spans="1:7" x14ac:dyDescent="0.25">
      <c r="A556">
        <v>1.97</v>
      </c>
      <c r="B556">
        <v>1.57</v>
      </c>
      <c r="C556" t="str">
        <f>CONCATENATE(Таблица258[[#This Row],[Столбец1]],Таблица258[[#This Row],[Столбец2]])</f>
        <v>1,971,57</v>
      </c>
      <c r="E556">
        <v>1.57</v>
      </c>
      <c r="F556">
        <v>2</v>
      </c>
      <c r="G556" t="str">
        <f>CONCATENATE(Таблица271[[#This Row],[Столбец1]],Таблица271[[#This Row],[Столбец2]])</f>
        <v>1,572</v>
      </c>
    </row>
    <row r="557" spans="1:7" x14ac:dyDescent="0.25">
      <c r="A557">
        <v>1.97</v>
      </c>
      <c r="B557">
        <v>1.57</v>
      </c>
      <c r="C557" t="str">
        <f>CONCATENATE(Таблица258[[#This Row],[Столбец1]],Таблица258[[#This Row],[Столбец2]])</f>
        <v>1,971,57</v>
      </c>
      <c r="E557">
        <v>1.57</v>
      </c>
      <c r="F557">
        <v>2</v>
      </c>
      <c r="G557" t="str">
        <f>CONCATENATE(Таблица271[[#This Row],[Столбец1]],Таблица271[[#This Row],[Столбец2]])</f>
        <v>1,572</v>
      </c>
    </row>
    <row r="558" spans="1:7" x14ac:dyDescent="0.25">
      <c r="A558">
        <v>1.98</v>
      </c>
      <c r="B558">
        <v>1.57</v>
      </c>
      <c r="C558" t="str">
        <f>CONCATENATE(Таблица258[[#This Row],[Столбец1]],Таблица258[[#This Row],[Столбец2]])</f>
        <v>1,981,57</v>
      </c>
      <c r="E558">
        <v>1.57</v>
      </c>
      <c r="F558">
        <v>2</v>
      </c>
      <c r="G558" t="str">
        <f>CONCATENATE(Таблица271[[#This Row],[Столбец1]],Таблица271[[#This Row],[Столбец2]])</f>
        <v>1,572</v>
      </c>
    </row>
    <row r="559" spans="1:7" x14ac:dyDescent="0.25">
      <c r="A559">
        <v>1.98</v>
      </c>
      <c r="B559">
        <v>1.57</v>
      </c>
      <c r="C559" t="str">
        <f>CONCATENATE(Таблица258[[#This Row],[Столбец1]],Таблица258[[#This Row],[Столбец2]])</f>
        <v>1,981,57</v>
      </c>
      <c r="E559">
        <v>1.57</v>
      </c>
      <c r="F559">
        <v>2</v>
      </c>
      <c r="G559" t="str">
        <f>CONCATENATE(Таблица271[[#This Row],[Столбец1]],Таблица271[[#This Row],[Столбец2]])</f>
        <v>1,572</v>
      </c>
    </row>
    <row r="560" spans="1:7" x14ac:dyDescent="0.25">
      <c r="A560">
        <v>1.98</v>
      </c>
      <c r="B560">
        <v>1.57</v>
      </c>
      <c r="C560" t="str">
        <f>CONCATENATE(Таблица258[[#This Row],[Столбец1]],Таблица258[[#This Row],[Столбец2]])</f>
        <v>1,981,57</v>
      </c>
      <c r="E560">
        <v>1.58</v>
      </c>
      <c r="F560">
        <v>2.44</v>
      </c>
      <c r="G560" t="str">
        <f>CONCATENATE(Таблица271[[#This Row],[Столбец1]],Таблица271[[#This Row],[Столбец2]])</f>
        <v>1,582,44</v>
      </c>
    </row>
    <row r="561" spans="1:7" x14ac:dyDescent="0.25">
      <c r="A561">
        <v>1.98</v>
      </c>
      <c r="B561">
        <v>1.57</v>
      </c>
      <c r="C561" t="str">
        <f>CONCATENATE(Таблица258[[#This Row],[Столбец1]],Таблица258[[#This Row],[Столбец2]])</f>
        <v>1,981,57</v>
      </c>
      <c r="E561">
        <v>1.58</v>
      </c>
      <c r="F561">
        <v>2.44</v>
      </c>
      <c r="G561" t="str">
        <f>CONCATENATE(Таблица271[[#This Row],[Столбец1]],Таблица271[[#This Row],[Столбец2]])</f>
        <v>1,582,44</v>
      </c>
    </row>
    <row r="562" spans="1:7" x14ac:dyDescent="0.25">
      <c r="A562">
        <v>1.98</v>
      </c>
      <c r="B562">
        <v>1.57</v>
      </c>
      <c r="C562" t="str">
        <f>CONCATENATE(Таблица258[[#This Row],[Столбец1]],Таблица258[[#This Row],[Столбец2]])</f>
        <v>1,981,57</v>
      </c>
      <c r="E562">
        <v>1.58</v>
      </c>
      <c r="F562">
        <v>2.44</v>
      </c>
      <c r="G562" t="str">
        <f>CONCATENATE(Таблица271[[#This Row],[Столбец1]],Таблица271[[#This Row],[Столбец2]])</f>
        <v>1,582,44</v>
      </c>
    </row>
    <row r="563" spans="1:7" x14ac:dyDescent="0.25">
      <c r="A563">
        <v>1.98</v>
      </c>
      <c r="B563">
        <v>1.57</v>
      </c>
      <c r="C563" t="str">
        <f>CONCATENATE(Таблица258[[#This Row],[Столбец1]],Таблица258[[#This Row],[Столбец2]])</f>
        <v>1,981,57</v>
      </c>
      <c r="E563">
        <v>1.58</v>
      </c>
      <c r="F563">
        <v>2.44</v>
      </c>
      <c r="G563" t="str">
        <f>CONCATENATE(Таблица271[[#This Row],[Столбец1]],Таблица271[[#This Row],[Столбец2]])</f>
        <v>1,582,44</v>
      </c>
    </row>
    <row r="564" spans="1:7" x14ac:dyDescent="0.25">
      <c r="A564">
        <v>1.99</v>
      </c>
      <c r="B564">
        <v>1.57</v>
      </c>
      <c r="C564" t="str">
        <f>CONCATENATE(Таблица258[[#This Row],[Столбец1]],Таблица258[[#This Row],[Столбец2]])</f>
        <v>1,991,57</v>
      </c>
      <c r="E564">
        <v>1.58</v>
      </c>
      <c r="F564">
        <v>2.44</v>
      </c>
      <c r="G564" t="str">
        <f>CONCATENATE(Таблица271[[#This Row],[Столбец1]],Таблица271[[#This Row],[Столбец2]])</f>
        <v>1,582,44</v>
      </c>
    </row>
    <row r="565" spans="1:7" x14ac:dyDescent="0.25">
      <c r="A565">
        <v>1.99</v>
      </c>
      <c r="B565">
        <v>1.57</v>
      </c>
      <c r="C565" t="str">
        <f>CONCATENATE(Таблица258[[#This Row],[Столбец1]],Таблица258[[#This Row],[Столбец2]])</f>
        <v>1,991,57</v>
      </c>
      <c r="E565">
        <v>1.58</v>
      </c>
      <c r="F565">
        <v>2.44</v>
      </c>
      <c r="G565" t="str">
        <f>CONCATENATE(Таблица271[[#This Row],[Столбец1]],Таблица271[[#This Row],[Столбец2]])</f>
        <v>1,582,44</v>
      </c>
    </row>
    <row r="566" spans="1:7" x14ac:dyDescent="0.25">
      <c r="A566">
        <v>1.99</v>
      </c>
      <c r="B566">
        <v>1.57</v>
      </c>
      <c r="C566" t="str">
        <f>CONCATENATE(Таблица258[[#This Row],[Столбец1]],Таблица258[[#This Row],[Столбец2]])</f>
        <v>1,991,57</v>
      </c>
      <c r="E566">
        <v>1.59</v>
      </c>
      <c r="F566">
        <v>2.4500000000000002</v>
      </c>
      <c r="G566" t="str">
        <f>CONCATENATE(Таблица271[[#This Row],[Столбец1]],Таблица271[[#This Row],[Столбец2]])</f>
        <v>1,592,45</v>
      </c>
    </row>
    <row r="567" spans="1:7" x14ac:dyDescent="0.25">
      <c r="A567">
        <v>1.99</v>
      </c>
      <c r="B567">
        <v>1.57</v>
      </c>
      <c r="C567" t="str">
        <f>CONCATENATE(Таблица258[[#This Row],[Столбец1]],Таблица258[[#This Row],[Столбец2]])</f>
        <v>1,991,57</v>
      </c>
      <c r="E567">
        <v>1.59</v>
      </c>
      <c r="F567">
        <v>2.4500000000000002</v>
      </c>
      <c r="G567" t="str">
        <f>CONCATENATE(Таблица271[[#This Row],[Столбец1]],Таблица271[[#This Row],[Столбец2]])</f>
        <v>1,592,45</v>
      </c>
    </row>
    <row r="568" spans="1:7" x14ac:dyDescent="0.25">
      <c r="A568">
        <v>1.99</v>
      </c>
      <c r="B568">
        <v>1.57</v>
      </c>
      <c r="C568" t="str">
        <f>CONCATENATE(Таблица258[[#This Row],[Столбец1]],Таблица258[[#This Row],[Столбец2]])</f>
        <v>1,991,57</v>
      </c>
      <c r="E568">
        <v>1.59</v>
      </c>
      <c r="F568">
        <v>2.4500000000000002</v>
      </c>
      <c r="G568" t="str">
        <f>CONCATENATE(Таблица271[[#This Row],[Столбец1]],Таблица271[[#This Row],[Столбец2]])</f>
        <v>1,592,45</v>
      </c>
    </row>
    <row r="569" spans="1:7" x14ac:dyDescent="0.25">
      <c r="A569">
        <v>1.99</v>
      </c>
      <c r="B569">
        <v>1.57</v>
      </c>
      <c r="C569" t="str">
        <f>CONCATENATE(Таблица258[[#This Row],[Столбец1]],Таблица258[[#This Row],[Столбец2]])</f>
        <v>1,991,57</v>
      </c>
      <c r="E569">
        <v>1.59</v>
      </c>
      <c r="F569">
        <v>2.4500000000000002</v>
      </c>
      <c r="G569" t="str">
        <f>CONCATENATE(Таблица271[[#This Row],[Столбец1]],Таблица271[[#This Row],[Столбец2]])</f>
        <v>1,592,45</v>
      </c>
    </row>
    <row r="570" spans="1:7" x14ac:dyDescent="0.25">
      <c r="A570">
        <v>2</v>
      </c>
      <c r="B570">
        <v>1.57</v>
      </c>
      <c r="C570" t="str">
        <f>CONCATENATE(Таблица258[[#This Row],[Столбец1]],Таблица258[[#This Row],[Столбец2]])</f>
        <v>21,57</v>
      </c>
      <c r="E570">
        <v>1.59</v>
      </c>
      <c r="F570">
        <v>2.4500000000000002</v>
      </c>
      <c r="G570" t="str">
        <f>CONCATENATE(Таблица271[[#This Row],[Столбец1]],Таблица271[[#This Row],[Столбец2]])</f>
        <v>1,592,45</v>
      </c>
    </row>
    <row r="571" spans="1:7" x14ac:dyDescent="0.25">
      <c r="A571">
        <v>2</v>
      </c>
      <c r="B571">
        <v>1.57</v>
      </c>
      <c r="C571" t="str">
        <f>CONCATENATE(Таблица258[[#This Row],[Столбец1]],Таблица258[[#This Row],[Столбец2]])</f>
        <v>21,57</v>
      </c>
      <c r="E571">
        <v>1.59</v>
      </c>
      <c r="F571">
        <v>2.4500000000000002</v>
      </c>
      <c r="G571" t="str">
        <f>CONCATENATE(Таблица271[[#This Row],[Столбец1]],Таблица271[[#This Row],[Столбец2]])</f>
        <v>1,592,45</v>
      </c>
    </row>
    <row r="572" spans="1:7" x14ac:dyDescent="0.25">
      <c r="A572">
        <v>2</v>
      </c>
      <c r="B572">
        <v>1.57</v>
      </c>
      <c r="C572" t="str">
        <f>CONCATENATE(Таблица258[[#This Row],[Столбец1]],Таблица258[[#This Row],[Столбец2]])</f>
        <v>21,57</v>
      </c>
      <c r="E572">
        <v>1.6</v>
      </c>
      <c r="F572">
        <v>2.46</v>
      </c>
      <c r="G572" t="str">
        <f>CONCATENATE(Таблица271[[#This Row],[Столбец1]],Таблица271[[#This Row],[Столбец2]])</f>
        <v>1,62,46</v>
      </c>
    </row>
    <row r="573" spans="1:7" x14ac:dyDescent="0.25">
      <c r="A573">
        <v>2</v>
      </c>
      <c r="B573">
        <v>1.57</v>
      </c>
      <c r="C573" t="str">
        <f>CONCATENATE(Таблица258[[#This Row],[Столбец1]],Таблица258[[#This Row],[Столбец2]])</f>
        <v>21,57</v>
      </c>
      <c r="E573">
        <v>1.6</v>
      </c>
      <c r="F573">
        <v>2.46</v>
      </c>
      <c r="G573" t="str">
        <f>CONCATENATE(Таблица271[[#This Row],[Столбец1]],Таблица271[[#This Row],[Столбец2]])</f>
        <v>1,62,46</v>
      </c>
    </row>
    <row r="574" spans="1:7" x14ac:dyDescent="0.25">
      <c r="A574">
        <v>2</v>
      </c>
      <c r="B574">
        <v>1.57</v>
      </c>
      <c r="C574" t="str">
        <f>CONCATENATE(Таблица258[[#This Row],[Столбец1]],Таблица258[[#This Row],[Столбец2]])</f>
        <v>21,57</v>
      </c>
      <c r="E574">
        <v>1.6</v>
      </c>
      <c r="F574">
        <v>2.46</v>
      </c>
      <c r="G574" t="str">
        <f>CONCATENATE(Таблица271[[#This Row],[Столбец1]],Таблица271[[#This Row],[Столбец2]])</f>
        <v>1,62,46</v>
      </c>
    </row>
    <row r="575" spans="1:7" x14ac:dyDescent="0.25">
      <c r="A575">
        <v>2</v>
      </c>
      <c r="B575">
        <v>1.57</v>
      </c>
      <c r="C575" t="str">
        <f>CONCATENATE(Таблица258[[#This Row],[Столбец1]],Таблица258[[#This Row],[Столбец2]])</f>
        <v>21,57</v>
      </c>
      <c r="E575">
        <v>1.6</v>
      </c>
      <c r="F575">
        <v>2.46</v>
      </c>
      <c r="G575" t="str">
        <f>CONCATENATE(Таблица271[[#This Row],[Столбец1]],Таблица271[[#This Row],[Столбец2]])</f>
        <v>1,62,46</v>
      </c>
    </row>
    <row r="576" spans="1:7" x14ac:dyDescent="0.25">
      <c r="A576">
        <v>2</v>
      </c>
      <c r="B576">
        <v>1.57</v>
      </c>
      <c r="C576" t="str">
        <f>CONCATENATE(Таблица258[[#This Row],[Столбец1]],Таблица258[[#This Row],[Столбец2]])</f>
        <v>21,57</v>
      </c>
      <c r="E576">
        <v>1.6</v>
      </c>
      <c r="F576">
        <v>2.46</v>
      </c>
      <c r="G576" t="str">
        <f>CONCATENATE(Таблица271[[#This Row],[Столбец1]],Таблица271[[#This Row],[Столбец2]])</f>
        <v>1,62,46</v>
      </c>
    </row>
    <row r="577" spans="1:7" x14ac:dyDescent="0.25">
      <c r="A577">
        <v>2</v>
      </c>
      <c r="B577">
        <v>1.57</v>
      </c>
      <c r="C577" t="str">
        <f>CONCATENATE(Таблица258[[#This Row],[Столбец1]],Таблица258[[#This Row],[Столбец2]])</f>
        <v>21,57</v>
      </c>
      <c r="E577">
        <v>1.6</v>
      </c>
      <c r="F577">
        <v>2.46</v>
      </c>
      <c r="G577" t="str">
        <f>CONCATENATE(Таблица271[[#This Row],[Столбец1]],Таблица271[[#This Row],[Столбец2]])</f>
        <v>1,62,46</v>
      </c>
    </row>
    <row r="578" spans="1:7" x14ac:dyDescent="0.25">
      <c r="A578">
        <v>2</v>
      </c>
      <c r="B578">
        <v>1.57</v>
      </c>
      <c r="C578" t="str">
        <f>CONCATENATE(Таблица258[[#This Row],[Столбец1]],Таблица258[[#This Row],[Столбец2]])</f>
        <v>21,57</v>
      </c>
      <c r="E578">
        <v>1.61</v>
      </c>
      <c r="F578">
        <v>2.48</v>
      </c>
      <c r="G578" t="str">
        <f>CONCATENATE(Таблица271[[#This Row],[Столбец1]],Таблица271[[#This Row],[Столбец2]])</f>
        <v>1,612,48</v>
      </c>
    </row>
    <row r="579" spans="1:7" x14ac:dyDescent="0.25">
      <c r="A579">
        <v>2</v>
      </c>
      <c r="B579">
        <v>1.57</v>
      </c>
      <c r="C579" t="str">
        <f>CONCATENATE(Таблица258[[#This Row],[Столбец1]],Таблица258[[#This Row],[Столбец2]])</f>
        <v>21,57</v>
      </c>
      <c r="E579">
        <v>1.61</v>
      </c>
      <c r="F579">
        <v>2.48</v>
      </c>
      <c r="G579" t="str">
        <f>CONCATENATE(Таблица271[[#This Row],[Столбец1]],Таблица271[[#This Row],[Столбец2]])</f>
        <v>1,612,48</v>
      </c>
    </row>
    <row r="580" spans="1:7" x14ac:dyDescent="0.25">
      <c r="A580">
        <v>2</v>
      </c>
      <c r="B580">
        <v>1.57</v>
      </c>
      <c r="C580" t="str">
        <f>CONCATENATE(Таблица258[[#This Row],[Столбец1]],Таблица258[[#This Row],[Столбец2]])</f>
        <v>21,57</v>
      </c>
      <c r="E580">
        <v>1.61</v>
      </c>
      <c r="F580">
        <v>2.48</v>
      </c>
      <c r="G580" t="str">
        <f>CONCATENATE(Таблица271[[#This Row],[Столбец1]],Таблица271[[#This Row],[Столбец2]])</f>
        <v>1,612,48</v>
      </c>
    </row>
    <row r="581" spans="1:7" x14ac:dyDescent="0.25">
      <c r="A581">
        <v>2</v>
      </c>
      <c r="B581">
        <v>1.57</v>
      </c>
      <c r="C581" t="str">
        <f>CONCATENATE(Таблица258[[#This Row],[Столбец1]],Таблица258[[#This Row],[Столбец2]])</f>
        <v>21,57</v>
      </c>
      <c r="E581">
        <v>1.61</v>
      </c>
      <c r="F581">
        <v>2.48</v>
      </c>
      <c r="G581" t="str">
        <f>CONCATENATE(Таблица271[[#This Row],[Столбец1]],Таблица271[[#This Row],[Столбец2]])</f>
        <v>1,612,48</v>
      </c>
    </row>
    <row r="582" spans="1:7" x14ac:dyDescent="0.25">
      <c r="A582">
        <v>1.57</v>
      </c>
      <c r="B582">
        <v>2</v>
      </c>
      <c r="C582" t="str">
        <f>CONCATENATE(Таблица258[[#This Row],[Столбец1]],Таблица258[[#This Row],[Столбец2]])</f>
        <v>1,572</v>
      </c>
      <c r="E582">
        <v>1.61</v>
      </c>
      <c r="F582">
        <v>2.48</v>
      </c>
      <c r="G582" t="str">
        <f>CONCATENATE(Таблица271[[#This Row],[Столбец1]],Таблица271[[#This Row],[Столбец2]])</f>
        <v>1,612,48</v>
      </c>
    </row>
    <row r="583" spans="1:7" x14ac:dyDescent="0.25">
      <c r="A583">
        <v>1.57</v>
      </c>
      <c r="B583">
        <v>2</v>
      </c>
      <c r="C583" t="str">
        <f>CONCATENATE(Таблица258[[#This Row],[Столбец1]],Таблица258[[#This Row],[Столбец2]])</f>
        <v>1,572</v>
      </c>
      <c r="E583">
        <v>1.61</v>
      </c>
      <c r="F583">
        <v>2.48</v>
      </c>
      <c r="G583" t="str">
        <f>CONCATENATE(Таблица271[[#This Row],[Столбец1]],Таблица271[[#This Row],[Столбец2]])</f>
        <v>1,612,48</v>
      </c>
    </row>
    <row r="584" spans="1:7" x14ac:dyDescent="0.25">
      <c r="A584">
        <v>1.57</v>
      </c>
      <c r="B584">
        <v>2</v>
      </c>
      <c r="C584" t="str">
        <f>CONCATENATE(Таблица258[[#This Row],[Столбец1]],Таблица258[[#This Row],[Столбец2]])</f>
        <v>1,572</v>
      </c>
      <c r="E584">
        <v>1.62</v>
      </c>
      <c r="F584">
        <v>2.4900000000000002</v>
      </c>
      <c r="G584" t="str">
        <f>CONCATENATE(Таблица271[[#This Row],[Столбец1]],Таблица271[[#This Row],[Столбец2]])</f>
        <v>1,622,49</v>
      </c>
    </row>
    <row r="585" spans="1:7" x14ac:dyDescent="0.25">
      <c r="A585">
        <v>1.57</v>
      </c>
      <c r="B585">
        <v>2</v>
      </c>
      <c r="C585" t="str">
        <f>CONCATENATE(Таблица258[[#This Row],[Столбец1]],Таблица258[[#This Row],[Столбец2]])</f>
        <v>1,572</v>
      </c>
      <c r="E585">
        <v>1.62</v>
      </c>
      <c r="F585">
        <v>2.4900000000000002</v>
      </c>
      <c r="G585" t="str">
        <f>CONCATENATE(Таблица271[[#This Row],[Столбец1]],Таблица271[[#This Row],[Столбец2]])</f>
        <v>1,622,49</v>
      </c>
    </row>
    <row r="586" spans="1:7" x14ac:dyDescent="0.25">
      <c r="A586">
        <v>1.57</v>
      </c>
      <c r="B586">
        <v>2</v>
      </c>
      <c r="C586" t="str">
        <f>CONCATENATE(Таблица258[[#This Row],[Столбец1]],Таблица258[[#This Row],[Столбец2]])</f>
        <v>1,572</v>
      </c>
      <c r="E586">
        <v>1.62</v>
      </c>
      <c r="F586">
        <v>2.4900000000000002</v>
      </c>
      <c r="G586" t="str">
        <f>CONCATENATE(Таблица271[[#This Row],[Столбец1]],Таблица271[[#This Row],[Столбец2]])</f>
        <v>1,622,49</v>
      </c>
    </row>
    <row r="587" spans="1:7" x14ac:dyDescent="0.25">
      <c r="A587">
        <v>1.57</v>
      </c>
      <c r="B587">
        <v>2</v>
      </c>
      <c r="C587" t="str">
        <f>CONCATENATE(Таблица258[[#This Row],[Столбец1]],Таблица258[[#This Row],[Столбец2]])</f>
        <v>1,572</v>
      </c>
      <c r="E587">
        <v>1.62</v>
      </c>
      <c r="F587">
        <v>2.4900000000000002</v>
      </c>
      <c r="G587" t="str">
        <f>CONCATENATE(Таблица271[[#This Row],[Столбец1]],Таблица271[[#This Row],[Столбец2]])</f>
        <v>1,622,49</v>
      </c>
    </row>
    <row r="588" spans="1:7" x14ac:dyDescent="0.25">
      <c r="A588">
        <v>1.58</v>
      </c>
      <c r="B588">
        <v>2.44</v>
      </c>
      <c r="C588" t="str">
        <f>CONCATENATE(Таблица258[[#This Row],[Столбец1]],Таблица258[[#This Row],[Столбец2]])</f>
        <v>1,582,44</v>
      </c>
      <c r="E588">
        <v>1.62</v>
      </c>
      <c r="F588">
        <v>2.4900000000000002</v>
      </c>
      <c r="G588" t="str">
        <f>CONCATENATE(Таблица271[[#This Row],[Столбец1]],Таблица271[[#This Row],[Столбец2]])</f>
        <v>1,622,49</v>
      </c>
    </row>
    <row r="589" spans="1:7" x14ac:dyDescent="0.25">
      <c r="A589">
        <v>1.58</v>
      </c>
      <c r="B589">
        <v>2.44</v>
      </c>
      <c r="C589" t="str">
        <f>CONCATENATE(Таблица258[[#This Row],[Столбец1]],Таблица258[[#This Row],[Столбец2]])</f>
        <v>1,582,44</v>
      </c>
      <c r="E589">
        <v>1.62</v>
      </c>
      <c r="F589">
        <v>2.4900000000000002</v>
      </c>
      <c r="G589" t="str">
        <f>CONCATENATE(Таблица271[[#This Row],[Столбец1]],Таблица271[[#This Row],[Столбец2]])</f>
        <v>1,622,49</v>
      </c>
    </row>
    <row r="590" spans="1:7" x14ac:dyDescent="0.25">
      <c r="A590">
        <v>1.58</v>
      </c>
      <c r="B590">
        <v>2.44</v>
      </c>
      <c r="C590" t="str">
        <f>CONCATENATE(Таблица258[[#This Row],[Столбец1]],Таблица258[[#This Row],[Столбец2]])</f>
        <v>1,582,44</v>
      </c>
      <c r="E590">
        <v>1.63</v>
      </c>
      <c r="F590">
        <v>2.5</v>
      </c>
      <c r="G590" t="str">
        <f>CONCATENATE(Таблица271[[#This Row],[Столбец1]],Таблица271[[#This Row],[Столбец2]])</f>
        <v>1,632,5</v>
      </c>
    </row>
    <row r="591" spans="1:7" x14ac:dyDescent="0.25">
      <c r="A591">
        <v>1.58</v>
      </c>
      <c r="B591">
        <v>2.44</v>
      </c>
      <c r="C591" t="str">
        <f>CONCATENATE(Таблица258[[#This Row],[Столбец1]],Таблица258[[#This Row],[Столбец2]])</f>
        <v>1,582,44</v>
      </c>
      <c r="E591">
        <v>1.63</v>
      </c>
      <c r="F591">
        <v>2.5</v>
      </c>
      <c r="G591" t="str">
        <f>CONCATENATE(Таблица271[[#This Row],[Столбец1]],Таблица271[[#This Row],[Столбец2]])</f>
        <v>1,632,5</v>
      </c>
    </row>
    <row r="592" spans="1:7" x14ac:dyDescent="0.25">
      <c r="A592">
        <v>1.58</v>
      </c>
      <c r="B592">
        <v>2.44</v>
      </c>
      <c r="C592" t="str">
        <f>CONCATENATE(Таблица258[[#This Row],[Столбец1]],Таблица258[[#This Row],[Столбец2]])</f>
        <v>1,582,44</v>
      </c>
      <c r="E592">
        <v>1.63</v>
      </c>
      <c r="F592">
        <v>2.5</v>
      </c>
      <c r="G592" t="str">
        <f>CONCATENATE(Таблица271[[#This Row],[Столбец1]],Таблица271[[#This Row],[Столбец2]])</f>
        <v>1,632,5</v>
      </c>
    </row>
    <row r="593" spans="1:7" x14ac:dyDescent="0.25">
      <c r="A593">
        <v>1.58</v>
      </c>
      <c r="B593">
        <v>2.44</v>
      </c>
      <c r="C593" t="str">
        <f>CONCATENATE(Таблица258[[#This Row],[Столбец1]],Таблица258[[#This Row],[Столбец2]])</f>
        <v>1,582,44</v>
      </c>
      <c r="E593">
        <v>1.63</v>
      </c>
      <c r="F593">
        <v>2.5</v>
      </c>
      <c r="G593" t="str">
        <f>CONCATENATE(Таблица271[[#This Row],[Столбец1]],Таблица271[[#This Row],[Столбец2]])</f>
        <v>1,632,5</v>
      </c>
    </row>
    <row r="594" spans="1:7" x14ac:dyDescent="0.25">
      <c r="A594">
        <v>1.59</v>
      </c>
      <c r="B594">
        <v>2.4500000000000002</v>
      </c>
      <c r="C594" t="str">
        <f>CONCATENATE(Таблица258[[#This Row],[Столбец1]],Таблица258[[#This Row],[Столбец2]])</f>
        <v>1,592,45</v>
      </c>
      <c r="E594">
        <v>1.63</v>
      </c>
      <c r="F594">
        <v>2.5</v>
      </c>
      <c r="G594" t="str">
        <f>CONCATENATE(Таблица271[[#This Row],[Столбец1]],Таблица271[[#This Row],[Столбец2]])</f>
        <v>1,632,5</v>
      </c>
    </row>
    <row r="595" spans="1:7" x14ac:dyDescent="0.25">
      <c r="A595">
        <v>1.59</v>
      </c>
      <c r="B595">
        <v>2.4500000000000002</v>
      </c>
      <c r="C595" t="str">
        <f>CONCATENATE(Таблица258[[#This Row],[Столбец1]],Таблица258[[#This Row],[Столбец2]])</f>
        <v>1,592,45</v>
      </c>
      <c r="E595">
        <v>1.63</v>
      </c>
      <c r="F595">
        <v>2.5</v>
      </c>
      <c r="G595" t="str">
        <f>CONCATENATE(Таблица271[[#This Row],[Столбец1]],Таблица271[[#This Row],[Столбец2]])</f>
        <v>1,632,5</v>
      </c>
    </row>
    <row r="596" spans="1:7" x14ac:dyDescent="0.25">
      <c r="A596">
        <v>1.59</v>
      </c>
      <c r="B596">
        <v>2.4500000000000002</v>
      </c>
      <c r="C596" t="str">
        <f>CONCATENATE(Таблица258[[#This Row],[Столбец1]],Таблица258[[#This Row],[Столбец2]])</f>
        <v>1,592,45</v>
      </c>
      <c r="E596">
        <v>1.57</v>
      </c>
      <c r="F596">
        <v>3</v>
      </c>
      <c r="G596" t="str">
        <f>CONCATENATE(Таблица271[[#This Row],[Столбец1]],Таблица271[[#This Row],[Столбец2]])</f>
        <v>1,573</v>
      </c>
    </row>
    <row r="597" spans="1:7" x14ac:dyDescent="0.25">
      <c r="A597">
        <v>1.59</v>
      </c>
      <c r="B597">
        <v>2.4500000000000002</v>
      </c>
      <c r="C597" t="str">
        <f>CONCATENATE(Таблица258[[#This Row],[Столбец1]],Таблица258[[#This Row],[Столбец2]])</f>
        <v>1,592,45</v>
      </c>
      <c r="E597">
        <v>1.57</v>
      </c>
      <c r="F597">
        <v>3</v>
      </c>
      <c r="G597" t="str">
        <f>CONCATENATE(Таблица271[[#This Row],[Столбец1]],Таблица271[[#This Row],[Столбец2]])</f>
        <v>1,573</v>
      </c>
    </row>
    <row r="598" spans="1:7" x14ac:dyDescent="0.25">
      <c r="A598">
        <v>1.59</v>
      </c>
      <c r="B598">
        <v>2.4500000000000002</v>
      </c>
      <c r="C598" t="str">
        <f>CONCATENATE(Таблица258[[#This Row],[Столбец1]],Таблица258[[#This Row],[Столбец2]])</f>
        <v>1,592,45</v>
      </c>
      <c r="E598">
        <v>1.57</v>
      </c>
      <c r="F598">
        <v>3</v>
      </c>
      <c r="G598" t="str">
        <f>CONCATENATE(Таблица271[[#This Row],[Столбец1]],Таблица271[[#This Row],[Столбец2]])</f>
        <v>1,573</v>
      </c>
    </row>
    <row r="599" spans="1:7" x14ac:dyDescent="0.25">
      <c r="A599">
        <v>1.59</v>
      </c>
      <c r="B599">
        <v>2.4500000000000002</v>
      </c>
      <c r="C599" t="str">
        <f>CONCATENATE(Таблица258[[#This Row],[Столбец1]],Таблица258[[#This Row],[Столбец2]])</f>
        <v>1,592,45</v>
      </c>
      <c r="E599">
        <v>1.57</v>
      </c>
      <c r="F599">
        <v>3</v>
      </c>
      <c r="G599" t="str">
        <f>CONCATENATE(Таблица271[[#This Row],[Столбец1]],Таблица271[[#This Row],[Столбец2]])</f>
        <v>1,573</v>
      </c>
    </row>
    <row r="600" spans="1:7" x14ac:dyDescent="0.25">
      <c r="A600">
        <v>1.6</v>
      </c>
      <c r="B600">
        <v>2.46</v>
      </c>
      <c r="C600" t="str">
        <f>CONCATENATE(Таблица258[[#This Row],[Столбец1]],Таблица258[[#This Row],[Столбец2]])</f>
        <v>1,62,46</v>
      </c>
      <c r="E600">
        <v>1.57</v>
      </c>
      <c r="F600">
        <v>3</v>
      </c>
      <c r="G600" t="str">
        <f>CONCATENATE(Таблица271[[#This Row],[Столбец1]],Таблица271[[#This Row],[Столбец2]])</f>
        <v>1,573</v>
      </c>
    </row>
    <row r="601" spans="1:7" x14ac:dyDescent="0.25">
      <c r="A601">
        <v>1.6</v>
      </c>
      <c r="B601">
        <v>2.46</v>
      </c>
      <c r="C601" t="str">
        <f>CONCATENATE(Таблица258[[#This Row],[Столбец1]],Таблица258[[#This Row],[Столбец2]])</f>
        <v>1,62,46</v>
      </c>
      <c r="E601">
        <v>1.57</v>
      </c>
      <c r="F601">
        <v>3</v>
      </c>
      <c r="G601" t="str">
        <f>CONCATENATE(Таблица271[[#This Row],[Столбец1]],Таблица271[[#This Row],[Столбец2]])</f>
        <v>1,573</v>
      </c>
    </row>
    <row r="602" spans="1:7" x14ac:dyDescent="0.25">
      <c r="A602">
        <v>1.6</v>
      </c>
      <c r="B602">
        <v>2.46</v>
      </c>
      <c r="C602" t="str">
        <f>CONCATENATE(Таблица258[[#This Row],[Столбец1]],Таблица258[[#This Row],[Столбец2]])</f>
        <v>1,62,46</v>
      </c>
      <c r="E602">
        <v>1.58</v>
      </c>
      <c r="F602">
        <v>3.44</v>
      </c>
      <c r="G602" t="str">
        <f>CONCATENATE(Таблица271[[#This Row],[Столбец1]],Таблица271[[#This Row],[Столбец2]])</f>
        <v>1,583,44</v>
      </c>
    </row>
    <row r="603" spans="1:7" x14ac:dyDescent="0.25">
      <c r="A603">
        <v>1.6</v>
      </c>
      <c r="B603">
        <v>2.46</v>
      </c>
      <c r="C603" t="str">
        <f>CONCATENATE(Таблица258[[#This Row],[Столбец1]],Таблица258[[#This Row],[Столбец2]])</f>
        <v>1,62,46</v>
      </c>
      <c r="E603">
        <v>1.58</v>
      </c>
      <c r="F603">
        <v>3.44</v>
      </c>
      <c r="G603" t="str">
        <f>CONCATENATE(Таблица271[[#This Row],[Столбец1]],Таблица271[[#This Row],[Столбец2]])</f>
        <v>1,583,44</v>
      </c>
    </row>
    <row r="604" spans="1:7" x14ac:dyDescent="0.25">
      <c r="A604">
        <v>1.6</v>
      </c>
      <c r="B604">
        <v>2.46</v>
      </c>
      <c r="C604" t="str">
        <f>CONCATENATE(Таблица258[[#This Row],[Столбец1]],Таблица258[[#This Row],[Столбец2]])</f>
        <v>1,62,46</v>
      </c>
      <c r="E604">
        <v>1.58</v>
      </c>
      <c r="F604">
        <v>3.44</v>
      </c>
      <c r="G604" t="str">
        <f>CONCATENATE(Таблица271[[#This Row],[Столбец1]],Таблица271[[#This Row],[Столбец2]])</f>
        <v>1,583,44</v>
      </c>
    </row>
    <row r="605" spans="1:7" x14ac:dyDescent="0.25">
      <c r="A605">
        <v>1.6</v>
      </c>
      <c r="B605">
        <v>2.46</v>
      </c>
      <c r="C605" t="str">
        <f>CONCATENATE(Таблица258[[#This Row],[Столбец1]],Таблица258[[#This Row],[Столбец2]])</f>
        <v>1,62,46</v>
      </c>
      <c r="E605">
        <v>1.58</v>
      </c>
      <c r="F605">
        <v>3.44</v>
      </c>
      <c r="G605" t="str">
        <f>CONCATENATE(Таблица271[[#This Row],[Столбец1]],Таблица271[[#This Row],[Столбец2]])</f>
        <v>1,583,44</v>
      </c>
    </row>
    <row r="606" spans="1:7" x14ac:dyDescent="0.25">
      <c r="A606">
        <v>1.61</v>
      </c>
      <c r="B606">
        <v>2.48</v>
      </c>
      <c r="C606" t="str">
        <f>CONCATENATE(Таблица258[[#This Row],[Столбец1]],Таблица258[[#This Row],[Столбец2]])</f>
        <v>1,612,48</v>
      </c>
      <c r="E606">
        <v>1.58</v>
      </c>
      <c r="F606">
        <v>3.44</v>
      </c>
      <c r="G606" t="str">
        <f>CONCATENATE(Таблица271[[#This Row],[Столбец1]],Таблица271[[#This Row],[Столбец2]])</f>
        <v>1,583,44</v>
      </c>
    </row>
    <row r="607" spans="1:7" x14ac:dyDescent="0.25">
      <c r="A607">
        <v>1.61</v>
      </c>
      <c r="B607">
        <v>2.48</v>
      </c>
      <c r="C607" t="str">
        <f>CONCATENATE(Таблица258[[#This Row],[Столбец1]],Таблица258[[#This Row],[Столбец2]])</f>
        <v>1,612,48</v>
      </c>
      <c r="E607">
        <v>1.58</v>
      </c>
      <c r="F607">
        <v>3.44</v>
      </c>
      <c r="G607" t="str">
        <f>CONCATENATE(Таблица271[[#This Row],[Столбец1]],Таблица271[[#This Row],[Столбец2]])</f>
        <v>1,583,44</v>
      </c>
    </row>
    <row r="608" spans="1:7" x14ac:dyDescent="0.25">
      <c r="A608">
        <v>1.61</v>
      </c>
      <c r="B608">
        <v>2.48</v>
      </c>
      <c r="C608" t="str">
        <f>CONCATENATE(Таблица258[[#This Row],[Столбец1]],Таблица258[[#This Row],[Столбец2]])</f>
        <v>1,612,48</v>
      </c>
      <c r="E608">
        <v>1.59</v>
      </c>
      <c r="F608">
        <v>3.45</v>
      </c>
      <c r="G608" t="str">
        <f>CONCATENATE(Таблица271[[#This Row],[Столбец1]],Таблица271[[#This Row],[Столбец2]])</f>
        <v>1,593,45</v>
      </c>
    </row>
    <row r="609" spans="1:7" x14ac:dyDescent="0.25">
      <c r="A609">
        <v>1.61</v>
      </c>
      <c r="B609">
        <v>2.48</v>
      </c>
      <c r="C609" t="str">
        <f>CONCATENATE(Таблица258[[#This Row],[Столбец1]],Таблица258[[#This Row],[Столбец2]])</f>
        <v>1,612,48</v>
      </c>
      <c r="E609">
        <v>1.59</v>
      </c>
      <c r="F609">
        <v>3.45</v>
      </c>
      <c r="G609" t="str">
        <f>CONCATENATE(Таблица271[[#This Row],[Столбец1]],Таблица271[[#This Row],[Столбец2]])</f>
        <v>1,593,45</v>
      </c>
    </row>
    <row r="610" spans="1:7" x14ac:dyDescent="0.25">
      <c r="A610">
        <v>1.61</v>
      </c>
      <c r="B610">
        <v>2.48</v>
      </c>
      <c r="C610" t="str">
        <f>CONCATENATE(Таблица258[[#This Row],[Столбец1]],Таблица258[[#This Row],[Столбец2]])</f>
        <v>1,612,48</v>
      </c>
      <c r="E610">
        <v>1.59</v>
      </c>
      <c r="F610">
        <v>3.45</v>
      </c>
      <c r="G610" t="str">
        <f>CONCATENATE(Таблица271[[#This Row],[Столбец1]],Таблица271[[#This Row],[Столбец2]])</f>
        <v>1,593,45</v>
      </c>
    </row>
    <row r="611" spans="1:7" x14ac:dyDescent="0.25">
      <c r="A611">
        <v>1.61</v>
      </c>
      <c r="B611">
        <v>2.48</v>
      </c>
      <c r="C611" t="str">
        <f>CONCATENATE(Таблица258[[#This Row],[Столбец1]],Таблица258[[#This Row],[Столбец2]])</f>
        <v>1,612,48</v>
      </c>
      <c r="E611">
        <v>1.59</v>
      </c>
      <c r="F611">
        <v>3.45</v>
      </c>
      <c r="G611" t="str">
        <f>CONCATENATE(Таблица271[[#This Row],[Столбец1]],Таблица271[[#This Row],[Столбец2]])</f>
        <v>1,593,45</v>
      </c>
    </row>
    <row r="612" spans="1:7" x14ac:dyDescent="0.25">
      <c r="A612">
        <v>1.62</v>
      </c>
      <c r="B612">
        <v>2.4900000000000002</v>
      </c>
      <c r="C612" t="str">
        <f>CONCATENATE(Таблица258[[#This Row],[Столбец1]],Таблица258[[#This Row],[Столбец2]])</f>
        <v>1,622,49</v>
      </c>
      <c r="E612">
        <v>1.59</v>
      </c>
      <c r="F612">
        <v>3.45</v>
      </c>
      <c r="G612" t="str">
        <f>CONCATENATE(Таблица271[[#This Row],[Столбец1]],Таблица271[[#This Row],[Столбец2]])</f>
        <v>1,593,45</v>
      </c>
    </row>
    <row r="613" spans="1:7" x14ac:dyDescent="0.25">
      <c r="A613">
        <v>1.62</v>
      </c>
      <c r="B613">
        <v>2.4900000000000002</v>
      </c>
      <c r="C613" t="str">
        <f>CONCATENATE(Таблица258[[#This Row],[Столбец1]],Таблица258[[#This Row],[Столбец2]])</f>
        <v>1,622,49</v>
      </c>
      <c r="E613">
        <v>1.59</v>
      </c>
      <c r="F613">
        <v>3.45</v>
      </c>
      <c r="G613" t="str">
        <f>CONCATENATE(Таблица271[[#This Row],[Столбец1]],Таблица271[[#This Row],[Столбец2]])</f>
        <v>1,593,45</v>
      </c>
    </row>
    <row r="614" spans="1:7" x14ac:dyDescent="0.25">
      <c r="A614">
        <v>1.62</v>
      </c>
      <c r="B614">
        <v>2.4900000000000002</v>
      </c>
      <c r="C614" t="str">
        <f>CONCATENATE(Таблица258[[#This Row],[Столбец1]],Таблица258[[#This Row],[Столбец2]])</f>
        <v>1,622,49</v>
      </c>
      <c r="E614">
        <v>1.6</v>
      </c>
      <c r="F614">
        <v>3.46</v>
      </c>
      <c r="G614" t="str">
        <f>CONCATENATE(Таблица271[[#This Row],[Столбец1]],Таблица271[[#This Row],[Столбец2]])</f>
        <v>1,63,46</v>
      </c>
    </row>
    <row r="615" spans="1:7" x14ac:dyDescent="0.25">
      <c r="A615">
        <v>1.62</v>
      </c>
      <c r="B615">
        <v>2.4900000000000002</v>
      </c>
      <c r="C615" t="str">
        <f>CONCATENATE(Таблица258[[#This Row],[Столбец1]],Таблица258[[#This Row],[Столбец2]])</f>
        <v>1,622,49</v>
      </c>
      <c r="E615">
        <v>1.6</v>
      </c>
      <c r="F615">
        <v>3.46</v>
      </c>
      <c r="G615" t="str">
        <f>CONCATENATE(Таблица271[[#This Row],[Столбец1]],Таблица271[[#This Row],[Столбец2]])</f>
        <v>1,63,46</v>
      </c>
    </row>
    <row r="616" spans="1:7" x14ac:dyDescent="0.25">
      <c r="A616">
        <v>1.62</v>
      </c>
      <c r="B616">
        <v>2.4900000000000002</v>
      </c>
      <c r="C616" t="str">
        <f>CONCATENATE(Таблица258[[#This Row],[Столбец1]],Таблица258[[#This Row],[Столбец2]])</f>
        <v>1,622,49</v>
      </c>
      <c r="E616">
        <v>1.6</v>
      </c>
      <c r="F616">
        <v>3.46</v>
      </c>
      <c r="G616" t="str">
        <f>CONCATENATE(Таблица271[[#This Row],[Столбец1]],Таблица271[[#This Row],[Столбец2]])</f>
        <v>1,63,46</v>
      </c>
    </row>
    <row r="617" spans="1:7" x14ac:dyDescent="0.25">
      <c r="A617">
        <v>1.62</v>
      </c>
      <c r="B617">
        <v>2.4900000000000002</v>
      </c>
      <c r="C617" t="str">
        <f>CONCATENATE(Таблица258[[#This Row],[Столбец1]],Таблица258[[#This Row],[Столбец2]])</f>
        <v>1,622,49</v>
      </c>
      <c r="E617">
        <v>1.6</v>
      </c>
      <c r="F617">
        <v>3.46</v>
      </c>
      <c r="G617" t="str">
        <f>CONCATENATE(Таблица271[[#This Row],[Столбец1]],Таблица271[[#This Row],[Столбец2]])</f>
        <v>1,63,46</v>
      </c>
    </row>
    <row r="618" spans="1:7" x14ac:dyDescent="0.25">
      <c r="A618">
        <v>1.63</v>
      </c>
      <c r="B618">
        <v>2.5</v>
      </c>
      <c r="C618" t="str">
        <f>CONCATENATE(Таблица258[[#This Row],[Столбец1]],Таблица258[[#This Row],[Столбец2]])</f>
        <v>1,632,5</v>
      </c>
      <c r="E618">
        <v>1.6</v>
      </c>
      <c r="F618">
        <v>3.46</v>
      </c>
      <c r="G618" t="str">
        <f>CONCATENATE(Таблица271[[#This Row],[Столбец1]],Таблица271[[#This Row],[Столбец2]])</f>
        <v>1,63,46</v>
      </c>
    </row>
    <row r="619" spans="1:7" x14ac:dyDescent="0.25">
      <c r="A619">
        <v>1.63</v>
      </c>
      <c r="B619">
        <v>2.5</v>
      </c>
      <c r="C619" t="str">
        <f>CONCATENATE(Таблица258[[#This Row],[Столбец1]],Таблица258[[#This Row],[Столбец2]])</f>
        <v>1,632,5</v>
      </c>
      <c r="E619">
        <v>1.6</v>
      </c>
      <c r="F619">
        <v>3.46</v>
      </c>
      <c r="G619" t="str">
        <f>CONCATENATE(Таблица271[[#This Row],[Столбец1]],Таблица271[[#This Row],[Столбец2]])</f>
        <v>1,63,46</v>
      </c>
    </row>
    <row r="620" spans="1:7" x14ac:dyDescent="0.25">
      <c r="A620">
        <v>1.63</v>
      </c>
      <c r="B620">
        <v>2.5</v>
      </c>
      <c r="C620" t="str">
        <f>CONCATENATE(Таблица258[[#This Row],[Столбец1]],Таблица258[[#This Row],[Столбец2]])</f>
        <v>1,632,5</v>
      </c>
      <c r="E620">
        <v>1.61</v>
      </c>
      <c r="F620">
        <v>3.48</v>
      </c>
      <c r="G620" t="str">
        <f>CONCATENATE(Таблица271[[#This Row],[Столбец1]],Таблица271[[#This Row],[Столбец2]])</f>
        <v>1,613,48</v>
      </c>
    </row>
    <row r="621" spans="1:7" x14ac:dyDescent="0.25">
      <c r="A621">
        <v>1.63</v>
      </c>
      <c r="B621">
        <v>2.5</v>
      </c>
      <c r="C621" t="str">
        <f>CONCATENATE(Таблица258[[#This Row],[Столбец1]],Таблица258[[#This Row],[Столбец2]])</f>
        <v>1,632,5</v>
      </c>
      <c r="E621">
        <v>1.61</v>
      </c>
      <c r="F621">
        <v>3.48</v>
      </c>
      <c r="G621" t="str">
        <f>CONCATENATE(Таблица271[[#This Row],[Столбец1]],Таблица271[[#This Row],[Столбец2]])</f>
        <v>1,613,48</v>
      </c>
    </row>
    <row r="622" spans="1:7" x14ac:dyDescent="0.25">
      <c r="A622">
        <v>1.63</v>
      </c>
      <c r="B622">
        <v>2.5</v>
      </c>
      <c r="C622" t="str">
        <f>CONCATENATE(Таблица258[[#This Row],[Столбец1]],Таблица258[[#This Row],[Столбец2]])</f>
        <v>1,632,5</v>
      </c>
      <c r="E622">
        <v>1.61</v>
      </c>
      <c r="F622">
        <v>3.48</v>
      </c>
      <c r="G622" t="str">
        <f>CONCATENATE(Таблица271[[#This Row],[Столбец1]],Таблица271[[#This Row],[Столбец2]])</f>
        <v>1,613,48</v>
      </c>
    </row>
    <row r="623" spans="1:7" x14ac:dyDescent="0.25">
      <c r="A623">
        <v>1.63</v>
      </c>
      <c r="B623">
        <v>2.5</v>
      </c>
      <c r="C623" t="str">
        <f>CONCATENATE(Таблица258[[#This Row],[Столбец1]],Таблица258[[#This Row],[Столбец2]])</f>
        <v>1,632,5</v>
      </c>
      <c r="E623">
        <v>1.61</v>
      </c>
      <c r="F623">
        <v>3.48</v>
      </c>
      <c r="G623" t="str">
        <f>CONCATENATE(Таблица271[[#This Row],[Столбец1]],Таблица271[[#This Row],[Столбец2]])</f>
        <v>1,613,48</v>
      </c>
    </row>
    <row r="624" spans="1:7" x14ac:dyDescent="0.25">
      <c r="A624">
        <v>1.57</v>
      </c>
      <c r="B624">
        <v>3</v>
      </c>
      <c r="C624" t="str">
        <f>CONCATENATE(Таблица258[[#This Row],[Столбец1]],Таблица258[[#This Row],[Столбец2]])</f>
        <v>1,573</v>
      </c>
      <c r="E624">
        <v>1.61</v>
      </c>
      <c r="F624">
        <v>3.48</v>
      </c>
      <c r="G624" t="str">
        <f>CONCATENATE(Таблица271[[#This Row],[Столбец1]],Таблица271[[#This Row],[Столбец2]])</f>
        <v>1,613,48</v>
      </c>
    </row>
    <row r="625" spans="1:7" x14ac:dyDescent="0.25">
      <c r="A625">
        <v>1.57</v>
      </c>
      <c r="B625">
        <v>3</v>
      </c>
      <c r="C625" t="str">
        <f>CONCATENATE(Таблица258[[#This Row],[Столбец1]],Таблица258[[#This Row],[Столбец2]])</f>
        <v>1,573</v>
      </c>
      <c r="E625">
        <v>1.61</v>
      </c>
      <c r="F625">
        <v>3.48</v>
      </c>
      <c r="G625" t="str">
        <f>CONCATENATE(Таблица271[[#This Row],[Столбец1]],Таблица271[[#This Row],[Столбец2]])</f>
        <v>1,613,48</v>
      </c>
    </row>
    <row r="626" spans="1:7" x14ac:dyDescent="0.25">
      <c r="A626">
        <v>1.57</v>
      </c>
      <c r="B626">
        <v>3</v>
      </c>
      <c r="C626" t="str">
        <f>CONCATENATE(Таблица258[[#This Row],[Столбец1]],Таблица258[[#This Row],[Столбец2]])</f>
        <v>1,573</v>
      </c>
      <c r="E626">
        <v>1.62</v>
      </c>
      <c r="F626">
        <v>3.49</v>
      </c>
      <c r="G626" t="str">
        <f>CONCATENATE(Таблица271[[#This Row],[Столбец1]],Таблица271[[#This Row],[Столбец2]])</f>
        <v>1,623,49</v>
      </c>
    </row>
    <row r="627" spans="1:7" x14ac:dyDescent="0.25">
      <c r="A627">
        <v>1.57</v>
      </c>
      <c r="B627">
        <v>3</v>
      </c>
      <c r="C627" t="str">
        <f>CONCATENATE(Таблица258[[#This Row],[Столбец1]],Таблица258[[#This Row],[Столбец2]])</f>
        <v>1,573</v>
      </c>
      <c r="E627">
        <v>1.62</v>
      </c>
      <c r="F627">
        <v>3.49</v>
      </c>
      <c r="G627" t="str">
        <f>CONCATENATE(Таблица271[[#This Row],[Столбец1]],Таблица271[[#This Row],[Столбец2]])</f>
        <v>1,623,49</v>
      </c>
    </row>
    <row r="628" spans="1:7" x14ac:dyDescent="0.25">
      <c r="A628">
        <v>1.57</v>
      </c>
      <c r="B628">
        <v>3</v>
      </c>
      <c r="C628" t="str">
        <f>CONCATENATE(Таблица258[[#This Row],[Столбец1]],Таблица258[[#This Row],[Столбец2]])</f>
        <v>1,573</v>
      </c>
      <c r="E628">
        <v>1.62</v>
      </c>
      <c r="F628">
        <v>3.49</v>
      </c>
      <c r="G628" t="str">
        <f>CONCATENATE(Таблица271[[#This Row],[Столбец1]],Таблица271[[#This Row],[Столбец2]])</f>
        <v>1,623,49</v>
      </c>
    </row>
    <row r="629" spans="1:7" x14ac:dyDescent="0.25">
      <c r="A629">
        <v>1.57</v>
      </c>
      <c r="B629">
        <v>3</v>
      </c>
      <c r="C629" t="str">
        <f>CONCATENATE(Таблица258[[#This Row],[Столбец1]],Таблица258[[#This Row],[Столбец2]])</f>
        <v>1,573</v>
      </c>
      <c r="E629">
        <v>1.62</v>
      </c>
      <c r="F629">
        <v>3.49</v>
      </c>
      <c r="G629" t="str">
        <f>CONCATENATE(Таблица271[[#This Row],[Столбец1]],Таблица271[[#This Row],[Столбец2]])</f>
        <v>1,623,49</v>
      </c>
    </row>
    <row r="630" spans="1:7" x14ac:dyDescent="0.25">
      <c r="A630">
        <v>1.58</v>
      </c>
      <c r="B630">
        <v>3.44</v>
      </c>
      <c r="C630" t="str">
        <f>CONCATENATE(Таблица258[[#This Row],[Столбец1]],Таблица258[[#This Row],[Столбец2]])</f>
        <v>1,583,44</v>
      </c>
      <c r="E630">
        <v>1.62</v>
      </c>
      <c r="F630">
        <v>3.49</v>
      </c>
      <c r="G630" t="str">
        <f>CONCATENATE(Таблица271[[#This Row],[Столбец1]],Таблица271[[#This Row],[Столбец2]])</f>
        <v>1,623,49</v>
      </c>
    </row>
    <row r="631" spans="1:7" x14ac:dyDescent="0.25">
      <c r="A631">
        <v>1.58</v>
      </c>
      <c r="B631">
        <v>3.44</v>
      </c>
      <c r="C631" t="str">
        <f>CONCATENATE(Таблица258[[#This Row],[Столбец1]],Таблица258[[#This Row],[Столбец2]])</f>
        <v>1,583,44</v>
      </c>
      <c r="E631">
        <v>1.62</v>
      </c>
      <c r="F631">
        <v>3.49</v>
      </c>
      <c r="G631" t="str">
        <f>CONCATENATE(Таблица271[[#This Row],[Столбец1]],Таблица271[[#This Row],[Столбец2]])</f>
        <v>1,623,49</v>
      </c>
    </row>
    <row r="632" spans="1:7" x14ac:dyDescent="0.25">
      <c r="A632">
        <v>1.58</v>
      </c>
      <c r="B632">
        <v>3.44</v>
      </c>
      <c r="C632" t="str">
        <f>CONCATENATE(Таблица258[[#This Row],[Столбец1]],Таблица258[[#This Row],[Столбец2]])</f>
        <v>1,583,44</v>
      </c>
      <c r="E632">
        <v>1.63</v>
      </c>
      <c r="F632">
        <v>3.5</v>
      </c>
      <c r="G632" t="str">
        <f>CONCATENATE(Таблица271[[#This Row],[Столбец1]],Таблица271[[#This Row],[Столбец2]])</f>
        <v>1,633,5</v>
      </c>
    </row>
    <row r="633" spans="1:7" x14ac:dyDescent="0.25">
      <c r="A633">
        <v>1.58</v>
      </c>
      <c r="B633">
        <v>3.44</v>
      </c>
      <c r="C633" t="str">
        <f>CONCATENATE(Таблица258[[#This Row],[Столбец1]],Таблица258[[#This Row],[Столбец2]])</f>
        <v>1,583,44</v>
      </c>
      <c r="E633">
        <v>1.63</v>
      </c>
      <c r="F633">
        <v>3.5</v>
      </c>
      <c r="G633" t="str">
        <f>CONCATENATE(Таблица271[[#This Row],[Столбец1]],Таблица271[[#This Row],[Столбец2]])</f>
        <v>1,633,5</v>
      </c>
    </row>
    <row r="634" spans="1:7" x14ac:dyDescent="0.25">
      <c r="A634">
        <v>1.58</v>
      </c>
      <c r="B634">
        <v>3.44</v>
      </c>
      <c r="C634" t="str">
        <f>CONCATENATE(Таблица258[[#This Row],[Столбец1]],Таблица258[[#This Row],[Столбец2]])</f>
        <v>1,583,44</v>
      </c>
      <c r="E634">
        <v>1.63</v>
      </c>
      <c r="F634">
        <v>3.5</v>
      </c>
      <c r="G634" t="str">
        <f>CONCATENATE(Таблица271[[#This Row],[Столбец1]],Таблица271[[#This Row],[Столбец2]])</f>
        <v>1,633,5</v>
      </c>
    </row>
    <row r="635" spans="1:7" x14ac:dyDescent="0.25">
      <c r="A635">
        <v>1.58</v>
      </c>
      <c r="B635">
        <v>3.44</v>
      </c>
      <c r="C635" t="str">
        <f>CONCATENATE(Таблица258[[#This Row],[Столбец1]],Таблица258[[#This Row],[Столбец2]])</f>
        <v>1,583,44</v>
      </c>
      <c r="E635">
        <v>1.63</v>
      </c>
      <c r="F635">
        <v>3.5</v>
      </c>
      <c r="G635" t="str">
        <f>CONCATENATE(Таблица271[[#This Row],[Столбец1]],Таблица271[[#This Row],[Столбец2]])</f>
        <v>1,633,5</v>
      </c>
    </row>
    <row r="636" spans="1:7" x14ac:dyDescent="0.25">
      <c r="A636">
        <v>1.59</v>
      </c>
      <c r="B636">
        <v>3.45</v>
      </c>
      <c r="C636" t="str">
        <f>CONCATENATE(Таблица258[[#This Row],[Столбец1]],Таблица258[[#This Row],[Столбец2]])</f>
        <v>1,593,45</v>
      </c>
      <c r="E636">
        <v>1.63</v>
      </c>
      <c r="F636">
        <v>3.5</v>
      </c>
      <c r="G636" t="str">
        <f>CONCATENATE(Таблица271[[#This Row],[Столбец1]],Таблица271[[#This Row],[Столбец2]])</f>
        <v>1,633,5</v>
      </c>
    </row>
    <row r="637" spans="1:7" x14ac:dyDescent="0.25">
      <c r="A637">
        <v>1.59</v>
      </c>
      <c r="B637">
        <v>3.45</v>
      </c>
      <c r="C637" t="str">
        <f>CONCATENATE(Таблица258[[#This Row],[Столбец1]],Таблица258[[#This Row],[Столбец2]])</f>
        <v>1,593,45</v>
      </c>
      <c r="E637">
        <v>1.63</v>
      </c>
      <c r="F637">
        <v>3.5</v>
      </c>
      <c r="G637" t="str">
        <f>CONCATENATE(Таблица271[[#This Row],[Столбец1]],Таблица271[[#This Row],[Столбец2]])</f>
        <v>1,633,5</v>
      </c>
    </row>
    <row r="638" spans="1:7" x14ac:dyDescent="0.25">
      <c r="A638">
        <v>1.59</v>
      </c>
      <c r="B638">
        <v>3.45</v>
      </c>
      <c r="C638" t="str">
        <f>CONCATENATE(Таблица258[[#This Row],[Столбец1]],Таблица258[[#This Row],[Столбец2]])</f>
        <v>1,593,45</v>
      </c>
      <c r="E638">
        <v>1</v>
      </c>
      <c r="F638">
        <v>3.57</v>
      </c>
      <c r="G638" t="str">
        <f>CONCATENATE(Таблица271[[#This Row],[Столбец1]],Таблица271[[#This Row],[Столбец2]])</f>
        <v>13,57</v>
      </c>
    </row>
    <row r="639" spans="1:7" x14ac:dyDescent="0.25">
      <c r="A639">
        <v>1.59</v>
      </c>
      <c r="B639">
        <v>3.45</v>
      </c>
      <c r="C639" t="str">
        <f>CONCATENATE(Таблица258[[#This Row],[Столбец1]],Таблица258[[#This Row],[Столбец2]])</f>
        <v>1,593,45</v>
      </c>
      <c r="E639">
        <v>1</v>
      </c>
      <c r="F639">
        <v>3.57</v>
      </c>
      <c r="G639" t="str">
        <f>CONCATENATE(Таблица271[[#This Row],[Столбец1]],Таблица271[[#This Row],[Столбец2]])</f>
        <v>13,57</v>
      </c>
    </row>
    <row r="640" spans="1:7" x14ac:dyDescent="0.25">
      <c r="A640">
        <v>1.59</v>
      </c>
      <c r="B640">
        <v>3.45</v>
      </c>
      <c r="C640" t="str">
        <f>CONCATENATE(Таблица258[[#This Row],[Столбец1]],Таблица258[[#This Row],[Столбец2]])</f>
        <v>1,593,45</v>
      </c>
      <c r="E640">
        <v>1</v>
      </c>
      <c r="F640">
        <v>3.57</v>
      </c>
      <c r="G640" t="str">
        <f>CONCATENATE(Таблица271[[#This Row],[Столбец1]],Таблица271[[#This Row],[Столбец2]])</f>
        <v>13,57</v>
      </c>
    </row>
    <row r="641" spans="1:7" x14ac:dyDescent="0.25">
      <c r="A641">
        <v>1.59</v>
      </c>
      <c r="B641">
        <v>3.45</v>
      </c>
      <c r="C641" t="str">
        <f>CONCATENATE(Таблица258[[#This Row],[Столбец1]],Таблица258[[#This Row],[Столбец2]])</f>
        <v>1,593,45</v>
      </c>
      <c r="E641">
        <v>1</v>
      </c>
      <c r="F641">
        <v>3.57</v>
      </c>
      <c r="G641" t="str">
        <f>CONCATENATE(Таблица271[[#This Row],[Столбец1]],Таблица271[[#This Row],[Столбец2]])</f>
        <v>13,57</v>
      </c>
    </row>
    <row r="642" spans="1:7" x14ac:dyDescent="0.25">
      <c r="A642">
        <v>1.6</v>
      </c>
      <c r="B642">
        <v>3.46</v>
      </c>
      <c r="C642" t="str">
        <f>CONCATENATE(Таблица258[[#This Row],[Столбец1]],Таблица258[[#This Row],[Столбец2]])</f>
        <v>1,63,46</v>
      </c>
      <c r="E642">
        <v>1</v>
      </c>
      <c r="F642">
        <v>3.57</v>
      </c>
      <c r="G642" t="str">
        <f>CONCATENATE(Таблица271[[#This Row],[Столбец1]],Таблица271[[#This Row],[Столбец2]])</f>
        <v>13,57</v>
      </c>
    </row>
    <row r="643" spans="1:7" x14ac:dyDescent="0.25">
      <c r="A643">
        <v>1.6</v>
      </c>
      <c r="B643">
        <v>3.46</v>
      </c>
      <c r="C643" t="str">
        <f>CONCATENATE(Таблица258[[#This Row],[Столбец1]],Таблица258[[#This Row],[Столбец2]])</f>
        <v>1,63,46</v>
      </c>
      <c r="E643">
        <v>1</v>
      </c>
      <c r="F643">
        <v>3.57</v>
      </c>
      <c r="G643" t="str">
        <f>CONCATENATE(Таблица271[[#This Row],[Столбец1]],Таблица271[[#This Row],[Столбец2]])</f>
        <v>13,57</v>
      </c>
    </row>
    <row r="644" spans="1:7" x14ac:dyDescent="0.25">
      <c r="A644">
        <v>1.6</v>
      </c>
      <c r="B644">
        <v>3.46</v>
      </c>
      <c r="C644" t="str">
        <f>CONCATENATE(Таблица258[[#This Row],[Столбец1]],Таблица258[[#This Row],[Столбец2]])</f>
        <v>1,63,46</v>
      </c>
      <c r="E644">
        <v>1.01</v>
      </c>
      <c r="F644">
        <v>3.57</v>
      </c>
      <c r="G644" t="str">
        <f>CONCATENATE(Таблица271[[#This Row],[Столбец1]],Таблица271[[#This Row],[Столбец2]])</f>
        <v>1,013,57</v>
      </c>
    </row>
    <row r="645" spans="1:7" x14ac:dyDescent="0.25">
      <c r="A645">
        <v>1.6</v>
      </c>
      <c r="B645">
        <v>3.46</v>
      </c>
      <c r="C645" t="str">
        <f>CONCATENATE(Таблица258[[#This Row],[Столбец1]],Таблица258[[#This Row],[Столбец2]])</f>
        <v>1,63,46</v>
      </c>
      <c r="E645">
        <v>1.01</v>
      </c>
      <c r="F645">
        <v>3.57</v>
      </c>
      <c r="G645" t="str">
        <f>CONCATENATE(Таблица271[[#This Row],[Столбец1]],Таблица271[[#This Row],[Столбец2]])</f>
        <v>1,013,57</v>
      </c>
    </row>
    <row r="646" spans="1:7" x14ac:dyDescent="0.25">
      <c r="A646">
        <v>1.6</v>
      </c>
      <c r="B646">
        <v>3.46</v>
      </c>
      <c r="C646" t="str">
        <f>CONCATENATE(Таблица258[[#This Row],[Столбец1]],Таблица258[[#This Row],[Столбец2]])</f>
        <v>1,63,46</v>
      </c>
      <c r="E646">
        <v>1.01</v>
      </c>
      <c r="F646">
        <v>3.57</v>
      </c>
      <c r="G646" t="str">
        <f>CONCATENATE(Таблица271[[#This Row],[Столбец1]],Таблица271[[#This Row],[Столбец2]])</f>
        <v>1,013,57</v>
      </c>
    </row>
    <row r="647" spans="1:7" x14ac:dyDescent="0.25">
      <c r="A647">
        <v>1.6</v>
      </c>
      <c r="B647">
        <v>3.46</v>
      </c>
      <c r="C647" t="str">
        <f>CONCATENATE(Таблица258[[#This Row],[Столбец1]],Таблица258[[#This Row],[Столбец2]])</f>
        <v>1,63,46</v>
      </c>
      <c r="E647">
        <v>1.01</v>
      </c>
      <c r="F647">
        <v>3.57</v>
      </c>
      <c r="G647" t="str">
        <f>CONCATENATE(Таблица271[[#This Row],[Столбец1]],Таблица271[[#This Row],[Столбец2]])</f>
        <v>1,013,57</v>
      </c>
    </row>
    <row r="648" spans="1:7" x14ac:dyDescent="0.25">
      <c r="A648">
        <v>1.61</v>
      </c>
      <c r="B648">
        <v>3.48</v>
      </c>
      <c r="C648" t="str">
        <f>CONCATENATE(Таблица258[[#This Row],[Столбец1]],Таблица258[[#This Row],[Столбец2]])</f>
        <v>1,613,48</v>
      </c>
      <c r="E648">
        <v>1.01</v>
      </c>
      <c r="F648">
        <v>3.57</v>
      </c>
      <c r="G648" t="str">
        <f>CONCATENATE(Таблица271[[#This Row],[Столбец1]],Таблица271[[#This Row],[Столбец2]])</f>
        <v>1,013,57</v>
      </c>
    </row>
    <row r="649" spans="1:7" x14ac:dyDescent="0.25">
      <c r="A649">
        <v>1.61</v>
      </c>
      <c r="B649">
        <v>3.48</v>
      </c>
      <c r="C649" t="str">
        <f>CONCATENATE(Таблица258[[#This Row],[Столбец1]],Таблица258[[#This Row],[Столбец2]])</f>
        <v>1,613,48</v>
      </c>
      <c r="E649">
        <v>1.01</v>
      </c>
      <c r="F649">
        <v>3.57</v>
      </c>
      <c r="G649" t="str">
        <f>CONCATENATE(Таблица271[[#This Row],[Столбец1]],Таблица271[[#This Row],[Столбец2]])</f>
        <v>1,013,57</v>
      </c>
    </row>
    <row r="650" spans="1:7" x14ac:dyDescent="0.25">
      <c r="A650">
        <v>1.61</v>
      </c>
      <c r="B650">
        <v>3.48</v>
      </c>
      <c r="C650" t="str">
        <f>CONCATENATE(Таблица258[[#This Row],[Столбец1]],Таблица258[[#This Row],[Столбец2]])</f>
        <v>1,613,48</v>
      </c>
      <c r="E650">
        <v>1.02</v>
      </c>
      <c r="F650">
        <v>3.57</v>
      </c>
      <c r="G650" t="str">
        <f>CONCATENATE(Таблица271[[#This Row],[Столбец1]],Таблица271[[#This Row],[Столбец2]])</f>
        <v>1,023,57</v>
      </c>
    </row>
    <row r="651" spans="1:7" x14ac:dyDescent="0.25">
      <c r="A651">
        <v>1.61</v>
      </c>
      <c r="B651">
        <v>3.48</v>
      </c>
      <c r="C651" t="str">
        <f>CONCATENATE(Таблица258[[#This Row],[Столбец1]],Таблица258[[#This Row],[Столбец2]])</f>
        <v>1,613,48</v>
      </c>
      <c r="E651">
        <v>1.02</v>
      </c>
      <c r="F651">
        <v>3.57</v>
      </c>
      <c r="G651" t="str">
        <f>CONCATENATE(Таблица271[[#This Row],[Столбец1]],Таблица271[[#This Row],[Столбец2]])</f>
        <v>1,023,57</v>
      </c>
    </row>
    <row r="652" spans="1:7" x14ac:dyDescent="0.25">
      <c r="A652">
        <v>1.61</v>
      </c>
      <c r="B652">
        <v>3.48</v>
      </c>
      <c r="C652" t="str">
        <f>CONCATENATE(Таблица258[[#This Row],[Столбец1]],Таблица258[[#This Row],[Столбец2]])</f>
        <v>1,613,48</v>
      </c>
      <c r="E652">
        <v>1.02</v>
      </c>
      <c r="F652">
        <v>3.57</v>
      </c>
      <c r="G652" t="str">
        <f>CONCATENATE(Таблица271[[#This Row],[Столбец1]],Таблица271[[#This Row],[Столбец2]])</f>
        <v>1,023,57</v>
      </c>
    </row>
    <row r="653" spans="1:7" x14ac:dyDescent="0.25">
      <c r="A653">
        <v>1.61</v>
      </c>
      <c r="B653">
        <v>3.48</v>
      </c>
      <c r="C653" t="str">
        <f>CONCATENATE(Таблица258[[#This Row],[Столбец1]],Таблица258[[#This Row],[Столбец2]])</f>
        <v>1,613,48</v>
      </c>
      <c r="E653">
        <v>1.02</v>
      </c>
      <c r="F653">
        <v>3.57</v>
      </c>
      <c r="G653" t="str">
        <f>CONCATENATE(Таблица271[[#This Row],[Столбец1]],Таблица271[[#This Row],[Столбец2]])</f>
        <v>1,023,57</v>
      </c>
    </row>
    <row r="654" spans="1:7" x14ac:dyDescent="0.25">
      <c r="A654">
        <v>1.62</v>
      </c>
      <c r="B654">
        <v>3.49</v>
      </c>
      <c r="C654" t="str">
        <f>CONCATENATE(Таблица258[[#This Row],[Столбец1]],Таблица258[[#This Row],[Столбец2]])</f>
        <v>1,623,49</v>
      </c>
      <c r="E654">
        <v>1.02</v>
      </c>
      <c r="F654">
        <v>3.57</v>
      </c>
      <c r="G654" t="str">
        <f>CONCATENATE(Таблица271[[#This Row],[Столбец1]],Таблица271[[#This Row],[Столбец2]])</f>
        <v>1,023,57</v>
      </c>
    </row>
    <row r="655" spans="1:7" x14ac:dyDescent="0.25">
      <c r="A655">
        <v>1.62</v>
      </c>
      <c r="B655">
        <v>3.49</v>
      </c>
      <c r="C655" t="str">
        <f>CONCATENATE(Таблица258[[#This Row],[Столбец1]],Таблица258[[#This Row],[Столбец2]])</f>
        <v>1,623,49</v>
      </c>
      <c r="E655">
        <v>1.02</v>
      </c>
      <c r="F655">
        <v>3.57</v>
      </c>
      <c r="G655" t="str">
        <f>CONCATENATE(Таблица271[[#This Row],[Столбец1]],Таблица271[[#This Row],[Столбец2]])</f>
        <v>1,023,57</v>
      </c>
    </row>
    <row r="656" spans="1:7" x14ac:dyDescent="0.25">
      <c r="A656">
        <v>1.62</v>
      </c>
      <c r="B656">
        <v>3.49</v>
      </c>
      <c r="C656" t="str">
        <f>CONCATENATE(Таблица258[[#This Row],[Столбец1]],Таблица258[[#This Row],[Столбец2]])</f>
        <v>1,623,49</v>
      </c>
      <c r="E656">
        <v>1.03</v>
      </c>
      <c r="F656">
        <v>3.57</v>
      </c>
      <c r="G656" t="str">
        <f>CONCATENATE(Таблица271[[#This Row],[Столбец1]],Таблица271[[#This Row],[Столбец2]])</f>
        <v>1,033,57</v>
      </c>
    </row>
    <row r="657" spans="1:7" x14ac:dyDescent="0.25">
      <c r="A657">
        <v>1.62</v>
      </c>
      <c r="B657">
        <v>3.49</v>
      </c>
      <c r="C657" t="str">
        <f>CONCATENATE(Таблица258[[#This Row],[Столбец1]],Таблица258[[#This Row],[Столбец2]])</f>
        <v>1,623,49</v>
      </c>
      <c r="E657">
        <v>1.03</v>
      </c>
      <c r="F657">
        <v>3.57</v>
      </c>
      <c r="G657" t="str">
        <f>CONCATENATE(Таблица271[[#This Row],[Столбец1]],Таблица271[[#This Row],[Столбец2]])</f>
        <v>1,033,57</v>
      </c>
    </row>
    <row r="658" spans="1:7" x14ac:dyDescent="0.25">
      <c r="A658">
        <v>1.62</v>
      </c>
      <c r="B658">
        <v>3.49</v>
      </c>
      <c r="C658" t="str">
        <f>CONCATENATE(Таблица258[[#This Row],[Столбец1]],Таблица258[[#This Row],[Столбец2]])</f>
        <v>1,623,49</v>
      </c>
      <c r="E658">
        <v>1.03</v>
      </c>
      <c r="F658">
        <v>3.57</v>
      </c>
      <c r="G658" t="str">
        <f>CONCATENATE(Таблица271[[#This Row],[Столбец1]],Таблица271[[#This Row],[Столбец2]])</f>
        <v>1,033,57</v>
      </c>
    </row>
    <row r="659" spans="1:7" x14ac:dyDescent="0.25">
      <c r="A659">
        <v>1.62</v>
      </c>
      <c r="B659">
        <v>3.49</v>
      </c>
      <c r="C659" t="str">
        <f>CONCATENATE(Таблица258[[#This Row],[Столбец1]],Таблица258[[#This Row],[Столбец2]])</f>
        <v>1,623,49</v>
      </c>
      <c r="E659">
        <v>1.03</v>
      </c>
      <c r="F659">
        <v>3.57</v>
      </c>
      <c r="G659" t="str">
        <f>CONCATENATE(Таблица271[[#This Row],[Столбец1]],Таблица271[[#This Row],[Столбец2]])</f>
        <v>1,033,57</v>
      </c>
    </row>
    <row r="660" spans="1:7" x14ac:dyDescent="0.25">
      <c r="A660">
        <v>1.63</v>
      </c>
      <c r="B660">
        <v>3.5</v>
      </c>
      <c r="C660" t="str">
        <f>CONCATENATE(Таблица258[[#This Row],[Столбец1]],Таблица258[[#This Row],[Столбец2]])</f>
        <v>1,633,5</v>
      </c>
      <c r="E660">
        <v>1.03</v>
      </c>
      <c r="F660">
        <v>3.57</v>
      </c>
      <c r="G660" t="str">
        <f>CONCATENATE(Таблица271[[#This Row],[Столбец1]],Таблица271[[#This Row],[Столбец2]])</f>
        <v>1,033,57</v>
      </c>
    </row>
    <row r="661" spans="1:7" x14ac:dyDescent="0.25">
      <c r="A661">
        <v>1.63</v>
      </c>
      <c r="B661">
        <v>3.5</v>
      </c>
      <c r="C661" t="str">
        <f>CONCATENATE(Таблица258[[#This Row],[Столбец1]],Таблица258[[#This Row],[Столбец2]])</f>
        <v>1,633,5</v>
      </c>
      <c r="E661">
        <v>1.03</v>
      </c>
      <c r="F661">
        <v>3.57</v>
      </c>
      <c r="G661" t="str">
        <f>CONCATENATE(Таблица271[[#This Row],[Столбец1]],Таблица271[[#This Row],[Столбец2]])</f>
        <v>1,033,57</v>
      </c>
    </row>
    <row r="662" spans="1:7" x14ac:dyDescent="0.25">
      <c r="A662">
        <v>1.63</v>
      </c>
      <c r="B662">
        <v>3.5</v>
      </c>
      <c r="C662" t="str">
        <f>CONCATENATE(Таблица258[[#This Row],[Столбец1]],Таблица258[[#This Row],[Столбец2]])</f>
        <v>1,633,5</v>
      </c>
      <c r="E662">
        <v>1.04</v>
      </c>
      <c r="F662">
        <v>3.57</v>
      </c>
      <c r="G662" t="str">
        <f>CONCATENATE(Таблица271[[#This Row],[Столбец1]],Таблица271[[#This Row],[Столбец2]])</f>
        <v>1,043,57</v>
      </c>
    </row>
    <row r="663" spans="1:7" x14ac:dyDescent="0.25">
      <c r="A663">
        <v>1.63</v>
      </c>
      <c r="B663">
        <v>3.5</v>
      </c>
      <c r="C663" t="str">
        <f>CONCATENATE(Таблица258[[#This Row],[Столбец1]],Таблица258[[#This Row],[Столбец2]])</f>
        <v>1,633,5</v>
      </c>
      <c r="E663">
        <v>1.04</v>
      </c>
      <c r="F663">
        <v>3.57</v>
      </c>
      <c r="G663" t="str">
        <f>CONCATENATE(Таблица271[[#This Row],[Столбец1]],Таблица271[[#This Row],[Столбец2]])</f>
        <v>1,043,57</v>
      </c>
    </row>
    <row r="664" spans="1:7" x14ac:dyDescent="0.25">
      <c r="A664">
        <v>1.63</v>
      </c>
      <c r="B664">
        <v>3.5</v>
      </c>
      <c r="C664" t="str">
        <f>CONCATENATE(Таблица258[[#This Row],[Столбец1]],Таблица258[[#This Row],[Столбец2]])</f>
        <v>1,633,5</v>
      </c>
      <c r="E664">
        <v>1.04</v>
      </c>
      <c r="F664">
        <v>3.57</v>
      </c>
      <c r="G664" t="str">
        <f>CONCATENATE(Таблица271[[#This Row],[Столбец1]],Таблица271[[#This Row],[Столбец2]])</f>
        <v>1,043,57</v>
      </c>
    </row>
    <row r="665" spans="1:7" x14ac:dyDescent="0.25">
      <c r="A665">
        <v>1.63</v>
      </c>
      <c r="B665">
        <v>3.5</v>
      </c>
      <c r="C665" t="str">
        <f>CONCATENATE(Таблица258[[#This Row],[Столбец1]],Таблица258[[#This Row],[Столбец2]])</f>
        <v>1,633,5</v>
      </c>
      <c r="E665">
        <v>1.04</v>
      </c>
      <c r="F665">
        <v>3.57</v>
      </c>
      <c r="G665" t="str">
        <f>CONCATENATE(Таблица271[[#This Row],[Столбец1]],Таблица271[[#This Row],[Столбец2]])</f>
        <v>1,043,57</v>
      </c>
    </row>
    <row r="666" spans="1:7" x14ac:dyDescent="0.25">
      <c r="A666">
        <v>1</v>
      </c>
      <c r="B666">
        <v>3.57</v>
      </c>
      <c r="C666" t="str">
        <f>CONCATENATE(Таблица258[[#This Row],[Столбец1]],Таблица258[[#This Row],[Столбец2]])</f>
        <v>13,57</v>
      </c>
      <c r="E666">
        <v>1.04</v>
      </c>
      <c r="F666">
        <v>3.57</v>
      </c>
      <c r="G666" t="str">
        <f>CONCATENATE(Таблица271[[#This Row],[Столбец1]],Таблица271[[#This Row],[Столбец2]])</f>
        <v>1,043,57</v>
      </c>
    </row>
    <row r="667" spans="1:7" x14ac:dyDescent="0.25">
      <c r="A667">
        <v>1</v>
      </c>
      <c r="B667">
        <v>3.57</v>
      </c>
      <c r="C667" t="str">
        <f>CONCATENATE(Таблица258[[#This Row],[Столбец1]],Таблица258[[#This Row],[Столбец2]])</f>
        <v>13,57</v>
      </c>
      <c r="E667">
        <v>1.04</v>
      </c>
      <c r="F667">
        <v>3.57</v>
      </c>
      <c r="G667" t="str">
        <f>CONCATENATE(Таблица271[[#This Row],[Столбец1]],Таблица271[[#This Row],[Столбец2]])</f>
        <v>1,043,57</v>
      </c>
    </row>
    <row r="668" spans="1:7" x14ac:dyDescent="0.25">
      <c r="A668">
        <v>1</v>
      </c>
      <c r="B668">
        <v>3.57</v>
      </c>
      <c r="C668" t="str">
        <f>CONCATENATE(Таблица258[[#This Row],[Столбец1]],Таблица258[[#This Row],[Столбец2]])</f>
        <v>13,57</v>
      </c>
      <c r="E668">
        <v>1.05</v>
      </c>
      <c r="F668">
        <v>3.57</v>
      </c>
      <c r="G668" t="str">
        <f>CONCATENATE(Таблица271[[#This Row],[Столбец1]],Таблица271[[#This Row],[Столбец2]])</f>
        <v>1,053,57</v>
      </c>
    </row>
    <row r="669" spans="1:7" x14ac:dyDescent="0.25">
      <c r="A669">
        <v>1</v>
      </c>
      <c r="B669">
        <v>3.57</v>
      </c>
      <c r="C669" t="str">
        <f>CONCATENATE(Таблица258[[#This Row],[Столбец1]],Таблица258[[#This Row],[Столбец2]])</f>
        <v>13,57</v>
      </c>
      <c r="E669">
        <v>1.05</v>
      </c>
      <c r="F669">
        <v>3.57</v>
      </c>
      <c r="G669" t="str">
        <f>CONCATENATE(Таблица271[[#This Row],[Столбец1]],Таблица271[[#This Row],[Столбец2]])</f>
        <v>1,053,57</v>
      </c>
    </row>
    <row r="670" spans="1:7" x14ac:dyDescent="0.25">
      <c r="A670">
        <v>1</v>
      </c>
      <c r="B670">
        <v>3.57</v>
      </c>
      <c r="C670" t="str">
        <f>CONCATENATE(Таблица258[[#This Row],[Столбец1]],Таблица258[[#This Row],[Столбец2]])</f>
        <v>13,57</v>
      </c>
      <c r="E670">
        <v>1.05</v>
      </c>
      <c r="F670">
        <v>3.57</v>
      </c>
      <c r="G670" t="str">
        <f>CONCATENATE(Таблица271[[#This Row],[Столбец1]],Таблица271[[#This Row],[Столбец2]])</f>
        <v>1,053,57</v>
      </c>
    </row>
    <row r="671" spans="1:7" x14ac:dyDescent="0.25">
      <c r="A671">
        <v>1</v>
      </c>
      <c r="B671">
        <v>3.57</v>
      </c>
      <c r="C671" t="str">
        <f>CONCATENATE(Таблица258[[#This Row],[Столбец1]],Таблица258[[#This Row],[Столбец2]])</f>
        <v>13,57</v>
      </c>
      <c r="E671">
        <v>1.05</v>
      </c>
      <c r="F671">
        <v>3.57</v>
      </c>
      <c r="G671" t="str">
        <f>CONCATENATE(Таблица271[[#This Row],[Столбец1]],Таблица271[[#This Row],[Столбец2]])</f>
        <v>1,053,57</v>
      </c>
    </row>
    <row r="672" spans="1:7" x14ac:dyDescent="0.25">
      <c r="A672">
        <v>1.01</v>
      </c>
      <c r="B672">
        <v>3.57</v>
      </c>
      <c r="C672" t="str">
        <f>CONCATENATE(Таблица258[[#This Row],[Столбец1]],Таблица258[[#This Row],[Столбец2]])</f>
        <v>1,013,57</v>
      </c>
      <c r="E672">
        <v>1.05</v>
      </c>
      <c r="F672">
        <v>3.57</v>
      </c>
      <c r="G672" t="str">
        <f>CONCATENATE(Таблица271[[#This Row],[Столбец1]],Таблица271[[#This Row],[Столбец2]])</f>
        <v>1,053,57</v>
      </c>
    </row>
    <row r="673" spans="1:7" x14ac:dyDescent="0.25">
      <c r="A673">
        <v>1.01</v>
      </c>
      <c r="B673">
        <v>3.57</v>
      </c>
      <c r="C673" t="str">
        <f>CONCATENATE(Таблица258[[#This Row],[Столбец1]],Таблица258[[#This Row],[Столбец2]])</f>
        <v>1,013,57</v>
      </c>
      <c r="E673">
        <v>1.05</v>
      </c>
      <c r="F673">
        <v>3.57</v>
      </c>
      <c r="G673" t="str">
        <f>CONCATENATE(Таблица271[[#This Row],[Столбец1]],Таблица271[[#This Row],[Столбец2]])</f>
        <v>1,053,57</v>
      </c>
    </row>
    <row r="674" spans="1:7" x14ac:dyDescent="0.25">
      <c r="A674">
        <v>1.01</v>
      </c>
      <c r="B674">
        <v>3.57</v>
      </c>
      <c r="C674" t="str">
        <f>CONCATENATE(Таблица258[[#This Row],[Столбец1]],Таблица258[[#This Row],[Столбец2]])</f>
        <v>1,013,57</v>
      </c>
      <c r="E674">
        <v>1.06</v>
      </c>
      <c r="F674">
        <v>3.57</v>
      </c>
      <c r="G674" t="str">
        <f>CONCATENATE(Таблица271[[#This Row],[Столбец1]],Таблица271[[#This Row],[Столбец2]])</f>
        <v>1,063,57</v>
      </c>
    </row>
    <row r="675" spans="1:7" x14ac:dyDescent="0.25">
      <c r="A675">
        <v>1.01</v>
      </c>
      <c r="B675">
        <v>3.57</v>
      </c>
      <c r="C675" t="str">
        <f>CONCATENATE(Таблица258[[#This Row],[Столбец1]],Таблица258[[#This Row],[Столбец2]])</f>
        <v>1,013,57</v>
      </c>
      <c r="E675">
        <v>1.06</v>
      </c>
      <c r="F675">
        <v>3.57</v>
      </c>
      <c r="G675" t="str">
        <f>CONCATENATE(Таблица271[[#This Row],[Столбец1]],Таблица271[[#This Row],[Столбец2]])</f>
        <v>1,063,57</v>
      </c>
    </row>
    <row r="676" spans="1:7" x14ac:dyDescent="0.25">
      <c r="A676">
        <v>1.01</v>
      </c>
      <c r="B676">
        <v>3.57</v>
      </c>
      <c r="C676" t="str">
        <f>CONCATENATE(Таблица258[[#This Row],[Столбец1]],Таблица258[[#This Row],[Столбец2]])</f>
        <v>1,013,57</v>
      </c>
      <c r="E676">
        <v>1.06</v>
      </c>
      <c r="F676">
        <v>3.57</v>
      </c>
      <c r="G676" t="str">
        <f>CONCATENATE(Таблица271[[#This Row],[Столбец1]],Таблица271[[#This Row],[Столбец2]])</f>
        <v>1,063,57</v>
      </c>
    </row>
    <row r="677" spans="1:7" x14ac:dyDescent="0.25">
      <c r="A677">
        <v>1.01</v>
      </c>
      <c r="B677">
        <v>3.57</v>
      </c>
      <c r="C677" t="str">
        <f>CONCATENATE(Таблица258[[#This Row],[Столбец1]],Таблица258[[#This Row],[Столбец2]])</f>
        <v>1,013,57</v>
      </c>
      <c r="E677">
        <v>1.06</v>
      </c>
      <c r="F677">
        <v>3.57</v>
      </c>
      <c r="G677" t="str">
        <f>CONCATENATE(Таблица271[[#This Row],[Столбец1]],Таблица271[[#This Row],[Столбец2]])</f>
        <v>1,063,57</v>
      </c>
    </row>
    <row r="678" spans="1:7" x14ac:dyDescent="0.25">
      <c r="A678">
        <v>1.02</v>
      </c>
      <c r="B678">
        <v>3.57</v>
      </c>
      <c r="C678" t="str">
        <f>CONCATENATE(Таблица258[[#This Row],[Столбец1]],Таблица258[[#This Row],[Столбец2]])</f>
        <v>1,023,57</v>
      </c>
      <c r="E678">
        <v>1.06</v>
      </c>
      <c r="F678">
        <v>3.57</v>
      </c>
      <c r="G678" t="str">
        <f>CONCATENATE(Таблица271[[#This Row],[Столбец1]],Таблица271[[#This Row],[Столбец2]])</f>
        <v>1,063,57</v>
      </c>
    </row>
    <row r="679" spans="1:7" x14ac:dyDescent="0.25">
      <c r="A679">
        <v>1.02</v>
      </c>
      <c r="B679">
        <v>3.57</v>
      </c>
      <c r="C679" t="str">
        <f>CONCATENATE(Таблица258[[#This Row],[Столбец1]],Таблица258[[#This Row],[Столбец2]])</f>
        <v>1,023,57</v>
      </c>
      <c r="E679">
        <v>1.06</v>
      </c>
      <c r="F679">
        <v>3.57</v>
      </c>
      <c r="G679" t="str">
        <f>CONCATENATE(Таблица271[[#This Row],[Столбец1]],Таблица271[[#This Row],[Столбец2]])</f>
        <v>1,063,57</v>
      </c>
    </row>
    <row r="680" spans="1:7" x14ac:dyDescent="0.25">
      <c r="A680">
        <v>1.02</v>
      </c>
      <c r="B680">
        <v>3.57</v>
      </c>
      <c r="C680" t="str">
        <f>CONCATENATE(Таблица258[[#This Row],[Столбец1]],Таблица258[[#This Row],[Столбец2]])</f>
        <v>1,023,57</v>
      </c>
      <c r="E680">
        <v>1.07</v>
      </c>
      <c r="F680">
        <v>3.57</v>
      </c>
      <c r="G680" t="str">
        <f>CONCATENATE(Таблица271[[#This Row],[Столбец1]],Таблица271[[#This Row],[Столбец2]])</f>
        <v>1,073,57</v>
      </c>
    </row>
    <row r="681" spans="1:7" x14ac:dyDescent="0.25">
      <c r="A681">
        <v>1.02</v>
      </c>
      <c r="B681">
        <v>3.57</v>
      </c>
      <c r="C681" t="str">
        <f>CONCATENATE(Таблица258[[#This Row],[Столбец1]],Таблица258[[#This Row],[Столбец2]])</f>
        <v>1,023,57</v>
      </c>
      <c r="E681">
        <v>1.07</v>
      </c>
      <c r="F681">
        <v>3.57</v>
      </c>
      <c r="G681" t="str">
        <f>CONCATENATE(Таблица271[[#This Row],[Столбец1]],Таблица271[[#This Row],[Столбец2]])</f>
        <v>1,073,57</v>
      </c>
    </row>
    <row r="682" spans="1:7" x14ac:dyDescent="0.25">
      <c r="A682">
        <v>1.02</v>
      </c>
      <c r="B682">
        <v>3.57</v>
      </c>
      <c r="C682" t="str">
        <f>CONCATENATE(Таблица258[[#This Row],[Столбец1]],Таблица258[[#This Row],[Столбец2]])</f>
        <v>1,023,57</v>
      </c>
      <c r="E682">
        <v>1.07</v>
      </c>
      <c r="F682">
        <v>3.57</v>
      </c>
      <c r="G682" t="str">
        <f>CONCATENATE(Таблица271[[#This Row],[Столбец1]],Таблица271[[#This Row],[Столбец2]])</f>
        <v>1,073,57</v>
      </c>
    </row>
    <row r="683" spans="1:7" x14ac:dyDescent="0.25">
      <c r="A683">
        <v>1.02</v>
      </c>
      <c r="B683">
        <v>3.57</v>
      </c>
      <c r="C683" t="str">
        <f>CONCATENATE(Таблица258[[#This Row],[Столбец1]],Таблица258[[#This Row],[Столбец2]])</f>
        <v>1,023,57</v>
      </c>
      <c r="E683">
        <v>1.07</v>
      </c>
      <c r="F683">
        <v>3.57</v>
      </c>
      <c r="G683" t="str">
        <f>CONCATENATE(Таблица271[[#This Row],[Столбец1]],Таблица271[[#This Row],[Столбец2]])</f>
        <v>1,073,57</v>
      </c>
    </row>
    <row r="684" spans="1:7" x14ac:dyDescent="0.25">
      <c r="A684">
        <v>1.03</v>
      </c>
      <c r="B684">
        <v>3.57</v>
      </c>
      <c r="C684" t="str">
        <f>CONCATENATE(Таблица258[[#This Row],[Столбец1]],Таблица258[[#This Row],[Столбец2]])</f>
        <v>1,033,57</v>
      </c>
      <c r="E684">
        <v>1.07</v>
      </c>
      <c r="F684">
        <v>3.57</v>
      </c>
      <c r="G684" t="str">
        <f>CONCATENATE(Таблица271[[#This Row],[Столбец1]],Таблица271[[#This Row],[Столбец2]])</f>
        <v>1,073,57</v>
      </c>
    </row>
    <row r="685" spans="1:7" x14ac:dyDescent="0.25">
      <c r="A685">
        <v>1.03</v>
      </c>
      <c r="B685">
        <v>3.57</v>
      </c>
      <c r="C685" t="str">
        <f>CONCATENATE(Таблица258[[#This Row],[Столбец1]],Таблица258[[#This Row],[Столбец2]])</f>
        <v>1,033,57</v>
      </c>
      <c r="E685">
        <v>1.07</v>
      </c>
      <c r="F685">
        <v>3.57</v>
      </c>
      <c r="G685" t="str">
        <f>CONCATENATE(Таблица271[[#This Row],[Столбец1]],Таблица271[[#This Row],[Столбец2]])</f>
        <v>1,073,57</v>
      </c>
    </row>
    <row r="686" spans="1:7" x14ac:dyDescent="0.25">
      <c r="A686">
        <v>1.03</v>
      </c>
      <c r="B686">
        <v>3.57</v>
      </c>
      <c r="C686" t="str">
        <f>CONCATENATE(Таблица258[[#This Row],[Столбец1]],Таблица258[[#This Row],[Столбец2]])</f>
        <v>1,033,57</v>
      </c>
      <c r="E686">
        <v>1.08</v>
      </c>
      <c r="F686">
        <v>3.57</v>
      </c>
      <c r="G686" t="str">
        <f>CONCATENATE(Таблица271[[#This Row],[Столбец1]],Таблица271[[#This Row],[Столбец2]])</f>
        <v>1,083,57</v>
      </c>
    </row>
    <row r="687" spans="1:7" x14ac:dyDescent="0.25">
      <c r="A687">
        <v>1.03</v>
      </c>
      <c r="B687">
        <v>3.57</v>
      </c>
      <c r="C687" t="str">
        <f>CONCATENATE(Таблица258[[#This Row],[Столбец1]],Таблица258[[#This Row],[Столбец2]])</f>
        <v>1,033,57</v>
      </c>
      <c r="E687">
        <v>1.08</v>
      </c>
      <c r="F687">
        <v>3.57</v>
      </c>
      <c r="G687" t="str">
        <f>CONCATENATE(Таблица271[[#This Row],[Столбец1]],Таблица271[[#This Row],[Столбец2]])</f>
        <v>1,083,57</v>
      </c>
    </row>
    <row r="688" spans="1:7" x14ac:dyDescent="0.25">
      <c r="A688">
        <v>1.03</v>
      </c>
      <c r="B688">
        <v>3.57</v>
      </c>
      <c r="C688" t="str">
        <f>CONCATENATE(Таблица258[[#This Row],[Столбец1]],Таблица258[[#This Row],[Столбец2]])</f>
        <v>1,033,57</v>
      </c>
      <c r="E688">
        <v>1.08</v>
      </c>
      <c r="F688">
        <v>3.57</v>
      </c>
      <c r="G688" t="str">
        <f>CONCATENATE(Таблица271[[#This Row],[Столбец1]],Таблица271[[#This Row],[Столбец2]])</f>
        <v>1,083,57</v>
      </c>
    </row>
    <row r="689" spans="1:7" x14ac:dyDescent="0.25">
      <c r="A689">
        <v>1.03</v>
      </c>
      <c r="B689">
        <v>3.57</v>
      </c>
      <c r="C689" t="str">
        <f>CONCATENATE(Таблица258[[#This Row],[Столбец1]],Таблица258[[#This Row],[Столбец2]])</f>
        <v>1,033,57</v>
      </c>
      <c r="E689">
        <v>1.08</v>
      </c>
      <c r="F689">
        <v>3.57</v>
      </c>
      <c r="G689" t="str">
        <f>CONCATENATE(Таблица271[[#This Row],[Столбец1]],Таблица271[[#This Row],[Столбец2]])</f>
        <v>1,083,57</v>
      </c>
    </row>
    <row r="690" spans="1:7" x14ac:dyDescent="0.25">
      <c r="A690">
        <v>1.04</v>
      </c>
      <c r="B690">
        <v>3.57</v>
      </c>
      <c r="C690" t="str">
        <f>CONCATENATE(Таблица258[[#This Row],[Столбец1]],Таблица258[[#This Row],[Столбец2]])</f>
        <v>1,043,57</v>
      </c>
      <c r="E690">
        <v>1.08</v>
      </c>
      <c r="F690">
        <v>3.57</v>
      </c>
      <c r="G690" t="str">
        <f>CONCATENATE(Таблица271[[#This Row],[Столбец1]],Таблица271[[#This Row],[Столбец2]])</f>
        <v>1,083,57</v>
      </c>
    </row>
    <row r="691" spans="1:7" x14ac:dyDescent="0.25">
      <c r="A691">
        <v>1.04</v>
      </c>
      <c r="B691">
        <v>3.57</v>
      </c>
      <c r="C691" t="str">
        <f>CONCATENATE(Таблица258[[#This Row],[Столбец1]],Таблица258[[#This Row],[Столбец2]])</f>
        <v>1,043,57</v>
      </c>
      <c r="E691">
        <v>1.08</v>
      </c>
      <c r="F691">
        <v>3.57</v>
      </c>
      <c r="G691" t="str">
        <f>CONCATENATE(Таблица271[[#This Row],[Столбец1]],Таблица271[[#This Row],[Столбец2]])</f>
        <v>1,083,57</v>
      </c>
    </row>
    <row r="692" spans="1:7" x14ac:dyDescent="0.25">
      <c r="A692">
        <v>1.04</v>
      </c>
      <c r="B692">
        <v>3.57</v>
      </c>
      <c r="C692" t="str">
        <f>CONCATENATE(Таблица258[[#This Row],[Столбец1]],Таблица258[[#This Row],[Столбец2]])</f>
        <v>1,043,57</v>
      </c>
      <c r="E692">
        <v>1.08</v>
      </c>
      <c r="F692">
        <v>3.57</v>
      </c>
      <c r="G692" t="str">
        <f>CONCATENATE(Таблица271[[#This Row],[Столбец1]],Таблица271[[#This Row],[Столбец2]])</f>
        <v>1,083,57</v>
      </c>
    </row>
    <row r="693" spans="1:7" x14ac:dyDescent="0.25">
      <c r="A693">
        <v>1.04</v>
      </c>
      <c r="B693">
        <v>3.57</v>
      </c>
      <c r="C693" t="str">
        <f>CONCATENATE(Таблица258[[#This Row],[Столбец1]],Таблица258[[#This Row],[Столбец2]])</f>
        <v>1,043,57</v>
      </c>
      <c r="E693">
        <v>1.0900000000000001</v>
      </c>
      <c r="F693">
        <v>3.57</v>
      </c>
      <c r="G693" t="str">
        <f>CONCATENATE(Таблица271[[#This Row],[Столбец1]],Таблица271[[#This Row],[Столбец2]])</f>
        <v>1,093,57</v>
      </c>
    </row>
    <row r="694" spans="1:7" x14ac:dyDescent="0.25">
      <c r="A694">
        <v>1.04</v>
      </c>
      <c r="B694">
        <v>3.57</v>
      </c>
      <c r="C694" t="str">
        <f>CONCATENATE(Таблица258[[#This Row],[Столбец1]],Таблица258[[#This Row],[Столбец2]])</f>
        <v>1,043,57</v>
      </c>
      <c r="E694">
        <v>1.0900000000000001</v>
      </c>
      <c r="F694">
        <v>3.57</v>
      </c>
      <c r="G694" t="str">
        <f>CONCATENATE(Таблица271[[#This Row],[Столбец1]],Таблица271[[#This Row],[Столбец2]])</f>
        <v>1,093,57</v>
      </c>
    </row>
    <row r="695" spans="1:7" x14ac:dyDescent="0.25">
      <c r="A695">
        <v>1.04</v>
      </c>
      <c r="B695">
        <v>3.57</v>
      </c>
      <c r="C695" t="str">
        <f>CONCATENATE(Таблица258[[#This Row],[Столбец1]],Таблица258[[#This Row],[Столбец2]])</f>
        <v>1,043,57</v>
      </c>
      <c r="E695">
        <v>1.0900000000000001</v>
      </c>
      <c r="F695">
        <v>3.57</v>
      </c>
      <c r="G695" t="str">
        <f>CONCATENATE(Таблица271[[#This Row],[Столбец1]],Таблица271[[#This Row],[Столбец2]])</f>
        <v>1,093,57</v>
      </c>
    </row>
    <row r="696" spans="1:7" x14ac:dyDescent="0.25">
      <c r="A696">
        <v>1.05</v>
      </c>
      <c r="B696">
        <v>3.57</v>
      </c>
      <c r="C696" t="str">
        <f>CONCATENATE(Таблица258[[#This Row],[Столбец1]],Таблица258[[#This Row],[Столбец2]])</f>
        <v>1,053,57</v>
      </c>
      <c r="E696">
        <v>1.0900000000000001</v>
      </c>
      <c r="F696">
        <v>3.57</v>
      </c>
      <c r="G696" t="str">
        <f>CONCATENATE(Таблица271[[#This Row],[Столбец1]],Таблица271[[#This Row],[Столбец2]])</f>
        <v>1,093,57</v>
      </c>
    </row>
    <row r="697" spans="1:7" x14ac:dyDescent="0.25">
      <c r="A697">
        <v>1.05</v>
      </c>
      <c r="B697">
        <v>3.57</v>
      </c>
      <c r="C697" t="str">
        <f>CONCATENATE(Таблица258[[#This Row],[Столбец1]],Таблица258[[#This Row],[Столбец2]])</f>
        <v>1,053,57</v>
      </c>
      <c r="E697">
        <v>1.0900000000000001</v>
      </c>
      <c r="F697">
        <v>3.57</v>
      </c>
      <c r="G697" t="str">
        <f>CONCATENATE(Таблица271[[#This Row],[Столбец1]],Таблица271[[#This Row],[Столбец2]])</f>
        <v>1,093,57</v>
      </c>
    </row>
    <row r="698" spans="1:7" x14ac:dyDescent="0.25">
      <c r="A698">
        <v>1.05</v>
      </c>
      <c r="B698">
        <v>3.57</v>
      </c>
      <c r="C698" t="str">
        <f>CONCATENATE(Таблица258[[#This Row],[Столбец1]],Таблица258[[#This Row],[Столбец2]])</f>
        <v>1,053,57</v>
      </c>
      <c r="E698">
        <v>1.0900000000000001</v>
      </c>
      <c r="F698">
        <v>3.57</v>
      </c>
      <c r="G698" t="str">
        <f>CONCATENATE(Таблица271[[#This Row],[Столбец1]],Таблица271[[#This Row],[Столбец2]])</f>
        <v>1,093,57</v>
      </c>
    </row>
    <row r="699" spans="1:7" x14ac:dyDescent="0.25">
      <c r="A699">
        <v>1.05</v>
      </c>
      <c r="B699">
        <v>3.57</v>
      </c>
      <c r="C699" t="str">
        <f>CONCATENATE(Таблица258[[#This Row],[Столбец1]],Таблица258[[#This Row],[Столбец2]])</f>
        <v>1,053,57</v>
      </c>
      <c r="E699">
        <v>1.0900000000000001</v>
      </c>
      <c r="F699">
        <v>3.57</v>
      </c>
      <c r="G699" t="str">
        <f>CONCATENATE(Таблица271[[#This Row],[Столбец1]],Таблица271[[#This Row],[Столбец2]])</f>
        <v>1,093,57</v>
      </c>
    </row>
    <row r="700" spans="1:7" x14ac:dyDescent="0.25">
      <c r="A700">
        <v>1.05</v>
      </c>
      <c r="B700">
        <v>3.57</v>
      </c>
      <c r="C700" t="str">
        <f>CONCATENATE(Таблица258[[#This Row],[Столбец1]],Таблица258[[#This Row],[Столбец2]])</f>
        <v>1,053,57</v>
      </c>
      <c r="E700">
        <v>1.1000000000000001</v>
      </c>
      <c r="F700">
        <v>3.57</v>
      </c>
      <c r="G700" t="str">
        <f>CONCATENATE(Таблица271[[#This Row],[Столбец1]],Таблица271[[#This Row],[Столбец2]])</f>
        <v>1,13,57</v>
      </c>
    </row>
    <row r="701" spans="1:7" x14ac:dyDescent="0.25">
      <c r="A701">
        <v>1.05</v>
      </c>
      <c r="B701">
        <v>3.57</v>
      </c>
      <c r="C701" t="str">
        <f>CONCATENATE(Таблица258[[#This Row],[Столбец1]],Таблица258[[#This Row],[Столбец2]])</f>
        <v>1,053,57</v>
      </c>
      <c r="E701">
        <v>1.1000000000000001</v>
      </c>
      <c r="F701">
        <v>3.57</v>
      </c>
      <c r="G701" t="str">
        <f>CONCATENATE(Таблица271[[#This Row],[Столбец1]],Таблица271[[#This Row],[Столбец2]])</f>
        <v>1,13,57</v>
      </c>
    </row>
    <row r="702" spans="1:7" x14ac:dyDescent="0.25">
      <c r="A702">
        <v>1.06</v>
      </c>
      <c r="B702">
        <v>3.57</v>
      </c>
      <c r="C702" t="str">
        <f>CONCATENATE(Таблица258[[#This Row],[Столбец1]],Таблица258[[#This Row],[Столбец2]])</f>
        <v>1,063,57</v>
      </c>
      <c r="E702">
        <v>1.1000000000000001</v>
      </c>
      <c r="F702">
        <v>3.57</v>
      </c>
      <c r="G702" t="str">
        <f>CONCATENATE(Таблица271[[#This Row],[Столбец1]],Таблица271[[#This Row],[Столбец2]])</f>
        <v>1,13,57</v>
      </c>
    </row>
    <row r="703" spans="1:7" x14ac:dyDescent="0.25">
      <c r="A703">
        <v>1.06</v>
      </c>
      <c r="B703">
        <v>3.57</v>
      </c>
      <c r="C703" t="str">
        <f>CONCATENATE(Таблица258[[#This Row],[Столбец1]],Таблица258[[#This Row],[Столбец2]])</f>
        <v>1,063,57</v>
      </c>
      <c r="E703">
        <v>1.1000000000000001</v>
      </c>
      <c r="F703">
        <v>3.57</v>
      </c>
      <c r="G703" t="str">
        <f>CONCATENATE(Таблица271[[#This Row],[Столбец1]],Таблица271[[#This Row],[Столбец2]])</f>
        <v>1,13,57</v>
      </c>
    </row>
    <row r="704" spans="1:7" x14ac:dyDescent="0.25">
      <c r="A704">
        <v>1.06</v>
      </c>
      <c r="B704">
        <v>3.57</v>
      </c>
      <c r="C704" t="str">
        <f>CONCATENATE(Таблица258[[#This Row],[Столбец1]],Таблица258[[#This Row],[Столбец2]])</f>
        <v>1,063,57</v>
      </c>
      <c r="E704">
        <v>1.1000000000000001</v>
      </c>
      <c r="F704">
        <v>3.57</v>
      </c>
      <c r="G704" t="str">
        <f>CONCATENATE(Таблица271[[#This Row],[Столбец1]],Таблица271[[#This Row],[Столбец2]])</f>
        <v>1,13,57</v>
      </c>
    </row>
    <row r="705" spans="1:7" x14ac:dyDescent="0.25">
      <c r="A705">
        <v>1.06</v>
      </c>
      <c r="B705">
        <v>3.57</v>
      </c>
      <c r="C705" t="str">
        <f>CONCATENATE(Таблица258[[#This Row],[Столбец1]],Таблица258[[#This Row],[Столбец2]])</f>
        <v>1,063,57</v>
      </c>
      <c r="E705">
        <v>1.1000000000000001</v>
      </c>
      <c r="F705">
        <v>3.57</v>
      </c>
      <c r="G705" t="str">
        <f>CONCATENATE(Таблица271[[#This Row],[Столбец1]],Таблица271[[#This Row],[Столбец2]])</f>
        <v>1,13,57</v>
      </c>
    </row>
    <row r="706" spans="1:7" x14ac:dyDescent="0.25">
      <c r="A706">
        <v>1.06</v>
      </c>
      <c r="B706">
        <v>3.57</v>
      </c>
      <c r="C706" t="str">
        <f>CONCATENATE(Таблица258[[#This Row],[Столбец1]],Таблица258[[#This Row],[Столбец2]])</f>
        <v>1,063,57</v>
      </c>
      <c r="E706">
        <v>1.1000000000000001</v>
      </c>
      <c r="F706">
        <v>3.57</v>
      </c>
      <c r="G706" t="str">
        <f>CONCATENATE(Таблица271[[#This Row],[Столбец1]],Таблица271[[#This Row],[Столбец2]])</f>
        <v>1,13,57</v>
      </c>
    </row>
    <row r="707" spans="1:7" x14ac:dyDescent="0.25">
      <c r="A707">
        <v>1.06</v>
      </c>
      <c r="B707">
        <v>3.57</v>
      </c>
      <c r="C707" t="str">
        <f>CONCATENATE(Таблица258[[#This Row],[Столбец1]],Таблица258[[#This Row],[Столбец2]])</f>
        <v>1,063,57</v>
      </c>
      <c r="E707">
        <v>1.1100000000000001</v>
      </c>
      <c r="F707">
        <v>3.57</v>
      </c>
      <c r="G707" t="str">
        <f>CONCATENATE(Таблица271[[#This Row],[Столбец1]],Таблица271[[#This Row],[Столбец2]])</f>
        <v>1,113,57</v>
      </c>
    </row>
    <row r="708" spans="1:7" x14ac:dyDescent="0.25">
      <c r="A708">
        <v>1.07</v>
      </c>
      <c r="B708">
        <v>3.57</v>
      </c>
      <c r="C708" t="str">
        <f>CONCATENATE(Таблица258[[#This Row],[Столбец1]],Таблица258[[#This Row],[Столбец2]])</f>
        <v>1,073,57</v>
      </c>
      <c r="E708">
        <v>1.1200000000000001</v>
      </c>
      <c r="F708">
        <v>3.57</v>
      </c>
      <c r="G708" t="str">
        <f>CONCATENATE(Таблица271[[#This Row],[Столбец1]],Таблица271[[#This Row],[Столбец2]])</f>
        <v>1,123,57</v>
      </c>
    </row>
    <row r="709" spans="1:7" x14ac:dyDescent="0.25">
      <c r="A709">
        <v>1.07</v>
      </c>
      <c r="B709">
        <v>3.57</v>
      </c>
      <c r="C709" t="str">
        <f>CONCATENATE(Таблица258[[#This Row],[Столбец1]],Таблица258[[#This Row],[Столбец2]])</f>
        <v>1,073,57</v>
      </c>
      <c r="E709">
        <v>1.1200000000000001</v>
      </c>
      <c r="F709">
        <v>3.57</v>
      </c>
      <c r="G709" t="str">
        <f>CONCATENATE(Таблица271[[#This Row],[Столбец1]],Таблица271[[#This Row],[Столбец2]])</f>
        <v>1,123,57</v>
      </c>
    </row>
    <row r="710" spans="1:7" x14ac:dyDescent="0.25">
      <c r="A710">
        <v>1.07</v>
      </c>
      <c r="B710">
        <v>3.57</v>
      </c>
      <c r="C710" t="str">
        <f>CONCATENATE(Таблица258[[#This Row],[Столбец1]],Таблица258[[#This Row],[Столбец2]])</f>
        <v>1,073,57</v>
      </c>
      <c r="E710">
        <v>1.1200000000000001</v>
      </c>
      <c r="F710">
        <v>3.57</v>
      </c>
      <c r="G710" t="str">
        <f>CONCATENATE(Таблица271[[#This Row],[Столбец1]],Таблица271[[#This Row],[Столбец2]])</f>
        <v>1,123,57</v>
      </c>
    </row>
    <row r="711" spans="1:7" x14ac:dyDescent="0.25">
      <c r="A711">
        <v>1.07</v>
      </c>
      <c r="B711">
        <v>3.57</v>
      </c>
      <c r="C711" t="str">
        <f>CONCATENATE(Таблица258[[#This Row],[Столбец1]],Таблица258[[#This Row],[Столбец2]])</f>
        <v>1,073,57</v>
      </c>
      <c r="E711">
        <v>1.1200000000000001</v>
      </c>
      <c r="F711">
        <v>3.57</v>
      </c>
      <c r="G711" t="str">
        <f>CONCATENATE(Таблица271[[#This Row],[Столбец1]],Таблица271[[#This Row],[Столбец2]])</f>
        <v>1,123,57</v>
      </c>
    </row>
    <row r="712" spans="1:7" x14ac:dyDescent="0.25">
      <c r="A712">
        <v>1.07</v>
      </c>
      <c r="B712">
        <v>3.57</v>
      </c>
      <c r="C712" t="str">
        <f>CONCATENATE(Таблица258[[#This Row],[Столбец1]],Таблица258[[#This Row],[Столбец2]])</f>
        <v>1,073,57</v>
      </c>
      <c r="E712">
        <v>1.1200000000000001</v>
      </c>
      <c r="F712">
        <v>3.57</v>
      </c>
      <c r="G712" t="str">
        <f>CONCATENATE(Таблица271[[#This Row],[Столбец1]],Таблица271[[#This Row],[Столбец2]])</f>
        <v>1,123,57</v>
      </c>
    </row>
    <row r="713" spans="1:7" x14ac:dyDescent="0.25">
      <c r="A713">
        <v>1.07</v>
      </c>
      <c r="B713">
        <v>3.57</v>
      </c>
      <c r="C713" t="str">
        <f>CONCATENATE(Таблица258[[#This Row],[Столбец1]],Таблица258[[#This Row],[Столбец2]])</f>
        <v>1,073,57</v>
      </c>
      <c r="E713">
        <v>1.1200000000000001</v>
      </c>
      <c r="F713">
        <v>3.57</v>
      </c>
      <c r="G713" t="str">
        <f>CONCATENATE(Таблица271[[#This Row],[Столбец1]],Таблица271[[#This Row],[Столбец2]])</f>
        <v>1,123,57</v>
      </c>
    </row>
    <row r="714" spans="1:7" x14ac:dyDescent="0.25">
      <c r="A714">
        <v>1.08</v>
      </c>
      <c r="B714">
        <v>3.57</v>
      </c>
      <c r="C714" t="str">
        <f>CONCATENATE(Таблица258[[#This Row],[Столбец1]],Таблица258[[#This Row],[Столбец2]])</f>
        <v>1,083,57</v>
      </c>
      <c r="E714">
        <v>1.1200000000000001</v>
      </c>
      <c r="F714">
        <v>3.57</v>
      </c>
      <c r="G714" t="str">
        <f>CONCATENATE(Таблица271[[#This Row],[Столбец1]],Таблица271[[#This Row],[Столбец2]])</f>
        <v>1,123,57</v>
      </c>
    </row>
    <row r="715" spans="1:7" x14ac:dyDescent="0.25">
      <c r="A715">
        <v>1.08</v>
      </c>
      <c r="B715">
        <v>3.57</v>
      </c>
      <c r="C715" t="str">
        <f>CONCATENATE(Таблица258[[#This Row],[Столбец1]],Таблица258[[#This Row],[Столбец2]])</f>
        <v>1,083,57</v>
      </c>
      <c r="E715">
        <v>1.1299999999999999</v>
      </c>
      <c r="F715">
        <v>3.57</v>
      </c>
      <c r="G715" t="str">
        <f>CONCATENATE(Таблица271[[#This Row],[Столбец1]],Таблица271[[#This Row],[Столбец2]])</f>
        <v>1,133,57</v>
      </c>
    </row>
    <row r="716" spans="1:7" x14ac:dyDescent="0.25">
      <c r="A716">
        <v>1.08</v>
      </c>
      <c r="B716">
        <v>3.57</v>
      </c>
      <c r="C716" t="str">
        <f>CONCATENATE(Таблица258[[#This Row],[Столбец1]],Таблица258[[#This Row],[Столбец2]])</f>
        <v>1,083,57</v>
      </c>
      <c r="E716">
        <v>1.1299999999999999</v>
      </c>
      <c r="F716">
        <v>3.57</v>
      </c>
      <c r="G716" t="str">
        <f>CONCATENATE(Таблица271[[#This Row],[Столбец1]],Таблица271[[#This Row],[Столбец2]])</f>
        <v>1,133,57</v>
      </c>
    </row>
    <row r="717" spans="1:7" x14ac:dyDescent="0.25">
      <c r="A717">
        <v>1.08</v>
      </c>
      <c r="B717">
        <v>3.57</v>
      </c>
      <c r="C717" t="str">
        <f>CONCATENATE(Таблица258[[#This Row],[Столбец1]],Таблица258[[#This Row],[Столбец2]])</f>
        <v>1,083,57</v>
      </c>
      <c r="E717">
        <v>1.1299999999999999</v>
      </c>
      <c r="F717">
        <v>3.57</v>
      </c>
      <c r="G717" t="str">
        <f>CONCATENATE(Таблица271[[#This Row],[Столбец1]],Таблица271[[#This Row],[Столбец2]])</f>
        <v>1,133,57</v>
      </c>
    </row>
    <row r="718" spans="1:7" x14ac:dyDescent="0.25">
      <c r="A718">
        <v>1.08</v>
      </c>
      <c r="B718">
        <v>3.57</v>
      </c>
      <c r="C718" t="str">
        <f>CONCATENATE(Таблица258[[#This Row],[Столбец1]],Таблица258[[#This Row],[Столбец2]])</f>
        <v>1,083,57</v>
      </c>
      <c r="E718">
        <v>1.1299999999999999</v>
      </c>
      <c r="F718">
        <v>3.57</v>
      </c>
      <c r="G718" t="str">
        <f>CONCATENATE(Таблица271[[#This Row],[Столбец1]],Таблица271[[#This Row],[Столбец2]])</f>
        <v>1,133,57</v>
      </c>
    </row>
    <row r="719" spans="1:7" x14ac:dyDescent="0.25">
      <c r="A719">
        <v>1.08</v>
      </c>
      <c r="B719">
        <v>3.57</v>
      </c>
      <c r="C719" t="str">
        <f>CONCATENATE(Таблица258[[#This Row],[Столбец1]],Таблица258[[#This Row],[Столбец2]])</f>
        <v>1,083,57</v>
      </c>
      <c r="E719">
        <v>1.1299999999999999</v>
      </c>
      <c r="F719">
        <v>3.57</v>
      </c>
      <c r="G719" t="str">
        <f>CONCATENATE(Таблица271[[#This Row],[Столбец1]],Таблица271[[#This Row],[Столбец2]])</f>
        <v>1,133,57</v>
      </c>
    </row>
    <row r="720" spans="1:7" x14ac:dyDescent="0.25">
      <c r="A720">
        <v>1.0900000000000001</v>
      </c>
      <c r="B720">
        <v>3.57</v>
      </c>
      <c r="C720" t="str">
        <f>CONCATENATE(Таблица258[[#This Row],[Столбец1]],Таблица258[[#This Row],[Столбец2]])</f>
        <v>1,093,57</v>
      </c>
      <c r="E720">
        <v>1.1299999999999999</v>
      </c>
      <c r="F720">
        <v>3.57</v>
      </c>
      <c r="G720" t="str">
        <f>CONCATENATE(Таблица271[[#This Row],[Столбец1]],Таблица271[[#This Row],[Столбец2]])</f>
        <v>1,133,57</v>
      </c>
    </row>
    <row r="721" spans="1:7" x14ac:dyDescent="0.25">
      <c r="A721">
        <v>1.0900000000000001</v>
      </c>
      <c r="B721">
        <v>3.57</v>
      </c>
      <c r="C721" t="str">
        <f>CONCATENATE(Таблица258[[#This Row],[Столбец1]],Таблица258[[#This Row],[Столбец2]])</f>
        <v>1,093,57</v>
      </c>
      <c r="E721">
        <v>1.1299999999999999</v>
      </c>
      <c r="F721">
        <v>3.57</v>
      </c>
      <c r="G721" t="str">
        <f>CONCATENATE(Таблица271[[#This Row],[Столбец1]],Таблица271[[#This Row],[Столбец2]])</f>
        <v>1,133,57</v>
      </c>
    </row>
    <row r="722" spans="1:7" x14ac:dyDescent="0.25">
      <c r="A722">
        <v>1.0900000000000001</v>
      </c>
      <c r="B722">
        <v>3.57</v>
      </c>
      <c r="C722" t="str">
        <f>CONCATENATE(Таблица258[[#This Row],[Столбец1]],Таблица258[[#This Row],[Столбец2]])</f>
        <v>1,093,57</v>
      </c>
      <c r="E722">
        <v>1.1399999999999999</v>
      </c>
      <c r="F722">
        <v>3.57</v>
      </c>
      <c r="G722" t="str">
        <f>CONCATENATE(Таблица271[[#This Row],[Столбец1]],Таблица271[[#This Row],[Столбец2]])</f>
        <v>1,143,57</v>
      </c>
    </row>
    <row r="723" spans="1:7" x14ac:dyDescent="0.25">
      <c r="A723">
        <v>1.0900000000000001</v>
      </c>
      <c r="B723">
        <v>3.57</v>
      </c>
      <c r="C723" t="str">
        <f>CONCATENATE(Таблица258[[#This Row],[Столбец1]],Таблица258[[#This Row],[Столбец2]])</f>
        <v>1,093,57</v>
      </c>
      <c r="E723">
        <v>1.1399999999999999</v>
      </c>
      <c r="F723">
        <v>3.57</v>
      </c>
      <c r="G723" t="str">
        <f>CONCATENATE(Таблица271[[#This Row],[Столбец1]],Таблица271[[#This Row],[Столбец2]])</f>
        <v>1,143,57</v>
      </c>
    </row>
    <row r="724" spans="1:7" x14ac:dyDescent="0.25">
      <c r="A724">
        <v>1.0900000000000001</v>
      </c>
      <c r="B724">
        <v>3.57</v>
      </c>
      <c r="C724" t="str">
        <f>CONCATENATE(Таблица258[[#This Row],[Столбец1]],Таблица258[[#This Row],[Столбец2]])</f>
        <v>1,093,57</v>
      </c>
      <c r="E724">
        <v>1.1399999999999999</v>
      </c>
      <c r="F724">
        <v>3.57</v>
      </c>
      <c r="G724" t="str">
        <f>CONCATENATE(Таблица271[[#This Row],[Столбец1]],Таблица271[[#This Row],[Столбец2]])</f>
        <v>1,143,57</v>
      </c>
    </row>
    <row r="725" spans="1:7" x14ac:dyDescent="0.25">
      <c r="A725">
        <v>1.0900000000000001</v>
      </c>
      <c r="B725">
        <v>3.57</v>
      </c>
      <c r="C725" t="str">
        <f>CONCATENATE(Таблица258[[#This Row],[Столбец1]],Таблица258[[#This Row],[Столбец2]])</f>
        <v>1,093,57</v>
      </c>
      <c r="E725">
        <v>1.1399999999999999</v>
      </c>
      <c r="F725">
        <v>3.57</v>
      </c>
      <c r="G725" t="str">
        <f>CONCATENATE(Таблица271[[#This Row],[Столбец1]],Таблица271[[#This Row],[Столбец2]])</f>
        <v>1,143,57</v>
      </c>
    </row>
    <row r="726" spans="1:7" x14ac:dyDescent="0.25">
      <c r="A726">
        <v>1.1000000000000001</v>
      </c>
      <c r="B726">
        <v>3.57</v>
      </c>
      <c r="C726" t="str">
        <f>CONCATENATE(Таблица258[[#This Row],[Столбец1]],Таблица258[[#This Row],[Столбец2]])</f>
        <v>1,13,57</v>
      </c>
      <c r="E726">
        <v>1.1399999999999999</v>
      </c>
      <c r="F726">
        <v>3.57</v>
      </c>
      <c r="G726" t="str">
        <f>CONCATENATE(Таблица271[[#This Row],[Столбец1]],Таблица271[[#This Row],[Столбец2]])</f>
        <v>1,143,57</v>
      </c>
    </row>
    <row r="727" spans="1:7" x14ac:dyDescent="0.25">
      <c r="A727">
        <v>1.1000000000000001</v>
      </c>
      <c r="B727">
        <v>3.57</v>
      </c>
      <c r="C727" t="str">
        <f>CONCATENATE(Таблица258[[#This Row],[Столбец1]],Таблица258[[#This Row],[Столбец2]])</f>
        <v>1,13,57</v>
      </c>
      <c r="E727">
        <v>1.1399999999999999</v>
      </c>
      <c r="F727">
        <v>3.57</v>
      </c>
      <c r="G727" t="str">
        <f>CONCATENATE(Таблица271[[#This Row],[Столбец1]],Таблица271[[#This Row],[Столбец2]])</f>
        <v>1,143,57</v>
      </c>
    </row>
    <row r="728" spans="1:7" x14ac:dyDescent="0.25">
      <c r="A728">
        <v>1.1000000000000001</v>
      </c>
      <c r="B728">
        <v>3.57</v>
      </c>
      <c r="C728" t="str">
        <f>CONCATENATE(Таблица258[[#This Row],[Столбец1]],Таблица258[[#This Row],[Столбец2]])</f>
        <v>1,13,57</v>
      </c>
      <c r="E728">
        <v>1.1399999999999999</v>
      </c>
      <c r="F728">
        <v>3.57</v>
      </c>
      <c r="G728" t="str">
        <f>CONCATENATE(Таблица271[[#This Row],[Столбец1]],Таблица271[[#This Row],[Столбец2]])</f>
        <v>1,143,57</v>
      </c>
    </row>
    <row r="729" spans="1:7" x14ac:dyDescent="0.25">
      <c r="A729">
        <v>1.1000000000000001</v>
      </c>
      <c r="B729">
        <v>3.57</v>
      </c>
      <c r="C729" t="str">
        <f>CONCATENATE(Таблица258[[#This Row],[Столбец1]],Таблица258[[#This Row],[Столбец2]])</f>
        <v>1,13,57</v>
      </c>
      <c r="E729">
        <v>1.1499999999999999</v>
      </c>
      <c r="F729">
        <v>3.57</v>
      </c>
      <c r="G729" t="str">
        <f>CONCATENATE(Таблица271[[#This Row],[Столбец1]],Таблица271[[#This Row],[Столбец2]])</f>
        <v>1,153,57</v>
      </c>
    </row>
    <row r="730" spans="1:7" x14ac:dyDescent="0.25">
      <c r="A730">
        <v>1.1000000000000001</v>
      </c>
      <c r="B730">
        <v>3.57</v>
      </c>
      <c r="C730" t="str">
        <f>CONCATENATE(Таблица258[[#This Row],[Столбец1]],Таблица258[[#This Row],[Столбец2]])</f>
        <v>1,13,57</v>
      </c>
      <c r="E730">
        <v>1.1499999999999999</v>
      </c>
      <c r="F730">
        <v>3.57</v>
      </c>
      <c r="G730" t="str">
        <f>CONCATENATE(Таблица271[[#This Row],[Столбец1]],Таблица271[[#This Row],[Столбец2]])</f>
        <v>1,153,57</v>
      </c>
    </row>
    <row r="731" spans="1:7" x14ac:dyDescent="0.25">
      <c r="A731">
        <v>1.1000000000000001</v>
      </c>
      <c r="B731">
        <v>3.57</v>
      </c>
      <c r="C731" t="str">
        <f>CONCATENATE(Таблица258[[#This Row],[Столбец1]],Таблица258[[#This Row],[Столбец2]])</f>
        <v>1,13,57</v>
      </c>
      <c r="E731">
        <v>1.1499999999999999</v>
      </c>
      <c r="F731">
        <v>3.57</v>
      </c>
      <c r="G731" t="str">
        <f>CONCATENATE(Таблица271[[#This Row],[Столбец1]],Таблица271[[#This Row],[Столбец2]])</f>
        <v>1,153,57</v>
      </c>
    </row>
    <row r="732" spans="1:7" x14ac:dyDescent="0.25">
      <c r="A732">
        <v>1.1100000000000001</v>
      </c>
      <c r="B732">
        <v>3.57</v>
      </c>
      <c r="C732" t="str">
        <f>CONCATENATE(Таблица258[[#This Row],[Столбец1]],Таблица258[[#This Row],[Столбец2]])</f>
        <v>1,113,57</v>
      </c>
      <c r="E732">
        <v>1.1499999999999999</v>
      </c>
      <c r="F732">
        <v>3.57</v>
      </c>
      <c r="G732" t="str">
        <f>CONCATENATE(Таблица271[[#This Row],[Столбец1]],Таблица271[[#This Row],[Столбец2]])</f>
        <v>1,153,57</v>
      </c>
    </row>
    <row r="733" spans="1:7" x14ac:dyDescent="0.25">
      <c r="A733">
        <v>1.1100000000000001</v>
      </c>
      <c r="B733">
        <v>3.57</v>
      </c>
      <c r="C733" t="str">
        <f>CONCATENATE(Таблица258[[#This Row],[Столбец1]],Таблица258[[#This Row],[Столбец2]])</f>
        <v>1,113,57</v>
      </c>
      <c r="E733">
        <v>1.1499999999999999</v>
      </c>
      <c r="F733">
        <v>3.57</v>
      </c>
      <c r="G733" t="str">
        <f>CONCATENATE(Таблица271[[#This Row],[Столбец1]],Таблица271[[#This Row],[Столбец2]])</f>
        <v>1,153,57</v>
      </c>
    </row>
    <row r="734" spans="1:7" x14ac:dyDescent="0.25">
      <c r="A734">
        <v>1.1100000000000001</v>
      </c>
      <c r="B734">
        <v>3.57</v>
      </c>
      <c r="C734" t="str">
        <f>CONCATENATE(Таблица258[[#This Row],[Столбец1]],Таблица258[[#This Row],[Столбец2]])</f>
        <v>1,113,57</v>
      </c>
      <c r="E734">
        <v>1.1499999999999999</v>
      </c>
      <c r="F734">
        <v>3.57</v>
      </c>
      <c r="G734" t="str">
        <f>CONCATENATE(Таблица271[[#This Row],[Столбец1]],Таблица271[[#This Row],[Столбец2]])</f>
        <v>1,153,57</v>
      </c>
    </row>
    <row r="735" spans="1:7" x14ac:dyDescent="0.25">
      <c r="A735">
        <v>1.1100000000000001</v>
      </c>
      <c r="B735">
        <v>3.57</v>
      </c>
      <c r="C735" t="str">
        <f>CONCATENATE(Таблица258[[#This Row],[Столбец1]],Таблица258[[#This Row],[Столбец2]])</f>
        <v>1,113,57</v>
      </c>
      <c r="E735">
        <v>1.1599999999999999</v>
      </c>
      <c r="F735">
        <v>3.57</v>
      </c>
      <c r="G735" t="str">
        <f>CONCATENATE(Таблица271[[#This Row],[Столбец1]],Таблица271[[#This Row],[Столбец2]])</f>
        <v>1,163,57</v>
      </c>
    </row>
    <row r="736" spans="1:7" x14ac:dyDescent="0.25">
      <c r="A736">
        <v>1.1100000000000001</v>
      </c>
      <c r="B736">
        <v>3.57</v>
      </c>
      <c r="C736" t="str">
        <f>CONCATENATE(Таблица258[[#This Row],[Столбец1]],Таблица258[[#This Row],[Столбец2]])</f>
        <v>1,113,57</v>
      </c>
      <c r="E736">
        <v>1.1599999999999999</v>
      </c>
      <c r="F736">
        <v>3.57</v>
      </c>
      <c r="G736" t="str">
        <f>CONCATENATE(Таблица271[[#This Row],[Столбец1]],Таблица271[[#This Row],[Столбец2]])</f>
        <v>1,163,57</v>
      </c>
    </row>
    <row r="737" spans="1:7" x14ac:dyDescent="0.25">
      <c r="A737">
        <v>1.1100000000000001</v>
      </c>
      <c r="B737">
        <v>3.57</v>
      </c>
      <c r="C737" t="str">
        <f>CONCATENATE(Таблица258[[#This Row],[Столбец1]],Таблица258[[#This Row],[Столбец2]])</f>
        <v>1,113,57</v>
      </c>
      <c r="E737">
        <v>1.1599999999999999</v>
      </c>
      <c r="F737">
        <v>3.57</v>
      </c>
      <c r="G737" t="str">
        <f>CONCATENATE(Таблица271[[#This Row],[Столбец1]],Таблица271[[#This Row],[Столбец2]])</f>
        <v>1,163,57</v>
      </c>
    </row>
    <row r="738" spans="1:7" x14ac:dyDescent="0.25">
      <c r="A738">
        <v>1.1200000000000001</v>
      </c>
      <c r="B738">
        <v>3.57</v>
      </c>
      <c r="C738" t="str">
        <f>CONCATENATE(Таблица258[[#This Row],[Столбец1]],Таблица258[[#This Row],[Столбец2]])</f>
        <v>1,123,57</v>
      </c>
      <c r="E738">
        <v>1.1599999999999999</v>
      </c>
      <c r="F738">
        <v>3.57</v>
      </c>
      <c r="G738" t="str">
        <f>CONCATENATE(Таблица271[[#This Row],[Столбец1]],Таблица271[[#This Row],[Столбец2]])</f>
        <v>1,163,57</v>
      </c>
    </row>
    <row r="739" spans="1:7" x14ac:dyDescent="0.25">
      <c r="A739">
        <v>1.1200000000000001</v>
      </c>
      <c r="B739">
        <v>3.57</v>
      </c>
      <c r="C739" t="str">
        <f>CONCATENATE(Таблица258[[#This Row],[Столбец1]],Таблица258[[#This Row],[Столбец2]])</f>
        <v>1,123,57</v>
      </c>
      <c r="E739">
        <v>1.1599999999999999</v>
      </c>
      <c r="F739">
        <v>3.57</v>
      </c>
      <c r="G739" t="str">
        <f>CONCATENATE(Таблица271[[#This Row],[Столбец1]],Таблица271[[#This Row],[Столбец2]])</f>
        <v>1,163,57</v>
      </c>
    </row>
    <row r="740" spans="1:7" x14ac:dyDescent="0.25">
      <c r="A740">
        <v>1.1200000000000001</v>
      </c>
      <c r="B740">
        <v>3.57</v>
      </c>
      <c r="C740" t="str">
        <f>CONCATENATE(Таблица258[[#This Row],[Столбец1]],Таблица258[[#This Row],[Столбец2]])</f>
        <v>1,123,57</v>
      </c>
      <c r="E740">
        <v>1.1599999999999999</v>
      </c>
      <c r="F740">
        <v>3.57</v>
      </c>
      <c r="G740" t="str">
        <f>CONCATENATE(Таблица271[[#This Row],[Столбец1]],Таблица271[[#This Row],[Столбец2]])</f>
        <v>1,163,57</v>
      </c>
    </row>
    <row r="741" spans="1:7" x14ac:dyDescent="0.25">
      <c r="A741">
        <v>1.1200000000000001</v>
      </c>
      <c r="B741">
        <v>3.57</v>
      </c>
      <c r="C741" t="str">
        <f>CONCATENATE(Таблица258[[#This Row],[Столбец1]],Таблица258[[#This Row],[Столбец2]])</f>
        <v>1,123,57</v>
      </c>
      <c r="E741">
        <v>1.17</v>
      </c>
      <c r="F741">
        <v>3.57</v>
      </c>
      <c r="G741" t="str">
        <f>CONCATENATE(Таблица271[[#This Row],[Столбец1]],Таблица271[[#This Row],[Столбец2]])</f>
        <v>1,173,57</v>
      </c>
    </row>
    <row r="742" spans="1:7" x14ac:dyDescent="0.25">
      <c r="A742">
        <v>1.1200000000000001</v>
      </c>
      <c r="B742">
        <v>3.57</v>
      </c>
      <c r="C742" t="str">
        <f>CONCATENATE(Таблица258[[#This Row],[Столбец1]],Таблица258[[#This Row],[Столбец2]])</f>
        <v>1,123,57</v>
      </c>
      <c r="E742">
        <v>1.17</v>
      </c>
      <c r="F742">
        <v>3.57</v>
      </c>
      <c r="G742" t="str">
        <f>CONCATENATE(Таблица271[[#This Row],[Столбец1]],Таблица271[[#This Row],[Столбец2]])</f>
        <v>1,173,57</v>
      </c>
    </row>
    <row r="743" spans="1:7" x14ac:dyDescent="0.25">
      <c r="A743">
        <v>1.1200000000000001</v>
      </c>
      <c r="B743">
        <v>3.57</v>
      </c>
      <c r="C743" t="str">
        <f>CONCATENATE(Таблица258[[#This Row],[Столбец1]],Таблица258[[#This Row],[Столбец2]])</f>
        <v>1,123,57</v>
      </c>
      <c r="E743">
        <v>1.17</v>
      </c>
      <c r="F743">
        <v>3.57</v>
      </c>
      <c r="G743" t="str">
        <f>CONCATENATE(Таблица271[[#This Row],[Столбец1]],Таблица271[[#This Row],[Столбец2]])</f>
        <v>1,173,57</v>
      </c>
    </row>
    <row r="744" spans="1:7" x14ac:dyDescent="0.25">
      <c r="A744">
        <v>1.1299999999999999</v>
      </c>
      <c r="B744">
        <v>3.57</v>
      </c>
      <c r="C744" t="str">
        <f>CONCATENATE(Таблица258[[#This Row],[Столбец1]],Таблица258[[#This Row],[Столбец2]])</f>
        <v>1,133,57</v>
      </c>
      <c r="E744">
        <v>1.17</v>
      </c>
      <c r="F744">
        <v>3.57</v>
      </c>
      <c r="G744" t="str">
        <f>CONCATENATE(Таблица271[[#This Row],[Столбец1]],Таблица271[[#This Row],[Столбец2]])</f>
        <v>1,173,57</v>
      </c>
    </row>
    <row r="745" spans="1:7" x14ac:dyDescent="0.25">
      <c r="A745">
        <v>1.1299999999999999</v>
      </c>
      <c r="B745">
        <v>3.57</v>
      </c>
      <c r="C745" t="str">
        <f>CONCATENATE(Таблица258[[#This Row],[Столбец1]],Таблица258[[#This Row],[Столбец2]])</f>
        <v>1,133,57</v>
      </c>
      <c r="E745">
        <v>1.17</v>
      </c>
      <c r="F745">
        <v>3.57</v>
      </c>
      <c r="G745" t="str">
        <f>CONCATENATE(Таблица271[[#This Row],[Столбец1]],Таблица271[[#This Row],[Столбец2]])</f>
        <v>1,173,57</v>
      </c>
    </row>
    <row r="746" spans="1:7" x14ac:dyDescent="0.25">
      <c r="A746">
        <v>1.1299999999999999</v>
      </c>
      <c r="B746">
        <v>3.57</v>
      </c>
      <c r="C746" t="str">
        <f>CONCATENATE(Таблица258[[#This Row],[Столбец1]],Таблица258[[#This Row],[Столбец2]])</f>
        <v>1,133,57</v>
      </c>
      <c r="E746">
        <v>1.17</v>
      </c>
      <c r="F746">
        <v>3.57</v>
      </c>
      <c r="G746" t="str">
        <f>CONCATENATE(Таблица271[[#This Row],[Столбец1]],Таблица271[[#This Row],[Столбец2]])</f>
        <v>1,173,57</v>
      </c>
    </row>
    <row r="747" spans="1:7" x14ac:dyDescent="0.25">
      <c r="A747">
        <v>1.1299999999999999</v>
      </c>
      <c r="B747">
        <v>3.57</v>
      </c>
      <c r="C747" t="str">
        <f>CONCATENATE(Таблица258[[#This Row],[Столбец1]],Таблица258[[#This Row],[Столбец2]])</f>
        <v>1,133,57</v>
      </c>
      <c r="E747">
        <v>1.18</v>
      </c>
      <c r="F747">
        <v>3.57</v>
      </c>
      <c r="G747" t="str">
        <f>CONCATENATE(Таблица271[[#This Row],[Столбец1]],Таблица271[[#This Row],[Столбец2]])</f>
        <v>1,183,57</v>
      </c>
    </row>
    <row r="748" spans="1:7" x14ac:dyDescent="0.25">
      <c r="A748">
        <v>1.1299999999999999</v>
      </c>
      <c r="B748">
        <v>3.57</v>
      </c>
      <c r="C748" t="str">
        <f>CONCATENATE(Таблица258[[#This Row],[Столбец1]],Таблица258[[#This Row],[Столбец2]])</f>
        <v>1,133,57</v>
      </c>
      <c r="E748">
        <v>1.18</v>
      </c>
      <c r="F748">
        <v>3.57</v>
      </c>
      <c r="G748" t="str">
        <f>CONCATENATE(Таблица271[[#This Row],[Столбец1]],Таблица271[[#This Row],[Столбец2]])</f>
        <v>1,183,57</v>
      </c>
    </row>
    <row r="749" spans="1:7" x14ac:dyDescent="0.25">
      <c r="A749">
        <v>1.1299999999999999</v>
      </c>
      <c r="B749">
        <v>3.57</v>
      </c>
      <c r="C749" t="str">
        <f>CONCATENATE(Таблица258[[#This Row],[Столбец1]],Таблица258[[#This Row],[Столбец2]])</f>
        <v>1,133,57</v>
      </c>
      <c r="E749">
        <v>1.18</v>
      </c>
      <c r="F749">
        <v>3.57</v>
      </c>
      <c r="G749" t="str">
        <f>CONCATENATE(Таблица271[[#This Row],[Столбец1]],Таблица271[[#This Row],[Столбец2]])</f>
        <v>1,183,57</v>
      </c>
    </row>
    <row r="750" spans="1:7" x14ac:dyDescent="0.25">
      <c r="A750">
        <v>1.1399999999999999</v>
      </c>
      <c r="B750">
        <v>3.57</v>
      </c>
      <c r="C750" t="str">
        <f>CONCATENATE(Таблица258[[#This Row],[Столбец1]],Таблица258[[#This Row],[Столбец2]])</f>
        <v>1,143,57</v>
      </c>
      <c r="E750">
        <v>1.18</v>
      </c>
      <c r="F750">
        <v>3.57</v>
      </c>
      <c r="G750" t="str">
        <f>CONCATENATE(Таблица271[[#This Row],[Столбец1]],Таблица271[[#This Row],[Столбец2]])</f>
        <v>1,183,57</v>
      </c>
    </row>
    <row r="751" spans="1:7" x14ac:dyDescent="0.25">
      <c r="A751">
        <v>1.1399999999999999</v>
      </c>
      <c r="B751">
        <v>3.57</v>
      </c>
      <c r="C751" t="str">
        <f>CONCATENATE(Таблица258[[#This Row],[Столбец1]],Таблица258[[#This Row],[Столбец2]])</f>
        <v>1,143,57</v>
      </c>
      <c r="E751">
        <v>1.18</v>
      </c>
      <c r="F751">
        <v>3.57</v>
      </c>
      <c r="G751" t="str">
        <f>CONCATENATE(Таблица271[[#This Row],[Столбец1]],Таблица271[[#This Row],[Столбец2]])</f>
        <v>1,183,57</v>
      </c>
    </row>
    <row r="752" spans="1:7" x14ac:dyDescent="0.25">
      <c r="A752">
        <v>1.1399999999999999</v>
      </c>
      <c r="B752">
        <v>3.57</v>
      </c>
      <c r="C752" t="str">
        <f>CONCATENATE(Таблица258[[#This Row],[Столбец1]],Таблица258[[#This Row],[Столбец2]])</f>
        <v>1,143,57</v>
      </c>
      <c r="E752">
        <v>1.18</v>
      </c>
      <c r="F752">
        <v>3.57</v>
      </c>
      <c r="G752" t="str">
        <f>CONCATENATE(Таблица271[[#This Row],[Столбец1]],Таблица271[[#This Row],[Столбец2]])</f>
        <v>1,183,57</v>
      </c>
    </row>
    <row r="753" spans="1:7" x14ac:dyDescent="0.25">
      <c r="A753">
        <v>1.1399999999999999</v>
      </c>
      <c r="B753">
        <v>3.57</v>
      </c>
      <c r="C753" t="str">
        <f>CONCATENATE(Таблица258[[#This Row],[Столбец1]],Таблица258[[#This Row],[Столбец2]])</f>
        <v>1,143,57</v>
      </c>
      <c r="E753">
        <v>1.19</v>
      </c>
      <c r="F753">
        <v>3.57</v>
      </c>
      <c r="G753" t="str">
        <f>CONCATENATE(Таблица271[[#This Row],[Столбец1]],Таблица271[[#This Row],[Столбец2]])</f>
        <v>1,193,57</v>
      </c>
    </row>
    <row r="754" spans="1:7" x14ac:dyDescent="0.25">
      <c r="A754">
        <v>1.1399999999999999</v>
      </c>
      <c r="B754">
        <v>3.57</v>
      </c>
      <c r="C754" t="str">
        <f>CONCATENATE(Таблица258[[#This Row],[Столбец1]],Таблица258[[#This Row],[Столбец2]])</f>
        <v>1,143,57</v>
      </c>
      <c r="E754">
        <v>1.19</v>
      </c>
      <c r="F754">
        <v>3.57</v>
      </c>
      <c r="G754" t="str">
        <f>CONCATENATE(Таблица271[[#This Row],[Столбец1]],Таблица271[[#This Row],[Столбец2]])</f>
        <v>1,193,57</v>
      </c>
    </row>
    <row r="755" spans="1:7" x14ac:dyDescent="0.25">
      <c r="A755">
        <v>1.1399999999999999</v>
      </c>
      <c r="B755">
        <v>3.57</v>
      </c>
      <c r="C755" t="str">
        <f>CONCATENATE(Таблица258[[#This Row],[Столбец1]],Таблица258[[#This Row],[Столбец2]])</f>
        <v>1,143,57</v>
      </c>
      <c r="E755">
        <v>1.19</v>
      </c>
      <c r="F755">
        <v>3.57</v>
      </c>
      <c r="G755" t="str">
        <f>CONCATENATE(Таблица271[[#This Row],[Столбец1]],Таблица271[[#This Row],[Столбец2]])</f>
        <v>1,193,57</v>
      </c>
    </row>
    <row r="756" spans="1:7" x14ac:dyDescent="0.25">
      <c r="A756">
        <v>1.1499999999999999</v>
      </c>
      <c r="B756">
        <v>3.57</v>
      </c>
      <c r="C756" t="str">
        <f>CONCATENATE(Таблица258[[#This Row],[Столбец1]],Таблица258[[#This Row],[Столбец2]])</f>
        <v>1,153,57</v>
      </c>
      <c r="E756">
        <v>1.19</v>
      </c>
      <c r="F756">
        <v>3.57</v>
      </c>
      <c r="G756" t="str">
        <f>CONCATENATE(Таблица271[[#This Row],[Столбец1]],Таблица271[[#This Row],[Столбец2]])</f>
        <v>1,193,57</v>
      </c>
    </row>
    <row r="757" spans="1:7" x14ac:dyDescent="0.25">
      <c r="A757">
        <v>1.1499999999999999</v>
      </c>
      <c r="B757">
        <v>3.57</v>
      </c>
      <c r="C757" t="str">
        <f>CONCATENATE(Таблица258[[#This Row],[Столбец1]],Таблица258[[#This Row],[Столбец2]])</f>
        <v>1,153,57</v>
      </c>
      <c r="E757">
        <v>1.19</v>
      </c>
      <c r="F757">
        <v>3.57</v>
      </c>
      <c r="G757" t="str">
        <f>CONCATENATE(Таблица271[[#This Row],[Столбец1]],Таблица271[[#This Row],[Столбец2]])</f>
        <v>1,193,57</v>
      </c>
    </row>
    <row r="758" spans="1:7" x14ac:dyDescent="0.25">
      <c r="A758">
        <v>1.1499999999999999</v>
      </c>
      <c r="B758">
        <v>3.57</v>
      </c>
      <c r="C758" t="str">
        <f>CONCATENATE(Таблица258[[#This Row],[Столбец1]],Таблица258[[#This Row],[Столбец2]])</f>
        <v>1,153,57</v>
      </c>
      <c r="E758">
        <v>1.19</v>
      </c>
      <c r="F758">
        <v>3.57</v>
      </c>
      <c r="G758" t="str">
        <f>CONCATENATE(Таблица271[[#This Row],[Столбец1]],Таблица271[[#This Row],[Столбец2]])</f>
        <v>1,193,57</v>
      </c>
    </row>
    <row r="759" spans="1:7" x14ac:dyDescent="0.25">
      <c r="A759">
        <v>1.1499999999999999</v>
      </c>
      <c r="B759">
        <v>3.57</v>
      </c>
      <c r="C759" t="str">
        <f>CONCATENATE(Таблица258[[#This Row],[Столбец1]],Таблица258[[#This Row],[Столбец2]])</f>
        <v>1,153,57</v>
      </c>
      <c r="E759">
        <v>1.2</v>
      </c>
      <c r="F759">
        <v>3.57</v>
      </c>
      <c r="G759" t="str">
        <f>CONCATENATE(Таблица271[[#This Row],[Столбец1]],Таблица271[[#This Row],[Столбец2]])</f>
        <v>1,23,57</v>
      </c>
    </row>
    <row r="760" spans="1:7" x14ac:dyDescent="0.25">
      <c r="A760">
        <v>1.1499999999999999</v>
      </c>
      <c r="B760">
        <v>3.57</v>
      </c>
      <c r="C760" t="str">
        <f>CONCATENATE(Таблица258[[#This Row],[Столбец1]],Таблица258[[#This Row],[Столбец2]])</f>
        <v>1,153,57</v>
      </c>
      <c r="E760">
        <v>1.2</v>
      </c>
      <c r="F760">
        <v>3.57</v>
      </c>
      <c r="G760" t="str">
        <f>CONCATENATE(Таблица271[[#This Row],[Столбец1]],Таблица271[[#This Row],[Столбец2]])</f>
        <v>1,23,57</v>
      </c>
    </row>
    <row r="761" spans="1:7" x14ac:dyDescent="0.25">
      <c r="A761">
        <v>1.1499999999999999</v>
      </c>
      <c r="B761">
        <v>3.57</v>
      </c>
      <c r="C761" t="str">
        <f>CONCATENATE(Таблица258[[#This Row],[Столбец1]],Таблица258[[#This Row],[Столбец2]])</f>
        <v>1,153,57</v>
      </c>
      <c r="E761">
        <v>1.2</v>
      </c>
      <c r="F761">
        <v>3.57</v>
      </c>
      <c r="G761" t="str">
        <f>CONCATENATE(Таблица271[[#This Row],[Столбец1]],Таблица271[[#This Row],[Столбец2]])</f>
        <v>1,23,57</v>
      </c>
    </row>
    <row r="762" spans="1:7" x14ac:dyDescent="0.25">
      <c r="A762">
        <v>1.17</v>
      </c>
      <c r="B762">
        <v>3.57</v>
      </c>
      <c r="C762" t="str">
        <f>CONCATENATE(Таблица258[[#This Row],[Столбец1]],Таблица258[[#This Row],[Столбец2]])</f>
        <v>1,173,57</v>
      </c>
      <c r="E762">
        <v>1.2</v>
      </c>
      <c r="F762">
        <v>3.57</v>
      </c>
      <c r="G762" t="str">
        <f>CONCATENATE(Таблица271[[#This Row],[Столбец1]],Таблица271[[#This Row],[Столбец2]])</f>
        <v>1,23,57</v>
      </c>
    </row>
    <row r="763" spans="1:7" x14ac:dyDescent="0.25">
      <c r="A763">
        <v>1.17</v>
      </c>
      <c r="B763">
        <v>3.57</v>
      </c>
      <c r="C763" t="str">
        <f>CONCATENATE(Таблица258[[#This Row],[Столбец1]],Таблица258[[#This Row],[Столбец2]])</f>
        <v>1,173,57</v>
      </c>
      <c r="E763">
        <v>1.2</v>
      </c>
      <c r="F763">
        <v>3.57</v>
      </c>
      <c r="G763" t="str">
        <f>CONCATENATE(Таблица271[[#This Row],[Столбец1]],Таблица271[[#This Row],[Столбец2]])</f>
        <v>1,23,57</v>
      </c>
    </row>
    <row r="764" spans="1:7" x14ac:dyDescent="0.25">
      <c r="A764">
        <v>1.17</v>
      </c>
      <c r="B764">
        <v>3.57</v>
      </c>
      <c r="C764" t="str">
        <f>CONCATENATE(Таблица258[[#This Row],[Столбец1]],Таблица258[[#This Row],[Столбец2]])</f>
        <v>1,173,57</v>
      </c>
      <c r="E764">
        <v>1.2</v>
      </c>
      <c r="F764">
        <v>3.57</v>
      </c>
      <c r="G764" t="str">
        <f>CONCATENATE(Таблица271[[#This Row],[Столбец1]],Таблица271[[#This Row],[Столбец2]])</f>
        <v>1,23,57</v>
      </c>
    </row>
    <row r="765" spans="1:7" x14ac:dyDescent="0.25">
      <c r="A765">
        <v>1.17</v>
      </c>
      <c r="B765">
        <v>3.57</v>
      </c>
      <c r="C765" t="str">
        <f>CONCATENATE(Таблица258[[#This Row],[Столбец1]],Таблица258[[#This Row],[Столбец2]])</f>
        <v>1,173,57</v>
      </c>
      <c r="E765">
        <v>1.21</v>
      </c>
      <c r="F765">
        <v>3.57</v>
      </c>
      <c r="G765" t="str">
        <f>CONCATENATE(Таблица271[[#This Row],[Столбец1]],Таблица271[[#This Row],[Столбец2]])</f>
        <v>1,213,57</v>
      </c>
    </row>
    <row r="766" spans="1:7" x14ac:dyDescent="0.25">
      <c r="A766">
        <v>1.17</v>
      </c>
      <c r="B766">
        <v>3.57</v>
      </c>
      <c r="C766" t="str">
        <f>CONCATENATE(Таблица258[[#This Row],[Столбец1]],Таблица258[[#This Row],[Столбец2]])</f>
        <v>1,173,57</v>
      </c>
      <c r="E766">
        <v>1.21</v>
      </c>
      <c r="F766">
        <v>3.57</v>
      </c>
      <c r="G766" t="str">
        <f>CONCATENATE(Таблица271[[#This Row],[Столбец1]],Таблица271[[#This Row],[Столбец2]])</f>
        <v>1,213,57</v>
      </c>
    </row>
    <row r="767" spans="1:7" x14ac:dyDescent="0.25">
      <c r="A767">
        <v>1.17</v>
      </c>
      <c r="B767">
        <v>3.57</v>
      </c>
      <c r="C767" t="str">
        <f>CONCATENATE(Таблица258[[#This Row],[Столбец1]],Таблица258[[#This Row],[Столбец2]])</f>
        <v>1,173,57</v>
      </c>
      <c r="E767">
        <v>1.21</v>
      </c>
      <c r="F767">
        <v>3.57</v>
      </c>
      <c r="G767" t="str">
        <f>CONCATENATE(Таблица271[[#This Row],[Столбец1]],Таблица271[[#This Row],[Столбец2]])</f>
        <v>1,213,57</v>
      </c>
    </row>
    <row r="768" spans="1:7" x14ac:dyDescent="0.25">
      <c r="A768">
        <v>1.18</v>
      </c>
      <c r="B768">
        <v>3.57</v>
      </c>
      <c r="C768" t="str">
        <f>CONCATENATE(Таблица258[[#This Row],[Столбец1]],Таблица258[[#This Row],[Столбец2]])</f>
        <v>1,183,57</v>
      </c>
      <c r="E768">
        <v>1.21</v>
      </c>
      <c r="F768">
        <v>3.57</v>
      </c>
      <c r="G768" t="str">
        <f>CONCATENATE(Таблица271[[#This Row],[Столбец1]],Таблица271[[#This Row],[Столбец2]])</f>
        <v>1,213,57</v>
      </c>
    </row>
    <row r="769" spans="1:7" x14ac:dyDescent="0.25">
      <c r="A769">
        <v>1.18</v>
      </c>
      <c r="B769">
        <v>3.57</v>
      </c>
      <c r="C769" t="str">
        <f>CONCATENATE(Таблица258[[#This Row],[Столбец1]],Таблица258[[#This Row],[Столбец2]])</f>
        <v>1,183,57</v>
      </c>
      <c r="E769">
        <v>1.21</v>
      </c>
      <c r="F769">
        <v>3.57</v>
      </c>
      <c r="G769" t="str">
        <f>CONCATENATE(Таблица271[[#This Row],[Столбец1]],Таблица271[[#This Row],[Столбец2]])</f>
        <v>1,213,57</v>
      </c>
    </row>
    <row r="770" spans="1:7" x14ac:dyDescent="0.25">
      <c r="A770">
        <v>1.18</v>
      </c>
      <c r="B770">
        <v>3.57</v>
      </c>
      <c r="C770" t="str">
        <f>CONCATENATE(Таблица258[[#This Row],[Столбец1]],Таблица258[[#This Row],[Столбец2]])</f>
        <v>1,183,57</v>
      </c>
      <c r="E770">
        <v>1.21</v>
      </c>
      <c r="F770">
        <v>3.57</v>
      </c>
      <c r="G770" t="str">
        <f>CONCATENATE(Таблица271[[#This Row],[Столбец1]],Таблица271[[#This Row],[Столбец2]])</f>
        <v>1,213,57</v>
      </c>
    </row>
    <row r="771" spans="1:7" x14ac:dyDescent="0.25">
      <c r="A771">
        <v>1.18</v>
      </c>
      <c r="B771">
        <v>3.57</v>
      </c>
      <c r="C771" t="str">
        <f>CONCATENATE(Таблица258[[#This Row],[Столбец1]],Таблица258[[#This Row],[Столбец2]])</f>
        <v>1,183,57</v>
      </c>
      <c r="E771">
        <v>1.21</v>
      </c>
      <c r="F771">
        <v>3.57</v>
      </c>
      <c r="G771" t="str">
        <f>CONCATENATE(Таблица271[[#This Row],[Столбец1]],Таблица271[[#This Row],[Столбец2]])</f>
        <v>1,213,57</v>
      </c>
    </row>
    <row r="772" spans="1:7" x14ac:dyDescent="0.25">
      <c r="A772">
        <v>1.18</v>
      </c>
      <c r="B772">
        <v>3.57</v>
      </c>
      <c r="C772" t="str">
        <f>CONCATENATE(Таблица258[[#This Row],[Столбец1]],Таблица258[[#This Row],[Столбец2]])</f>
        <v>1,183,57</v>
      </c>
      <c r="E772">
        <v>1.22</v>
      </c>
      <c r="F772">
        <v>3.57</v>
      </c>
      <c r="G772" t="str">
        <f>CONCATENATE(Таблица271[[#This Row],[Столбец1]],Таблица271[[#This Row],[Столбец2]])</f>
        <v>1,223,57</v>
      </c>
    </row>
    <row r="773" spans="1:7" x14ac:dyDescent="0.25">
      <c r="A773">
        <v>1.18</v>
      </c>
      <c r="B773">
        <v>3.57</v>
      </c>
      <c r="C773" t="str">
        <f>CONCATENATE(Таблица258[[#This Row],[Столбец1]],Таблица258[[#This Row],[Столбец2]])</f>
        <v>1,183,57</v>
      </c>
      <c r="E773">
        <v>1.22</v>
      </c>
      <c r="F773">
        <v>3.57</v>
      </c>
      <c r="G773" t="str">
        <f>CONCATENATE(Таблица271[[#This Row],[Столбец1]],Таблица271[[#This Row],[Столбец2]])</f>
        <v>1,223,57</v>
      </c>
    </row>
    <row r="774" spans="1:7" x14ac:dyDescent="0.25">
      <c r="A774">
        <v>1.19</v>
      </c>
      <c r="B774">
        <v>3.57</v>
      </c>
      <c r="C774" t="str">
        <f>CONCATENATE(Таблица258[[#This Row],[Столбец1]],Таблица258[[#This Row],[Столбец2]])</f>
        <v>1,193,57</v>
      </c>
      <c r="E774">
        <v>1.22</v>
      </c>
      <c r="F774">
        <v>3.57</v>
      </c>
      <c r="G774" t="str">
        <f>CONCATENATE(Таблица271[[#This Row],[Столбец1]],Таблица271[[#This Row],[Столбец2]])</f>
        <v>1,223,57</v>
      </c>
    </row>
    <row r="775" spans="1:7" x14ac:dyDescent="0.25">
      <c r="A775">
        <v>1.19</v>
      </c>
      <c r="B775">
        <v>3.57</v>
      </c>
      <c r="C775" t="str">
        <f>CONCATENATE(Таблица258[[#This Row],[Столбец1]],Таблица258[[#This Row],[Столбец2]])</f>
        <v>1,193,57</v>
      </c>
      <c r="E775">
        <v>1.22</v>
      </c>
      <c r="F775">
        <v>3.57</v>
      </c>
      <c r="G775" t="str">
        <f>CONCATENATE(Таблица271[[#This Row],[Столбец1]],Таблица271[[#This Row],[Столбец2]])</f>
        <v>1,223,57</v>
      </c>
    </row>
    <row r="776" spans="1:7" x14ac:dyDescent="0.25">
      <c r="A776">
        <v>1.19</v>
      </c>
      <c r="B776">
        <v>3.57</v>
      </c>
      <c r="C776" t="str">
        <f>CONCATENATE(Таблица258[[#This Row],[Столбец1]],Таблица258[[#This Row],[Столбец2]])</f>
        <v>1,193,57</v>
      </c>
      <c r="E776">
        <v>1.22</v>
      </c>
      <c r="F776">
        <v>3.57</v>
      </c>
      <c r="G776" t="str">
        <f>CONCATENATE(Таблица271[[#This Row],[Столбец1]],Таблица271[[#This Row],[Столбец2]])</f>
        <v>1,223,57</v>
      </c>
    </row>
    <row r="777" spans="1:7" x14ac:dyDescent="0.25">
      <c r="A777">
        <v>1.19</v>
      </c>
      <c r="B777">
        <v>3.57</v>
      </c>
      <c r="C777" t="str">
        <f>CONCATENATE(Таблица258[[#This Row],[Столбец1]],Таблица258[[#This Row],[Столбец2]])</f>
        <v>1,193,57</v>
      </c>
      <c r="E777">
        <v>1.22</v>
      </c>
      <c r="F777">
        <v>3.57</v>
      </c>
      <c r="G777" t="str">
        <f>CONCATENATE(Таблица271[[#This Row],[Столбец1]],Таблица271[[#This Row],[Столбец2]])</f>
        <v>1,223,57</v>
      </c>
    </row>
    <row r="778" spans="1:7" x14ac:dyDescent="0.25">
      <c r="A778">
        <v>1.19</v>
      </c>
      <c r="B778">
        <v>3.57</v>
      </c>
      <c r="C778" t="str">
        <f>CONCATENATE(Таблица258[[#This Row],[Столбец1]],Таблица258[[#This Row],[Столбец2]])</f>
        <v>1,193,57</v>
      </c>
      <c r="E778">
        <v>1.22</v>
      </c>
      <c r="F778">
        <v>3.57</v>
      </c>
      <c r="G778" t="str">
        <f>CONCATENATE(Таблица271[[#This Row],[Столбец1]],Таблица271[[#This Row],[Столбец2]])</f>
        <v>1,223,57</v>
      </c>
    </row>
    <row r="779" spans="1:7" x14ac:dyDescent="0.25">
      <c r="A779">
        <v>1.19</v>
      </c>
      <c r="B779">
        <v>3.57</v>
      </c>
      <c r="C779" t="str">
        <f>CONCATENATE(Таблица258[[#This Row],[Столбец1]],Таблица258[[#This Row],[Столбец2]])</f>
        <v>1,193,57</v>
      </c>
      <c r="E779">
        <v>1.23</v>
      </c>
      <c r="F779">
        <v>3.57</v>
      </c>
      <c r="G779" t="str">
        <f>CONCATENATE(Таблица271[[#This Row],[Столбец1]],Таблица271[[#This Row],[Столбец2]])</f>
        <v>1,233,57</v>
      </c>
    </row>
    <row r="780" spans="1:7" x14ac:dyDescent="0.25">
      <c r="A780">
        <v>1.2</v>
      </c>
      <c r="B780">
        <v>3.57</v>
      </c>
      <c r="C780" t="str">
        <f>CONCATENATE(Таблица258[[#This Row],[Столбец1]],Таблица258[[#This Row],[Столбец2]])</f>
        <v>1,23,57</v>
      </c>
      <c r="E780">
        <v>1.23</v>
      </c>
      <c r="F780">
        <v>3.57</v>
      </c>
      <c r="G780" t="str">
        <f>CONCATENATE(Таблица271[[#This Row],[Столбец1]],Таблица271[[#This Row],[Столбец2]])</f>
        <v>1,233,57</v>
      </c>
    </row>
    <row r="781" spans="1:7" x14ac:dyDescent="0.25">
      <c r="A781">
        <v>1.2</v>
      </c>
      <c r="B781">
        <v>3.57</v>
      </c>
      <c r="C781" t="str">
        <f>CONCATENATE(Таблица258[[#This Row],[Столбец1]],Таблица258[[#This Row],[Столбец2]])</f>
        <v>1,23,57</v>
      </c>
      <c r="E781">
        <v>1.23</v>
      </c>
      <c r="F781">
        <v>3.57</v>
      </c>
      <c r="G781" t="str">
        <f>CONCATENATE(Таблица271[[#This Row],[Столбец1]],Таблица271[[#This Row],[Столбец2]])</f>
        <v>1,233,57</v>
      </c>
    </row>
    <row r="782" spans="1:7" x14ac:dyDescent="0.25">
      <c r="A782">
        <v>1.2</v>
      </c>
      <c r="B782">
        <v>3.57</v>
      </c>
      <c r="C782" t="str">
        <f>CONCATENATE(Таблица258[[#This Row],[Столбец1]],Таблица258[[#This Row],[Столбец2]])</f>
        <v>1,23,57</v>
      </c>
      <c r="E782">
        <v>1.23</v>
      </c>
      <c r="F782">
        <v>3.57</v>
      </c>
      <c r="G782" t="str">
        <f>CONCATENATE(Таблица271[[#This Row],[Столбец1]],Таблица271[[#This Row],[Столбец2]])</f>
        <v>1,233,57</v>
      </c>
    </row>
    <row r="783" spans="1:7" x14ac:dyDescent="0.25">
      <c r="A783">
        <v>1.2</v>
      </c>
      <c r="B783">
        <v>3.57</v>
      </c>
      <c r="C783" t="str">
        <f>CONCATENATE(Таблица258[[#This Row],[Столбец1]],Таблица258[[#This Row],[Столбец2]])</f>
        <v>1,23,57</v>
      </c>
      <c r="E783">
        <v>1.23</v>
      </c>
      <c r="F783">
        <v>3.57</v>
      </c>
      <c r="G783" t="str">
        <f>CONCATENATE(Таблица271[[#This Row],[Столбец1]],Таблица271[[#This Row],[Столбец2]])</f>
        <v>1,233,57</v>
      </c>
    </row>
    <row r="784" spans="1:7" x14ac:dyDescent="0.25">
      <c r="A784">
        <v>1.2</v>
      </c>
      <c r="B784">
        <v>3.57</v>
      </c>
      <c r="C784" t="str">
        <f>CONCATENATE(Таблица258[[#This Row],[Столбец1]],Таблица258[[#This Row],[Столбец2]])</f>
        <v>1,23,57</v>
      </c>
      <c r="E784">
        <v>1.23</v>
      </c>
      <c r="F784">
        <v>3.57</v>
      </c>
      <c r="G784" t="str">
        <f>CONCATENATE(Таблица271[[#This Row],[Столбец1]],Таблица271[[#This Row],[Столбец2]])</f>
        <v>1,233,57</v>
      </c>
    </row>
    <row r="785" spans="1:7" x14ac:dyDescent="0.25">
      <c r="A785">
        <v>1.2</v>
      </c>
      <c r="B785">
        <v>3.57</v>
      </c>
      <c r="C785" t="str">
        <f>CONCATENATE(Таблица258[[#This Row],[Столбец1]],Таблица258[[#This Row],[Столбец2]])</f>
        <v>1,23,57</v>
      </c>
      <c r="E785">
        <v>1.23</v>
      </c>
      <c r="F785">
        <v>3.57</v>
      </c>
      <c r="G785" t="str">
        <f>CONCATENATE(Таблица271[[#This Row],[Столбец1]],Таблица271[[#This Row],[Столбец2]])</f>
        <v>1,233,57</v>
      </c>
    </row>
    <row r="786" spans="1:7" x14ac:dyDescent="0.25">
      <c r="A786">
        <v>1.21</v>
      </c>
      <c r="B786">
        <v>3.57</v>
      </c>
      <c r="C786" t="str">
        <f>CONCATENATE(Таблица258[[#This Row],[Столбец1]],Таблица258[[#This Row],[Столбец2]])</f>
        <v>1,213,57</v>
      </c>
      <c r="E786">
        <v>1.24</v>
      </c>
      <c r="F786">
        <v>3.57</v>
      </c>
      <c r="G786" t="str">
        <f>CONCATENATE(Таблица271[[#This Row],[Столбец1]],Таблица271[[#This Row],[Столбец2]])</f>
        <v>1,243,57</v>
      </c>
    </row>
    <row r="787" spans="1:7" x14ac:dyDescent="0.25">
      <c r="A787">
        <v>1.21</v>
      </c>
      <c r="B787">
        <v>3.57</v>
      </c>
      <c r="C787" t="str">
        <f>CONCATENATE(Таблица258[[#This Row],[Столбец1]],Таблица258[[#This Row],[Столбец2]])</f>
        <v>1,213,57</v>
      </c>
      <c r="E787">
        <v>1.24</v>
      </c>
      <c r="F787">
        <v>3.57</v>
      </c>
      <c r="G787" t="str">
        <f>CONCATENATE(Таблица271[[#This Row],[Столбец1]],Таблица271[[#This Row],[Столбец2]])</f>
        <v>1,243,57</v>
      </c>
    </row>
    <row r="788" spans="1:7" x14ac:dyDescent="0.25">
      <c r="A788">
        <v>1.21</v>
      </c>
      <c r="B788">
        <v>3.57</v>
      </c>
      <c r="C788" t="str">
        <f>CONCATENATE(Таблица258[[#This Row],[Столбец1]],Таблица258[[#This Row],[Столбец2]])</f>
        <v>1,213,57</v>
      </c>
      <c r="E788">
        <v>1.24</v>
      </c>
      <c r="F788">
        <v>3.57</v>
      </c>
      <c r="G788" t="str">
        <f>CONCATENATE(Таблица271[[#This Row],[Столбец1]],Таблица271[[#This Row],[Столбец2]])</f>
        <v>1,243,57</v>
      </c>
    </row>
    <row r="789" spans="1:7" x14ac:dyDescent="0.25">
      <c r="A789">
        <v>1.21</v>
      </c>
      <c r="B789">
        <v>3.57</v>
      </c>
      <c r="C789" t="str">
        <f>CONCATENATE(Таблица258[[#This Row],[Столбец1]],Таблица258[[#This Row],[Столбец2]])</f>
        <v>1,213,57</v>
      </c>
      <c r="E789">
        <v>1.24</v>
      </c>
      <c r="F789">
        <v>3.57</v>
      </c>
      <c r="G789" t="str">
        <f>CONCATENATE(Таблица271[[#This Row],[Столбец1]],Таблица271[[#This Row],[Столбец2]])</f>
        <v>1,243,57</v>
      </c>
    </row>
    <row r="790" spans="1:7" x14ac:dyDescent="0.25">
      <c r="A790">
        <v>1.21</v>
      </c>
      <c r="B790">
        <v>3.57</v>
      </c>
      <c r="C790" t="str">
        <f>CONCATENATE(Таблица258[[#This Row],[Столбец1]],Таблица258[[#This Row],[Столбец2]])</f>
        <v>1,213,57</v>
      </c>
      <c r="E790">
        <v>1.24</v>
      </c>
      <c r="F790">
        <v>3.57</v>
      </c>
      <c r="G790" t="str">
        <f>CONCATENATE(Таблица271[[#This Row],[Столбец1]],Таблица271[[#This Row],[Столбец2]])</f>
        <v>1,243,57</v>
      </c>
    </row>
    <row r="791" spans="1:7" x14ac:dyDescent="0.25">
      <c r="A791">
        <v>1.21</v>
      </c>
      <c r="B791">
        <v>3.57</v>
      </c>
      <c r="C791" t="str">
        <f>CONCATENATE(Таблица258[[#This Row],[Столбец1]],Таблица258[[#This Row],[Столбец2]])</f>
        <v>1,213,57</v>
      </c>
      <c r="E791">
        <v>1.24</v>
      </c>
      <c r="F791">
        <v>3.57</v>
      </c>
      <c r="G791" t="str">
        <f>CONCATENATE(Таблица271[[#This Row],[Столбец1]],Таблица271[[#This Row],[Столбец2]])</f>
        <v>1,243,57</v>
      </c>
    </row>
    <row r="792" spans="1:7" x14ac:dyDescent="0.25">
      <c r="A792">
        <v>1.22</v>
      </c>
      <c r="B792">
        <v>3.57</v>
      </c>
      <c r="C792" t="str">
        <f>CONCATENATE(Таблица258[[#This Row],[Столбец1]],Таблица258[[#This Row],[Столбец2]])</f>
        <v>1,223,57</v>
      </c>
      <c r="E792">
        <v>1.24</v>
      </c>
      <c r="F792">
        <v>3.57</v>
      </c>
      <c r="G792" t="str">
        <f>CONCATENATE(Таблица271[[#This Row],[Столбец1]],Таблица271[[#This Row],[Столбец2]])</f>
        <v>1,243,57</v>
      </c>
    </row>
    <row r="793" spans="1:7" x14ac:dyDescent="0.25">
      <c r="A793">
        <v>1.22</v>
      </c>
      <c r="B793">
        <v>3.57</v>
      </c>
      <c r="C793" t="str">
        <f>CONCATENATE(Таблица258[[#This Row],[Столбец1]],Таблица258[[#This Row],[Столбец2]])</f>
        <v>1,223,57</v>
      </c>
      <c r="E793">
        <v>1.25</v>
      </c>
      <c r="F793">
        <v>3.57</v>
      </c>
      <c r="G793" t="str">
        <f>CONCATENATE(Таблица271[[#This Row],[Столбец1]],Таблица271[[#This Row],[Столбец2]])</f>
        <v>1,253,57</v>
      </c>
    </row>
    <row r="794" spans="1:7" x14ac:dyDescent="0.25">
      <c r="A794">
        <v>1.22</v>
      </c>
      <c r="B794">
        <v>3.57</v>
      </c>
      <c r="C794" t="str">
        <f>CONCATENATE(Таблица258[[#This Row],[Столбец1]],Таблица258[[#This Row],[Столбец2]])</f>
        <v>1,223,57</v>
      </c>
      <c r="E794">
        <v>1.25</v>
      </c>
      <c r="F794">
        <v>3.57</v>
      </c>
      <c r="G794" t="str">
        <f>CONCATENATE(Таблица271[[#This Row],[Столбец1]],Таблица271[[#This Row],[Столбец2]])</f>
        <v>1,253,57</v>
      </c>
    </row>
    <row r="795" spans="1:7" x14ac:dyDescent="0.25">
      <c r="A795">
        <v>1.22</v>
      </c>
      <c r="B795">
        <v>3.57</v>
      </c>
      <c r="C795" t="str">
        <f>CONCATENATE(Таблица258[[#This Row],[Столбец1]],Таблица258[[#This Row],[Столбец2]])</f>
        <v>1,223,57</v>
      </c>
      <c r="E795">
        <v>1.25</v>
      </c>
      <c r="F795">
        <v>3.57</v>
      </c>
      <c r="G795" t="str">
        <f>CONCATENATE(Таблица271[[#This Row],[Столбец1]],Таблица271[[#This Row],[Столбец2]])</f>
        <v>1,253,57</v>
      </c>
    </row>
    <row r="796" spans="1:7" x14ac:dyDescent="0.25">
      <c r="A796">
        <v>1.22</v>
      </c>
      <c r="B796">
        <v>3.57</v>
      </c>
      <c r="C796" t="str">
        <f>CONCATENATE(Таблица258[[#This Row],[Столбец1]],Таблица258[[#This Row],[Столбец2]])</f>
        <v>1,223,57</v>
      </c>
      <c r="E796">
        <v>1.25</v>
      </c>
      <c r="F796">
        <v>3.57</v>
      </c>
      <c r="G796" t="str">
        <f>CONCATENATE(Таблица271[[#This Row],[Столбец1]],Таблица271[[#This Row],[Столбец2]])</f>
        <v>1,253,57</v>
      </c>
    </row>
    <row r="797" spans="1:7" x14ac:dyDescent="0.25">
      <c r="A797">
        <v>1.22</v>
      </c>
      <c r="B797">
        <v>3.57</v>
      </c>
      <c r="C797" t="str">
        <f>CONCATENATE(Таблица258[[#This Row],[Столбец1]],Таблица258[[#This Row],[Столбец2]])</f>
        <v>1,223,57</v>
      </c>
      <c r="E797">
        <v>1.25</v>
      </c>
      <c r="F797">
        <v>3.57</v>
      </c>
      <c r="G797" t="str">
        <f>CONCATENATE(Таблица271[[#This Row],[Столбец1]],Таблица271[[#This Row],[Столбец2]])</f>
        <v>1,253,57</v>
      </c>
    </row>
    <row r="798" spans="1:7" x14ac:dyDescent="0.25">
      <c r="A798">
        <v>1.23</v>
      </c>
      <c r="B798">
        <v>3.57</v>
      </c>
      <c r="C798" t="str">
        <f>CONCATENATE(Таблица258[[#This Row],[Столбец1]],Таблица258[[#This Row],[Столбец2]])</f>
        <v>1,233,57</v>
      </c>
      <c r="E798">
        <v>1.25</v>
      </c>
      <c r="F798">
        <v>3.57</v>
      </c>
      <c r="G798" t="str">
        <f>CONCATENATE(Таблица271[[#This Row],[Столбец1]],Таблица271[[#This Row],[Столбец2]])</f>
        <v>1,253,57</v>
      </c>
    </row>
    <row r="799" spans="1:7" x14ac:dyDescent="0.25">
      <c r="A799">
        <v>1.23</v>
      </c>
      <c r="B799">
        <v>3.57</v>
      </c>
      <c r="C799" t="str">
        <f>CONCATENATE(Таблица258[[#This Row],[Столбец1]],Таблица258[[#This Row],[Столбец2]])</f>
        <v>1,233,57</v>
      </c>
      <c r="E799">
        <v>1.25</v>
      </c>
      <c r="F799">
        <v>3.57</v>
      </c>
      <c r="G799" t="str">
        <f>CONCATENATE(Таблица271[[#This Row],[Столбец1]],Таблица271[[#This Row],[Столбец2]])</f>
        <v>1,253,57</v>
      </c>
    </row>
    <row r="800" spans="1:7" x14ac:dyDescent="0.25">
      <c r="A800">
        <v>1.23</v>
      </c>
      <c r="B800">
        <v>3.57</v>
      </c>
      <c r="C800" t="str">
        <f>CONCATENATE(Таблица258[[#This Row],[Столбец1]],Таблица258[[#This Row],[Столбец2]])</f>
        <v>1,233,57</v>
      </c>
      <c r="E800">
        <v>1.26</v>
      </c>
      <c r="F800">
        <v>3.57</v>
      </c>
      <c r="G800" t="str">
        <f>CONCATENATE(Таблица271[[#This Row],[Столбец1]],Таблица271[[#This Row],[Столбец2]])</f>
        <v>1,263,57</v>
      </c>
    </row>
    <row r="801" spans="1:7" x14ac:dyDescent="0.25">
      <c r="A801">
        <v>1.23</v>
      </c>
      <c r="B801">
        <v>3.57</v>
      </c>
      <c r="C801" t="str">
        <f>CONCATENATE(Таблица258[[#This Row],[Столбец1]],Таблица258[[#This Row],[Столбец2]])</f>
        <v>1,233,57</v>
      </c>
      <c r="E801">
        <v>1.26</v>
      </c>
      <c r="F801">
        <v>3.57</v>
      </c>
      <c r="G801" t="str">
        <f>CONCATENATE(Таблица271[[#This Row],[Столбец1]],Таблица271[[#This Row],[Столбец2]])</f>
        <v>1,263,57</v>
      </c>
    </row>
    <row r="802" spans="1:7" x14ac:dyDescent="0.25">
      <c r="A802">
        <v>1.23</v>
      </c>
      <c r="B802">
        <v>3.57</v>
      </c>
      <c r="C802" t="str">
        <f>CONCATENATE(Таблица258[[#This Row],[Столбец1]],Таблица258[[#This Row],[Столбец2]])</f>
        <v>1,233,57</v>
      </c>
      <c r="E802">
        <v>1.26</v>
      </c>
      <c r="F802">
        <v>3.57</v>
      </c>
      <c r="G802" t="str">
        <f>CONCATENATE(Таблица271[[#This Row],[Столбец1]],Таблица271[[#This Row],[Столбец2]])</f>
        <v>1,263,57</v>
      </c>
    </row>
    <row r="803" spans="1:7" x14ac:dyDescent="0.25">
      <c r="A803">
        <v>1.23</v>
      </c>
      <c r="B803">
        <v>3.57</v>
      </c>
      <c r="C803" t="str">
        <f>CONCATENATE(Таблица258[[#This Row],[Столбец1]],Таблица258[[#This Row],[Столбец2]])</f>
        <v>1,233,57</v>
      </c>
      <c r="E803">
        <v>1.26</v>
      </c>
      <c r="F803">
        <v>3.57</v>
      </c>
      <c r="G803" t="str">
        <f>CONCATENATE(Таблица271[[#This Row],[Столбец1]],Таблица271[[#This Row],[Столбец2]])</f>
        <v>1,263,57</v>
      </c>
    </row>
    <row r="804" spans="1:7" x14ac:dyDescent="0.25">
      <c r="A804">
        <v>1.24</v>
      </c>
      <c r="B804">
        <v>3.57</v>
      </c>
      <c r="C804" t="str">
        <f>CONCATENATE(Таблица258[[#This Row],[Столбец1]],Таблица258[[#This Row],[Столбец2]])</f>
        <v>1,243,57</v>
      </c>
      <c r="E804">
        <v>1.26</v>
      </c>
      <c r="F804">
        <v>3.57</v>
      </c>
      <c r="G804" t="str">
        <f>CONCATENATE(Таблица271[[#This Row],[Столбец1]],Таблица271[[#This Row],[Столбец2]])</f>
        <v>1,263,57</v>
      </c>
    </row>
    <row r="805" spans="1:7" x14ac:dyDescent="0.25">
      <c r="A805">
        <v>1.24</v>
      </c>
      <c r="B805">
        <v>3.57</v>
      </c>
      <c r="C805" t="str">
        <f>CONCATENATE(Таблица258[[#This Row],[Столбец1]],Таблица258[[#This Row],[Столбец2]])</f>
        <v>1,243,57</v>
      </c>
      <c r="E805">
        <v>1.26</v>
      </c>
      <c r="F805">
        <v>3.57</v>
      </c>
      <c r="G805" t="str">
        <f>CONCATENATE(Таблица271[[#This Row],[Столбец1]],Таблица271[[#This Row],[Столбец2]])</f>
        <v>1,263,57</v>
      </c>
    </row>
    <row r="806" spans="1:7" x14ac:dyDescent="0.25">
      <c r="A806">
        <v>1.24</v>
      </c>
      <c r="B806">
        <v>3.57</v>
      </c>
      <c r="C806" t="str">
        <f>CONCATENATE(Таблица258[[#This Row],[Столбец1]],Таблица258[[#This Row],[Столбец2]])</f>
        <v>1,243,57</v>
      </c>
      <c r="E806">
        <v>1.26</v>
      </c>
      <c r="F806">
        <v>3.57</v>
      </c>
      <c r="G806" t="str">
        <f>CONCATENATE(Таблица271[[#This Row],[Столбец1]],Таблица271[[#This Row],[Столбец2]])</f>
        <v>1,263,57</v>
      </c>
    </row>
    <row r="807" spans="1:7" x14ac:dyDescent="0.25">
      <c r="A807">
        <v>1.24</v>
      </c>
      <c r="B807">
        <v>3.57</v>
      </c>
      <c r="C807" t="str">
        <f>CONCATENATE(Таблица258[[#This Row],[Столбец1]],Таблица258[[#This Row],[Столбец2]])</f>
        <v>1,243,57</v>
      </c>
      <c r="E807">
        <v>1.27</v>
      </c>
      <c r="F807">
        <v>3.57</v>
      </c>
      <c r="G807" t="str">
        <f>CONCATENATE(Таблица271[[#This Row],[Столбец1]],Таблица271[[#This Row],[Столбец2]])</f>
        <v>1,273,57</v>
      </c>
    </row>
    <row r="808" spans="1:7" x14ac:dyDescent="0.25">
      <c r="A808">
        <v>1.24</v>
      </c>
      <c r="B808">
        <v>3.57</v>
      </c>
      <c r="C808" t="str">
        <f>CONCATENATE(Таблица258[[#This Row],[Столбец1]],Таблица258[[#This Row],[Столбец2]])</f>
        <v>1,243,57</v>
      </c>
      <c r="E808">
        <v>1.27</v>
      </c>
      <c r="F808">
        <v>3.57</v>
      </c>
      <c r="G808" t="str">
        <f>CONCATENATE(Таблица271[[#This Row],[Столбец1]],Таблица271[[#This Row],[Столбец2]])</f>
        <v>1,273,57</v>
      </c>
    </row>
    <row r="809" spans="1:7" x14ac:dyDescent="0.25">
      <c r="A809">
        <v>1.24</v>
      </c>
      <c r="B809">
        <v>3.57</v>
      </c>
      <c r="C809" t="str">
        <f>CONCATENATE(Таблица258[[#This Row],[Столбец1]],Таблица258[[#This Row],[Столбец2]])</f>
        <v>1,243,57</v>
      </c>
      <c r="E809">
        <v>1.27</v>
      </c>
      <c r="F809">
        <v>3.57</v>
      </c>
      <c r="G809" t="str">
        <f>CONCATENATE(Таблица271[[#This Row],[Столбец1]],Таблица271[[#This Row],[Столбец2]])</f>
        <v>1,273,57</v>
      </c>
    </row>
    <row r="810" spans="1:7" x14ac:dyDescent="0.25">
      <c r="A810">
        <v>1.25</v>
      </c>
      <c r="B810">
        <v>3.57</v>
      </c>
      <c r="C810" t="str">
        <f>CONCATENATE(Таблица258[[#This Row],[Столбец1]],Таблица258[[#This Row],[Столбец2]])</f>
        <v>1,253,57</v>
      </c>
      <c r="E810">
        <v>1.27</v>
      </c>
      <c r="F810">
        <v>3.57</v>
      </c>
      <c r="G810" t="str">
        <f>CONCATENATE(Таблица271[[#This Row],[Столбец1]],Таблица271[[#This Row],[Столбец2]])</f>
        <v>1,273,57</v>
      </c>
    </row>
    <row r="811" spans="1:7" x14ac:dyDescent="0.25">
      <c r="A811">
        <v>1.25</v>
      </c>
      <c r="B811">
        <v>3.57</v>
      </c>
      <c r="C811" t="str">
        <f>CONCATENATE(Таблица258[[#This Row],[Столбец1]],Таблица258[[#This Row],[Столбец2]])</f>
        <v>1,253,57</v>
      </c>
      <c r="E811">
        <v>1.27</v>
      </c>
      <c r="F811">
        <v>3.57</v>
      </c>
      <c r="G811" t="str">
        <f>CONCATENATE(Таблица271[[#This Row],[Столбец1]],Таблица271[[#This Row],[Столбец2]])</f>
        <v>1,273,57</v>
      </c>
    </row>
    <row r="812" spans="1:7" x14ac:dyDescent="0.25">
      <c r="A812">
        <v>1.25</v>
      </c>
      <c r="B812">
        <v>3.57</v>
      </c>
      <c r="C812" t="str">
        <f>CONCATENATE(Таблица258[[#This Row],[Столбец1]],Таблица258[[#This Row],[Столбец2]])</f>
        <v>1,253,57</v>
      </c>
      <c r="E812">
        <v>1.27</v>
      </c>
      <c r="F812">
        <v>3.57</v>
      </c>
      <c r="G812" t="str">
        <f>CONCATENATE(Таблица271[[#This Row],[Столбец1]],Таблица271[[#This Row],[Столбец2]])</f>
        <v>1,273,57</v>
      </c>
    </row>
    <row r="813" spans="1:7" x14ac:dyDescent="0.25">
      <c r="A813">
        <v>1.25</v>
      </c>
      <c r="B813">
        <v>3.57</v>
      </c>
      <c r="C813" t="str">
        <f>CONCATENATE(Таблица258[[#This Row],[Столбец1]],Таблица258[[#This Row],[Столбец2]])</f>
        <v>1,253,57</v>
      </c>
      <c r="E813">
        <v>1.27</v>
      </c>
      <c r="F813">
        <v>3.57</v>
      </c>
      <c r="G813" t="str">
        <f>CONCATENATE(Таблица271[[#This Row],[Столбец1]],Таблица271[[#This Row],[Столбец2]])</f>
        <v>1,273,57</v>
      </c>
    </row>
    <row r="814" spans="1:7" x14ac:dyDescent="0.25">
      <c r="A814">
        <v>1.25</v>
      </c>
      <c r="B814">
        <v>3.57</v>
      </c>
      <c r="C814" t="str">
        <f>CONCATENATE(Таблица258[[#This Row],[Столбец1]],Таблица258[[#This Row],[Столбец2]])</f>
        <v>1,253,57</v>
      </c>
      <c r="E814">
        <v>1.28</v>
      </c>
      <c r="F814">
        <v>3.57</v>
      </c>
      <c r="G814" t="str">
        <f>CONCATENATE(Таблица271[[#This Row],[Столбец1]],Таблица271[[#This Row],[Столбец2]])</f>
        <v>1,283,57</v>
      </c>
    </row>
    <row r="815" spans="1:7" x14ac:dyDescent="0.25">
      <c r="A815">
        <v>1.25</v>
      </c>
      <c r="B815">
        <v>3.57</v>
      </c>
      <c r="C815" t="str">
        <f>CONCATENATE(Таблица258[[#This Row],[Столбец1]],Таблица258[[#This Row],[Столбец2]])</f>
        <v>1,253,57</v>
      </c>
      <c r="E815">
        <v>1.28</v>
      </c>
      <c r="F815">
        <v>3.57</v>
      </c>
      <c r="G815" t="str">
        <f>CONCATENATE(Таблица271[[#This Row],[Столбец1]],Таблица271[[#This Row],[Столбец2]])</f>
        <v>1,283,57</v>
      </c>
    </row>
    <row r="816" spans="1:7" x14ac:dyDescent="0.25">
      <c r="A816">
        <v>1.26</v>
      </c>
      <c r="B816">
        <v>3.57</v>
      </c>
      <c r="C816" t="str">
        <f>CONCATENATE(Таблица258[[#This Row],[Столбец1]],Таблица258[[#This Row],[Столбец2]])</f>
        <v>1,263,57</v>
      </c>
      <c r="E816">
        <v>1.28</v>
      </c>
      <c r="F816">
        <v>3.57</v>
      </c>
      <c r="G816" t="str">
        <f>CONCATENATE(Таблица271[[#This Row],[Столбец1]],Таблица271[[#This Row],[Столбец2]])</f>
        <v>1,283,57</v>
      </c>
    </row>
    <row r="817" spans="1:7" x14ac:dyDescent="0.25">
      <c r="A817">
        <v>1.26</v>
      </c>
      <c r="B817">
        <v>3.57</v>
      </c>
      <c r="C817" t="str">
        <f>CONCATENATE(Таблица258[[#This Row],[Столбец1]],Таблица258[[#This Row],[Столбец2]])</f>
        <v>1,263,57</v>
      </c>
      <c r="E817">
        <v>1.28</v>
      </c>
      <c r="F817">
        <v>3.57</v>
      </c>
      <c r="G817" t="str">
        <f>CONCATENATE(Таблица271[[#This Row],[Столбец1]],Таблица271[[#This Row],[Столбец2]])</f>
        <v>1,283,57</v>
      </c>
    </row>
    <row r="818" spans="1:7" x14ac:dyDescent="0.25">
      <c r="A818">
        <v>1.26</v>
      </c>
      <c r="B818">
        <v>3.57</v>
      </c>
      <c r="C818" t="str">
        <f>CONCATENATE(Таблица258[[#This Row],[Столбец1]],Таблица258[[#This Row],[Столбец2]])</f>
        <v>1,263,57</v>
      </c>
      <c r="E818">
        <v>1.28</v>
      </c>
      <c r="F818">
        <v>3.57</v>
      </c>
      <c r="G818" t="str">
        <f>CONCATENATE(Таблица271[[#This Row],[Столбец1]],Таблица271[[#This Row],[Столбец2]])</f>
        <v>1,283,57</v>
      </c>
    </row>
    <row r="819" spans="1:7" x14ac:dyDescent="0.25">
      <c r="A819">
        <v>1.26</v>
      </c>
      <c r="B819">
        <v>3.57</v>
      </c>
      <c r="C819" t="str">
        <f>CONCATENATE(Таблица258[[#This Row],[Столбец1]],Таблица258[[#This Row],[Столбец2]])</f>
        <v>1,263,57</v>
      </c>
      <c r="E819">
        <v>1.28</v>
      </c>
      <c r="F819">
        <v>3.57</v>
      </c>
      <c r="G819" t="str">
        <f>CONCATENATE(Таблица271[[#This Row],[Столбец1]],Таблица271[[#This Row],[Столбец2]])</f>
        <v>1,283,57</v>
      </c>
    </row>
    <row r="820" spans="1:7" x14ac:dyDescent="0.25">
      <c r="A820">
        <v>1.26</v>
      </c>
      <c r="B820">
        <v>3.57</v>
      </c>
      <c r="C820" t="str">
        <f>CONCATENATE(Таблица258[[#This Row],[Столбец1]],Таблица258[[#This Row],[Столбец2]])</f>
        <v>1,263,57</v>
      </c>
      <c r="E820">
        <v>1.28</v>
      </c>
      <c r="F820">
        <v>3.57</v>
      </c>
      <c r="G820" t="str">
        <f>CONCATENATE(Таблица271[[#This Row],[Столбец1]],Таблица271[[#This Row],[Столбец2]])</f>
        <v>1,283,57</v>
      </c>
    </row>
    <row r="821" spans="1:7" x14ac:dyDescent="0.25">
      <c r="A821">
        <v>1.26</v>
      </c>
      <c r="B821">
        <v>3.57</v>
      </c>
      <c r="C821" t="str">
        <f>CONCATENATE(Таблица258[[#This Row],[Столбец1]],Таблица258[[#This Row],[Столбец2]])</f>
        <v>1,263,57</v>
      </c>
      <c r="E821">
        <v>1.29</v>
      </c>
      <c r="F821">
        <v>3.57</v>
      </c>
      <c r="G821" t="str">
        <f>CONCATENATE(Таблица271[[#This Row],[Столбец1]],Таблица271[[#This Row],[Столбец2]])</f>
        <v>1,293,57</v>
      </c>
    </row>
    <row r="822" spans="1:7" x14ac:dyDescent="0.25">
      <c r="A822">
        <v>1.27</v>
      </c>
      <c r="B822">
        <v>3.57</v>
      </c>
      <c r="C822" t="str">
        <f>CONCATENATE(Таблица258[[#This Row],[Столбец1]],Таблица258[[#This Row],[Столбец2]])</f>
        <v>1,273,57</v>
      </c>
      <c r="E822">
        <v>1.29</v>
      </c>
      <c r="F822">
        <v>3.57</v>
      </c>
      <c r="G822" t="str">
        <f>CONCATENATE(Таблица271[[#This Row],[Столбец1]],Таблица271[[#This Row],[Столбец2]])</f>
        <v>1,293,57</v>
      </c>
    </row>
    <row r="823" spans="1:7" x14ac:dyDescent="0.25">
      <c r="A823">
        <v>1.27</v>
      </c>
      <c r="B823">
        <v>3.57</v>
      </c>
      <c r="C823" t="str">
        <f>CONCATENATE(Таблица258[[#This Row],[Столбец1]],Таблица258[[#This Row],[Столбец2]])</f>
        <v>1,273,57</v>
      </c>
      <c r="E823">
        <v>1.29</v>
      </c>
      <c r="F823">
        <v>3.57</v>
      </c>
      <c r="G823" t="str">
        <f>CONCATENATE(Таблица271[[#This Row],[Столбец1]],Таблица271[[#This Row],[Столбец2]])</f>
        <v>1,293,57</v>
      </c>
    </row>
    <row r="824" spans="1:7" x14ac:dyDescent="0.25">
      <c r="A824">
        <v>1.27</v>
      </c>
      <c r="B824">
        <v>3.57</v>
      </c>
      <c r="C824" t="str">
        <f>CONCATENATE(Таблица258[[#This Row],[Столбец1]],Таблица258[[#This Row],[Столбец2]])</f>
        <v>1,273,57</v>
      </c>
      <c r="E824">
        <v>1.29</v>
      </c>
      <c r="F824">
        <v>3.57</v>
      </c>
      <c r="G824" t="str">
        <f>CONCATENATE(Таблица271[[#This Row],[Столбец1]],Таблица271[[#This Row],[Столбец2]])</f>
        <v>1,293,57</v>
      </c>
    </row>
    <row r="825" spans="1:7" x14ac:dyDescent="0.25">
      <c r="A825">
        <v>1.27</v>
      </c>
      <c r="B825">
        <v>3.57</v>
      </c>
      <c r="C825" t="str">
        <f>CONCATENATE(Таблица258[[#This Row],[Столбец1]],Таблица258[[#This Row],[Столбец2]])</f>
        <v>1,273,57</v>
      </c>
      <c r="E825">
        <v>1.29</v>
      </c>
      <c r="F825">
        <v>3.57</v>
      </c>
      <c r="G825" t="str">
        <f>CONCATENATE(Таблица271[[#This Row],[Столбец1]],Таблица271[[#This Row],[Столбец2]])</f>
        <v>1,293,57</v>
      </c>
    </row>
    <row r="826" spans="1:7" x14ac:dyDescent="0.25">
      <c r="A826">
        <v>1.27</v>
      </c>
      <c r="B826">
        <v>3.57</v>
      </c>
      <c r="C826" t="str">
        <f>CONCATENATE(Таблица258[[#This Row],[Столбец1]],Таблица258[[#This Row],[Столбец2]])</f>
        <v>1,273,57</v>
      </c>
      <c r="E826">
        <v>1.29</v>
      </c>
      <c r="F826">
        <v>3.57</v>
      </c>
      <c r="G826" t="str">
        <f>CONCATENATE(Таблица271[[#This Row],[Столбец1]],Таблица271[[#This Row],[Столбец2]])</f>
        <v>1,293,57</v>
      </c>
    </row>
    <row r="827" spans="1:7" x14ac:dyDescent="0.25">
      <c r="A827">
        <v>1.27</v>
      </c>
      <c r="B827">
        <v>3.57</v>
      </c>
      <c r="C827" t="str">
        <f>CONCATENATE(Таблица258[[#This Row],[Столбец1]],Таблица258[[#This Row],[Столбец2]])</f>
        <v>1,273,57</v>
      </c>
      <c r="E827">
        <v>1.29</v>
      </c>
      <c r="F827">
        <v>3.57</v>
      </c>
      <c r="G827" t="str">
        <f>CONCATENATE(Таблица271[[#This Row],[Столбец1]],Таблица271[[#This Row],[Столбец2]])</f>
        <v>1,293,57</v>
      </c>
    </row>
    <row r="828" spans="1:7" x14ac:dyDescent="0.25">
      <c r="A828">
        <v>1.28</v>
      </c>
      <c r="B828">
        <v>3.57</v>
      </c>
      <c r="C828" t="str">
        <f>CONCATENATE(Таблица258[[#This Row],[Столбец1]],Таблица258[[#This Row],[Столбец2]])</f>
        <v>1,283,57</v>
      </c>
      <c r="E828">
        <v>1.3</v>
      </c>
      <c r="F828">
        <v>3.57</v>
      </c>
      <c r="G828" t="str">
        <f>CONCATENATE(Таблица271[[#This Row],[Столбец1]],Таблица271[[#This Row],[Столбец2]])</f>
        <v>1,33,57</v>
      </c>
    </row>
    <row r="829" spans="1:7" x14ac:dyDescent="0.25">
      <c r="A829">
        <v>1.28</v>
      </c>
      <c r="B829">
        <v>3.57</v>
      </c>
      <c r="C829" t="str">
        <f>CONCATENATE(Таблица258[[#This Row],[Столбец1]],Таблица258[[#This Row],[Столбец2]])</f>
        <v>1,283,57</v>
      </c>
      <c r="E829">
        <v>1.3</v>
      </c>
      <c r="F829">
        <v>3.57</v>
      </c>
      <c r="G829" t="str">
        <f>CONCATENATE(Таблица271[[#This Row],[Столбец1]],Таблица271[[#This Row],[Столбец2]])</f>
        <v>1,33,57</v>
      </c>
    </row>
    <row r="830" spans="1:7" x14ac:dyDescent="0.25">
      <c r="A830">
        <v>1.28</v>
      </c>
      <c r="B830">
        <v>3.57</v>
      </c>
      <c r="C830" t="str">
        <f>CONCATENATE(Таблица258[[#This Row],[Столбец1]],Таблица258[[#This Row],[Столбец2]])</f>
        <v>1,283,57</v>
      </c>
      <c r="E830">
        <v>1.3</v>
      </c>
      <c r="F830">
        <v>3.57</v>
      </c>
      <c r="G830" t="str">
        <f>CONCATENATE(Таблица271[[#This Row],[Столбец1]],Таблица271[[#This Row],[Столбец2]])</f>
        <v>1,33,57</v>
      </c>
    </row>
    <row r="831" spans="1:7" x14ac:dyDescent="0.25">
      <c r="A831">
        <v>1.28</v>
      </c>
      <c r="B831">
        <v>3.57</v>
      </c>
      <c r="C831" t="str">
        <f>CONCATENATE(Таблица258[[#This Row],[Столбец1]],Таблица258[[#This Row],[Столбец2]])</f>
        <v>1,283,57</v>
      </c>
      <c r="E831">
        <v>1.3</v>
      </c>
      <c r="F831">
        <v>3.57</v>
      </c>
      <c r="G831" t="str">
        <f>CONCATENATE(Таблица271[[#This Row],[Столбец1]],Таблица271[[#This Row],[Столбец2]])</f>
        <v>1,33,57</v>
      </c>
    </row>
    <row r="832" spans="1:7" x14ac:dyDescent="0.25">
      <c r="A832">
        <v>1.28</v>
      </c>
      <c r="B832">
        <v>3.57</v>
      </c>
      <c r="C832" t="str">
        <f>CONCATENATE(Таблица258[[#This Row],[Столбец1]],Таблица258[[#This Row],[Столбец2]])</f>
        <v>1,283,57</v>
      </c>
      <c r="E832">
        <v>1.3</v>
      </c>
      <c r="F832">
        <v>3.57</v>
      </c>
      <c r="G832" t="str">
        <f>CONCATENATE(Таблица271[[#This Row],[Столбец1]],Таблица271[[#This Row],[Столбец2]])</f>
        <v>1,33,57</v>
      </c>
    </row>
    <row r="833" spans="1:7" x14ac:dyDescent="0.25">
      <c r="A833">
        <v>1.28</v>
      </c>
      <c r="B833">
        <v>3.57</v>
      </c>
      <c r="C833" t="str">
        <f>CONCATENATE(Таблица258[[#This Row],[Столбец1]],Таблица258[[#This Row],[Столбец2]])</f>
        <v>1,283,57</v>
      </c>
      <c r="E833">
        <v>1.3</v>
      </c>
      <c r="F833">
        <v>3.57</v>
      </c>
      <c r="G833" t="str">
        <f>CONCATENATE(Таблица271[[#This Row],[Столбец1]],Таблица271[[#This Row],[Столбец2]])</f>
        <v>1,33,57</v>
      </c>
    </row>
    <row r="834" spans="1:7" x14ac:dyDescent="0.25">
      <c r="A834">
        <v>1.29</v>
      </c>
      <c r="B834">
        <v>3.57</v>
      </c>
      <c r="C834" t="str">
        <f>CONCATENATE(Таблица258[[#This Row],[Столбец1]],Таблица258[[#This Row],[Столбец2]])</f>
        <v>1,293,57</v>
      </c>
      <c r="E834">
        <v>1.3</v>
      </c>
      <c r="F834">
        <v>3.57</v>
      </c>
      <c r="G834" t="str">
        <f>CONCATENATE(Таблица271[[#This Row],[Столбец1]],Таблица271[[#This Row],[Столбец2]])</f>
        <v>1,33,57</v>
      </c>
    </row>
    <row r="835" spans="1:7" x14ac:dyDescent="0.25">
      <c r="A835">
        <v>1.29</v>
      </c>
      <c r="B835">
        <v>3.57</v>
      </c>
      <c r="C835" t="str">
        <f>CONCATENATE(Таблица258[[#This Row],[Столбец1]],Таблица258[[#This Row],[Столбец2]])</f>
        <v>1,293,57</v>
      </c>
      <c r="E835">
        <v>1.31</v>
      </c>
      <c r="F835">
        <v>3.57</v>
      </c>
      <c r="G835" t="str">
        <f>CONCATENATE(Таблица271[[#This Row],[Столбец1]],Таблица271[[#This Row],[Столбец2]])</f>
        <v>1,313,57</v>
      </c>
    </row>
    <row r="836" spans="1:7" x14ac:dyDescent="0.25">
      <c r="A836">
        <v>1.29</v>
      </c>
      <c r="B836">
        <v>3.57</v>
      </c>
      <c r="C836" t="str">
        <f>CONCATENATE(Таблица258[[#This Row],[Столбец1]],Таблица258[[#This Row],[Столбец2]])</f>
        <v>1,293,57</v>
      </c>
      <c r="E836">
        <v>1.31</v>
      </c>
      <c r="F836">
        <v>3.57</v>
      </c>
      <c r="G836" t="str">
        <f>CONCATENATE(Таблица271[[#This Row],[Столбец1]],Таблица271[[#This Row],[Столбец2]])</f>
        <v>1,313,57</v>
      </c>
    </row>
    <row r="837" spans="1:7" x14ac:dyDescent="0.25">
      <c r="A837">
        <v>1.29</v>
      </c>
      <c r="B837">
        <v>3.57</v>
      </c>
      <c r="C837" t="str">
        <f>CONCATENATE(Таблица258[[#This Row],[Столбец1]],Таблица258[[#This Row],[Столбец2]])</f>
        <v>1,293,57</v>
      </c>
      <c r="E837">
        <v>1.31</v>
      </c>
      <c r="F837">
        <v>3.57</v>
      </c>
      <c r="G837" t="str">
        <f>CONCATENATE(Таблица271[[#This Row],[Столбец1]],Таблица271[[#This Row],[Столбец2]])</f>
        <v>1,313,57</v>
      </c>
    </row>
    <row r="838" spans="1:7" x14ac:dyDescent="0.25">
      <c r="A838">
        <v>1.29</v>
      </c>
      <c r="B838">
        <v>3.57</v>
      </c>
      <c r="C838" t="str">
        <f>CONCATENATE(Таблица258[[#This Row],[Столбец1]],Таблица258[[#This Row],[Столбец2]])</f>
        <v>1,293,57</v>
      </c>
      <c r="E838">
        <v>1.31</v>
      </c>
      <c r="F838">
        <v>3.57</v>
      </c>
      <c r="G838" t="str">
        <f>CONCATENATE(Таблица271[[#This Row],[Столбец1]],Таблица271[[#This Row],[Столбец2]])</f>
        <v>1,313,57</v>
      </c>
    </row>
    <row r="839" spans="1:7" x14ac:dyDescent="0.25">
      <c r="A839">
        <v>1.29</v>
      </c>
      <c r="B839">
        <v>3.57</v>
      </c>
      <c r="C839" t="str">
        <f>CONCATENATE(Таблица258[[#This Row],[Столбец1]],Таблица258[[#This Row],[Столбец2]])</f>
        <v>1,293,57</v>
      </c>
      <c r="E839">
        <v>1.31</v>
      </c>
      <c r="F839">
        <v>3.57</v>
      </c>
      <c r="G839" t="str">
        <f>CONCATENATE(Таблица271[[#This Row],[Столбец1]],Таблица271[[#This Row],[Столбец2]])</f>
        <v>1,313,57</v>
      </c>
    </row>
    <row r="840" spans="1:7" x14ac:dyDescent="0.25">
      <c r="A840">
        <v>1.3</v>
      </c>
      <c r="B840">
        <v>3.57</v>
      </c>
      <c r="C840" t="str">
        <f>CONCATENATE(Таблица258[[#This Row],[Столбец1]],Таблица258[[#This Row],[Столбец2]])</f>
        <v>1,33,57</v>
      </c>
      <c r="E840">
        <v>1.31</v>
      </c>
      <c r="F840">
        <v>3.57</v>
      </c>
      <c r="G840" t="str">
        <f>CONCATENATE(Таблица271[[#This Row],[Столбец1]],Таблица271[[#This Row],[Столбец2]])</f>
        <v>1,313,57</v>
      </c>
    </row>
    <row r="841" spans="1:7" x14ac:dyDescent="0.25">
      <c r="A841">
        <v>1.3</v>
      </c>
      <c r="B841">
        <v>3.57</v>
      </c>
      <c r="C841" t="str">
        <f>CONCATENATE(Таблица258[[#This Row],[Столбец1]],Таблица258[[#This Row],[Столбец2]])</f>
        <v>1,33,57</v>
      </c>
      <c r="E841">
        <v>1.31</v>
      </c>
      <c r="F841">
        <v>3.57</v>
      </c>
      <c r="G841" t="str">
        <f>CONCATENATE(Таблица271[[#This Row],[Столбец1]],Таблица271[[#This Row],[Столбец2]])</f>
        <v>1,313,57</v>
      </c>
    </row>
    <row r="842" spans="1:7" x14ac:dyDescent="0.25">
      <c r="A842">
        <v>1.3</v>
      </c>
      <c r="B842">
        <v>3.57</v>
      </c>
      <c r="C842" t="str">
        <f>CONCATENATE(Таблица258[[#This Row],[Столбец1]],Таблица258[[#This Row],[Столбец2]])</f>
        <v>1,33,57</v>
      </c>
      <c r="E842">
        <v>1.32</v>
      </c>
      <c r="F842">
        <v>3.57</v>
      </c>
      <c r="G842" t="str">
        <f>CONCATENATE(Таблица271[[#This Row],[Столбец1]],Таблица271[[#This Row],[Столбец2]])</f>
        <v>1,323,57</v>
      </c>
    </row>
    <row r="843" spans="1:7" x14ac:dyDescent="0.25">
      <c r="A843">
        <v>1.3</v>
      </c>
      <c r="B843">
        <v>3.57</v>
      </c>
      <c r="C843" t="str">
        <f>CONCATENATE(Таблица258[[#This Row],[Столбец1]],Таблица258[[#This Row],[Столбец2]])</f>
        <v>1,33,57</v>
      </c>
      <c r="E843">
        <v>1.32</v>
      </c>
      <c r="F843">
        <v>3.57</v>
      </c>
      <c r="G843" t="str">
        <f>CONCATENATE(Таблица271[[#This Row],[Столбец1]],Таблица271[[#This Row],[Столбец2]])</f>
        <v>1,323,57</v>
      </c>
    </row>
    <row r="844" spans="1:7" x14ac:dyDescent="0.25">
      <c r="A844">
        <v>1.3</v>
      </c>
      <c r="B844">
        <v>3.57</v>
      </c>
      <c r="C844" t="str">
        <f>CONCATENATE(Таблица258[[#This Row],[Столбец1]],Таблица258[[#This Row],[Столбец2]])</f>
        <v>1,33,57</v>
      </c>
      <c r="E844">
        <v>1.32</v>
      </c>
      <c r="F844">
        <v>3.57</v>
      </c>
      <c r="G844" t="str">
        <f>CONCATENATE(Таблица271[[#This Row],[Столбец1]],Таблица271[[#This Row],[Столбец2]])</f>
        <v>1,323,57</v>
      </c>
    </row>
    <row r="845" spans="1:7" x14ac:dyDescent="0.25">
      <c r="A845">
        <v>1.3</v>
      </c>
      <c r="B845">
        <v>3.57</v>
      </c>
      <c r="C845" t="str">
        <f>CONCATENATE(Таблица258[[#This Row],[Столбец1]],Таблица258[[#This Row],[Столбец2]])</f>
        <v>1,33,57</v>
      </c>
      <c r="E845">
        <v>1.32</v>
      </c>
      <c r="F845">
        <v>3.57</v>
      </c>
      <c r="G845" t="str">
        <f>CONCATENATE(Таблица271[[#This Row],[Столбец1]],Таблица271[[#This Row],[Столбец2]])</f>
        <v>1,323,57</v>
      </c>
    </row>
    <row r="846" spans="1:7" x14ac:dyDescent="0.25">
      <c r="A846">
        <v>1.31</v>
      </c>
      <c r="B846">
        <v>3.57</v>
      </c>
      <c r="C846" t="str">
        <f>CONCATENATE(Таблица258[[#This Row],[Столбец1]],Таблица258[[#This Row],[Столбец2]])</f>
        <v>1,313,57</v>
      </c>
      <c r="E846">
        <v>1.32</v>
      </c>
      <c r="F846">
        <v>3.57</v>
      </c>
      <c r="G846" t="str">
        <f>CONCATENATE(Таблица271[[#This Row],[Столбец1]],Таблица271[[#This Row],[Столбец2]])</f>
        <v>1,323,57</v>
      </c>
    </row>
    <row r="847" spans="1:7" x14ac:dyDescent="0.25">
      <c r="A847">
        <v>1.31</v>
      </c>
      <c r="B847">
        <v>3.57</v>
      </c>
      <c r="C847" t="str">
        <f>CONCATENATE(Таблица258[[#This Row],[Столбец1]],Таблица258[[#This Row],[Столбец2]])</f>
        <v>1,313,57</v>
      </c>
      <c r="E847">
        <v>1.32</v>
      </c>
      <c r="F847">
        <v>3.57</v>
      </c>
      <c r="G847" t="str">
        <f>CONCATENATE(Таблица271[[#This Row],[Столбец1]],Таблица271[[#This Row],[Столбец2]])</f>
        <v>1,323,57</v>
      </c>
    </row>
    <row r="848" spans="1:7" x14ac:dyDescent="0.25">
      <c r="A848">
        <v>1.31</v>
      </c>
      <c r="B848">
        <v>3.57</v>
      </c>
      <c r="C848" t="str">
        <f>CONCATENATE(Таблица258[[#This Row],[Столбец1]],Таблица258[[#This Row],[Столбец2]])</f>
        <v>1,313,57</v>
      </c>
      <c r="E848">
        <v>1.32</v>
      </c>
      <c r="F848">
        <v>3.57</v>
      </c>
      <c r="G848" t="str">
        <f>CONCATENATE(Таблица271[[#This Row],[Столбец1]],Таблица271[[#This Row],[Столбец2]])</f>
        <v>1,323,57</v>
      </c>
    </row>
    <row r="849" spans="1:7" x14ac:dyDescent="0.25">
      <c r="A849">
        <v>1.31</v>
      </c>
      <c r="B849">
        <v>3.57</v>
      </c>
      <c r="C849" t="str">
        <f>CONCATENATE(Таблица258[[#This Row],[Столбец1]],Таблица258[[#This Row],[Столбец2]])</f>
        <v>1,313,57</v>
      </c>
      <c r="E849">
        <v>1.33</v>
      </c>
      <c r="F849">
        <v>3.57</v>
      </c>
      <c r="G849" t="str">
        <f>CONCATENATE(Таблица271[[#This Row],[Столбец1]],Таблица271[[#This Row],[Столбец2]])</f>
        <v>1,333,57</v>
      </c>
    </row>
    <row r="850" spans="1:7" x14ac:dyDescent="0.25">
      <c r="A850">
        <v>1.31</v>
      </c>
      <c r="B850">
        <v>3.57</v>
      </c>
      <c r="C850" t="str">
        <f>CONCATENATE(Таблица258[[#This Row],[Столбец1]],Таблица258[[#This Row],[Столбец2]])</f>
        <v>1,313,57</v>
      </c>
      <c r="E850">
        <v>1.33</v>
      </c>
      <c r="F850">
        <v>3.57</v>
      </c>
      <c r="G850" t="str">
        <f>CONCATENATE(Таблица271[[#This Row],[Столбец1]],Таблица271[[#This Row],[Столбец2]])</f>
        <v>1,333,57</v>
      </c>
    </row>
    <row r="851" spans="1:7" x14ac:dyDescent="0.25">
      <c r="A851">
        <v>1.31</v>
      </c>
      <c r="B851">
        <v>3.57</v>
      </c>
      <c r="C851" t="str">
        <f>CONCATENATE(Таблица258[[#This Row],[Столбец1]],Таблица258[[#This Row],[Столбец2]])</f>
        <v>1,313,57</v>
      </c>
      <c r="E851">
        <v>1.33</v>
      </c>
      <c r="F851">
        <v>3.57</v>
      </c>
      <c r="G851" t="str">
        <f>CONCATENATE(Таблица271[[#This Row],[Столбец1]],Таблица271[[#This Row],[Столбец2]])</f>
        <v>1,333,57</v>
      </c>
    </row>
    <row r="852" spans="1:7" x14ac:dyDescent="0.25">
      <c r="A852">
        <v>1.32</v>
      </c>
      <c r="B852">
        <v>3.57</v>
      </c>
      <c r="C852" t="str">
        <f>CONCATENATE(Таблица258[[#This Row],[Столбец1]],Таблица258[[#This Row],[Столбец2]])</f>
        <v>1,323,57</v>
      </c>
      <c r="E852">
        <v>1.33</v>
      </c>
      <c r="F852">
        <v>3.57</v>
      </c>
      <c r="G852" t="str">
        <f>CONCATENATE(Таблица271[[#This Row],[Столбец1]],Таблица271[[#This Row],[Столбец2]])</f>
        <v>1,333,57</v>
      </c>
    </row>
    <row r="853" spans="1:7" x14ac:dyDescent="0.25">
      <c r="A853">
        <v>1.32</v>
      </c>
      <c r="B853">
        <v>3.57</v>
      </c>
      <c r="C853" t="str">
        <f>CONCATENATE(Таблица258[[#This Row],[Столбец1]],Таблица258[[#This Row],[Столбец2]])</f>
        <v>1,323,57</v>
      </c>
      <c r="E853">
        <v>1.33</v>
      </c>
      <c r="F853">
        <v>3.57</v>
      </c>
      <c r="G853" t="str">
        <f>CONCATENATE(Таблица271[[#This Row],[Столбец1]],Таблица271[[#This Row],[Столбец2]])</f>
        <v>1,333,57</v>
      </c>
    </row>
    <row r="854" spans="1:7" x14ac:dyDescent="0.25">
      <c r="A854">
        <v>1.32</v>
      </c>
      <c r="B854">
        <v>3.57</v>
      </c>
      <c r="C854" t="str">
        <f>CONCATENATE(Таблица258[[#This Row],[Столбец1]],Таблица258[[#This Row],[Столбец2]])</f>
        <v>1,323,57</v>
      </c>
      <c r="E854">
        <v>1.33</v>
      </c>
      <c r="F854">
        <v>3.57</v>
      </c>
      <c r="G854" t="str">
        <f>CONCATENATE(Таблица271[[#This Row],[Столбец1]],Таблица271[[#This Row],[Столбец2]])</f>
        <v>1,333,57</v>
      </c>
    </row>
    <row r="855" spans="1:7" x14ac:dyDescent="0.25">
      <c r="A855">
        <v>1.32</v>
      </c>
      <c r="B855">
        <v>3.57</v>
      </c>
      <c r="C855" t="str">
        <f>CONCATENATE(Таблица258[[#This Row],[Столбец1]],Таблица258[[#This Row],[Столбец2]])</f>
        <v>1,323,57</v>
      </c>
      <c r="E855">
        <v>1.33</v>
      </c>
      <c r="F855">
        <v>3.57</v>
      </c>
      <c r="G855" t="str">
        <f>CONCATENATE(Таблица271[[#This Row],[Столбец1]],Таблица271[[#This Row],[Столбец2]])</f>
        <v>1,333,57</v>
      </c>
    </row>
    <row r="856" spans="1:7" x14ac:dyDescent="0.25">
      <c r="A856">
        <v>1.32</v>
      </c>
      <c r="B856">
        <v>3.57</v>
      </c>
      <c r="C856" t="str">
        <f>CONCATENATE(Таблица258[[#This Row],[Столбец1]],Таблица258[[#This Row],[Столбец2]])</f>
        <v>1,323,57</v>
      </c>
      <c r="E856">
        <v>1.34</v>
      </c>
      <c r="F856">
        <v>3.57</v>
      </c>
      <c r="G856" t="str">
        <f>CONCATENATE(Таблица271[[#This Row],[Столбец1]],Таблица271[[#This Row],[Столбец2]])</f>
        <v>1,343,57</v>
      </c>
    </row>
    <row r="857" spans="1:7" x14ac:dyDescent="0.25">
      <c r="A857">
        <v>1.32</v>
      </c>
      <c r="B857">
        <v>3.57</v>
      </c>
      <c r="C857" t="str">
        <f>CONCATENATE(Таблица258[[#This Row],[Столбец1]],Таблица258[[#This Row],[Столбец2]])</f>
        <v>1,323,57</v>
      </c>
      <c r="E857">
        <v>1.34</v>
      </c>
      <c r="F857">
        <v>3.57</v>
      </c>
      <c r="G857" t="str">
        <f>CONCATENATE(Таблица271[[#This Row],[Столбец1]],Таблица271[[#This Row],[Столбец2]])</f>
        <v>1,343,57</v>
      </c>
    </row>
    <row r="858" spans="1:7" x14ac:dyDescent="0.25">
      <c r="A858">
        <v>1.33</v>
      </c>
      <c r="B858">
        <v>3.57</v>
      </c>
      <c r="C858" t="str">
        <f>CONCATENATE(Таблица258[[#This Row],[Столбец1]],Таблица258[[#This Row],[Столбец2]])</f>
        <v>1,333,57</v>
      </c>
      <c r="E858">
        <v>1.34</v>
      </c>
      <c r="F858">
        <v>3.57</v>
      </c>
      <c r="G858" t="str">
        <f>CONCATENATE(Таблица271[[#This Row],[Столбец1]],Таблица271[[#This Row],[Столбец2]])</f>
        <v>1,343,57</v>
      </c>
    </row>
    <row r="859" spans="1:7" x14ac:dyDescent="0.25">
      <c r="A859">
        <v>1.33</v>
      </c>
      <c r="B859">
        <v>3.57</v>
      </c>
      <c r="C859" t="str">
        <f>CONCATENATE(Таблица258[[#This Row],[Столбец1]],Таблица258[[#This Row],[Столбец2]])</f>
        <v>1,333,57</v>
      </c>
      <c r="E859">
        <v>1.34</v>
      </c>
      <c r="F859">
        <v>3.57</v>
      </c>
      <c r="G859" t="str">
        <f>CONCATENATE(Таблица271[[#This Row],[Столбец1]],Таблица271[[#This Row],[Столбец2]])</f>
        <v>1,343,57</v>
      </c>
    </row>
    <row r="860" spans="1:7" x14ac:dyDescent="0.25">
      <c r="A860">
        <v>1.33</v>
      </c>
      <c r="B860">
        <v>3.57</v>
      </c>
      <c r="C860" t="str">
        <f>CONCATENATE(Таблица258[[#This Row],[Столбец1]],Таблица258[[#This Row],[Столбец2]])</f>
        <v>1,333,57</v>
      </c>
      <c r="E860">
        <v>1.34</v>
      </c>
      <c r="F860">
        <v>3.57</v>
      </c>
      <c r="G860" t="str">
        <f>CONCATENATE(Таблица271[[#This Row],[Столбец1]],Таблица271[[#This Row],[Столбец2]])</f>
        <v>1,343,57</v>
      </c>
    </row>
    <row r="861" spans="1:7" x14ac:dyDescent="0.25">
      <c r="A861">
        <v>1.33</v>
      </c>
      <c r="B861">
        <v>3.57</v>
      </c>
      <c r="C861" t="str">
        <f>CONCATENATE(Таблица258[[#This Row],[Столбец1]],Таблица258[[#This Row],[Столбец2]])</f>
        <v>1,333,57</v>
      </c>
      <c r="E861">
        <v>1.34</v>
      </c>
      <c r="F861">
        <v>3.57</v>
      </c>
      <c r="G861" t="str">
        <f>CONCATENATE(Таблица271[[#This Row],[Столбец1]],Таблица271[[#This Row],[Столбец2]])</f>
        <v>1,343,57</v>
      </c>
    </row>
    <row r="862" spans="1:7" x14ac:dyDescent="0.25">
      <c r="A862">
        <v>1.33</v>
      </c>
      <c r="B862">
        <v>3.57</v>
      </c>
      <c r="C862" t="str">
        <f>CONCATENATE(Таблица258[[#This Row],[Столбец1]],Таблица258[[#This Row],[Столбец2]])</f>
        <v>1,333,57</v>
      </c>
      <c r="E862">
        <v>1.34</v>
      </c>
      <c r="F862">
        <v>3.57</v>
      </c>
      <c r="G862" t="str">
        <f>CONCATENATE(Таблица271[[#This Row],[Столбец1]],Таблица271[[#This Row],[Столбец2]])</f>
        <v>1,343,57</v>
      </c>
    </row>
    <row r="863" spans="1:7" x14ac:dyDescent="0.25">
      <c r="A863">
        <v>1.33</v>
      </c>
      <c r="B863">
        <v>3.57</v>
      </c>
      <c r="C863" t="str">
        <f>CONCATENATE(Таблица258[[#This Row],[Столбец1]],Таблица258[[#This Row],[Столбец2]])</f>
        <v>1,333,57</v>
      </c>
      <c r="E863">
        <v>1.35</v>
      </c>
      <c r="F863">
        <v>3.57</v>
      </c>
      <c r="G863" t="str">
        <f>CONCATENATE(Таблица271[[#This Row],[Столбец1]],Таблица271[[#This Row],[Столбец2]])</f>
        <v>1,353,57</v>
      </c>
    </row>
    <row r="864" spans="1:7" x14ac:dyDescent="0.25">
      <c r="A864">
        <v>1.34</v>
      </c>
      <c r="B864">
        <v>3.57</v>
      </c>
      <c r="C864" t="str">
        <f>CONCATENATE(Таблица258[[#This Row],[Столбец1]],Таблица258[[#This Row],[Столбец2]])</f>
        <v>1,343,57</v>
      </c>
      <c r="E864">
        <v>1.35</v>
      </c>
      <c r="F864">
        <v>3.57</v>
      </c>
      <c r="G864" t="str">
        <f>CONCATENATE(Таблица271[[#This Row],[Столбец1]],Таблица271[[#This Row],[Столбец2]])</f>
        <v>1,353,57</v>
      </c>
    </row>
    <row r="865" spans="1:7" x14ac:dyDescent="0.25">
      <c r="A865">
        <v>1.34</v>
      </c>
      <c r="B865">
        <v>3.57</v>
      </c>
      <c r="C865" t="str">
        <f>CONCATENATE(Таблица258[[#This Row],[Столбец1]],Таблица258[[#This Row],[Столбец2]])</f>
        <v>1,343,57</v>
      </c>
      <c r="E865">
        <v>1.35</v>
      </c>
      <c r="F865">
        <v>3.57</v>
      </c>
      <c r="G865" t="str">
        <f>CONCATENATE(Таблица271[[#This Row],[Столбец1]],Таблица271[[#This Row],[Столбец2]])</f>
        <v>1,353,57</v>
      </c>
    </row>
    <row r="866" spans="1:7" x14ac:dyDescent="0.25">
      <c r="A866">
        <v>1.34</v>
      </c>
      <c r="B866">
        <v>3.57</v>
      </c>
      <c r="C866" t="str">
        <f>CONCATENATE(Таблица258[[#This Row],[Столбец1]],Таблица258[[#This Row],[Столбец2]])</f>
        <v>1,343,57</v>
      </c>
      <c r="E866">
        <v>1.35</v>
      </c>
      <c r="F866">
        <v>3.57</v>
      </c>
      <c r="G866" t="str">
        <f>CONCATENATE(Таблица271[[#This Row],[Столбец1]],Таблица271[[#This Row],[Столбец2]])</f>
        <v>1,353,57</v>
      </c>
    </row>
    <row r="867" spans="1:7" x14ac:dyDescent="0.25">
      <c r="A867">
        <v>1.34</v>
      </c>
      <c r="B867">
        <v>3.57</v>
      </c>
      <c r="C867" t="str">
        <f>CONCATENATE(Таблица258[[#This Row],[Столбец1]],Таблица258[[#This Row],[Столбец2]])</f>
        <v>1,343,57</v>
      </c>
      <c r="E867">
        <v>1.35</v>
      </c>
      <c r="F867">
        <v>3.57</v>
      </c>
      <c r="G867" t="str">
        <f>CONCATENATE(Таблица271[[#This Row],[Столбец1]],Таблица271[[#This Row],[Столбец2]])</f>
        <v>1,353,57</v>
      </c>
    </row>
    <row r="868" spans="1:7" x14ac:dyDescent="0.25">
      <c r="A868">
        <v>1.34</v>
      </c>
      <c r="B868">
        <v>3.57</v>
      </c>
      <c r="C868" t="str">
        <f>CONCATENATE(Таблица258[[#This Row],[Столбец1]],Таблица258[[#This Row],[Столбец2]])</f>
        <v>1,343,57</v>
      </c>
      <c r="E868">
        <v>1.35</v>
      </c>
      <c r="F868">
        <v>3.57</v>
      </c>
      <c r="G868" t="str">
        <f>CONCATENATE(Таблица271[[#This Row],[Столбец1]],Таблица271[[#This Row],[Столбец2]])</f>
        <v>1,353,57</v>
      </c>
    </row>
    <row r="869" spans="1:7" x14ac:dyDescent="0.25">
      <c r="A869">
        <v>1.34</v>
      </c>
      <c r="B869">
        <v>3.57</v>
      </c>
      <c r="C869" t="str">
        <f>CONCATENATE(Таблица258[[#This Row],[Столбец1]],Таблица258[[#This Row],[Столбец2]])</f>
        <v>1,343,57</v>
      </c>
      <c r="E869">
        <v>1.35</v>
      </c>
      <c r="F869">
        <v>3.57</v>
      </c>
      <c r="G869" t="str">
        <f>CONCATENATE(Таблица271[[#This Row],[Столбец1]],Таблица271[[#This Row],[Столбец2]])</f>
        <v>1,353,57</v>
      </c>
    </row>
    <row r="870" spans="1:7" x14ac:dyDescent="0.25">
      <c r="A870">
        <v>1.35</v>
      </c>
      <c r="B870">
        <v>3.57</v>
      </c>
      <c r="C870" t="str">
        <f>CONCATENATE(Таблица258[[#This Row],[Столбец1]],Таблица258[[#This Row],[Столбец2]])</f>
        <v>1,353,57</v>
      </c>
      <c r="E870">
        <v>1.36</v>
      </c>
      <c r="F870">
        <v>3.57</v>
      </c>
      <c r="G870" t="str">
        <f>CONCATENATE(Таблица271[[#This Row],[Столбец1]],Таблица271[[#This Row],[Столбец2]])</f>
        <v>1,363,57</v>
      </c>
    </row>
    <row r="871" spans="1:7" x14ac:dyDescent="0.25">
      <c r="A871">
        <v>1.35</v>
      </c>
      <c r="B871">
        <v>3.57</v>
      </c>
      <c r="C871" t="str">
        <f>CONCATENATE(Таблица258[[#This Row],[Столбец1]],Таблица258[[#This Row],[Столбец2]])</f>
        <v>1,353,57</v>
      </c>
      <c r="E871">
        <v>1.36</v>
      </c>
      <c r="F871">
        <v>3.57</v>
      </c>
      <c r="G871" t="str">
        <f>CONCATENATE(Таблица271[[#This Row],[Столбец1]],Таблица271[[#This Row],[Столбец2]])</f>
        <v>1,363,57</v>
      </c>
    </row>
    <row r="872" spans="1:7" x14ac:dyDescent="0.25">
      <c r="A872">
        <v>1.35</v>
      </c>
      <c r="B872">
        <v>3.57</v>
      </c>
      <c r="C872" t="str">
        <f>CONCATENATE(Таблица258[[#This Row],[Столбец1]],Таблица258[[#This Row],[Столбец2]])</f>
        <v>1,353,57</v>
      </c>
      <c r="E872">
        <v>1.36</v>
      </c>
      <c r="F872">
        <v>3.57</v>
      </c>
      <c r="G872" t="str">
        <f>CONCATENATE(Таблица271[[#This Row],[Столбец1]],Таблица271[[#This Row],[Столбец2]])</f>
        <v>1,363,57</v>
      </c>
    </row>
    <row r="873" spans="1:7" x14ac:dyDescent="0.25">
      <c r="A873">
        <v>1.35</v>
      </c>
      <c r="B873">
        <v>3.57</v>
      </c>
      <c r="C873" t="str">
        <f>CONCATENATE(Таблица258[[#This Row],[Столбец1]],Таблица258[[#This Row],[Столбец2]])</f>
        <v>1,353,57</v>
      </c>
      <c r="E873">
        <v>1.36</v>
      </c>
      <c r="F873">
        <v>3.57</v>
      </c>
      <c r="G873" t="str">
        <f>CONCATENATE(Таблица271[[#This Row],[Столбец1]],Таблица271[[#This Row],[Столбец2]])</f>
        <v>1,363,57</v>
      </c>
    </row>
    <row r="874" spans="1:7" x14ac:dyDescent="0.25">
      <c r="A874">
        <v>1.35</v>
      </c>
      <c r="B874">
        <v>3.57</v>
      </c>
      <c r="C874" t="str">
        <f>CONCATENATE(Таблица258[[#This Row],[Столбец1]],Таблица258[[#This Row],[Столбец2]])</f>
        <v>1,353,57</v>
      </c>
      <c r="E874">
        <v>1.36</v>
      </c>
      <c r="F874">
        <v>3.57</v>
      </c>
      <c r="G874" t="str">
        <f>CONCATENATE(Таблица271[[#This Row],[Столбец1]],Таблица271[[#This Row],[Столбец2]])</f>
        <v>1,363,57</v>
      </c>
    </row>
    <row r="875" spans="1:7" x14ac:dyDescent="0.25">
      <c r="A875">
        <v>1.35</v>
      </c>
      <c r="B875">
        <v>3.57</v>
      </c>
      <c r="C875" t="str">
        <f>CONCATENATE(Таблица258[[#This Row],[Столбец1]],Таблица258[[#This Row],[Столбец2]])</f>
        <v>1,353,57</v>
      </c>
      <c r="E875">
        <v>1.36</v>
      </c>
      <c r="F875">
        <v>3.57</v>
      </c>
      <c r="G875" t="str">
        <f>CONCATENATE(Таблица271[[#This Row],[Столбец1]],Таблица271[[#This Row],[Столбец2]])</f>
        <v>1,363,57</v>
      </c>
    </row>
    <row r="876" spans="1:7" x14ac:dyDescent="0.25">
      <c r="A876">
        <v>1.36</v>
      </c>
      <c r="B876">
        <v>3.57</v>
      </c>
      <c r="C876" t="str">
        <f>CONCATENATE(Таблица258[[#This Row],[Столбец1]],Таблица258[[#This Row],[Столбец2]])</f>
        <v>1,363,57</v>
      </c>
      <c r="E876">
        <v>1.36</v>
      </c>
      <c r="F876">
        <v>3.57</v>
      </c>
      <c r="G876" t="str">
        <f>CONCATENATE(Таблица271[[#This Row],[Столбец1]],Таблица271[[#This Row],[Столбец2]])</f>
        <v>1,363,57</v>
      </c>
    </row>
    <row r="877" spans="1:7" x14ac:dyDescent="0.25">
      <c r="A877">
        <v>1.36</v>
      </c>
      <c r="B877">
        <v>3.57</v>
      </c>
      <c r="C877" t="str">
        <f>CONCATENATE(Таблица258[[#This Row],[Столбец1]],Таблица258[[#This Row],[Столбец2]])</f>
        <v>1,363,57</v>
      </c>
      <c r="E877">
        <v>1.37</v>
      </c>
      <c r="F877">
        <v>3.57</v>
      </c>
      <c r="G877" t="str">
        <f>CONCATENATE(Таблица271[[#This Row],[Столбец1]],Таблица271[[#This Row],[Столбец2]])</f>
        <v>1,373,57</v>
      </c>
    </row>
    <row r="878" spans="1:7" x14ac:dyDescent="0.25">
      <c r="A878">
        <v>1.36</v>
      </c>
      <c r="B878">
        <v>3.57</v>
      </c>
      <c r="C878" t="str">
        <f>CONCATENATE(Таблица258[[#This Row],[Столбец1]],Таблица258[[#This Row],[Столбец2]])</f>
        <v>1,363,57</v>
      </c>
      <c r="E878">
        <v>1.37</v>
      </c>
      <c r="F878">
        <v>3.57</v>
      </c>
      <c r="G878" t="str">
        <f>CONCATENATE(Таблица271[[#This Row],[Столбец1]],Таблица271[[#This Row],[Столбец2]])</f>
        <v>1,373,57</v>
      </c>
    </row>
    <row r="879" spans="1:7" x14ac:dyDescent="0.25">
      <c r="A879">
        <v>1.36</v>
      </c>
      <c r="B879">
        <v>3.57</v>
      </c>
      <c r="C879" t="str">
        <f>CONCATENATE(Таблица258[[#This Row],[Столбец1]],Таблица258[[#This Row],[Столбец2]])</f>
        <v>1,363,57</v>
      </c>
      <c r="E879">
        <v>1.37</v>
      </c>
      <c r="F879">
        <v>3.57</v>
      </c>
      <c r="G879" t="str">
        <f>CONCATENATE(Таблица271[[#This Row],[Столбец1]],Таблица271[[#This Row],[Столбец2]])</f>
        <v>1,373,57</v>
      </c>
    </row>
    <row r="880" spans="1:7" x14ac:dyDescent="0.25">
      <c r="A880">
        <v>1.36</v>
      </c>
      <c r="B880">
        <v>3.57</v>
      </c>
      <c r="C880" t="str">
        <f>CONCATENATE(Таблица258[[#This Row],[Столбец1]],Таблица258[[#This Row],[Столбец2]])</f>
        <v>1,363,57</v>
      </c>
      <c r="E880">
        <v>1.37</v>
      </c>
      <c r="F880">
        <v>3.57</v>
      </c>
      <c r="G880" t="str">
        <f>CONCATENATE(Таблица271[[#This Row],[Столбец1]],Таблица271[[#This Row],[Столбец2]])</f>
        <v>1,373,57</v>
      </c>
    </row>
    <row r="881" spans="1:7" x14ac:dyDescent="0.25">
      <c r="A881">
        <v>1.36</v>
      </c>
      <c r="B881">
        <v>3.57</v>
      </c>
      <c r="C881" t="str">
        <f>CONCATENATE(Таблица258[[#This Row],[Столбец1]],Таблица258[[#This Row],[Столбец2]])</f>
        <v>1,363,57</v>
      </c>
      <c r="E881">
        <v>1.37</v>
      </c>
      <c r="F881">
        <v>3.57</v>
      </c>
      <c r="G881" t="str">
        <f>CONCATENATE(Таблица271[[#This Row],[Столбец1]],Таблица271[[#This Row],[Столбец2]])</f>
        <v>1,373,57</v>
      </c>
    </row>
    <row r="882" spans="1:7" x14ac:dyDescent="0.25">
      <c r="A882">
        <v>1.37</v>
      </c>
      <c r="B882">
        <v>3.57</v>
      </c>
      <c r="C882" t="str">
        <f>CONCATENATE(Таблица258[[#This Row],[Столбец1]],Таблица258[[#This Row],[Столбец2]])</f>
        <v>1,373,57</v>
      </c>
      <c r="E882">
        <v>1.37</v>
      </c>
      <c r="F882">
        <v>3.57</v>
      </c>
      <c r="G882" t="str">
        <f>CONCATENATE(Таблица271[[#This Row],[Столбец1]],Таблица271[[#This Row],[Столбец2]])</f>
        <v>1,373,57</v>
      </c>
    </row>
    <row r="883" spans="1:7" x14ac:dyDescent="0.25">
      <c r="A883">
        <v>1.37</v>
      </c>
      <c r="B883">
        <v>3.57</v>
      </c>
      <c r="C883" t="str">
        <f>CONCATENATE(Таблица258[[#This Row],[Столбец1]],Таблица258[[#This Row],[Столбец2]])</f>
        <v>1,373,57</v>
      </c>
      <c r="E883">
        <v>1.37</v>
      </c>
      <c r="F883">
        <v>3.57</v>
      </c>
      <c r="G883" t="str">
        <f>CONCATENATE(Таблица271[[#This Row],[Столбец1]],Таблица271[[#This Row],[Столбец2]])</f>
        <v>1,373,57</v>
      </c>
    </row>
    <row r="884" spans="1:7" x14ac:dyDescent="0.25">
      <c r="A884">
        <v>1.37</v>
      </c>
      <c r="B884">
        <v>3.57</v>
      </c>
      <c r="C884" t="str">
        <f>CONCATENATE(Таблица258[[#This Row],[Столбец1]],Таблица258[[#This Row],[Столбец2]])</f>
        <v>1,373,57</v>
      </c>
      <c r="E884">
        <v>1.38</v>
      </c>
      <c r="F884">
        <v>3.57</v>
      </c>
      <c r="G884" t="str">
        <f>CONCATENATE(Таблица271[[#This Row],[Столбец1]],Таблица271[[#This Row],[Столбец2]])</f>
        <v>1,383,57</v>
      </c>
    </row>
    <row r="885" spans="1:7" x14ac:dyDescent="0.25">
      <c r="A885">
        <v>1.37</v>
      </c>
      <c r="B885">
        <v>3.57</v>
      </c>
      <c r="C885" t="str">
        <f>CONCATENATE(Таблица258[[#This Row],[Столбец1]],Таблица258[[#This Row],[Столбец2]])</f>
        <v>1,373,57</v>
      </c>
      <c r="E885">
        <v>1.38</v>
      </c>
      <c r="F885">
        <v>3.57</v>
      </c>
      <c r="G885" t="str">
        <f>CONCATENATE(Таблица271[[#This Row],[Столбец1]],Таблица271[[#This Row],[Столбец2]])</f>
        <v>1,383,57</v>
      </c>
    </row>
    <row r="886" spans="1:7" x14ac:dyDescent="0.25">
      <c r="A886">
        <v>1.37</v>
      </c>
      <c r="B886">
        <v>3.57</v>
      </c>
      <c r="C886" t="str">
        <f>CONCATENATE(Таблица258[[#This Row],[Столбец1]],Таблица258[[#This Row],[Столбец2]])</f>
        <v>1,373,57</v>
      </c>
      <c r="E886">
        <v>1.38</v>
      </c>
      <c r="F886">
        <v>3.57</v>
      </c>
      <c r="G886" t="str">
        <f>CONCATENATE(Таблица271[[#This Row],[Столбец1]],Таблица271[[#This Row],[Столбец2]])</f>
        <v>1,383,57</v>
      </c>
    </row>
    <row r="887" spans="1:7" x14ac:dyDescent="0.25">
      <c r="A887">
        <v>1.37</v>
      </c>
      <c r="B887">
        <v>3.57</v>
      </c>
      <c r="C887" t="str">
        <f>CONCATENATE(Таблица258[[#This Row],[Столбец1]],Таблица258[[#This Row],[Столбец2]])</f>
        <v>1,373,57</v>
      </c>
      <c r="E887">
        <v>1.38</v>
      </c>
      <c r="F887">
        <v>3.57</v>
      </c>
      <c r="G887" t="str">
        <f>CONCATENATE(Таблица271[[#This Row],[Столбец1]],Таблица271[[#This Row],[Столбец2]])</f>
        <v>1,383,57</v>
      </c>
    </row>
    <row r="888" spans="1:7" x14ac:dyDescent="0.25">
      <c r="A888">
        <v>1.38</v>
      </c>
      <c r="B888">
        <v>3.57</v>
      </c>
      <c r="C888" t="str">
        <f>CONCATENATE(Таблица258[[#This Row],[Столбец1]],Таблица258[[#This Row],[Столбец2]])</f>
        <v>1,383,57</v>
      </c>
      <c r="E888">
        <v>1.38</v>
      </c>
      <c r="F888">
        <v>3.57</v>
      </c>
      <c r="G888" t="str">
        <f>CONCATENATE(Таблица271[[#This Row],[Столбец1]],Таблица271[[#This Row],[Столбец2]])</f>
        <v>1,383,57</v>
      </c>
    </row>
    <row r="889" spans="1:7" x14ac:dyDescent="0.25">
      <c r="A889">
        <v>1.38</v>
      </c>
      <c r="B889">
        <v>3.57</v>
      </c>
      <c r="C889" t="str">
        <f>CONCATENATE(Таблица258[[#This Row],[Столбец1]],Таблица258[[#This Row],[Столбец2]])</f>
        <v>1,383,57</v>
      </c>
      <c r="E889">
        <v>1.38</v>
      </c>
      <c r="F889">
        <v>3.57</v>
      </c>
      <c r="G889" t="str">
        <f>CONCATENATE(Таблица271[[#This Row],[Столбец1]],Таблица271[[#This Row],[Столбец2]])</f>
        <v>1,383,57</v>
      </c>
    </row>
    <row r="890" spans="1:7" x14ac:dyDescent="0.25">
      <c r="A890">
        <v>1.38</v>
      </c>
      <c r="B890">
        <v>3.57</v>
      </c>
      <c r="C890" t="str">
        <f>CONCATENATE(Таблица258[[#This Row],[Столбец1]],Таблица258[[#This Row],[Столбец2]])</f>
        <v>1,383,57</v>
      </c>
      <c r="E890">
        <v>1.39</v>
      </c>
      <c r="F890">
        <v>3.57</v>
      </c>
      <c r="G890" t="str">
        <f>CONCATENATE(Таблица271[[#This Row],[Столбец1]],Таблица271[[#This Row],[Столбец2]])</f>
        <v>1,393,57</v>
      </c>
    </row>
    <row r="891" spans="1:7" x14ac:dyDescent="0.25">
      <c r="A891">
        <v>1.38</v>
      </c>
      <c r="B891">
        <v>3.57</v>
      </c>
      <c r="C891" t="str">
        <f>CONCATENATE(Таблица258[[#This Row],[Столбец1]],Таблица258[[#This Row],[Столбец2]])</f>
        <v>1,383,57</v>
      </c>
      <c r="E891">
        <v>1.39</v>
      </c>
      <c r="F891">
        <v>3.57</v>
      </c>
      <c r="G891" t="str">
        <f>CONCATENATE(Таблица271[[#This Row],[Столбец1]],Таблица271[[#This Row],[Столбец2]])</f>
        <v>1,393,57</v>
      </c>
    </row>
    <row r="892" spans="1:7" x14ac:dyDescent="0.25">
      <c r="A892">
        <v>1.38</v>
      </c>
      <c r="B892">
        <v>3.57</v>
      </c>
      <c r="C892" t="str">
        <f>CONCATENATE(Таблица258[[#This Row],[Столбец1]],Таблица258[[#This Row],[Столбец2]])</f>
        <v>1,383,57</v>
      </c>
      <c r="E892">
        <v>1.39</v>
      </c>
      <c r="F892">
        <v>3.57</v>
      </c>
      <c r="G892" t="str">
        <f>CONCATENATE(Таблица271[[#This Row],[Столбец1]],Таблица271[[#This Row],[Столбец2]])</f>
        <v>1,393,57</v>
      </c>
    </row>
    <row r="893" spans="1:7" x14ac:dyDescent="0.25">
      <c r="A893">
        <v>1.38</v>
      </c>
      <c r="B893">
        <v>3.57</v>
      </c>
      <c r="C893" t="str">
        <f>CONCATENATE(Таблица258[[#This Row],[Столбец1]],Таблица258[[#This Row],[Столбец2]])</f>
        <v>1,383,57</v>
      </c>
      <c r="E893">
        <v>1.39</v>
      </c>
      <c r="F893">
        <v>3.57</v>
      </c>
      <c r="G893" t="str">
        <f>CONCATENATE(Таблица271[[#This Row],[Столбец1]],Таблица271[[#This Row],[Столбец2]])</f>
        <v>1,393,57</v>
      </c>
    </row>
    <row r="894" spans="1:7" x14ac:dyDescent="0.25">
      <c r="A894">
        <v>1.39</v>
      </c>
      <c r="B894">
        <v>3.57</v>
      </c>
      <c r="C894" t="str">
        <f>CONCATENATE(Таблица258[[#This Row],[Столбец1]],Таблица258[[#This Row],[Столбец2]])</f>
        <v>1,393,57</v>
      </c>
      <c r="E894">
        <v>1.39</v>
      </c>
      <c r="F894">
        <v>3.57</v>
      </c>
      <c r="G894" t="str">
        <f>CONCATENATE(Таблица271[[#This Row],[Столбец1]],Таблица271[[#This Row],[Столбец2]])</f>
        <v>1,393,57</v>
      </c>
    </row>
    <row r="895" spans="1:7" x14ac:dyDescent="0.25">
      <c r="A895">
        <v>1.39</v>
      </c>
      <c r="B895">
        <v>3.57</v>
      </c>
      <c r="C895" t="str">
        <f>CONCATENATE(Таблица258[[#This Row],[Столбец1]],Таблица258[[#This Row],[Столбец2]])</f>
        <v>1,393,57</v>
      </c>
      <c r="E895">
        <v>1.39</v>
      </c>
      <c r="F895">
        <v>3.57</v>
      </c>
      <c r="G895" t="str">
        <f>CONCATENATE(Таблица271[[#This Row],[Столбец1]],Таблица271[[#This Row],[Столбец2]])</f>
        <v>1,393,57</v>
      </c>
    </row>
    <row r="896" spans="1:7" x14ac:dyDescent="0.25">
      <c r="A896">
        <v>1.39</v>
      </c>
      <c r="B896">
        <v>3.57</v>
      </c>
      <c r="C896" t="str">
        <f>CONCATENATE(Таблица258[[#This Row],[Столбец1]],Таблица258[[#This Row],[Столбец2]])</f>
        <v>1,393,57</v>
      </c>
      <c r="E896">
        <v>1.4</v>
      </c>
      <c r="F896">
        <v>3.57</v>
      </c>
      <c r="G896" t="str">
        <f>CONCATENATE(Таблица271[[#This Row],[Столбец1]],Таблица271[[#This Row],[Столбец2]])</f>
        <v>1,43,57</v>
      </c>
    </row>
    <row r="897" spans="1:7" x14ac:dyDescent="0.25">
      <c r="A897">
        <v>1.39</v>
      </c>
      <c r="B897">
        <v>3.57</v>
      </c>
      <c r="C897" t="str">
        <f>CONCATENATE(Таблица258[[#This Row],[Столбец1]],Таблица258[[#This Row],[Столбец2]])</f>
        <v>1,393,57</v>
      </c>
      <c r="E897">
        <v>1.4</v>
      </c>
      <c r="F897">
        <v>3.57</v>
      </c>
      <c r="G897" t="str">
        <f>CONCATENATE(Таблица271[[#This Row],[Столбец1]],Таблица271[[#This Row],[Столбец2]])</f>
        <v>1,43,57</v>
      </c>
    </row>
    <row r="898" spans="1:7" x14ac:dyDescent="0.25">
      <c r="A898">
        <v>1.39</v>
      </c>
      <c r="B898">
        <v>3.57</v>
      </c>
      <c r="C898" t="str">
        <f>CONCATENATE(Таблица258[[#This Row],[Столбец1]],Таблица258[[#This Row],[Столбец2]])</f>
        <v>1,393,57</v>
      </c>
      <c r="E898">
        <v>1.4</v>
      </c>
      <c r="F898">
        <v>3.57</v>
      </c>
      <c r="G898" t="str">
        <f>CONCATENATE(Таблица271[[#This Row],[Столбец1]],Таблица271[[#This Row],[Столбец2]])</f>
        <v>1,43,57</v>
      </c>
    </row>
    <row r="899" spans="1:7" x14ac:dyDescent="0.25">
      <c r="A899">
        <v>1.39</v>
      </c>
      <c r="B899">
        <v>3.57</v>
      </c>
      <c r="C899" t="str">
        <f>CONCATENATE(Таблица258[[#This Row],[Столбец1]],Таблица258[[#This Row],[Столбец2]])</f>
        <v>1,393,57</v>
      </c>
      <c r="E899">
        <v>1.4</v>
      </c>
      <c r="F899">
        <v>3.57</v>
      </c>
      <c r="G899" t="str">
        <f>CONCATENATE(Таблица271[[#This Row],[Столбец1]],Таблица271[[#This Row],[Столбец2]])</f>
        <v>1,43,57</v>
      </c>
    </row>
    <row r="900" spans="1:7" x14ac:dyDescent="0.25">
      <c r="A900">
        <v>1.4</v>
      </c>
      <c r="B900">
        <v>3.57</v>
      </c>
      <c r="C900" t="str">
        <f>CONCATENATE(Таблица258[[#This Row],[Столбец1]],Таблица258[[#This Row],[Столбец2]])</f>
        <v>1,43,57</v>
      </c>
      <c r="E900">
        <v>1.4</v>
      </c>
      <c r="F900">
        <v>3.57</v>
      </c>
      <c r="G900" t="str">
        <f>CONCATENATE(Таблица271[[#This Row],[Столбец1]],Таблица271[[#This Row],[Столбец2]])</f>
        <v>1,43,57</v>
      </c>
    </row>
    <row r="901" spans="1:7" x14ac:dyDescent="0.25">
      <c r="A901">
        <v>1.4</v>
      </c>
      <c r="B901">
        <v>3.57</v>
      </c>
      <c r="C901" t="str">
        <f>CONCATENATE(Таблица258[[#This Row],[Столбец1]],Таблица258[[#This Row],[Столбец2]])</f>
        <v>1,43,57</v>
      </c>
      <c r="E901">
        <v>1.4</v>
      </c>
      <c r="F901">
        <v>3.57</v>
      </c>
      <c r="G901" t="str">
        <f>CONCATENATE(Таблица271[[#This Row],[Столбец1]],Таблица271[[#This Row],[Столбец2]])</f>
        <v>1,43,57</v>
      </c>
    </row>
    <row r="902" spans="1:7" x14ac:dyDescent="0.25">
      <c r="A902">
        <v>1.4</v>
      </c>
      <c r="B902">
        <v>3.57</v>
      </c>
      <c r="C902" t="str">
        <f>CONCATENATE(Таблица258[[#This Row],[Столбец1]],Таблица258[[#This Row],[Столбец2]])</f>
        <v>1,43,57</v>
      </c>
      <c r="E902">
        <v>1.41</v>
      </c>
      <c r="F902">
        <v>3.57</v>
      </c>
      <c r="G902" t="str">
        <f>CONCATENATE(Таблица271[[#This Row],[Столбец1]],Таблица271[[#This Row],[Столбец2]])</f>
        <v>1,413,57</v>
      </c>
    </row>
    <row r="903" spans="1:7" x14ac:dyDescent="0.25">
      <c r="A903">
        <v>1.4</v>
      </c>
      <c r="B903">
        <v>3.57</v>
      </c>
      <c r="C903" t="str">
        <f>CONCATENATE(Таблица258[[#This Row],[Столбец1]],Таблица258[[#This Row],[Столбец2]])</f>
        <v>1,43,57</v>
      </c>
      <c r="E903">
        <v>1.41</v>
      </c>
      <c r="F903">
        <v>3.57</v>
      </c>
      <c r="G903" t="str">
        <f>CONCATENATE(Таблица271[[#This Row],[Столбец1]],Таблица271[[#This Row],[Столбец2]])</f>
        <v>1,413,57</v>
      </c>
    </row>
    <row r="904" spans="1:7" x14ac:dyDescent="0.25">
      <c r="A904">
        <v>1.4</v>
      </c>
      <c r="B904">
        <v>3.57</v>
      </c>
      <c r="C904" t="str">
        <f>CONCATENATE(Таблица258[[#This Row],[Столбец1]],Таблица258[[#This Row],[Столбец2]])</f>
        <v>1,43,57</v>
      </c>
      <c r="E904">
        <v>1.41</v>
      </c>
      <c r="F904">
        <v>3.57</v>
      </c>
      <c r="G904" t="str">
        <f>CONCATENATE(Таблица271[[#This Row],[Столбец1]],Таблица271[[#This Row],[Столбец2]])</f>
        <v>1,413,57</v>
      </c>
    </row>
    <row r="905" spans="1:7" x14ac:dyDescent="0.25">
      <c r="A905">
        <v>1.4</v>
      </c>
      <c r="B905">
        <v>3.57</v>
      </c>
      <c r="C905" t="str">
        <f>CONCATENATE(Таблица258[[#This Row],[Столбец1]],Таблица258[[#This Row],[Столбец2]])</f>
        <v>1,43,57</v>
      </c>
      <c r="E905">
        <v>1.41</v>
      </c>
      <c r="F905">
        <v>3.57</v>
      </c>
      <c r="G905" t="str">
        <f>CONCATENATE(Таблица271[[#This Row],[Столбец1]],Таблица271[[#This Row],[Столбец2]])</f>
        <v>1,413,57</v>
      </c>
    </row>
    <row r="906" spans="1:7" x14ac:dyDescent="0.25">
      <c r="A906">
        <v>1.41</v>
      </c>
      <c r="B906">
        <v>3.57</v>
      </c>
      <c r="C906" t="str">
        <f>CONCATENATE(Таблица258[[#This Row],[Столбец1]],Таблица258[[#This Row],[Столбец2]])</f>
        <v>1,413,57</v>
      </c>
      <c r="E906">
        <v>1.41</v>
      </c>
      <c r="F906">
        <v>3.57</v>
      </c>
      <c r="G906" t="str">
        <f>CONCATENATE(Таблица271[[#This Row],[Столбец1]],Таблица271[[#This Row],[Столбец2]])</f>
        <v>1,413,57</v>
      </c>
    </row>
    <row r="907" spans="1:7" x14ac:dyDescent="0.25">
      <c r="A907">
        <v>1.41</v>
      </c>
      <c r="B907">
        <v>3.57</v>
      </c>
      <c r="C907" t="str">
        <f>CONCATENATE(Таблица258[[#This Row],[Столбец1]],Таблица258[[#This Row],[Столбец2]])</f>
        <v>1,413,57</v>
      </c>
      <c r="E907">
        <v>1.41</v>
      </c>
      <c r="F907">
        <v>3.57</v>
      </c>
      <c r="G907" t="str">
        <f>CONCATENATE(Таблица271[[#This Row],[Столбец1]],Таблица271[[#This Row],[Столбец2]])</f>
        <v>1,413,57</v>
      </c>
    </row>
    <row r="908" spans="1:7" x14ac:dyDescent="0.25">
      <c r="A908">
        <v>1.41</v>
      </c>
      <c r="B908">
        <v>3.57</v>
      </c>
      <c r="C908" t="str">
        <f>CONCATENATE(Таблица258[[#This Row],[Столбец1]],Таблица258[[#This Row],[Столбец2]])</f>
        <v>1,413,57</v>
      </c>
      <c r="E908">
        <v>1.41</v>
      </c>
      <c r="F908">
        <v>3.57</v>
      </c>
      <c r="G908" t="str">
        <f>CONCATENATE(Таблица271[[#This Row],[Столбец1]],Таблица271[[#This Row],[Столбец2]])</f>
        <v>1,413,57</v>
      </c>
    </row>
    <row r="909" spans="1:7" x14ac:dyDescent="0.25">
      <c r="A909">
        <v>1.41</v>
      </c>
      <c r="B909">
        <v>3.57</v>
      </c>
      <c r="C909" t="str">
        <f>CONCATENATE(Таблица258[[#This Row],[Столбец1]],Таблица258[[#This Row],[Столбец2]])</f>
        <v>1,413,57</v>
      </c>
      <c r="E909">
        <v>1.42</v>
      </c>
      <c r="F909">
        <v>3.57</v>
      </c>
      <c r="G909" t="str">
        <f>CONCATENATE(Таблица271[[#This Row],[Столбец1]],Таблица271[[#This Row],[Столбец2]])</f>
        <v>1,423,57</v>
      </c>
    </row>
    <row r="910" spans="1:7" x14ac:dyDescent="0.25">
      <c r="A910">
        <v>1.41</v>
      </c>
      <c r="B910">
        <v>3.57</v>
      </c>
      <c r="C910" t="str">
        <f>CONCATENATE(Таблица258[[#This Row],[Столбец1]],Таблица258[[#This Row],[Столбец2]])</f>
        <v>1,413,57</v>
      </c>
      <c r="E910">
        <v>1.42</v>
      </c>
      <c r="F910">
        <v>3.57</v>
      </c>
      <c r="G910" t="str">
        <f>CONCATENATE(Таблица271[[#This Row],[Столбец1]],Таблица271[[#This Row],[Столбец2]])</f>
        <v>1,423,57</v>
      </c>
    </row>
    <row r="911" spans="1:7" x14ac:dyDescent="0.25">
      <c r="A911">
        <v>1.41</v>
      </c>
      <c r="B911">
        <v>3.57</v>
      </c>
      <c r="C911" t="str">
        <f>CONCATENATE(Таблица258[[#This Row],[Столбец1]],Таблица258[[#This Row],[Столбец2]])</f>
        <v>1,413,57</v>
      </c>
      <c r="E911">
        <v>1.42</v>
      </c>
      <c r="F911">
        <v>3.57</v>
      </c>
      <c r="G911" t="str">
        <f>CONCATENATE(Таблица271[[#This Row],[Столбец1]],Таблица271[[#This Row],[Столбец2]])</f>
        <v>1,423,57</v>
      </c>
    </row>
    <row r="912" spans="1:7" x14ac:dyDescent="0.25">
      <c r="A912">
        <v>1.42</v>
      </c>
      <c r="B912">
        <v>3.57</v>
      </c>
      <c r="C912" t="str">
        <f>CONCATENATE(Таблица258[[#This Row],[Столбец1]],Таблица258[[#This Row],[Столбец2]])</f>
        <v>1,423,57</v>
      </c>
      <c r="E912">
        <v>1.42</v>
      </c>
      <c r="F912">
        <v>3.57</v>
      </c>
      <c r="G912" t="str">
        <f>CONCATENATE(Таблица271[[#This Row],[Столбец1]],Таблица271[[#This Row],[Столбец2]])</f>
        <v>1,423,57</v>
      </c>
    </row>
    <row r="913" spans="1:7" x14ac:dyDescent="0.25">
      <c r="A913">
        <v>1.42</v>
      </c>
      <c r="B913">
        <v>3.57</v>
      </c>
      <c r="C913" t="str">
        <f>CONCATENATE(Таблица258[[#This Row],[Столбец1]],Таблица258[[#This Row],[Столбец2]])</f>
        <v>1,423,57</v>
      </c>
      <c r="E913">
        <v>1.42</v>
      </c>
      <c r="F913">
        <v>3.57</v>
      </c>
      <c r="G913" t="str">
        <f>CONCATENATE(Таблица271[[#This Row],[Столбец1]],Таблица271[[#This Row],[Столбец2]])</f>
        <v>1,423,57</v>
      </c>
    </row>
    <row r="914" spans="1:7" x14ac:dyDescent="0.25">
      <c r="A914">
        <v>1.42</v>
      </c>
      <c r="B914">
        <v>3.57</v>
      </c>
      <c r="C914" t="str">
        <f>CONCATENATE(Таблица258[[#This Row],[Столбец1]],Таблица258[[#This Row],[Столбец2]])</f>
        <v>1,423,57</v>
      </c>
      <c r="E914">
        <v>1.42</v>
      </c>
      <c r="F914">
        <v>3.57</v>
      </c>
      <c r="G914" t="str">
        <f>CONCATENATE(Таблица271[[#This Row],[Столбец1]],Таблица271[[#This Row],[Столбец2]])</f>
        <v>1,423,57</v>
      </c>
    </row>
    <row r="915" spans="1:7" x14ac:dyDescent="0.25">
      <c r="A915">
        <v>1.42</v>
      </c>
      <c r="B915">
        <v>3.57</v>
      </c>
      <c r="C915" t="str">
        <f>CONCATENATE(Таблица258[[#This Row],[Столбец1]],Таблица258[[#This Row],[Столбец2]])</f>
        <v>1,423,57</v>
      </c>
      <c r="E915">
        <v>1.43</v>
      </c>
      <c r="F915">
        <v>3.57</v>
      </c>
      <c r="G915" t="str">
        <f>CONCATENATE(Таблица271[[#This Row],[Столбец1]],Таблица271[[#This Row],[Столбец2]])</f>
        <v>1,433,57</v>
      </c>
    </row>
    <row r="916" spans="1:7" x14ac:dyDescent="0.25">
      <c r="A916">
        <v>1.42</v>
      </c>
      <c r="B916">
        <v>3.57</v>
      </c>
      <c r="C916" t="str">
        <f>CONCATENATE(Таблица258[[#This Row],[Столбец1]],Таблица258[[#This Row],[Столбец2]])</f>
        <v>1,423,57</v>
      </c>
      <c r="E916">
        <v>1.43</v>
      </c>
      <c r="F916">
        <v>3.57</v>
      </c>
      <c r="G916" t="str">
        <f>CONCATENATE(Таблица271[[#This Row],[Столбец1]],Таблица271[[#This Row],[Столбец2]])</f>
        <v>1,433,57</v>
      </c>
    </row>
    <row r="917" spans="1:7" x14ac:dyDescent="0.25">
      <c r="A917">
        <v>1.42</v>
      </c>
      <c r="B917">
        <v>3.57</v>
      </c>
      <c r="C917" t="str">
        <f>CONCATENATE(Таблица258[[#This Row],[Столбец1]],Таблица258[[#This Row],[Столбец2]])</f>
        <v>1,423,57</v>
      </c>
      <c r="E917">
        <v>1.43</v>
      </c>
      <c r="F917">
        <v>3.57</v>
      </c>
      <c r="G917" t="str">
        <f>CONCATENATE(Таблица271[[#This Row],[Столбец1]],Таблица271[[#This Row],[Столбец2]])</f>
        <v>1,433,57</v>
      </c>
    </row>
    <row r="918" spans="1:7" x14ac:dyDescent="0.25">
      <c r="A918">
        <v>1.43</v>
      </c>
      <c r="B918">
        <v>3.57</v>
      </c>
      <c r="C918" t="str">
        <f>CONCATENATE(Таблица258[[#This Row],[Столбец1]],Таблица258[[#This Row],[Столбец2]])</f>
        <v>1,433,57</v>
      </c>
      <c r="E918">
        <v>1.43</v>
      </c>
      <c r="F918">
        <v>3.57</v>
      </c>
      <c r="G918" t="str">
        <f>CONCATENATE(Таблица271[[#This Row],[Столбец1]],Таблица271[[#This Row],[Столбец2]])</f>
        <v>1,433,57</v>
      </c>
    </row>
    <row r="919" spans="1:7" x14ac:dyDescent="0.25">
      <c r="A919">
        <v>1.43</v>
      </c>
      <c r="B919">
        <v>3.57</v>
      </c>
      <c r="C919" t="str">
        <f>CONCATENATE(Таблица258[[#This Row],[Столбец1]],Таблица258[[#This Row],[Столбец2]])</f>
        <v>1,433,57</v>
      </c>
      <c r="E919">
        <v>1.43</v>
      </c>
      <c r="F919">
        <v>3.57</v>
      </c>
      <c r="G919" t="str">
        <f>CONCATENATE(Таблица271[[#This Row],[Столбец1]],Таблица271[[#This Row],[Столбец2]])</f>
        <v>1,433,57</v>
      </c>
    </row>
    <row r="920" spans="1:7" x14ac:dyDescent="0.25">
      <c r="A920">
        <v>1.43</v>
      </c>
      <c r="B920">
        <v>3.57</v>
      </c>
      <c r="C920" t="str">
        <f>CONCATENATE(Таблица258[[#This Row],[Столбец1]],Таблица258[[#This Row],[Столбец2]])</f>
        <v>1,433,57</v>
      </c>
      <c r="E920">
        <v>1.43</v>
      </c>
      <c r="F920">
        <v>3.57</v>
      </c>
      <c r="G920" t="str">
        <f>CONCATENATE(Таблица271[[#This Row],[Столбец1]],Таблица271[[#This Row],[Столбец2]])</f>
        <v>1,433,57</v>
      </c>
    </row>
    <row r="921" spans="1:7" x14ac:dyDescent="0.25">
      <c r="A921">
        <v>1.43</v>
      </c>
      <c r="B921">
        <v>3.57</v>
      </c>
      <c r="C921" t="str">
        <f>CONCATENATE(Таблица258[[#This Row],[Столбец1]],Таблица258[[#This Row],[Столбец2]])</f>
        <v>1,433,57</v>
      </c>
      <c r="E921">
        <v>1.43</v>
      </c>
      <c r="F921">
        <v>3.57</v>
      </c>
      <c r="G921" t="str">
        <f>CONCATENATE(Таблица271[[#This Row],[Столбец1]],Таблица271[[#This Row],[Столбец2]])</f>
        <v>1,433,57</v>
      </c>
    </row>
    <row r="922" spans="1:7" x14ac:dyDescent="0.25">
      <c r="A922">
        <v>1.43</v>
      </c>
      <c r="B922">
        <v>3.57</v>
      </c>
      <c r="C922" t="str">
        <f>CONCATENATE(Таблица258[[#This Row],[Столбец1]],Таблица258[[#This Row],[Столбец2]])</f>
        <v>1,433,57</v>
      </c>
      <c r="E922">
        <v>1.44</v>
      </c>
      <c r="F922">
        <v>3.57</v>
      </c>
      <c r="G922" t="str">
        <f>CONCATENATE(Таблица271[[#This Row],[Столбец1]],Таблица271[[#This Row],[Столбец2]])</f>
        <v>1,443,57</v>
      </c>
    </row>
    <row r="923" spans="1:7" x14ac:dyDescent="0.25">
      <c r="A923">
        <v>1.43</v>
      </c>
      <c r="B923">
        <v>3.57</v>
      </c>
      <c r="C923" t="str">
        <f>CONCATENATE(Таблица258[[#This Row],[Столбец1]],Таблица258[[#This Row],[Столбец2]])</f>
        <v>1,433,57</v>
      </c>
      <c r="E923">
        <v>1.44</v>
      </c>
      <c r="F923">
        <v>3.57</v>
      </c>
      <c r="G923" t="str">
        <f>CONCATENATE(Таблица271[[#This Row],[Столбец1]],Таблица271[[#This Row],[Столбец2]])</f>
        <v>1,443,57</v>
      </c>
    </row>
    <row r="924" spans="1:7" x14ac:dyDescent="0.25">
      <c r="A924">
        <v>1.44</v>
      </c>
      <c r="B924">
        <v>3.57</v>
      </c>
      <c r="C924" t="str">
        <f>CONCATENATE(Таблица258[[#This Row],[Столбец1]],Таблица258[[#This Row],[Столбец2]])</f>
        <v>1,443,57</v>
      </c>
      <c r="E924">
        <v>1.44</v>
      </c>
      <c r="F924">
        <v>3.57</v>
      </c>
      <c r="G924" t="str">
        <f>CONCATENATE(Таблица271[[#This Row],[Столбец1]],Таблица271[[#This Row],[Столбец2]])</f>
        <v>1,443,57</v>
      </c>
    </row>
    <row r="925" spans="1:7" x14ac:dyDescent="0.25">
      <c r="A925">
        <v>1.44</v>
      </c>
      <c r="B925">
        <v>3.57</v>
      </c>
      <c r="C925" t="str">
        <f>CONCATENATE(Таблица258[[#This Row],[Столбец1]],Таблица258[[#This Row],[Столбец2]])</f>
        <v>1,443,57</v>
      </c>
      <c r="E925">
        <v>1.44</v>
      </c>
      <c r="F925">
        <v>3.57</v>
      </c>
      <c r="G925" t="str">
        <f>CONCATENATE(Таблица271[[#This Row],[Столбец1]],Таблица271[[#This Row],[Столбец2]])</f>
        <v>1,443,57</v>
      </c>
    </row>
    <row r="926" spans="1:7" x14ac:dyDescent="0.25">
      <c r="A926">
        <v>1.44</v>
      </c>
      <c r="B926">
        <v>3.57</v>
      </c>
      <c r="C926" t="str">
        <f>CONCATENATE(Таблица258[[#This Row],[Столбец1]],Таблица258[[#This Row],[Столбец2]])</f>
        <v>1,443,57</v>
      </c>
      <c r="E926">
        <v>1.44</v>
      </c>
      <c r="F926">
        <v>3.57</v>
      </c>
      <c r="G926" t="str">
        <f>CONCATENATE(Таблица271[[#This Row],[Столбец1]],Таблица271[[#This Row],[Столбец2]])</f>
        <v>1,443,57</v>
      </c>
    </row>
    <row r="927" spans="1:7" x14ac:dyDescent="0.25">
      <c r="A927">
        <v>1.44</v>
      </c>
      <c r="B927">
        <v>3.57</v>
      </c>
      <c r="C927" t="str">
        <f>CONCATENATE(Таблица258[[#This Row],[Столбец1]],Таблица258[[#This Row],[Столбец2]])</f>
        <v>1,443,57</v>
      </c>
      <c r="E927">
        <v>1.44</v>
      </c>
      <c r="F927">
        <v>3.57</v>
      </c>
      <c r="G927" t="str">
        <f>CONCATENATE(Таблица271[[#This Row],[Столбец1]],Таблица271[[#This Row],[Столбец2]])</f>
        <v>1,443,57</v>
      </c>
    </row>
    <row r="928" spans="1:7" x14ac:dyDescent="0.25">
      <c r="A928">
        <v>1.44</v>
      </c>
      <c r="B928">
        <v>3.57</v>
      </c>
      <c r="C928" t="str">
        <f>CONCATENATE(Таблица258[[#This Row],[Столбец1]],Таблица258[[#This Row],[Столбец2]])</f>
        <v>1,443,57</v>
      </c>
      <c r="E928">
        <v>1.44</v>
      </c>
      <c r="F928">
        <v>3.57</v>
      </c>
      <c r="G928" t="str">
        <f>CONCATENATE(Таблица271[[#This Row],[Столбец1]],Таблица271[[#This Row],[Столбец2]])</f>
        <v>1,443,57</v>
      </c>
    </row>
    <row r="929" spans="1:7" x14ac:dyDescent="0.25">
      <c r="A929">
        <v>1.44</v>
      </c>
      <c r="B929">
        <v>3.57</v>
      </c>
      <c r="C929" t="str">
        <f>CONCATENATE(Таблица258[[#This Row],[Столбец1]],Таблица258[[#This Row],[Столбец2]])</f>
        <v>1,443,57</v>
      </c>
      <c r="E929">
        <v>1.56</v>
      </c>
      <c r="F929">
        <v>3.57</v>
      </c>
      <c r="G929" t="str">
        <f>CONCATENATE(Таблица271[[#This Row],[Столбец1]],Таблица271[[#This Row],[Столбец2]])</f>
        <v>1,563,57</v>
      </c>
    </row>
    <row r="930" spans="1:7" x14ac:dyDescent="0.25">
      <c r="A930">
        <v>1.56</v>
      </c>
      <c r="B930">
        <v>3.57</v>
      </c>
      <c r="C930" t="str">
        <f>CONCATENATE(Таблица258[[#This Row],[Столбец1]],Таблица258[[#This Row],[Столбец2]])</f>
        <v>1,563,57</v>
      </c>
      <c r="E930">
        <v>1.56</v>
      </c>
      <c r="F930">
        <v>3.57</v>
      </c>
      <c r="G930" t="str">
        <f>CONCATENATE(Таблица271[[#This Row],[Столбец1]],Таблица271[[#This Row],[Столбец2]])</f>
        <v>1,563,57</v>
      </c>
    </row>
    <row r="931" spans="1:7" x14ac:dyDescent="0.25">
      <c r="A931">
        <v>1.56</v>
      </c>
      <c r="B931">
        <v>3.57</v>
      </c>
      <c r="C931" t="str">
        <f>CONCATENATE(Таблица258[[#This Row],[Столбец1]],Таблица258[[#This Row],[Столбец2]])</f>
        <v>1,563,57</v>
      </c>
      <c r="E931">
        <v>1.56</v>
      </c>
      <c r="F931">
        <v>3.57</v>
      </c>
      <c r="G931" t="str">
        <f>CONCATENATE(Таблица271[[#This Row],[Столбец1]],Таблица271[[#This Row],[Столбец2]])</f>
        <v>1,563,57</v>
      </c>
    </row>
    <row r="932" spans="1:7" x14ac:dyDescent="0.25">
      <c r="A932">
        <v>1.56</v>
      </c>
      <c r="B932">
        <v>3.57</v>
      </c>
      <c r="C932" t="str">
        <f>CONCATENATE(Таблица258[[#This Row],[Столбец1]],Таблица258[[#This Row],[Столбец2]])</f>
        <v>1,563,57</v>
      </c>
      <c r="E932">
        <v>1.56</v>
      </c>
      <c r="F932">
        <v>3.57</v>
      </c>
      <c r="G932" t="str">
        <f>CONCATENATE(Таблица271[[#This Row],[Столбец1]],Таблица271[[#This Row],[Столбец2]])</f>
        <v>1,563,57</v>
      </c>
    </row>
    <row r="933" spans="1:7" x14ac:dyDescent="0.25">
      <c r="A933">
        <v>1.56</v>
      </c>
      <c r="B933">
        <v>3.57</v>
      </c>
      <c r="C933" t="str">
        <f>CONCATENATE(Таблица258[[#This Row],[Столбец1]],Таблица258[[#This Row],[Столбец2]])</f>
        <v>1,563,57</v>
      </c>
      <c r="E933">
        <v>1.56</v>
      </c>
      <c r="F933">
        <v>3.57</v>
      </c>
      <c r="G933" t="str">
        <f>CONCATENATE(Таблица271[[#This Row],[Столбец1]],Таблица271[[#This Row],[Столбец2]])</f>
        <v>1,563,57</v>
      </c>
    </row>
    <row r="934" spans="1:7" x14ac:dyDescent="0.25">
      <c r="A934">
        <v>1.56</v>
      </c>
      <c r="B934">
        <v>3.57</v>
      </c>
      <c r="C934" t="str">
        <f>CONCATENATE(Таблица258[[#This Row],[Столбец1]],Таблица258[[#This Row],[Столбец2]])</f>
        <v>1,563,57</v>
      </c>
      <c r="E934">
        <v>1.56</v>
      </c>
      <c r="F934">
        <v>3.57</v>
      </c>
      <c r="G934" t="str">
        <f>CONCATENATE(Таблица271[[#This Row],[Столбец1]],Таблица271[[#This Row],[Столбец2]])</f>
        <v>1,563,57</v>
      </c>
    </row>
    <row r="935" spans="1:7" x14ac:dyDescent="0.25">
      <c r="A935">
        <v>1.56</v>
      </c>
      <c r="B935">
        <v>3.57</v>
      </c>
      <c r="C935" t="str">
        <f>CONCATENATE(Таблица258[[#This Row],[Столбец1]],Таблица258[[#This Row],[Столбец2]])</f>
        <v>1,563,57</v>
      </c>
      <c r="E935">
        <v>1.45</v>
      </c>
      <c r="F935">
        <v>3.58</v>
      </c>
      <c r="G935" t="str">
        <f>CONCATENATE(Таблица271[[#This Row],[Столбец1]],Таблица271[[#This Row],[Столбец2]])</f>
        <v>1,453,58</v>
      </c>
    </row>
    <row r="936" spans="1:7" x14ac:dyDescent="0.25">
      <c r="A936">
        <v>1.45</v>
      </c>
      <c r="B936">
        <v>3.58</v>
      </c>
      <c r="C936" t="str">
        <f>CONCATENATE(Таблица258[[#This Row],[Столбец1]],Таблица258[[#This Row],[Столбец2]])</f>
        <v>1,453,58</v>
      </c>
      <c r="E936">
        <v>1.45</v>
      </c>
      <c r="F936">
        <v>3.58</v>
      </c>
      <c r="G936" t="str">
        <f>CONCATENATE(Таблица271[[#This Row],[Столбец1]],Таблица271[[#This Row],[Столбец2]])</f>
        <v>1,453,58</v>
      </c>
    </row>
    <row r="937" spans="1:7" x14ac:dyDescent="0.25">
      <c r="A937">
        <v>1.45</v>
      </c>
      <c r="B937">
        <v>3.58</v>
      </c>
      <c r="C937" t="str">
        <f>CONCATENATE(Таблица258[[#This Row],[Столбец1]],Таблица258[[#This Row],[Столбец2]])</f>
        <v>1,453,58</v>
      </c>
      <c r="E937">
        <v>1.45</v>
      </c>
      <c r="F937">
        <v>3.58</v>
      </c>
      <c r="G937" t="str">
        <f>CONCATENATE(Таблица271[[#This Row],[Столбец1]],Таблица271[[#This Row],[Столбец2]])</f>
        <v>1,453,58</v>
      </c>
    </row>
    <row r="938" spans="1:7" x14ac:dyDescent="0.25">
      <c r="A938">
        <v>1.45</v>
      </c>
      <c r="B938">
        <v>3.58</v>
      </c>
      <c r="C938" t="str">
        <f>CONCATENATE(Таблица258[[#This Row],[Столбец1]],Таблица258[[#This Row],[Столбец2]])</f>
        <v>1,453,58</v>
      </c>
      <c r="E938">
        <v>1.45</v>
      </c>
      <c r="F938">
        <v>3.58</v>
      </c>
      <c r="G938" t="str">
        <f>CONCATENATE(Таблица271[[#This Row],[Столбец1]],Таблица271[[#This Row],[Столбец2]])</f>
        <v>1,453,58</v>
      </c>
    </row>
    <row r="939" spans="1:7" x14ac:dyDescent="0.25">
      <c r="A939">
        <v>1.45</v>
      </c>
      <c r="B939">
        <v>3.58</v>
      </c>
      <c r="C939" t="str">
        <f>CONCATENATE(Таблица258[[#This Row],[Столбец1]],Таблица258[[#This Row],[Столбец2]])</f>
        <v>1,453,58</v>
      </c>
      <c r="E939">
        <v>1.45</v>
      </c>
      <c r="F939">
        <v>3.58</v>
      </c>
      <c r="G939" t="str">
        <f>CONCATENATE(Таблица271[[#This Row],[Столбец1]],Таблица271[[#This Row],[Столбец2]])</f>
        <v>1,453,58</v>
      </c>
    </row>
    <row r="940" spans="1:7" x14ac:dyDescent="0.25">
      <c r="A940">
        <v>1.45</v>
      </c>
      <c r="B940">
        <v>3.58</v>
      </c>
      <c r="C940" t="str">
        <f>CONCATENATE(Таблица258[[#This Row],[Столбец1]],Таблица258[[#This Row],[Столбец2]])</f>
        <v>1,453,58</v>
      </c>
      <c r="E940">
        <v>1.45</v>
      </c>
      <c r="F940">
        <v>3.58</v>
      </c>
      <c r="G940" t="str">
        <f>CONCATENATE(Таблица271[[#This Row],[Столбец1]],Таблица271[[#This Row],[Столбец2]])</f>
        <v>1,453,58</v>
      </c>
    </row>
    <row r="941" spans="1:7" x14ac:dyDescent="0.25">
      <c r="A941">
        <v>1.45</v>
      </c>
      <c r="B941">
        <v>3.58</v>
      </c>
      <c r="C941" t="str">
        <f>CONCATENATE(Таблица258[[#This Row],[Столбец1]],Таблица258[[#This Row],[Столбец2]])</f>
        <v>1,453,58</v>
      </c>
      <c r="E941">
        <v>1.45</v>
      </c>
      <c r="F941">
        <v>3.58</v>
      </c>
      <c r="G941" t="str">
        <f>CONCATENATE(Таблица271[[#This Row],[Столбец1]],Таблица271[[#This Row],[Столбец2]])</f>
        <v>1,453,58</v>
      </c>
    </row>
    <row r="942" spans="1:7" x14ac:dyDescent="0.25">
      <c r="A942">
        <v>1.55</v>
      </c>
      <c r="B942">
        <v>3.58</v>
      </c>
      <c r="C942" t="str">
        <f>CONCATENATE(Таблица258[[#This Row],[Столбец1]],Таблица258[[#This Row],[Столбец2]])</f>
        <v>1,553,58</v>
      </c>
      <c r="E942">
        <v>1.55</v>
      </c>
      <c r="F942">
        <v>3.58</v>
      </c>
      <c r="G942" t="str">
        <f>CONCATENATE(Таблица271[[#This Row],[Столбец1]],Таблица271[[#This Row],[Столбец2]])</f>
        <v>1,553,58</v>
      </c>
    </row>
    <row r="943" spans="1:7" x14ac:dyDescent="0.25">
      <c r="A943">
        <v>1.55</v>
      </c>
      <c r="B943">
        <v>3.58</v>
      </c>
      <c r="C943" t="str">
        <f>CONCATENATE(Таблица258[[#This Row],[Столбец1]],Таблица258[[#This Row],[Столбец2]])</f>
        <v>1,553,58</v>
      </c>
      <c r="E943">
        <v>1.55</v>
      </c>
      <c r="F943">
        <v>3.58</v>
      </c>
      <c r="G943" t="str">
        <f>CONCATENATE(Таблица271[[#This Row],[Столбец1]],Таблица271[[#This Row],[Столбец2]])</f>
        <v>1,553,58</v>
      </c>
    </row>
    <row r="944" spans="1:7" x14ac:dyDescent="0.25">
      <c r="A944">
        <v>1.55</v>
      </c>
      <c r="B944">
        <v>3.58</v>
      </c>
      <c r="C944" t="str">
        <f>CONCATENATE(Таблица258[[#This Row],[Столбец1]],Таблица258[[#This Row],[Столбец2]])</f>
        <v>1,553,58</v>
      </c>
      <c r="E944">
        <v>1.55</v>
      </c>
      <c r="F944">
        <v>3.58</v>
      </c>
      <c r="G944" t="str">
        <f>CONCATENATE(Таблица271[[#This Row],[Столбец1]],Таблица271[[#This Row],[Столбец2]])</f>
        <v>1,553,58</v>
      </c>
    </row>
    <row r="945" spans="1:7" x14ac:dyDescent="0.25">
      <c r="A945">
        <v>1.55</v>
      </c>
      <c r="B945">
        <v>3.58</v>
      </c>
      <c r="C945" t="str">
        <f>CONCATENATE(Таблица258[[#This Row],[Столбец1]],Таблица258[[#This Row],[Столбец2]])</f>
        <v>1,553,58</v>
      </c>
      <c r="E945">
        <v>1.55</v>
      </c>
      <c r="F945">
        <v>3.58</v>
      </c>
      <c r="G945" t="str">
        <f>CONCATENATE(Таблица271[[#This Row],[Столбец1]],Таблица271[[#This Row],[Столбец2]])</f>
        <v>1,553,58</v>
      </c>
    </row>
    <row r="946" spans="1:7" x14ac:dyDescent="0.25">
      <c r="A946">
        <v>1.55</v>
      </c>
      <c r="B946">
        <v>3.58</v>
      </c>
      <c r="C946" t="str">
        <f>CONCATENATE(Таблица258[[#This Row],[Столбец1]],Таблица258[[#This Row],[Столбец2]])</f>
        <v>1,553,58</v>
      </c>
      <c r="E946">
        <v>1.55</v>
      </c>
      <c r="F946">
        <v>3.58</v>
      </c>
      <c r="G946" t="str">
        <f>CONCATENATE(Таблица271[[#This Row],[Столбец1]],Таблица271[[#This Row],[Столбец2]])</f>
        <v>1,553,58</v>
      </c>
    </row>
    <row r="947" spans="1:7" x14ac:dyDescent="0.25">
      <c r="A947">
        <v>1.55</v>
      </c>
      <c r="B947">
        <v>3.58</v>
      </c>
      <c r="C947" t="str">
        <f>CONCATENATE(Таблица258[[#This Row],[Столбец1]],Таблица258[[#This Row],[Столбец2]])</f>
        <v>1,553,58</v>
      </c>
      <c r="E947">
        <v>1.55</v>
      </c>
      <c r="F947">
        <v>3.58</v>
      </c>
      <c r="G947" t="str">
        <f>CONCATENATE(Таблица271[[#This Row],[Столбец1]],Таблица271[[#This Row],[Столбец2]])</f>
        <v>1,553,58</v>
      </c>
    </row>
    <row r="948" spans="1:7" x14ac:dyDescent="0.25">
      <c r="A948">
        <v>1.46</v>
      </c>
      <c r="B948">
        <v>3.59</v>
      </c>
      <c r="C948" t="str">
        <f>CONCATENATE(Таблица258[[#This Row],[Столбец1]],Таблица258[[#This Row],[Столбец2]])</f>
        <v>1,463,59</v>
      </c>
      <c r="E948">
        <v>1.46</v>
      </c>
      <c r="F948">
        <v>3.59</v>
      </c>
      <c r="G948" t="str">
        <f>CONCATENATE(Таблица271[[#This Row],[Столбец1]],Таблица271[[#This Row],[Столбец2]])</f>
        <v>1,463,59</v>
      </c>
    </row>
    <row r="949" spans="1:7" x14ac:dyDescent="0.25">
      <c r="A949">
        <v>1.46</v>
      </c>
      <c r="B949">
        <v>3.59</v>
      </c>
      <c r="C949" t="str">
        <f>CONCATENATE(Таблица258[[#This Row],[Столбец1]],Таблица258[[#This Row],[Столбец2]])</f>
        <v>1,463,59</v>
      </c>
      <c r="E949">
        <v>1.46</v>
      </c>
      <c r="F949">
        <v>3.59</v>
      </c>
      <c r="G949" t="str">
        <f>CONCATENATE(Таблица271[[#This Row],[Столбец1]],Таблица271[[#This Row],[Столбец2]])</f>
        <v>1,463,59</v>
      </c>
    </row>
    <row r="950" spans="1:7" x14ac:dyDescent="0.25">
      <c r="A950">
        <v>1.46</v>
      </c>
      <c r="B950">
        <v>3.59</v>
      </c>
      <c r="C950" t="str">
        <f>CONCATENATE(Таблица258[[#This Row],[Столбец1]],Таблица258[[#This Row],[Столбец2]])</f>
        <v>1,463,59</v>
      </c>
      <c r="E950">
        <v>1.46</v>
      </c>
      <c r="F950">
        <v>3.59</v>
      </c>
      <c r="G950" t="str">
        <f>CONCATENATE(Таблица271[[#This Row],[Столбец1]],Таблица271[[#This Row],[Столбец2]])</f>
        <v>1,463,59</v>
      </c>
    </row>
    <row r="951" spans="1:7" x14ac:dyDescent="0.25">
      <c r="A951">
        <v>1.46</v>
      </c>
      <c r="B951">
        <v>3.59</v>
      </c>
      <c r="C951" t="str">
        <f>CONCATENATE(Таблица258[[#This Row],[Столбец1]],Таблица258[[#This Row],[Столбец2]])</f>
        <v>1,463,59</v>
      </c>
      <c r="E951">
        <v>1.46</v>
      </c>
      <c r="F951">
        <v>3.59</v>
      </c>
      <c r="G951" t="str">
        <f>CONCATENATE(Таблица271[[#This Row],[Столбец1]],Таблица271[[#This Row],[Столбец2]])</f>
        <v>1,463,59</v>
      </c>
    </row>
    <row r="952" spans="1:7" x14ac:dyDescent="0.25">
      <c r="A952">
        <v>1.46</v>
      </c>
      <c r="B952">
        <v>3.59</v>
      </c>
      <c r="C952" t="str">
        <f>CONCATENATE(Таблица258[[#This Row],[Столбец1]],Таблица258[[#This Row],[Столбец2]])</f>
        <v>1,463,59</v>
      </c>
      <c r="E952">
        <v>1.46</v>
      </c>
      <c r="F952">
        <v>3.59</v>
      </c>
      <c r="G952" t="str">
        <f>CONCATENATE(Таблица271[[#This Row],[Столбец1]],Таблица271[[#This Row],[Столбец2]])</f>
        <v>1,463,59</v>
      </c>
    </row>
    <row r="953" spans="1:7" x14ac:dyDescent="0.25">
      <c r="A953">
        <v>1.46</v>
      </c>
      <c r="B953">
        <v>3.59</v>
      </c>
      <c r="C953" t="str">
        <f>CONCATENATE(Таблица258[[#This Row],[Столбец1]],Таблица258[[#This Row],[Столбец2]])</f>
        <v>1,463,59</v>
      </c>
      <c r="E953">
        <v>1.46</v>
      </c>
      <c r="F953">
        <v>3.59</v>
      </c>
      <c r="G953" t="str">
        <f>CONCATENATE(Таблица271[[#This Row],[Столбец1]],Таблица271[[#This Row],[Столбец2]])</f>
        <v>1,463,59</v>
      </c>
    </row>
    <row r="954" spans="1:7" x14ac:dyDescent="0.25">
      <c r="A954">
        <v>1.54</v>
      </c>
      <c r="B954">
        <v>3.59</v>
      </c>
      <c r="C954" t="str">
        <f>CONCATENATE(Таблица258[[#This Row],[Столбец1]],Таблица258[[#This Row],[Столбец2]])</f>
        <v>1,543,59</v>
      </c>
      <c r="E954">
        <v>1.54</v>
      </c>
      <c r="F954">
        <v>3.59</v>
      </c>
      <c r="G954" t="str">
        <f>CONCATENATE(Таблица271[[#This Row],[Столбец1]],Таблица271[[#This Row],[Столбец2]])</f>
        <v>1,543,59</v>
      </c>
    </row>
    <row r="955" spans="1:7" x14ac:dyDescent="0.25">
      <c r="A955">
        <v>1.54</v>
      </c>
      <c r="B955">
        <v>3.59</v>
      </c>
      <c r="C955" t="str">
        <f>CONCATENATE(Таблица258[[#This Row],[Столбец1]],Таблица258[[#This Row],[Столбец2]])</f>
        <v>1,543,59</v>
      </c>
      <c r="E955">
        <v>1.54</v>
      </c>
      <c r="F955">
        <v>3.59</v>
      </c>
      <c r="G955" t="str">
        <f>CONCATENATE(Таблица271[[#This Row],[Столбец1]],Таблица271[[#This Row],[Столбец2]])</f>
        <v>1,543,59</v>
      </c>
    </row>
    <row r="956" spans="1:7" x14ac:dyDescent="0.25">
      <c r="A956">
        <v>1.54</v>
      </c>
      <c r="B956">
        <v>3.59</v>
      </c>
      <c r="C956" t="str">
        <f>CONCATENATE(Таблица258[[#This Row],[Столбец1]],Таблица258[[#This Row],[Столбец2]])</f>
        <v>1,543,59</v>
      </c>
      <c r="E956">
        <v>1.54</v>
      </c>
      <c r="F956">
        <v>3.59</v>
      </c>
      <c r="G956" t="str">
        <f>CONCATENATE(Таблица271[[#This Row],[Столбец1]],Таблица271[[#This Row],[Столбец2]])</f>
        <v>1,543,59</v>
      </c>
    </row>
    <row r="957" spans="1:7" x14ac:dyDescent="0.25">
      <c r="A957">
        <v>1.54</v>
      </c>
      <c r="B957">
        <v>3.59</v>
      </c>
      <c r="C957" t="str">
        <f>CONCATENATE(Таблица258[[#This Row],[Столбец1]],Таблица258[[#This Row],[Столбец2]])</f>
        <v>1,543,59</v>
      </c>
      <c r="E957">
        <v>1.54</v>
      </c>
      <c r="F957">
        <v>3.59</v>
      </c>
      <c r="G957" t="str">
        <f>CONCATENATE(Таблица271[[#This Row],[Столбец1]],Таблица271[[#This Row],[Столбец2]])</f>
        <v>1,543,59</v>
      </c>
    </row>
    <row r="958" spans="1:7" x14ac:dyDescent="0.25">
      <c r="A958">
        <v>1.54</v>
      </c>
      <c r="B958">
        <v>3.59</v>
      </c>
      <c r="C958" t="str">
        <f>CONCATENATE(Таблица258[[#This Row],[Столбец1]],Таблица258[[#This Row],[Столбец2]])</f>
        <v>1,543,59</v>
      </c>
      <c r="E958">
        <v>1.54</v>
      </c>
      <c r="F958">
        <v>3.59</v>
      </c>
      <c r="G958" t="str">
        <f>CONCATENATE(Таблица271[[#This Row],[Столбец1]],Таблица271[[#This Row],[Столбец2]])</f>
        <v>1,543,59</v>
      </c>
    </row>
    <row r="959" spans="1:7" x14ac:dyDescent="0.25">
      <c r="A959">
        <v>1.54</v>
      </c>
      <c r="B959">
        <v>3.59</v>
      </c>
      <c r="C959" t="str">
        <f>CONCATENATE(Таблица258[[#This Row],[Столбец1]],Таблица258[[#This Row],[Столбец2]])</f>
        <v>1,543,59</v>
      </c>
      <c r="E959">
        <v>1.54</v>
      </c>
      <c r="F959">
        <v>3.59</v>
      </c>
      <c r="G959" t="str">
        <f>CONCATENATE(Таблица271[[#This Row],[Столбец1]],Таблица271[[#This Row],[Столбец2]])</f>
        <v>1,543,59</v>
      </c>
    </row>
    <row r="960" spans="1:7" x14ac:dyDescent="0.25">
      <c r="A960">
        <v>1.47</v>
      </c>
      <c r="B960">
        <v>3.6</v>
      </c>
      <c r="C960" t="str">
        <f>CONCATENATE(Таблица258[[#This Row],[Столбец1]],Таблица258[[#This Row],[Столбец2]])</f>
        <v>1,473,6</v>
      </c>
      <c r="E960">
        <v>1.47</v>
      </c>
      <c r="F960">
        <v>3.6</v>
      </c>
      <c r="G960" t="str">
        <f>CONCATENATE(Таблица271[[#This Row],[Столбец1]],Таблица271[[#This Row],[Столбец2]])</f>
        <v>1,473,6</v>
      </c>
    </row>
    <row r="961" spans="1:7" x14ac:dyDescent="0.25">
      <c r="A961">
        <v>1.47</v>
      </c>
      <c r="B961">
        <v>3.6</v>
      </c>
      <c r="C961" t="str">
        <f>CONCATENATE(Таблица258[[#This Row],[Столбец1]],Таблица258[[#This Row],[Столбец2]])</f>
        <v>1,473,6</v>
      </c>
      <c r="E961">
        <v>1.47</v>
      </c>
      <c r="F961">
        <v>3.6</v>
      </c>
      <c r="G961" t="str">
        <f>CONCATENATE(Таблица271[[#This Row],[Столбец1]],Таблица271[[#This Row],[Столбец2]])</f>
        <v>1,473,6</v>
      </c>
    </row>
    <row r="962" spans="1:7" x14ac:dyDescent="0.25">
      <c r="A962">
        <v>1.47</v>
      </c>
      <c r="B962">
        <v>3.6</v>
      </c>
      <c r="C962" t="str">
        <f>CONCATENATE(Таблица258[[#This Row],[Столбец1]],Таблица258[[#This Row],[Столбец2]])</f>
        <v>1,473,6</v>
      </c>
      <c r="E962">
        <v>1.47</v>
      </c>
      <c r="F962">
        <v>3.6</v>
      </c>
      <c r="G962" t="str">
        <f>CONCATENATE(Таблица271[[#This Row],[Столбец1]],Таблица271[[#This Row],[Столбец2]])</f>
        <v>1,473,6</v>
      </c>
    </row>
    <row r="963" spans="1:7" x14ac:dyDescent="0.25">
      <c r="A963">
        <v>1.47</v>
      </c>
      <c r="B963">
        <v>3.6</v>
      </c>
      <c r="C963" t="str">
        <f>CONCATENATE(Таблица258[[#This Row],[Столбец1]],Таблица258[[#This Row],[Столбец2]])</f>
        <v>1,473,6</v>
      </c>
      <c r="E963">
        <v>1.47</v>
      </c>
      <c r="F963">
        <v>3.6</v>
      </c>
      <c r="G963" t="str">
        <f>CONCATENATE(Таблица271[[#This Row],[Столбец1]],Таблица271[[#This Row],[Столбец2]])</f>
        <v>1,473,6</v>
      </c>
    </row>
    <row r="964" spans="1:7" x14ac:dyDescent="0.25">
      <c r="A964">
        <v>1.47</v>
      </c>
      <c r="B964">
        <v>3.6</v>
      </c>
      <c r="C964" t="str">
        <f>CONCATENATE(Таблица258[[#This Row],[Столбец1]],Таблица258[[#This Row],[Столбец2]])</f>
        <v>1,473,6</v>
      </c>
      <c r="E964">
        <v>1.47</v>
      </c>
      <c r="F964">
        <v>3.6</v>
      </c>
      <c r="G964" t="str">
        <f>CONCATENATE(Таблица271[[#This Row],[Столбец1]],Таблица271[[#This Row],[Столбец2]])</f>
        <v>1,473,6</v>
      </c>
    </row>
    <row r="965" spans="1:7" x14ac:dyDescent="0.25">
      <c r="A965">
        <v>1.47</v>
      </c>
      <c r="B965">
        <v>3.6</v>
      </c>
      <c r="C965" t="str">
        <f>CONCATENATE(Таблица258[[#This Row],[Столбец1]],Таблица258[[#This Row],[Столбец2]])</f>
        <v>1,473,6</v>
      </c>
      <c r="E965">
        <v>1.47</v>
      </c>
      <c r="F965">
        <v>3.6</v>
      </c>
      <c r="G965" t="str">
        <f>CONCATENATE(Таблица271[[#This Row],[Столбец1]],Таблица271[[#This Row],[Столбец2]])</f>
        <v>1,473,6</v>
      </c>
    </row>
    <row r="966" spans="1:7" x14ac:dyDescent="0.25">
      <c r="A966">
        <v>1.48</v>
      </c>
      <c r="B966">
        <v>3.6</v>
      </c>
      <c r="C966" t="str">
        <f>CONCATENATE(Таблица258[[#This Row],[Столбец1]],Таблица258[[#This Row],[Столбец2]])</f>
        <v>1,483,6</v>
      </c>
      <c r="E966">
        <v>1.48</v>
      </c>
      <c r="F966">
        <v>3.6</v>
      </c>
      <c r="G966" t="str">
        <f>CONCATENATE(Таблица271[[#This Row],[Столбец1]],Таблица271[[#This Row],[Столбец2]])</f>
        <v>1,483,6</v>
      </c>
    </row>
    <row r="967" spans="1:7" x14ac:dyDescent="0.25">
      <c r="A967">
        <v>1.48</v>
      </c>
      <c r="B967">
        <v>3.6</v>
      </c>
      <c r="C967" t="str">
        <f>CONCATENATE(Таблица258[[#This Row],[Столбец1]],Таблица258[[#This Row],[Столбец2]])</f>
        <v>1,483,6</v>
      </c>
      <c r="E967">
        <v>1.48</v>
      </c>
      <c r="F967">
        <v>3.6</v>
      </c>
      <c r="G967" t="str">
        <f>CONCATENATE(Таблица271[[#This Row],[Столбец1]],Таблица271[[#This Row],[Столбец2]])</f>
        <v>1,483,6</v>
      </c>
    </row>
    <row r="968" spans="1:7" x14ac:dyDescent="0.25">
      <c r="A968">
        <v>1.48</v>
      </c>
      <c r="B968">
        <v>3.6</v>
      </c>
      <c r="C968" t="str">
        <f>CONCATENATE(Таблица258[[#This Row],[Столбец1]],Таблица258[[#This Row],[Столбец2]])</f>
        <v>1,483,6</v>
      </c>
      <c r="E968">
        <v>1.48</v>
      </c>
      <c r="F968">
        <v>3.6</v>
      </c>
      <c r="G968" t="str">
        <f>CONCATENATE(Таблица271[[#This Row],[Столбец1]],Таблица271[[#This Row],[Столбец2]])</f>
        <v>1,483,6</v>
      </c>
    </row>
    <row r="969" spans="1:7" x14ac:dyDescent="0.25">
      <c r="A969">
        <v>1.48</v>
      </c>
      <c r="B969">
        <v>3.6</v>
      </c>
      <c r="C969" t="str">
        <f>CONCATENATE(Таблица258[[#This Row],[Столбец1]],Таблица258[[#This Row],[Столбец2]])</f>
        <v>1,483,6</v>
      </c>
      <c r="E969">
        <v>1.48</v>
      </c>
      <c r="F969">
        <v>3.6</v>
      </c>
      <c r="G969" t="str">
        <f>CONCATENATE(Таблица271[[#This Row],[Столбец1]],Таблица271[[#This Row],[Столбец2]])</f>
        <v>1,483,6</v>
      </c>
    </row>
    <row r="970" spans="1:7" x14ac:dyDescent="0.25">
      <c r="A970">
        <v>1.48</v>
      </c>
      <c r="B970">
        <v>3.6</v>
      </c>
      <c r="C970" t="str">
        <f>CONCATENATE(Таблица258[[#This Row],[Столбец1]],Таблица258[[#This Row],[Столбец2]])</f>
        <v>1,483,6</v>
      </c>
      <c r="E970">
        <v>1.48</v>
      </c>
      <c r="F970">
        <v>3.6</v>
      </c>
      <c r="G970" t="str">
        <f>CONCATENATE(Таблица271[[#This Row],[Столбец1]],Таблица271[[#This Row],[Столбец2]])</f>
        <v>1,483,6</v>
      </c>
    </row>
    <row r="971" spans="1:7" x14ac:dyDescent="0.25">
      <c r="A971">
        <v>1.48</v>
      </c>
      <c r="B971">
        <v>3.6</v>
      </c>
      <c r="C971" t="str">
        <f>CONCATENATE(Таблица258[[#This Row],[Столбец1]],Таблица258[[#This Row],[Столбец2]])</f>
        <v>1,483,6</v>
      </c>
      <c r="E971">
        <v>1.48</v>
      </c>
      <c r="F971">
        <v>3.6</v>
      </c>
      <c r="G971" t="str">
        <f>CONCATENATE(Таблица271[[#This Row],[Столбец1]],Таблица271[[#This Row],[Столбец2]])</f>
        <v>1,483,6</v>
      </c>
    </row>
    <row r="972" spans="1:7" x14ac:dyDescent="0.25">
      <c r="A972">
        <v>1.52</v>
      </c>
      <c r="B972">
        <v>3.6</v>
      </c>
      <c r="C972" t="str">
        <f>CONCATENATE(Таблица258[[#This Row],[Столбец1]],Таблица258[[#This Row],[Столбец2]])</f>
        <v>1,523,6</v>
      </c>
      <c r="E972">
        <v>1.52</v>
      </c>
      <c r="F972">
        <v>3.6</v>
      </c>
      <c r="G972" t="str">
        <f>CONCATENATE(Таблица271[[#This Row],[Столбец1]],Таблица271[[#This Row],[Столбец2]])</f>
        <v>1,523,6</v>
      </c>
    </row>
    <row r="973" spans="1:7" x14ac:dyDescent="0.25">
      <c r="A973">
        <v>1.52</v>
      </c>
      <c r="B973">
        <v>3.6</v>
      </c>
      <c r="C973" t="str">
        <f>CONCATENATE(Таблица258[[#This Row],[Столбец1]],Таблица258[[#This Row],[Столбец2]])</f>
        <v>1,523,6</v>
      </c>
      <c r="E973">
        <v>1.52</v>
      </c>
      <c r="F973">
        <v>3.6</v>
      </c>
      <c r="G973" t="str">
        <f>CONCATENATE(Таблица271[[#This Row],[Столбец1]],Таблица271[[#This Row],[Столбец2]])</f>
        <v>1,523,6</v>
      </c>
    </row>
    <row r="974" spans="1:7" x14ac:dyDescent="0.25">
      <c r="A974">
        <v>1.52</v>
      </c>
      <c r="B974">
        <v>3.6</v>
      </c>
      <c r="C974" t="str">
        <f>CONCATENATE(Таблица258[[#This Row],[Столбец1]],Таблица258[[#This Row],[Столбец2]])</f>
        <v>1,523,6</v>
      </c>
      <c r="E974">
        <v>1.52</v>
      </c>
      <c r="F974">
        <v>3.6</v>
      </c>
      <c r="G974" t="str">
        <f>CONCATENATE(Таблица271[[#This Row],[Столбец1]],Таблица271[[#This Row],[Столбец2]])</f>
        <v>1,523,6</v>
      </c>
    </row>
    <row r="975" spans="1:7" x14ac:dyDescent="0.25">
      <c r="A975">
        <v>1.52</v>
      </c>
      <c r="B975">
        <v>3.6</v>
      </c>
      <c r="C975" t="str">
        <f>CONCATENATE(Таблица258[[#This Row],[Столбец1]],Таблица258[[#This Row],[Столбец2]])</f>
        <v>1,523,6</v>
      </c>
      <c r="E975">
        <v>1.52</v>
      </c>
      <c r="F975">
        <v>3.6</v>
      </c>
      <c r="G975" t="str">
        <f>CONCATENATE(Таблица271[[#This Row],[Столбец1]],Таблица271[[#This Row],[Столбец2]])</f>
        <v>1,523,6</v>
      </c>
    </row>
    <row r="976" spans="1:7" x14ac:dyDescent="0.25">
      <c r="A976">
        <v>1.52</v>
      </c>
      <c r="B976">
        <v>3.6</v>
      </c>
      <c r="C976" t="str">
        <f>CONCATENATE(Таблица258[[#This Row],[Столбец1]],Таблица258[[#This Row],[Столбец2]])</f>
        <v>1,523,6</v>
      </c>
      <c r="E976">
        <v>1.52</v>
      </c>
      <c r="F976">
        <v>3.6</v>
      </c>
      <c r="G976" t="str">
        <f>CONCATENATE(Таблица271[[#This Row],[Столбец1]],Таблица271[[#This Row],[Столбец2]])</f>
        <v>1,523,6</v>
      </c>
    </row>
    <row r="977" spans="1:7" x14ac:dyDescent="0.25">
      <c r="A977">
        <v>1.52</v>
      </c>
      <c r="B977">
        <v>3.6</v>
      </c>
      <c r="C977" t="str">
        <f>CONCATENATE(Таблица258[[#This Row],[Столбец1]],Таблица258[[#This Row],[Столбец2]])</f>
        <v>1,523,6</v>
      </c>
      <c r="E977">
        <v>1.52</v>
      </c>
      <c r="F977">
        <v>3.6</v>
      </c>
      <c r="G977" t="str">
        <f>CONCATENATE(Таблица271[[#This Row],[Столбец1]],Таблица271[[#This Row],[Столбец2]])</f>
        <v>1,523,6</v>
      </c>
    </row>
    <row r="978" spans="1:7" x14ac:dyDescent="0.25">
      <c r="A978">
        <v>1.53</v>
      </c>
      <c r="B978">
        <v>3.6</v>
      </c>
      <c r="C978" t="str">
        <f>CONCATENATE(Таблица258[[#This Row],[Столбец1]],Таблица258[[#This Row],[Столбец2]])</f>
        <v>1,533,6</v>
      </c>
      <c r="E978">
        <v>1.53</v>
      </c>
      <c r="F978">
        <v>3.6</v>
      </c>
      <c r="G978" t="str">
        <f>CONCATENATE(Таблица271[[#This Row],[Столбец1]],Таблица271[[#This Row],[Столбец2]])</f>
        <v>1,533,6</v>
      </c>
    </row>
    <row r="979" spans="1:7" x14ac:dyDescent="0.25">
      <c r="A979">
        <v>1.53</v>
      </c>
      <c r="B979">
        <v>3.6</v>
      </c>
      <c r="C979" t="str">
        <f>CONCATENATE(Таблица258[[#This Row],[Столбец1]],Таблица258[[#This Row],[Столбец2]])</f>
        <v>1,533,6</v>
      </c>
      <c r="E979">
        <v>1.53</v>
      </c>
      <c r="F979">
        <v>3.6</v>
      </c>
      <c r="G979" t="str">
        <f>CONCATENATE(Таблица271[[#This Row],[Столбец1]],Таблица271[[#This Row],[Столбец2]])</f>
        <v>1,533,6</v>
      </c>
    </row>
    <row r="980" spans="1:7" x14ac:dyDescent="0.25">
      <c r="A980">
        <v>1.53</v>
      </c>
      <c r="B980">
        <v>3.6</v>
      </c>
      <c r="C980" t="str">
        <f>CONCATENATE(Таблица258[[#This Row],[Столбец1]],Таблица258[[#This Row],[Столбец2]])</f>
        <v>1,533,6</v>
      </c>
      <c r="E980">
        <v>1.53</v>
      </c>
      <c r="F980">
        <v>3.6</v>
      </c>
      <c r="G980" t="str">
        <f>CONCATENATE(Таблица271[[#This Row],[Столбец1]],Таблица271[[#This Row],[Столбец2]])</f>
        <v>1,533,6</v>
      </c>
    </row>
    <row r="981" spans="1:7" x14ac:dyDescent="0.25">
      <c r="A981">
        <v>1.53</v>
      </c>
      <c r="B981">
        <v>3.6</v>
      </c>
      <c r="C981" t="str">
        <f>CONCATENATE(Таблица258[[#This Row],[Столбец1]],Таблица258[[#This Row],[Столбец2]])</f>
        <v>1,533,6</v>
      </c>
      <c r="E981">
        <v>1.53</v>
      </c>
      <c r="F981">
        <v>3.6</v>
      </c>
      <c r="G981" t="str">
        <f>CONCATENATE(Таблица271[[#This Row],[Столбец1]],Таблица271[[#This Row],[Столбец2]])</f>
        <v>1,533,6</v>
      </c>
    </row>
    <row r="982" spans="1:7" x14ac:dyDescent="0.25">
      <c r="A982">
        <v>1.53</v>
      </c>
      <c r="B982">
        <v>3.6</v>
      </c>
      <c r="C982" t="str">
        <f>CONCATENATE(Таблица258[[#This Row],[Столбец1]],Таблица258[[#This Row],[Столбец2]])</f>
        <v>1,533,6</v>
      </c>
      <c r="E982">
        <v>1.53</v>
      </c>
      <c r="F982">
        <v>3.6</v>
      </c>
      <c r="G982" t="str">
        <f>CONCATENATE(Таблица271[[#This Row],[Столбец1]],Таблица271[[#This Row],[Столбец2]])</f>
        <v>1,533,6</v>
      </c>
    </row>
    <row r="983" spans="1:7" x14ac:dyDescent="0.25">
      <c r="A983">
        <v>1.53</v>
      </c>
      <c r="B983">
        <v>3.6</v>
      </c>
      <c r="C983" t="str">
        <f>CONCATENATE(Таблица258[[#This Row],[Столбец1]],Таблица258[[#This Row],[Столбец2]])</f>
        <v>1,533,6</v>
      </c>
      <c r="E983">
        <v>1.53</v>
      </c>
      <c r="F983">
        <v>3.6</v>
      </c>
      <c r="G983" t="str">
        <f>CONCATENATE(Таблица271[[#This Row],[Столбец1]],Таблица271[[#This Row],[Столбец2]])</f>
        <v>1,533,6</v>
      </c>
    </row>
    <row r="984" spans="1:7" x14ac:dyDescent="0.25">
      <c r="A984">
        <v>1.49</v>
      </c>
      <c r="B984">
        <v>3.61</v>
      </c>
      <c r="C984" t="str">
        <f>CONCATENATE(Таблица258[[#This Row],[Столбец1]],Таблица258[[#This Row],[Столбец2]])</f>
        <v>1,493,61</v>
      </c>
      <c r="E984">
        <v>1.49</v>
      </c>
      <c r="F984">
        <v>3.61</v>
      </c>
      <c r="G984" t="str">
        <f>CONCATENATE(Таблица271[[#This Row],[Столбец1]],Таблица271[[#This Row],[Столбец2]])</f>
        <v>1,493,61</v>
      </c>
    </row>
    <row r="985" spans="1:7" x14ac:dyDescent="0.25">
      <c r="A985">
        <v>1.49</v>
      </c>
      <c r="B985">
        <v>3.61</v>
      </c>
      <c r="C985" t="str">
        <f>CONCATENATE(Таблица258[[#This Row],[Столбец1]],Таблица258[[#This Row],[Столбец2]])</f>
        <v>1,493,61</v>
      </c>
      <c r="E985">
        <v>1.49</v>
      </c>
      <c r="F985">
        <v>3.61</v>
      </c>
      <c r="G985" t="str">
        <f>CONCATENATE(Таблица271[[#This Row],[Столбец1]],Таблица271[[#This Row],[Столбец2]])</f>
        <v>1,493,61</v>
      </c>
    </row>
    <row r="986" spans="1:7" x14ac:dyDescent="0.25">
      <c r="A986">
        <v>1.49</v>
      </c>
      <c r="B986">
        <v>3.61</v>
      </c>
      <c r="C986" t="str">
        <f>CONCATENATE(Таблица258[[#This Row],[Столбец1]],Таблица258[[#This Row],[Столбец2]])</f>
        <v>1,493,61</v>
      </c>
      <c r="E986">
        <v>1.49</v>
      </c>
      <c r="F986">
        <v>3.61</v>
      </c>
      <c r="G986" t="str">
        <f>CONCATENATE(Таблица271[[#This Row],[Столбец1]],Таблица271[[#This Row],[Столбец2]])</f>
        <v>1,493,61</v>
      </c>
    </row>
    <row r="987" spans="1:7" x14ac:dyDescent="0.25">
      <c r="A987">
        <v>1.49</v>
      </c>
      <c r="B987">
        <v>3.61</v>
      </c>
      <c r="C987" t="str">
        <f>CONCATENATE(Таблица258[[#This Row],[Столбец1]],Таблица258[[#This Row],[Столбец2]])</f>
        <v>1,493,61</v>
      </c>
      <c r="E987">
        <v>1.49</v>
      </c>
      <c r="F987">
        <v>3.61</v>
      </c>
      <c r="G987" t="str">
        <f>CONCATENATE(Таблица271[[#This Row],[Столбец1]],Таблица271[[#This Row],[Столбец2]])</f>
        <v>1,493,61</v>
      </c>
    </row>
    <row r="988" spans="1:7" x14ac:dyDescent="0.25">
      <c r="A988">
        <v>1.49</v>
      </c>
      <c r="B988">
        <v>3.61</v>
      </c>
      <c r="C988" t="str">
        <f>CONCATENATE(Таблица258[[#This Row],[Столбец1]],Таблица258[[#This Row],[Столбец2]])</f>
        <v>1,493,61</v>
      </c>
      <c r="E988">
        <v>1.49</v>
      </c>
      <c r="F988">
        <v>3.61</v>
      </c>
      <c r="G988" t="str">
        <f>CONCATENATE(Таблица271[[#This Row],[Столбец1]],Таблица271[[#This Row],[Столбец2]])</f>
        <v>1,493,61</v>
      </c>
    </row>
    <row r="989" spans="1:7" x14ac:dyDescent="0.25">
      <c r="A989">
        <v>1.49</v>
      </c>
      <c r="B989">
        <v>3.61</v>
      </c>
      <c r="C989" t="str">
        <f>CONCATENATE(Таблица258[[#This Row],[Столбец1]],Таблица258[[#This Row],[Столбец2]])</f>
        <v>1,493,61</v>
      </c>
      <c r="E989">
        <v>1.49</v>
      </c>
      <c r="F989">
        <v>3.61</v>
      </c>
      <c r="G989" t="str">
        <f>CONCATENATE(Таблица271[[#This Row],[Столбец1]],Таблица271[[#This Row],[Столбец2]])</f>
        <v>1,493,61</v>
      </c>
    </row>
    <row r="990" spans="1:7" x14ac:dyDescent="0.25">
      <c r="A990">
        <v>1.51</v>
      </c>
      <c r="B990">
        <v>3.61</v>
      </c>
      <c r="C990" t="str">
        <f>CONCATENATE(Таблица258[[#This Row],[Столбец1]],Таблица258[[#This Row],[Столбец2]])</f>
        <v>1,513,61</v>
      </c>
      <c r="E990">
        <v>1.51</v>
      </c>
      <c r="F990">
        <v>3.61</v>
      </c>
      <c r="G990" t="str">
        <f>CONCATENATE(Таблица271[[#This Row],[Столбец1]],Таблица271[[#This Row],[Столбец2]])</f>
        <v>1,513,61</v>
      </c>
    </row>
    <row r="991" spans="1:7" x14ac:dyDescent="0.25">
      <c r="A991">
        <v>1.51</v>
      </c>
      <c r="B991">
        <v>3.61</v>
      </c>
      <c r="C991" t="str">
        <f>CONCATENATE(Таблица258[[#This Row],[Столбец1]],Таблица258[[#This Row],[Столбец2]])</f>
        <v>1,513,61</v>
      </c>
      <c r="E991">
        <v>1.51</v>
      </c>
      <c r="F991">
        <v>3.61</v>
      </c>
      <c r="G991" t="str">
        <f>CONCATENATE(Таблица271[[#This Row],[Столбец1]],Таблица271[[#This Row],[Столбец2]])</f>
        <v>1,513,61</v>
      </c>
    </row>
    <row r="992" spans="1:7" x14ac:dyDescent="0.25">
      <c r="A992">
        <v>1.51</v>
      </c>
      <c r="B992">
        <v>3.61</v>
      </c>
      <c r="C992" t="str">
        <f>CONCATENATE(Таблица258[[#This Row],[Столбец1]],Таблица258[[#This Row],[Столбец2]])</f>
        <v>1,513,61</v>
      </c>
      <c r="E992">
        <v>1.51</v>
      </c>
      <c r="F992">
        <v>3.61</v>
      </c>
      <c r="G992" t="str">
        <f>CONCATENATE(Таблица271[[#This Row],[Столбец1]],Таблица271[[#This Row],[Столбец2]])</f>
        <v>1,513,61</v>
      </c>
    </row>
    <row r="993" spans="1:7" x14ac:dyDescent="0.25">
      <c r="A993">
        <v>1.51</v>
      </c>
      <c r="B993">
        <v>3.61</v>
      </c>
      <c r="C993" t="str">
        <f>CONCATENATE(Таблица258[[#This Row],[Столбец1]],Таблица258[[#This Row],[Столбец2]])</f>
        <v>1,513,61</v>
      </c>
      <c r="E993">
        <v>1.51</v>
      </c>
      <c r="F993">
        <v>3.61</v>
      </c>
      <c r="G993" t="str">
        <f>CONCATENATE(Таблица271[[#This Row],[Столбец1]],Таблица271[[#This Row],[Столбец2]])</f>
        <v>1,513,61</v>
      </c>
    </row>
    <row r="994" spans="1:7" x14ac:dyDescent="0.25">
      <c r="A994">
        <v>1.51</v>
      </c>
      <c r="B994">
        <v>3.61</v>
      </c>
      <c r="C994" t="str">
        <f>CONCATENATE(Таблица258[[#This Row],[Столбец1]],Таблица258[[#This Row],[Столбец2]])</f>
        <v>1,513,61</v>
      </c>
      <c r="E994">
        <v>1.51</v>
      </c>
      <c r="F994">
        <v>3.61</v>
      </c>
      <c r="G994" t="str">
        <f>CONCATENATE(Таблица271[[#This Row],[Столбец1]],Таблица271[[#This Row],[Столбец2]])</f>
        <v>1,513,61</v>
      </c>
    </row>
    <row r="995" spans="1:7" x14ac:dyDescent="0.25">
      <c r="A995">
        <v>1.51</v>
      </c>
      <c r="B995">
        <v>3.61</v>
      </c>
      <c r="C995" t="str">
        <f>CONCATENATE(Таблица258[[#This Row],[Столбец1]],Таблица258[[#This Row],[Столбец2]])</f>
        <v>1,513,61</v>
      </c>
      <c r="E995">
        <v>1.51</v>
      </c>
      <c r="F995">
        <v>3.61</v>
      </c>
      <c r="G995" t="str">
        <f>CONCATENATE(Таблица271[[#This Row],[Столбец1]],Таблица271[[#This Row],[Столбец2]])</f>
        <v>1,513,61</v>
      </c>
    </row>
    <row r="996" spans="1:7" x14ac:dyDescent="0.25">
      <c r="A996">
        <v>1.5</v>
      </c>
      <c r="B996">
        <v>3.62</v>
      </c>
      <c r="C996" t="str">
        <f>CONCATENATE(Таблица258[[#This Row],[Столбец1]],Таблица258[[#This Row],[Столбец2]])</f>
        <v>1,53,62</v>
      </c>
      <c r="E996">
        <v>1.5</v>
      </c>
      <c r="F996">
        <v>3.62</v>
      </c>
      <c r="G996" t="str">
        <f>CONCATENATE(Таблица271[[#This Row],[Столбец1]],Таблица271[[#This Row],[Столбец2]])</f>
        <v>1,53,62</v>
      </c>
    </row>
    <row r="997" spans="1:7" x14ac:dyDescent="0.25">
      <c r="A997">
        <v>1.5</v>
      </c>
      <c r="B997">
        <v>3.62</v>
      </c>
      <c r="C997" t="str">
        <f>CONCATENATE(Таблица258[[#This Row],[Столбец1]],Таблица258[[#This Row],[Столбец2]])</f>
        <v>1,53,62</v>
      </c>
      <c r="E997">
        <v>1.5</v>
      </c>
      <c r="F997">
        <v>3.62</v>
      </c>
      <c r="G997" t="str">
        <f>CONCATENATE(Таблица271[[#This Row],[Столбец1]],Таблица271[[#This Row],[Столбец2]])</f>
        <v>1,53,62</v>
      </c>
    </row>
    <row r="998" spans="1:7" x14ac:dyDescent="0.25">
      <c r="A998">
        <v>1.5</v>
      </c>
      <c r="B998">
        <v>3.62</v>
      </c>
      <c r="C998" t="str">
        <f>CONCATENATE(Таблица258[[#This Row],[Столбец1]],Таблица258[[#This Row],[Столбец2]])</f>
        <v>1,53,62</v>
      </c>
      <c r="E998">
        <v>1.5</v>
      </c>
      <c r="F998">
        <v>3.62</v>
      </c>
      <c r="G998" t="str">
        <f>CONCATENATE(Таблица271[[#This Row],[Столбец1]],Таблица271[[#This Row],[Столбец2]])</f>
        <v>1,53,62</v>
      </c>
    </row>
    <row r="999" spans="1:7" x14ac:dyDescent="0.25">
      <c r="A999">
        <v>1.5</v>
      </c>
      <c r="B999">
        <v>3.62</v>
      </c>
      <c r="C999" t="str">
        <f>CONCATENATE(Таблица258[[#This Row],[Столбец1]],Таблица258[[#This Row],[Столбец2]])</f>
        <v>1,53,62</v>
      </c>
      <c r="E999">
        <v>1.5</v>
      </c>
      <c r="F999">
        <v>3.62</v>
      </c>
      <c r="G999" t="str">
        <f>CONCATENATE(Таблица271[[#This Row],[Столбец1]],Таблица271[[#This Row],[Столбец2]])</f>
        <v>1,53,62</v>
      </c>
    </row>
    <row r="1000" spans="1:7" x14ac:dyDescent="0.25">
      <c r="A1000">
        <v>1.5</v>
      </c>
      <c r="B1000">
        <v>3.62</v>
      </c>
      <c r="C1000" t="str">
        <f>CONCATENATE(Таблица258[[#This Row],[Столбец1]],Таблица258[[#This Row],[Столбец2]])</f>
        <v>1,53,62</v>
      </c>
      <c r="E1000">
        <v>1.5</v>
      </c>
      <c r="F1000">
        <v>3.62</v>
      </c>
      <c r="G1000" t="str">
        <f>CONCATENATE(Таблица271[[#This Row],[Столбец1]],Таблица271[[#This Row],[Столбец2]])</f>
        <v>1,53,62</v>
      </c>
    </row>
    <row r="1001" spans="1:7" x14ac:dyDescent="0.25">
      <c r="A1001">
        <v>1.5</v>
      </c>
      <c r="B1001">
        <v>3.62</v>
      </c>
      <c r="C1001" t="str">
        <f>CONCATENATE(Таблица258[[#This Row],[Столбец1]],Таблица258[[#This Row],[Столбец2]])</f>
        <v>1,53,62</v>
      </c>
      <c r="E1001">
        <v>1.5</v>
      </c>
      <c r="F1001">
        <v>3.62</v>
      </c>
      <c r="G1001" t="str">
        <f>CONCATENATE(Таблица271[[#This Row],[Столбец1]],Таблица271[[#This Row],[Столбец2]])</f>
        <v>1,53,62</v>
      </c>
    </row>
  </sheetData>
  <phoneticPr fontId="31" type="noConversion"/>
  <conditionalFormatting sqref="C2:C1001">
    <cfRule type="duplicateValues" dxfId="24" priority="1"/>
  </conditionalFormatting>
  <pageMargins left="0.7" right="0.7" top="0.75" bottom="0.75" header="0.3" footer="0.3"/>
  <pageSetup paperSize="9" orientation="portrait" horizontalDpi="300" verticalDpi="300"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411"/>
  <dimension ref="B1:L28"/>
  <sheetViews>
    <sheetView topLeftCell="A9" zoomScale="130" zoomScaleNormal="130" workbookViewId="0">
      <selection activeCell="L19" sqref="L19"/>
    </sheetView>
  </sheetViews>
  <sheetFormatPr defaultColWidth="9.140625" defaultRowHeight="15" outlineLevelRow="1" x14ac:dyDescent="0.25"/>
  <cols>
    <col min="1" max="1" width="9.140625" customWidth="1"/>
    <col min="2" max="2" width="4.7109375" customWidth="1"/>
    <col min="3" max="3" width="11.85546875" customWidth="1"/>
    <col min="4" max="4" width="10.85546875" customWidth="1"/>
    <col min="5" max="6" width="8.85546875" hidden="1" customWidth="1"/>
    <col min="7" max="7" width="19.85546875" hidden="1" customWidth="1"/>
    <col min="8" max="8" width="6.85546875" hidden="1" customWidth="1"/>
    <col min="9" max="9" width="9.140625" customWidth="1"/>
    <col min="10" max="13" width="11.28515625" customWidth="1"/>
    <col min="14" max="14" width="6" customWidth="1"/>
  </cols>
  <sheetData>
    <row r="1" spans="2:12" hidden="1" outlineLevel="1" x14ac:dyDescent="0.25">
      <c r="D1" s="124" t="s">
        <v>461</v>
      </c>
      <c r="E1" s="124" t="s">
        <v>461</v>
      </c>
      <c r="F1" s="124" t="s">
        <v>461</v>
      </c>
      <c r="H1" s="124" t="s">
        <v>461</v>
      </c>
    </row>
    <row r="2" spans="2:12" hidden="1" outlineLevel="1" x14ac:dyDescent="0.25">
      <c r="C2" t="s">
        <v>364</v>
      </c>
      <c r="E2">
        <f>ROWS(Свёртка_Подбор_2[])</f>
        <v>6</v>
      </c>
    </row>
    <row r="3" spans="2:12" hidden="1" outlineLevel="1" x14ac:dyDescent="0.25">
      <c r="C3" t="s">
        <v>365</v>
      </c>
      <c r="E3">
        <f ca="1">COUNTIF(Свёртка_Подбор_2[Свёртка],"&gt;=1")-COUNTIF(Свёртка_Подбор_2[Свёртка],"&gt;4")</f>
        <v>1</v>
      </c>
    </row>
    <row r="4" spans="2:12" hidden="1" outlineLevel="1" x14ac:dyDescent="0.25">
      <c r="C4" t="s">
        <v>447</v>
      </c>
      <c r="E4">
        <f ca="1">COUNTIF(Свёртка_Подбор_2[O.K.Свёртка],1)</f>
        <v>1</v>
      </c>
    </row>
    <row r="5" spans="2:12" hidden="1" outlineLevel="1" x14ac:dyDescent="0.25"/>
    <row r="6" spans="2:12" hidden="1" outlineLevel="1" x14ac:dyDescent="0.25">
      <c r="D6">
        <f>C6+1</f>
        <v>1</v>
      </c>
      <c r="E6">
        <f>D6+1</f>
        <v>2</v>
      </c>
      <c r="F6">
        <f t="shared" ref="F6:H8" si="0">E6+1</f>
        <v>3</v>
      </c>
      <c r="G6">
        <f t="shared" si="0"/>
        <v>4</v>
      </c>
      <c r="H6">
        <v>-3</v>
      </c>
    </row>
    <row r="7" spans="2:12" hidden="1" outlineLevel="1" x14ac:dyDescent="0.25">
      <c r="D7">
        <f>C7+1</f>
        <v>1</v>
      </c>
      <c r="E7">
        <f>D7+1</f>
        <v>2</v>
      </c>
      <c r="F7">
        <f t="shared" si="0"/>
        <v>3</v>
      </c>
      <c r="G7">
        <f t="shared" si="0"/>
        <v>4</v>
      </c>
      <c r="H7">
        <v>0</v>
      </c>
    </row>
    <row r="8" spans="2:12" ht="15.75" hidden="1" outlineLevel="1" thickBot="1" x14ac:dyDescent="0.3">
      <c r="G8">
        <f t="shared" si="0"/>
        <v>1</v>
      </c>
      <c r="H8">
        <f t="shared" si="0"/>
        <v>2</v>
      </c>
    </row>
    <row r="9" spans="2:12" ht="15.75" outlineLevel="1" thickBot="1" x14ac:dyDescent="0.3"/>
    <row r="10" spans="2:12" ht="15.75" thickBot="1" x14ac:dyDescent="0.3">
      <c r="B10" s="88" t="s">
        <v>395</v>
      </c>
      <c r="C10" s="89" t="s">
        <v>411</v>
      </c>
      <c r="D10" s="89" t="s">
        <v>414</v>
      </c>
      <c r="E10" s="89" t="s">
        <v>412</v>
      </c>
      <c r="F10" s="89" t="s">
        <v>413</v>
      </c>
      <c r="G10" s="89" t="s">
        <v>456</v>
      </c>
      <c r="H10" s="89" t="s">
        <v>457</v>
      </c>
      <c r="I10" s="89" t="s">
        <v>448</v>
      </c>
      <c r="J10" s="89" t="s">
        <v>415</v>
      </c>
    </row>
    <row r="11" spans="2:12" x14ac:dyDescent="0.25">
      <c r="B11" s="66">
        <f ca="1">IF(AND(Свёртка_Подбор_2[[#This Row],[Свёртка]]&lt;&gt;"",Свёртка_Подбор_2[[#This Row],[O.K.Свёртка]]=1),ROW()-ROW(Свёртка_Подбор_2[[#Headers],[№]]),"")</f>
        <v>1</v>
      </c>
      <c r="C11" s="84">
        <f ca="1">Модель!CF5</f>
        <v>2.63</v>
      </c>
      <c r="D11" s="85"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Модель!R5C84</v>
      </c>
      <c r="E11" s="85" t="str">
        <f ca="1">IFERROR(_xlfn.FORMULATEXT(INDIRECT(Свёртка_Подбор_2[[#This Row],[ССвёртка]],FALSE)),"ошибка")</f>
        <v>=Матрица_Расчёт</v>
      </c>
      <c r="F11" s="85" t="str">
        <f ca="1">IFERROR(IF(LEFT(Свёртка_Подбор_2[[#This Row],[ФСвёртка]],5)="=Прив","ошибка",IF(LEFT(Свёртка_Подбор_2[[#This Row],[ФСвёртка]],5)="=Матр","Свёртка","ошибка")),"ошибка")</f>
        <v>Свёртка</v>
      </c>
      <c r="G11" s="123">
        <f ca="1">IFERROR(IF(LEN((INDIRECT(Свёртка_Подбор_2[[#This Row],[СНаименование]],FALSE)))=0,"ошибка",IFERROR(INDIRECT(Свёртка_Подбор_2[[#This Row],[СНаименование]],FALSE),"ошибка")),"ошибка")</f>
        <v>0</v>
      </c>
      <c r="H11" s="123"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Модель!R2C84</v>
      </c>
      <c r="I11" s="84">
        <v>3.28</v>
      </c>
      <c r="J11" s="67">
        <f ca="1">IF(AND(Свёртка_Подбор_2[[#This Row],[ВидСвёртка]]="Свёртка",LEN(Свёртка_Подбор_2[[#This Row],[Искомое]])&lt;&gt;0,AND(Свёртка_Подбор_2[[#This Row],[Искомое]]&gt;=1,Свёртка_Подбор_2[[#This Row],[Искомое]]&lt;=4)),1,-1)</f>
        <v>1</v>
      </c>
    </row>
    <row r="12" spans="2:12" x14ac:dyDescent="0.25">
      <c r="B12" s="66" t="str">
        <f ca="1">IF(AND(Свёртка_Подбор_2[[#This Row],[Свёртка]]&lt;&gt;"",Свёртка_Подбор_2[[#This Row],[O.K.Свёртка]]=1),ROW()-ROW(Свёртка_Подбор_2[[#Headers],[№]]),"")</f>
        <v/>
      </c>
      <c r="C12" s="84"/>
      <c r="D12"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2" s="38" t="str">
        <f ca="1">IFERROR(_xlfn.FORMULATEXT(INDIRECT(Свёртка_Подбор_2[[#This Row],[ССвёртка]],FALSE)),"ошибка")</f>
        <v>ошибка</v>
      </c>
      <c r="F12" t="str">
        <f ca="1">IFERROR(IF(LEFT(Свёртка_Подбор_2[[#This Row],[ФСвёртка]],5)="=Прив","ошибка",IF(LEFT(Свёртка_Подбор_2[[#This Row],[ФСвёртка]],5)="=Матр","Свёртка","ошибка")),"ошибка")</f>
        <v>ошибка</v>
      </c>
      <c r="G12" t="str">
        <f ca="1">IFERROR(IF(LEN((INDIRECT(Свёртка_Подбор_2[[#This Row],[СНаименование]],FALSE)))=0,"ошибка",IFERROR(INDIRECT(Свёртка_Подбор_2[[#This Row],[СНаименование]],FALSE),"ошибка")),"ошибка")</f>
        <v>ошибка</v>
      </c>
      <c r="H12"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2" s="84"/>
      <c r="J12" s="67">
        <f ca="1">IF(AND(Свёртка_Подбор_2[[#This Row],[ВидСвёртка]]="Свёртка",LEN(Свёртка_Подбор_2[[#This Row],[Искомое]])&lt;&gt;0,AND(Свёртка_Подбор_2[[#This Row],[Искомое]]&gt;=1,Свёртка_Подбор_2[[#This Row],[Искомое]]&lt;=4)),1,-1)</f>
        <v>-1</v>
      </c>
    </row>
    <row r="13" spans="2:12" x14ac:dyDescent="0.25">
      <c r="B13" s="131" t="str">
        <f ca="1">IF(AND(Свёртка_Подбор_2[[#This Row],[Свёртка]]&lt;&gt;"",Свёртка_Подбор_2[[#This Row],[O.K.Свёртка]]=1),ROW()-ROW(Свёртка_Подбор_2[[#Headers],[№]]),"")</f>
        <v/>
      </c>
      <c r="C13" s="84"/>
      <c r="D13"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3" s="38" t="str">
        <f ca="1">IFERROR(_xlfn.FORMULATEXT(INDIRECT(Свёртка_Подбор_2[[#This Row],[ССвёртка]],FALSE)),"ошибка")</f>
        <v>ошибка</v>
      </c>
      <c r="F13" t="str">
        <f ca="1">IFERROR(IF(LEFT(Свёртка_Подбор_2[[#This Row],[ФСвёртка]],5)="=Прив","ошибка",IF(LEFT(Свёртка_Подбор_2[[#This Row],[ФСвёртка]],5)="=Матр","Свёртка","ошибка")),"ошибка")</f>
        <v>ошибка</v>
      </c>
      <c r="G13" t="str">
        <f ca="1">IFERROR(IF(LEN((INDIRECT(Свёртка_Подбор_2[[#This Row],[СНаименование]],FALSE)))=0,"ошибка",IFERROR(INDIRECT(Свёртка_Подбор_2[[#This Row],[СНаименование]],FALSE),"ошибка")),"ошибка")</f>
        <v>ошибка</v>
      </c>
      <c r="H13"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3" s="132"/>
      <c r="J13" s="67">
        <f ca="1">IF(AND(Свёртка_Подбор_2[[#This Row],[ВидСвёртка]]="Свёртка",LEN(Свёртка_Подбор_2[[#This Row],[Искомое]])&lt;&gt;0,AND(Свёртка_Подбор_2[[#This Row],[Искомое]]&gt;=1,Свёртка_Подбор_2[[#This Row],[Искомое]]&lt;=4)),1,-1)</f>
        <v>-1</v>
      </c>
    </row>
    <row r="14" spans="2:12" x14ac:dyDescent="0.25">
      <c r="B14" s="131" t="str">
        <f ca="1">IF(AND(Свёртка_Подбор_2[[#This Row],[Свёртка]]&lt;&gt;"",Свёртка_Подбор_2[[#This Row],[O.K.Свёртка]]=1),ROW()-ROW(Свёртка_Подбор_2[[#Headers],[№]]),"")</f>
        <v/>
      </c>
      <c r="C14" s="84"/>
      <c r="D14"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4" s="38" t="str">
        <f ca="1">IFERROR(_xlfn.FORMULATEXT(INDIRECT(Свёртка_Подбор_2[[#This Row],[ССвёртка]],FALSE)),"ошибка")</f>
        <v>ошибка</v>
      </c>
      <c r="F14" t="str">
        <f ca="1">IFERROR(IF(LEFT(Свёртка_Подбор_2[[#This Row],[ФСвёртка]],5)="=Прив","ошибка",IF(LEFT(Свёртка_Подбор_2[[#This Row],[ФСвёртка]],5)="=Матр","Свёртка","ошибка")),"ошибка")</f>
        <v>ошибка</v>
      </c>
      <c r="G14" t="str">
        <f ca="1">IFERROR(IF(LEN((INDIRECT(Свёртка_Подбор_2[[#This Row],[СНаименование]],FALSE)))=0,"ошибка",IFERROR(INDIRECT(Свёртка_Подбор_2[[#This Row],[СНаименование]],FALSE),"ошибка")),"ошибка")</f>
        <v>ошибка</v>
      </c>
      <c r="H14"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4" s="132"/>
      <c r="J14" s="67">
        <f ca="1">IF(AND(Свёртка_Подбор_2[[#This Row],[ВидСвёртка]]="Свёртка",LEN(Свёртка_Подбор_2[[#This Row],[Искомое]])&lt;&gt;0,AND(Свёртка_Подбор_2[[#This Row],[Искомое]]&gt;=1,Свёртка_Подбор_2[[#This Row],[Искомое]]&lt;=4)),1,-1)</f>
        <v>-1</v>
      </c>
    </row>
    <row r="15" spans="2:12" x14ac:dyDescent="0.25">
      <c r="B15" s="131" t="str">
        <f ca="1">IF(AND(Свёртка_Подбор_2[[#This Row],[Свёртка]]&lt;&gt;"",Свёртка_Подбор_2[[#This Row],[O.K.Свёртка]]=1),ROW()-ROW(Свёртка_Подбор_2[[#Headers],[№]]),"")</f>
        <v/>
      </c>
      <c r="C15" s="84"/>
      <c r="D15"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5" s="38" t="str">
        <f ca="1">IFERROR(_xlfn.FORMULATEXT(INDIRECT(Свёртка_Подбор_2[[#This Row],[ССвёртка]],FALSE)),"ошибка")</f>
        <v>ошибка</v>
      </c>
      <c r="F15" t="str">
        <f ca="1">IFERROR(IF(LEFT(Свёртка_Подбор_2[[#This Row],[ФСвёртка]],5)="=Прив","ошибка",IF(LEFT(Свёртка_Подбор_2[[#This Row],[ФСвёртка]],5)="=Матр","Свёртка","ошибка")),"ошибка")</f>
        <v>ошибка</v>
      </c>
      <c r="G15" t="str">
        <f ca="1">IFERROR(IF(LEN((INDIRECT(Свёртка_Подбор_2[[#This Row],[СНаименование]],FALSE)))=0,"ошибка",IFERROR(INDIRECT(Свёртка_Подбор_2[[#This Row],[СНаименование]],FALSE),"ошибка")),"ошибка")</f>
        <v>ошибка</v>
      </c>
      <c r="H15"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5" s="132"/>
      <c r="J15" s="67">
        <f ca="1">IF(AND(Свёртка_Подбор_2[[#This Row],[ВидСвёртка]]="Свёртка",LEN(Свёртка_Подбор_2[[#This Row],[Искомое]])&lt;&gt;0,AND(Свёртка_Подбор_2[[#This Row],[Искомое]]&gt;=1,Свёртка_Подбор_2[[#This Row],[Искомое]]&lt;=4)),1,-1)</f>
        <v>-1</v>
      </c>
      <c r="L15" s="192"/>
    </row>
    <row r="16" spans="2:12" x14ac:dyDescent="0.25">
      <c r="B16" s="131" t="str">
        <f ca="1">IF(AND(Свёртка_Подбор_2[[#This Row],[Свёртка]]&lt;&gt;"",Свёртка_Подбор_2[[#This Row],[O.K.Свёртка]]=1),ROW()-ROW(Свёртка_Подбор_2[[#Headers],[№]]),"")</f>
        <v/>
      </c>
      <c r="C16" s="84"/>
      <c r="D16"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6" s="38" t="str">
        <f ca="1">IFERROR(_xlfn.FORMULATEXT(INDIRECT(Свёртка_Подбор_2[[#This Row],[ССвёртка]],FALSE)),"ошибка")</f>
        <v>ошибка</v>
      </c>
      <c r="F16" t="str">
        <f ca="1">IFERROR(IF(LEFT(Свёртка_Подбор_2[[#This Row],[ФСвёртка]],5)="=Прив","ошибка",IF(LEFT(Свёртка_Подбор_2[[#This Row],[ФСвёртка]],5)="=Матр","Свёртка","ошибка")),"ошибка")</f>
        <v>ошибка</v>
      </c>
      <c r="G16" t="str">
        <f ca="1">IFERROR(IF(LEN((INDIRECT(Свёртка_Подбор_2[[#This Row],[СНаименование]],FALSE)))=0,"ошибка",IFERROR(INDIRECT(Свёртка_Подбор_2[[#This Row],[СНаименование]],FALSE),"ошибка")),"ошибка")</f>
        <v>ошибка</v>
      </c>
      <c r="H16"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6" s="132"/>
      <c r="J16" s="67">
        <f ca="1">IF(AND(Свёртка_Подбор_2[[#This Row],[ВидСвёртка]]="Свёртка",LEN(Свёртка_Подбор_2[[#This Row],[Искомое]])&lt;&gt;0,AND(Свёртка_Подбор_2[[#This Row],[Искомое]]&gt;=1,Свёртка_Подбор_2[[#This Row],[Искомое]]&lt;=4)),1,-1)</f>
        <v>-1</v>
      </c>
      <c r="L16" s="192" t="s">
        <v>586</v>
      </c>
    </row>
    <row r="17" spans="10:12" x14ac:dyDescent="0.25">
      <c r="L17" s="192" t="s">
        <v>586</v>
      </c>
    </row>
    <row r="18" spans="10:12" x14ac:dyDescent="0.25">
      <c r="L18" s="192" t="s">
        <v>586</v>
      </c>
    </row>
    <row r="19" spans="10:12" x14ac:dyDescent="0.25">
      <c r="L19" s="192" t="s">
        <v>586</v>
      </c>
    </row>
    <row r="28" spans="10:12" x14ac:dyDescent="0.25">
      <c r="J28" s="210"/>
    </row>
  </sheetData>
  <dataConsolidate link="1"/>
  <phoneticPr fontId="31" type="noConversion"/>
  <conditionalFormatting sqref="C11:C16">
    <cfRule type="cellIs" dxfId="23" priority="3" operator="notBetween">
      <formula>1</formula>
      <formula>4</formula>
    </cfRule>
  </conditionalFormatting>
  <conditionalFormatting sqref="J11:J16">
    <cfRule type="iconSet" priority="2">
      <iconSet showValue="0">
        <cfvo type="percent" val="0"/>
        <cfvo type="num" val="0"/>
        <cfvo type="num" val="1"/>
      </iconSet>
    </cfRule>
  </conditionalFormatting>
  <conditionalFormatting sqref="I11:I16">
    <cfRule type="cellIs" dxfId="22" priority="1" operator="notBetween">
      <formula>1</formula>
      <formula>4</formula>
    </cfRule>
  </conditionalFormatting>
  <dataValidations count="1">
    <dataValidation type="decimal" allowBlank="1" showInputMessage="1" showErrorMessage="1" sqref="I11:I16" xr:uid="{00000000-0002-0000-0600-000000000000}">
      <formula1>0.999999999999999</formula1>
      <formula2>4</formula2>
    </dataValidation>
  </dataValidations>
  <pageMargins left="0.7" right="0.7" top="0.75" bottom="0.75" header="0.3" footer="0.3"/>
  <pageSetup paperSize="9"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1811"/>
  <dimension ref="B1:CJ12"/>
  <sheetViews>
    <sheetView topLeftCell="BP2" workbookViewId="0">
      <selection activeCell="CI10" sqref="CI10"/>
    </sheetView>
  </sheetViews>
  <sheetFormatPr defaultRowHeight="15" outlineLevelRow="2" x14ac:dyDescent="0.25"/>
  <cols>
    <col min="2" max="2" width="11.140625" customWidth="1"/>
    <col min="22" max="22" width="11.140625" customWidth="1"/>
  </cols>
  <sheetData>
    <row r="1" spans="2:88" outlineLevel="2" x14ac:dyDescent="0.25"/>
    <row r="2" spans="2:88" outlineLevel="2" x14ac:dyDescent="0.25">
      <c r="C2" t="s">
        <v>364</v>
      </c>
      <c r="E2">
        <f>ROWS(Критерий_Перебор_2_20170709140117[])</f>
        <v>3</v>
      </c>
      <c r="W2" t="s">
        <v>364</v>
      </c>
      <c r="Y2">
        <f>ROWS(Свёртка_Перебор_2_20170709140117[])</f>
        <v>2</v>
      </c>
    </row>
    <row r="3" spans="2:88" outlineLevel="2" x14ac:dyDescent="0.25">
      <c r="C3" t="s">
        <v>365</v>
      </c>
      <c r="E3">
        <f>COUNTIF(Критерий_Перебор_2_20170709140117[Критерий],"&gt;=1")-COUNTIF(Критерий_Перебор_2_20170709140117[Критерий],"&gt;4")</f>
        <v>0</v>
      </c>
      <c r="W3" t="s">
        <v>365</v>
      </c>
      <c r="Y3">
        <f>COUNTIF(Свёртка_Перебор_2_20170709140117[Свёртка],"&gt;=1")-COUNTIF(Свёртка_Перебор_2_20170709140117[Свёртка],"&gt;4")</f>
        <v>0</v>
      </c>
    </row>
    <row r="4" spans="2:88" outlineLevel="2" x14ac:dyDescent="0.25">
      <c r="C4" t="s">
        <v>447</v>
      </c>
      <c r="E4">
        <f ca="1">COUNTIF(Критерий_Перебор_2_20170709140117[O.K.Критерий],1)</f>
        <v>0</v>
      </c>
      <c r="W4" t="s">
        <v>447</v>
      </c>
      <c r="Y4">
        <f>COUNTIF(Свёртка_Перебор_2_20170709140117[ССВ_3_1_kolvo],1)</f>
        <v>0</v>
      </c>
    </row>
    <row r="5" spans="2:88" outlineLevel="2" x14ac:dyDescent="0.25"/>
    <row r="6" spans="2:88" outlineLevel="2" x14ac:dyDescent="0.25">
      <c r="G6">
        <v>-2</v>
      </c>
      <c r="I6">
        <v>1</v>
      </c>
      <c r="K6">
        <v>-1</v>
      </c>
      <c r="N6">
        <v>1</v>
      </c>
      <c r="P6">
        <v>1</v>
      </c>
      <c r="R6">
        <v>1</v>
      </c>
      <c r="X6">
        <v>1</v>
      </c>
      <c r="Y6">
        <v>2</v>
      </c>
      <c r="Z6">
        <v>3</v>
      </c>
      <c r="AA6">
        <v>4</v>
      </c>
      <c r="AB6">
        <v>-3</v>
      </c>
      <c r="AD6">
        <v>0</v>
      </c>
      <c r="AI6">
        <v>-1</v>
      </c>
      <c r="AN6">
        <v>0</v>
      </c>
      <c r="AS6">
        <v>-1</v>
      </c>
      <c r="AX6">
        <v>-2</v>
      </c>
      <c r="BC6">
        <v>0</v>
      </c>
      <c r="BH6">
        <v>-2</v>
      </c>
      <c r="BM6">
        <v>-1</v>
      </c>
      <c r="BR6">
        <v>-2</v>
      </c>
      <c r="BX6">
        <v>-2</v>
      </c>
      <c r="CA6">
        <v>-1</v>
      </c>
    </row>
    <row r="7" spans="2:88" outlineLevel="2" x14ac:dyDescent="0.25">
      <c r="G7">
        <v>-3</v>
      </c>
      <c r="I7">
        <v>0</v>
      </c>
      <c r="K7">
        <v>-3</v>
      </c>
      <c r="N7">
        <v>-3</v>
      </c>
      <c r="P7">
        <v>-1</v>
      </c>
      <c r="R7">
        <v>-2</v>
      </c>
      <c r="X7">
        <v>1</v>
      </c>
      <c r="Y7">
        <v>2</v>
      </c>
      <c r="Z7">
        <v>3</v>
      </c>
      <c r="AA7">
        <v>4</v>
      </c>
      <c r="AB7">
        <v>0</v>
      </c>
      <c r="AD7">
        <v>3</v>
      </c>
      <c r="AI7">
        <v>3</v>
      </c>
      <c r="AN7">
        <v>2</v>
      </c>
      <c r="AS7">
        <v>2</v>
      </c>
      <c r="AX7">
        <v>3</v>
      </c>
      <c r="BC7">
        <v>1</v>
      </c>
      <c r="BH7">
        <v>2</v>
      </c>
      <c r="BM7">
        <v>1</v>
      </c>
      <c r="BR7">
        <v>1</v>
      </c>
      <c r="BX7">
        <v>0</v>
      </c>
      <c r="CA7">
        <v>0</v>
      </c>
    </row>
    <row r="8" spans="2:88" outlineLevel="2" x14ac:dyDescent="0.25">
      <c r="C8">
        <v>0</v>
      </c>
      <c r="D8">
        <v>1</v>
      </c>
      <c r="E8">
        <v>2</v>
      </c>
      <c r="F8">
        <v>3</v>
      </c>
      <c r="G8">
        <v>4</v>
      </c>
      <c r="H8">
        <v>5</v>
      </c>
      <c r="I8">
        <v>6</v>
      </c>
      <c r="J8">
        <v>7</v>
      </c>
      <c r="K8">
        <v>8</v>
      </c>
      <c r="L8">
        <v>9</v>
      </c>
      <c r="M8">
        <v>10</v>
      </c>
      <c r="N8">
        <v>11</v>
      </c>
      <c r="O8">
        <v>12</v>
      </c>
      <c r="P8">
        <v>13</v>
      </c>
      <c r="Q8">
        <v>14</v>
      </c>
      <c r="R8">
        <v>15</v>
      </c>
      <c r="S8">
        <v>16</v>
      </c>
      <c r="W8">
        <v>0</v>
      </c>
      <c r="X8">
        <v>1</v>
      </c>
      <c r="Y8">
        <v>2</v>
      </c>
      <c r="Z8">
        <v>3</v>
      </c>
      <c r="AA8">
        <v>4</v>
      </c>
      <c r="AB8">
        <v>5</v>
      </c>
      <c r="AC8">
        <v>6</v>
      </c>
      <c r="AD8">
        <v>7</v>
      </c>
      <c r="AE8">
        <v>8</v>
      </c>
      <c r="AF8">
        <v>9</v>
      </c>
      <c r="AG8">
        <v>10</v>
      </c>
      <c r="AH8">
        <v>11</v>
      </c>
      <c r="AI8">
        <v>12</v>
      </c>
      <c r="AJ8">
        <v>13</v>
      </c>
      <c r="AK8">
        <v>14</v>
      </c>
      <c r="AL8">
        <v>15</v>
      </c>
      <c r="AM8">
        <v>16</v>
      </c>
      <c r="AN8">
        <v>17</v>
      </c>
      <c r="AO8">
        <v>18</v>
      </c>
      <c r="AP8">
        <v>19</v>
      </c>
      <c r="AQ8">
        <v>20</v>
      </c>
      <c r="AR8">
        <v>21</v>
      </c>
      <c r="AS8">
        <v>22</v>
      </c>
      <c r="AT8">
        <v>23</v>
      </c>
      <c r="AU8">
        <v>24</v>
      </c>
      <c r="AV8">
        <v>25</v>
      </c>
      <c r="AW8">
        <v>26</v>
      </c>
      <c r="AX8">
        <v>27</v>
      </c>
      <c r="AY8">
        <v>28</v>
      </c>
      <c r="AZ8">
        <v>29</v>
      </c>
      <c r="BA8">
        <v>30</v>
      </c>
      <c r="BB8">
        <v>31</v>
      </c>
      <c r="BC8">
        <v>32</v>
      </c>
      <c r="BD8">
        <v>33</v>
      </c>
      <c r="BE8">
        <v>34</v>
      </c>
      <c r="BF8">
        <v>35</v>
      </c>
      <c r="BG8">
        <v>36</v>
      </c>
      <c r="BH8">
        <v>37</v>
      </c>
      <c r="BI8">
        <v>38</v>
      </c>
      <c r="BJ8">
        <v>39</v>
      </c>
      <c r="BK8">
        <v>40</v>
      </c>
      <c r="BL8">
        <v>41</v>
      </c>
      <c r="BM8">
        <v>42</v>
      </c>
      <c r="BN8">
        <v>43</v>
      </c>
      <c r="BO8">
        <v>44</v>
      </c>
      <c r="BP8">
        <v>45</v>
      </c>
      <c r="BQ8">
        <v>46</v>
      </c>
      <c r="BR8">
        <v>47</v>
      </c>
      <c r="BS8">
        <v>48</v>
      </c>
      <c r="BT8">
        <v>49</v>
      </c>
      <c r="BU8">
        <v>50</v>
      </c>
      <c r="BV8">
        <v>51</v>
      </c>
      <c r="BW8">
        <v>52</v>
      </c>
      <c r="BX8">
        <v>53</v>
      </c>
      <c r="BY8">
        <v>54</v>
      </c>
      <c r="BZ8">
        <v>55</v>
      </c>
      <c r="CA8">
        <v>56</v>
      </c>
      <c r="CB8">
        <v>57</v>
      </c>
      <c r="CC8">
        <v>58</v>
      </c>
      <c r="CD8">
        <v>59</v>
      </c>
      <c r="CE8">
        <v>60</v>
      </c>
      <c r="CF8">
        <v>61</v>
      </c>
      <c r="CG8">
        <v>62</v>
      </c>
      <c r="CH8">
        <v>63</v>
      </c>
      <c r="CI8">
        <v>64</v>
      </c>
      <c r="CJ8">
        <v>65</v>
      </c>
    </row>
    <row r="9" spans="2:88" x14ac:dyDescent="0.25">
      <c r="B9" t="s">
        <v>395</v>
      </c>
      <c r="C9" t="s">
        <v>396</v>
      </c>
      <c r="D9" t="s">
        <v>397</v>
      </c>
      <c r="E9" t="s">
        <v>409</v>
      </c>
      <c r="F9" t="s">
        <v>456</v>
      </c>
      <c r="G9" t="s">
        <v>457</v>
      </c>
      <c r="H9" t="s">
        <v>398</v>
      </c>
      <c r="I9" t="s">
        <v>399</v>
      </c>
      <c r="J9" t="s">
        <v>400</v>
      </c>
      <c r="K9" t="s">
        <v>401</v>
      </c>
      <c r="L9" t="s">
        <v>402</v>
      </c>
      <c r="M9" t="s">
        <v>403</v>
      </c>
      <c r="N9" t="s">
        <v>404</v>
      </c>
      <c r="O9" t="s">
        <v>405</v>
      </c>
      <c r="P9" t="s">
        <v>406</v>
      </c>
      <c r="Q9" t="s">
        <v>407</v>
      </c>
      <c r="R9" t="s">
        <v>408</v>
      </c>
      <c r="S9" t="s">
        <v>410</v>
      </c>
      <c r="V9" t="s">
        <v>395</v>
      </c>
      <c r="W9" t="s">
        <v>411</v>
      </c>
      <c r="X9" t="s">
        <v>414</v>
      </c>
      <c r="Y9" t="s">
        <v>412</v>
      </c>
      <c r="Z9" t="s">
        <v>413</v>
      </c>
      <c r="AA9" t="s">
        <v>456</v>
      </c>
      <c r="AB9" t="s">
        <v>457</v>
      </c>
      <c r="AC9" t="s">
        <v>475</v>
      </c>
      <c r="AD9" t="s">
        <v>478</v>
      </c>
      <c r="AE9" t="s">
        <v>519</v>
      </c>
      <c r="AF9" t="s">
        <v>537</v>
      </c>
      <c r="AG9" t="s">
        <v>520</v>
      </c>
      <c r="AH9" t="s">
        <v>476</v>
      </c>
      <c r="AI9" t="s">
        <v>479</v>
      </c>
      <c r="AJ9" t="s">
        <v>521</v>
      </c>
      <c r="AK9" t="s">
        <v>538</v>
      </c>
      <c r="AL9" t="s">
        <v>522</v>
      </c>
      <c r="AM9" t="s">
        <v>477</v>
      </c>
      <c r="AN9" t="s">
        <v>480</v>
      </c>
      <c r="AO9" t="s">
        <v>523</v>
      </c>
      <c r="AP9" t="s">
        <v>539</v>
      </c>
      <c r="AQ9" t="s">
        <v>524</v>
      </c>
      <c r="AR9" t="s">
        <v>481</v>
      </c>
      <c r="AS9" t="s">
        <v>482</v>
      </c>
      <c r="AT9" t="s">
        <v>525</v>
      </c>
      <c r="AU9" t="s">
        <v>540</v>
      </c>
      <c r="AV9" t="s">
        <v>526</v>
      </c>
      <c r="AW9" t="s">
        <v>483</v>
      </c>
      <c r="AX9" t="s">
        <v>484</v>
      </c>
      <c r="AY9" t="s">
        <v>527</v>
      </c>
      <c r="AZ9" t="s">
        <v>541</v>
      </c>
      <c r="BA9" t="s">
        <v>528</v>
      </c>
      <c r="BB9" t="s">
        <v>485</v>
      </c>
      <c r="BC9" t="s">
        <v>486</v>
      </c>
      <c r="BD9" t="s">
        <v>529</v>
      </c>
      <c r="BE9" t="s">
        <v>542</v>
      </c>
      <c r="BF9" t="s">
        <v>530</v>
      </c>
      <c r="BG9" t="s">
        <v>487</v>
      </c>
      <c r="BH9" t="s">
        <v>488</v>
      </c>
      <c r="BI9" t="s">
        <v>531</v>
      </c>
      <c r="BJ9" t="s">
        <v>543</v>
      </c>
      <c r="BK9" t="s">
        <v>532</v>
      </c>
      <c r="BL9" t="s">
        <v>489</v>
      </c>
      <c r="BM9" t="s">
        <v>490</v>
      </c>
      <c r="BN9" t="s">
        <v>533</v>
      </c>
      <c r="BO9" t="s">
        <v>544</v>
      </c>
      <c r="BP9" t="s">
        <v>534</v>
      </c>
      <c r="BQ9" t="s">
        <v>491</v>
      </c>
      <c r="BR9" t="s">
        <v>492</v>
      </c>
      <c r="BS9" t="s">
        <v>535</v>
      </c>
      <c r="BT9" t="s">
        <v>545</v>
      </c>
      <c r="BU9" t="s">
        <v>536</v>
      </c>
      <c r="BV9" t="s">
        <v>546</v>
      </c>
      <c r="BW9" t="s">
        <v>493</v>
      </c>
      <c r="BX9" t="s">
        <v>494</v>
      </c>
      <c r="BY9" t="s">
        <v>495</v>
      </c>
      <c r="BZ9" t="s">
        <v>496</v>
      </c>
      <c r="CA9" t="s">
        <v>497</v>
      </c>
      <c r="CB9" t="s">
        <v>498</v>
      </c>
      <c r="CC9" t="s">
        <v>415</v>
      </c>
      <c r="CD9" t="s">
        <v>561</v>
      </c>
      <c r="CE9" t="s">
        <v>559</v>
      </c>
      <c r="CF9" t="s">
        <v>560</v>
      </c>
      <c r="CG9" t="s">
        <v>558</v>
      </c>
      <c r="CH9" t="s">
        <v>562</v>
      </c>
      <c r="CI9" t="s">
        <v>557</v>
      </c>
      <c r="CJ9" t="s">
        <v>556</v>
      </c>
    </row>
    <row r="10" spans="2:88" x14ac:dyDescent="0.25">
      <c r="B10" t="e">
        <f ca="1">IF(AND(Критерий_Перебор_2_20170709140117[[#This Row],[Критерий]]&lt;&gt;"",Критерий_Перебор_2_20170709140117[[#This Row],[O.K.Критерий]]=1),ROW()-ROW(Критерий_Перебор_2_20170709140117[[#Headers],[№]]),"")</f>
        <v>#REF!</v>
      </c>
      <c r="C10" s="37" t="e">
        <f>Модель!#REF!</f>
        <v>#REF!</v>
      </c>
      <c r="D10" t="str">
        <f ca="1">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f>
        <v>ошибка</v>
      </c>
      <c r="E10" t="str">
        <f ca="1">IFERROR(IF(LEFT(Критерий_Перебор_2_20170709140117[[#This Row],[Фкритерий]],5)="=Прив","Критерий",IF(LEFT(Критерий_Перебор_2_20170709140117[[#This Row],[Фкритерий]],5)="=Матр","ошибка","ошибка")),"ошибка")</f>
        <v>ошибка</v>
      </c>
      <c r="F10" t="str">
        <f ca="1">IFERROR(IF(LEN((INDIRECT(Критерий_Перебор_2_20170709140117[[#This Row],[СНаименование]],FALSE)))=0,"ошибка",IFERROR(INDIRECT(Критерий_Перебор_2_20170709140117[[#This Row],[СНаименование]],FALSE),"ошибка")),"ошибка")</f>
        <v>ошибка</v>
      </c>
      <c r="G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f>
        <v>ошибка</v>
      </c>
      <c r="H10" t="str">
        <f ca="1">IFERROR(IF(N(INDIRECT(Критерий_Перебор_2_20170709140117[[#This Row],[СФизКритерий]],FALSE))=0,"ошибка",IFERROR(INDIRECT(Критерий_Перебор_2_20170709140117[[#This Row],[СФизКритерий]],FALSE),"ошибка")),"ошибка")</f>
        <v>ошибка</v>
      </c>
      <c r="I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f>
        <v>ошибка</v>
      </c>
      <c r="J10" t="str">
        <f ca="1">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f>
        <v>ошибка</v>
      </c>
      <c r="K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f>
        <v>ошибка</v>
      </c>
      <c r="L10" t="str">
        <f ca="1">IFERROR(_xlfn.FORMULATEXT(INDIRECT(Критерий_Перебор_2_20170709140117[[#This Row],[Скритерий]],FALSE)),"ошибка")</f>
        <v>ошибка</v>
      </c>
      <c r="M10" t="str">
        <f ca="1">IFERROR(IF(N(INDIRECT(Критерий_Перебор_2_20170709140117[[#This Row],[СМинФизКритерий]],FALSE))=0,"ошибка",IFERROR(INDIRECT(Критерий_Перебор_2_20170709140117[[#This Row],[СМинФизКритерий]],FALSE),"ошибка")),"ошибка")</f>
        <v>ошибка</v>
      </c>
      <c r="N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f>
        <v>ошибка</v>
      </c>
      <c r="O10" t="str">
        <f ca="1">IFERROR(IF(N(INDIRECT(Критерий_Перебор_2_20170709140117[[#This Row],[СМаксФизКритерий]],FALSE))=0,"ошибка",IFERROR(INDIRECT(Критерий_Перебор_2_20170709140117[[#This Row],[СМаксФизКритерий]],FALSE),"ошибка")),"ошибка")</f>
        <v>ошибка</v>
      </c>
      <c r="P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f>
        <v>ошибка</v>
      </c>
      <c r="Q10" t="str">
        <f ca="1">IFERROR(IF(N(INDIRECT(Критерий_Перебор_2_20170709140117[[#This Row],[ССрФизКритерий]],FALSE))=0,"ошибка",IFERROR(INDIRECT(Критерий_Перебор_2_20170709140117[[#This Row],[ССрФизКритерий]],FALSE),"ошибка")),"")</f>
        <v/>
      </c>
      <c r="R10" t="str">
        <f ca="1">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f>
        <v/>
      </c>
      <c r="S10" s="66">
        <f ca="1">IFERROR(IF(AND(Критерий_Перебор_2_20170709140117[[#This Row],[ВидКритерий]]="Критерий",Критерий_Перебор_2_20170709140117[[#This Row],[Фкритерий]]="=Приведение"),1,-1),-1)</f>
        <v>-1</v>
      </c>
      <c r="V10" t="e">
        <f ca="1">IF(AND(Свёртка_Перебор_2_20170709140117[[#This Row],[Свёртка]]&lt;&gt;"",Свёртка_Перебор_2_20170709140117[[#This Row],[O.K.Свёртка]]=1),ROW()-ROW(Свёртка_Перебор_2_20170709140117[[#Headers],[№]]),"")</f>
        <v>#REF!</v>
      </c>
      <c r="W10" s="146" t="e">
        <f>Модель!#REF!</f>
        <v>#REF!</v>
      </c>
      <c r="X10" t="str">
        <f ca="1">IFERROR(IF(AND(Свёртка_Перебор_2_20170709140117[[#This Row],[Свёртка]]&gt;=1,Свёртка_Перебор_2_20170709140117[[#This Row],[Свёртка]]&lt;=4),IF(IFERROR(FIND("!",_xlfn.FORMULATEXT(Свёртка_Перебор_2_20170709140117[[#This Row],[Свёртка]])),"на странице")="на странице",CONCATENATE("R",ROW((INDIRECT(RIGHT(_xlfn.FORMULATEXT(Свёртка_Перебор_2_20170709140117[[#This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Row],[Свёртка]]))-1),FALSE)))-X$6),CONCATENATE(RIGHT(LEFT(_xlfn.FORMULATEXT(Свёртка_Перебор_2_20170709140117[[#This Row],[Свёртка]]),FIND("!",_xlfn.FORMULATEXT(Свёртка_Перебор_2_20170709140117[[#This Row],[Свёртка]]))),LEN(LEFT(_xlfn.FORMULATEXT(Свёртка_Перебор_2_20170709140117[[#This Row],[Свёртка]]),FIND("!",_xlfn.FORMULATEXT(Свёртка_Перебор_2_20170709140117[[#This Row],[Свёртка]]))))-1),"R",ROW((INDIRECT(RIGHT(_xlfn.FORMULATEXT(Свёртка_Перебор_2_20170709140117[[#This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Row],[Свёртка]]))-1),FALSE)))-X$6)),"ошибка"),"ошибка")</f>
        <v>ошибка</v>
      </c>
      <c r="Y10" t="str">
        <f ca="1">IFERROR(_xlfn.FORMULATEXT(INDIRECT(Свёртка_Перебор_2_20170709140117[[#This Row],[ССвёртка]],FALSE)),"ошибка")</f>
        <v>ошибка</v>
      </c>
      <c r="Z10" t="str">
        <f ca="1">IFERROR(IF(LEFT(Свёртка_Перебор_2_20170709140117[[#This Row],[ФСвёртка]],5)="=Прив","ошибка",IF(LEFT(Свёртка_Перебор_2_20170709140117[[#This Row],[ФСвёртка]],5)="=Матр","Свёртка","ошибка")),"ошибка")</f>
        <v>ошибка</v>
      </c>
      <c r="AA10" t="str">
        <f ca="1">IFERROR(IF(LEN((INDIRECT(Свёртка_Перебор_2_20170709140117[[#This Row],[СНаименование]],FALSE)))=0,"ошибка",IFERROR(INDIRECT(Свёртка_Перебор_2_20170709140117[[#This Row],[СНаименование]],FALSE),"ошибка")),"ошибка")</f>
        <v>ошибка</v>
      </c>
      <c r="AB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Row],[ССвёртка]])))+AB$7),FIND("R",Свёртка_Перебор_2_20170709140117[[#This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Row],[ССвёртка]])))+AB$6),"ошибка")</f>
        <v>ошибка</v>
      </c>
      <c r="AC10" t="str">
        <f ca="1">IFERROR(IF(LEN((INDIRECT(Свёртка_Перебор_2_20170709140117[[#This Row],[ССВ_1_1]],FALSE)))=0,"ошибка",IFERROR(INDIRECT(Свёртка_Перебор_2_20170709140117[[#This Row],[ССВ_1_1]],FALSE),"ошибка")),"ошибка")</f>
        <v>ошибка</v>
      </c>
      <c r="AD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Row],[ССвёртка]])))+AD$7),FIND("R",Свёртка_Перебор_2_20170709140117[[#This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Row],[ССвёртка]])))+AD$6),"ошибка")</f>
        <v>ошибка</v>
      </c>
      <c r="AE10">
        <v>0</v>
      </c>
      <c r="AF10">
        <v>1</v>
      </c>
      <c r="AG10">
        <v>0</v>
      </c>
      <c r="AH10" t="str">
        <f ca="1">IFERROR(IF(LEN((INDIRECT(Свёртка_Перебор_2_20170709140117[[#This Row],[ССВ_2_1]],FALSE)))=0,"ошибка",IFERROR(INDIRECT(Свёртка_Перебор_2_20170709140117[[#This Row],[ССВ_2_1]],FALSE),"ошибка")),"ошибка")</f>
        <v>ошибка</v>
      </c>
      <c r="AI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Row],[ССвёртка]])))+AI$7),FIND("R",Свёртка_Перебор_2_20170709140117[[#This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Row],[ССвёртка]])))+AI$6),"ошибка")</f>
        <v>ошибка</v>
      </c>
      <c r="AJ10">
        <v>0</v>
      </c>
      <c r="AK10">
        <v>2</v>
      </c>
      <c r="AL10">
        <v>0</v>
      </c>
      <c r="AM10" t="str">
        <f ca="1">IFERROR(IF(LEN((INDIRECT(Свёртка_Перебор_2_20170709140117[[#This Row],[ССВ_1_2]],FALSE)))=0,"ошибка",IFERROR(INDIRECT(Свёртка_Перебор_2_20170709140117[[#This Row],[ССВ_1_2]],FALSE),"ошибка")),"ошибка")</f>
        <v>ошибка</v>
      </c>
      <c r="AN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Row],[ССвёртка]])))+AN$7),FIND("R",Свёртка_Перебор_2_20170709140117[[#This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Row],[ССвёртка]])))+AN$6),"ошибка")</f>
        <v>ошибка</v>
      </c>
      <c r="AO10">
        <v>0</v>
      </c>
      <c r="AP10">
        <v>2</v>
      </c>
      <c r="AQ10">
        <v>0</v>
      </c>
      <c r="AR10" t="str">
        <f ca="1">IFERROR(IF(LEN((INDIRECT(Свёртка_Перебор_2_20170709140117[[#This Row],[ССВ_2_2]],FALSE)))=0,"ошибка",IFERROR(INDIRECT(Свёртка_Перебор_2_20170709140117[[#This Row],[ССВ_2_2]],FALSE),"ошибка")),"ошибка")</f>
        <v>ошибка</v>
      </c>
      <c r="AS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Row],[ССвёртка]])))+AS$7),FIND("R",Свёртка_Перебор_2_20170709140117[[#This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Row],[ССвёртка]])))+AS$6),"ошибка")</f>
        <v>ошибка</v>
      </c>
      <c r="AT10">
        <v>0</v>
      </c>
      <c r="AU10">
        <v>2</v>
      </c>
      <c r="AV10">
        <v>0</v>
      </c>
      <c r="AW10" t="str">
        <f ca="1">IFERROR(IF(LEN((INDIRECT(Свёртка_Перебор_2_20170709140117[[#This Row],[ССВ_3_1]],FALSE)))=0,"ошибка",IFERROR(INDIRECT(Свёртка_Перебор_2_20170709140117[[#This Row],[ССВ_3_1]],FALSE),"ошибка")),"ошибка")</f>
        <v>ошибка</v>
      </c>
      <c r="AX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Row],[ССвёртка]])))+AX$6),"ошибка")</f>
        <v>ошибка</v>
      </c>
      <c r="AY10">
        <v>0</v>
      </c>
      <c r="AZ10">
        <v>2</v>
      </c>
      <c r="BA10">
        <v>0</v>
      </c>
      <c r="BB10" t="str">
        <f ca="1">IFERROR(IF(LEN((INDIRECT(Свёртка_Перебор_2_20170709140117[[#This Row],[ССВ_1_3]],FALSE)))=0,"ошибка",IFERROR(INDIRECT(Свёртка_Перебор_2_20170709140117[[#This Row],[ССВ_1_3]],FALSE),"ошибка")),"ошибка")</f>
        <v>ошибка</v>
      </c>
      <c r="BC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Row],[ССвёртка]])))+BC$7),FIND("R",Свёртка_Перебор_2_20170709140117[[#This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Row],[ССвёртка]])))+BC$6),"ошибка")</f>
        <v>ошибка</v>
      </c>
      <c r="BD10">
        <v>0</v>
      </c>
      <c r="BE10">
        <v>3</v>
      </c>
      <c r="BF10">
        <v>0</v>
      </c>
      <c r="BG10" t="str">
        <f ca="1">IFERROR(IF(LEN((INDIRECT(Свёртка_Перебор_2_20170709140117[[#This Row],[ССВ_3_2]],FALSE)))=0,"ошибка",IFERROR(INDIRECT(Свёртка_Перебор_2_20170709140117[[#This Row],[ССВ_3_2]],FALSE),"ошибка")),"ошибка")</f>
        <v>ошибка</v>
      </c>
      <c r="BH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Row],[ССвёртка]])))+BH$7),FIND("R",Свёртка_Перебор_2_20170709140117[[#This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Row],[ССвёртка]])))+BH$6),"ошибка")</f>
        <v>ошибка</v>
      </c>
      <c r="BI10">
        <v>0</v>
      </c>
      <c r="BJ10">
        <v>3</v>
      </c>
      <c r="BK10">
        <v>0</v>
      </c>
      <c r="BL10" t="str">
        <f ca="1">IFERROR(IF(LEN((INDIRECT(Свёртка_Перебор_2_20170709140117[[#This Row],[ССВ_2_3]],FALSE)))=0,"ошибка",IFERROR(INDIRECT(Свёртка_Перебор_2_20170709140117[[#This Row],[ССВ_2_3]],FALSE),"ошибка")),"ошибка")</f>
        <v>ошибка</v>
      </c>
      <c r="BM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Row],[ССвёртка]])))+BM$7),FIND("R",Свёртка_Перебор_2_20170709140117[[#This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Row],[ССвёртка]])))+BM$6),"ошибка")</f>
        <v>ошибка</v>
      </c>
      <c r="BN10">
        <v>0</v>
      </c>
      <c r="BO10">
        <v>3</v>
      </c>
      <c r="BP10">
        <v>0</v>
      </c>
      <c r="BQ10" t="str">
        <f ca="1">IFERROR(IF(LEN((INDIRECT(Свёртка_Перебор_2_20170709140117[[#This Row],[ССВ_3_3]],FALSE)))=0,"ошибка",IFERROR(INDIRECT(Свёртка_Перебор_2_20170709140117[[#This Row],[ССВ_3_3]],FALSE),"ошибка")),"ошибка")</f>
        <v>ошибка</v>
      </c>
      <c r="BR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Row],[ССвёртка]])))+BR$7),FIND("R",Свёртка_Перебор_2_20170709140117[[#This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Row],[ССвёртка]])))+BR$6),"ошибка")</f>
        <v>ошибка</v>
      </c>
      <c r="BS10">
        <v>0</v>
      </c>
      <c r="BT10">
        <v>3</v>
      </c>
      <c r="BU10">
        <v>0</v>
      </c>
      <c r="BV10">
        <f>Свёртка_Перебор_2_20170709140117[[#This Row],[ССВ_1_1_kolvo]]+Свёртка_Перебор_2_20170709140117[[#This Row],[ССВ_2_1_kolvo]]+Свёртка_Перебор_2_20170709140117[[#This Row],[ССВ_1_2_kolvo]]+Свёртка_Перебор_2_20170709140117[[#This Row],[ССВ_2_2_kolvo]]+Свёртка_Перебор_2_20170709140117[[#This Row],[ССВ_3_1_kolvo]]+Свёртка_Перебор_2_20170709140117[[#This Row],[ССВ_1_3_kolvo]]+Свёртка_Перебор_2_20170709140117[[#This Row],[ССВ_3_2_kolvo]]+Свёртка_Перебор_2_20170709140117[[#This Row],[ССВ_2_3_kolvo]]+Свёртка_Перебор_2_20170709140117[[#This Row],[ССВ_3_3_kolvo]]</f>
        <v>0</v>
      </c>
      <c r="BW10" t="str">
        <f ca="1">IFERROR(IF(LEN((INDIRECT(Свёртка_Перебор_2_20170709140117[[#This Row],[СЛ]],FALSE)))=0,"ошибка",IFERROR(INDIRECT(Свёртка_Перебор_2_20170709140117[[#This Row],[СЛ]],FALSE),"ошибка")),"ошибка")</f>
        <v>ошибка</v>
      </c>
      <c r="BX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Row],[ССвёртка]])))+BX$6),"ошибка")</f>
        <v>ошибка</v>
      </c>
      <c r="BY10" t="str">
        <f ca="1">IFERROR(_xlfn.FORMULATEXT(INDIRECT(Свёртка_Перебор_2_20170709140117[[#This Row],[СЛ]],FALSE)),"ошибка")</f>
        <v>ошибка</v>
      </c>
      <c r="BZ10" t="str">
        <f ca="1">IFERROR(IF(LEN((INDIRECT(Свёртка_Перебор_2_20170709140117[[#This Row],[СП]],FALSE)))=0,"ошибка",IFERROR(INDIRECT(Свёртка_Перебор_2_20170709140117[[#This Row],[СП]],FALSE),"ошибка")),"ошибка")</f>
        <v>ошибка</v>
      </c>
      <c r="CA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Row],[ССвёртка]])))+CA$7),FIND("R",Свёртка_Перебор_2_20170709140117[[#This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Row],[ССвёртка]])))+CA$6),"ошибка")</f>
        <v>ошибка</v>
      </c>
      <c r="CB10" t="str">
        <f ca="1">IFERROR(_xlfn.FORMULATEXT(INDIRECT(Свёртка_Перебор_2_20170709140117[[#This Row],[СП]],FALSE)),"ошибка")</f>
        <v>ошибка</v>
      </c>
      <c r="CC10">
        <f ca="1">IF(AND(Свёртка_Перебор_2_20170709140117[[#This Row],[ВидСвёртка]]="Свёртка",CONCATENATE(LEFT(Свёртка_Перебор_2_20170709140117[[#This Row],[СВ_1_1]],1),LEFT(Свёртка_Перебор_2_20170709140117[[#This Row],[СВ_2_1]],1),LEFT(Свёртка_Перебор_2_20170709140117[[#This Row],[СВ_1_2]],1),LEFT(Свёртка_Перебор_2_20170709140117[[#This Row],[СВ_2_2]],1),LEFT(Свёртка_Перебор_2_20170709140117[[#This Row],[СВ_3_1]],1),LEFT(Свёртка_Перебор_2_20170709140117[[#This Row],[СВ_1_3]],1),LEFT(Свёртка_Перебор_2_20170709140117[[#This Row],[СВ_3_2]],1),LEFT(Свёртка_Перебор_2_20170709140117[[#This Row],[СВ_2_3]],1),LEFT(Свёртка_Перебор_2_20170709140117[[#This Row],[СВ_3_3]],1))="FFFFFFFFF",AND(Свёртка_Перебор_2_20170709140117[[#This Row],[Л]]&gt;=1,Свёртка_Перебор_2_20170709140117[[#This Row],[Л]]&lt;=4),AND(Свёртка_Перебор_2_20170709140117[[#This Row],[П]]&gt;=1,Свёртка_Перебор_2_20170709140117[[#This Row],[П]]&lt;=4)),1,-1)</f>
        <v>-1</v>
      </c>
      <c r="CE10" t="e">
        <f ca="1">_xlfn.NUMBERVALUE(MID(Свёртка_Перебор_2_20170709140117[[#This Row],[ССвёртка]],SEARCH("R",Свёртка_Перебор_2_20170709140117[[#This Row],[ССвёртка]])+1,SEARCH("C",Свёртка_Перебор_2_20170709140117[[#This Row],[ССвёртка]])-SEARCH("R",Свёртка_Перебор_2_20170709140117[[#This Row],[ССвёртка]])-1))</f>
        <v>#VALUE!</v>
      </c>
      <c r="CF10" t="e">
        <f ca="1">_xlfn.NUMBERVALUE(MID(Свёртка_Перебор_2_20170709140117[[#This Row],[ССвёртка]],SEARCH("C",Свёртка_Перебор_2_20170709140117[[#This Row],[ССвёртка]])+1,LEN(Свёртка_Перебор_2_20170709140117[[#This Row],[ССвёртка]])-SEARCH("C",Свёртка_Перебор_2_20170709140117[[#This Row],[ССвёртка]])))</f>
        <v>#VALUE!</v>
      </c>
      <c r="CG10" t="str">
        <f ca="1">IF(ISERR(SEARCH("!",Свёртка_Перебор_2_20170709140117[[#This Row],[ССвёртка]])),"",LEFT(Свёртка_Перебор_2_20170709140117[[#This Row],[ССвёртка]],SEARCH("!",Свёртка_Перебор_2_20170709140117[[#This Row],[ССвёртка]])))</f>
        <v/>
      </c>
      <c r="CH10" t="str">
        <f ca="1">Свёртка_Перебор_2_20170709140117[[#This Row],[ССвёртка]]</f>
        <v>ошибка</v>
      </c>
      <c r="CI10" t="e">
        <f ca="1">IF(SUM(IF(SUM(LOOKUP(--RIGHT(OFFSET(INDIRECT(Свёртка_Перебор_2_20170709140117[[#This Row],[ССвёртка]],FALSE),-2,1)),{0,1,2,3,4,5},{0,1,1,0,1,1.5}),LOOKUP(--RIGHT(OFFSET(INDIRECT(Свёртка_Перебор_2_20170709140117[[#This Row],[ССвёртка]],FALSE),-1,1)),{0,1,2,3,4,5},{0,1,1,0,1,1.5}),LOOKUP(--RIGHT(OFFSET(INDIRECT(Свёртка_Перебор_2_20170709140117[[#This Row],[ССвёртка]],FALSE),0,1)),{0,1,2,3,4,5},{0,1,1,0,1,1.5}))&gt;4,1,0),IF(SUM(LOOKUP(--RIGHT(OFFSET(INDIRECT(Свёртка_Перебор_2_20170709140117[[#This Row],[ССвёртка]],FALSE),-2,2)),{0,1,2,3,4,5},{0,1,1,0,1,1.5}),LOOKUP(--RIGHT(OFFSET(INDIRECT(Свёртка_Перебор_2_20170709140117[[#This Row],[ССвёртка]],FALSE),-1,2)),{0,1,2,3,4,5},{0,1,1,0,1,1.5}),LOOKUP(--RIGHT(OFFSET(INDIRECT(Свёртка_Перебор_2_20170709140117[[#This Row],[ССвёртка]],FALSE),0,2)),{0,1,2,3,4,5},{0,1,1,0,1,1.5}))&gt;4,1,0),IF(SUM(LOOKUP(--RIGHT(OFFSET(INDIRECT(Свёртка_Перебор_2_20170709140117[[#This Row],[ССвёртка]],FALSE),-2,3)),{0,1,2,3,4,5},{0,1,1,0,1,1.5}),LOOKUP(--RIGHT(OFFSET(INDIRECT(Свёртка_Перебор_2_20170709140117[[#This Row],[ССвёртка]],FALSE),-1,3)),{0,1,2,3,4,5},{0,1,1,0,1,1.5}),LOOKUP(--RIGHT(OFFSET(INDIRECT(Свёртка_Перебор_2_20170709140117[[#This Row],[ССвёртка]],FALSE),0,3)),{0,1,2,3,4,5},{0,1,1,0,1,1.5}))&gt;4,1,0),IF(SUM(LOOKUP(--RIGHT(OFFSET(INDIRECT(Свёртка_Перебор_2_20170709140117[[#This Row],[ССвёртка]],FALSE),-2,1)),{0,1,2,3,4,5},{0,1,1,1,1,2}),LOOKUP(--RIGHT(OFFSET(INDIRECT(Свёртка_Перебор_2_20170709140117[[#This Row],[ССвёртка]],FALSE),-1,2)),{0,1,2,3,4,5},{0,1,1,1,1,2}),LOOKUP(--RIGHT(OFFSET(INDIRECT(Свёртка_Перебор_2_20170709140117[[#This Row],[ССвёртка]],FALSE),0,3)),{0,1,2,3,4,5},{0,1,1,1,1,2}))&lt;&gt;3,1,0),IF(SUM(LOOKUP(--RIGHT(OFFSET(INDIRECT(Свёртка_Перебор_2_20170709140117[[#This Row],[ССвёртка]],FALSE),-2,1)),{0,1,2,3,4,5},{0,1,0,1,1,1.5}),LOOKUP(--RIGHT(OFFSET(INDIRECT(Свёртка_Перебор_2_20170709140117[[#This Row],[ССвёртка]],FALSE),-2,2)),{0,1,2,3,4,5},{0,1,0,1,1,1.5}),LOOKUP(--RIGHT(OFFSET(INDIRECT(Свёртка_Перебор_2_20170709140117[[#This Row],[ССвёртка]],FALSE),-2,3)),{0,1,2,3,4,5},{0,1,0,1,1,1.5}))&gt;4,1,0),IF(SUM(LOOKUP(--RIGHT(OFFSET(INDIRECT(Свёртка_Перебор_2_20170709140117[[#This Row],[ССвёртка]],FALSE),-1,1)),{0,1,2,3,4,5},{0,1,0,1,1,1.5}),LOOKUP(--RIGHT(OFFSET(INDIRECT(Свёртка_Перебор_2_20170709140117[[#This Row],[ССвёртка]],FALSE),-1,2)),{0,1,2,3,4,5},{0,1,0,1,1,1.5}),LOOKUP(--RIGHT(OFFSET(INDIRECT(Свёртка_Перебор_2_20170709140117[[#This Row],[ССвёртка]],FALSE),-1,3)),{0,1,2,3,4,5},{0,1,0,1,1,1.5}))&gt;4,1,0),IF(SUM(LOOKUP(--RIGHT(OFFSET(INDIRECT(Свёртка_Перебор_2_20170709140117[[#This Row],[ССвёртка]],FALSE),0,1)),{0,1,2,3,4,5},{0,1,0,1,1,1.5}),LOOKUP(--RIGHT(OFFSET(INDIRECT(Свёртка_Перебор_2_20170709140117[[#This Row],[ССвёртка]],FALSE),0,2)),{0,1,2,3,4,5},{0,1,0,1,1,1.5}),LOOKUP(--RIGHT(OFFSET(INDIRECT(Свёртка_Перебор_2_20170709140117[[#This Row],[ССвёртка]],FALSE),0,3)),{0,1,2,3,4,5},{0,1,0,1,1,1.5}))&gt;4,1,0))&lt;&gt;0,0,1)</f>
        <v>#REF!</v>
      </c>
      <c r="CJ10" s="66" t="e">
        <f ca="1">COUNTIFS(OFFSET(INDIRECT((OFFSET(INDIRECT(Свёртка_Перебор_2_20170709140117[[#This Row],[С]],FALSE),-2,1)&amp;"!R2C2"),FALSE),,,101,101),"="&amp;(Свёртка_Перебор_2_20170709140117[[#This Row],[F]]-(1+(CHOOSE(--RIGHTB(OFFSET(INDIRECT(Свёртка_Перебор_2_20170709140117[[#This Row],[С]],FALSE),,3))+1,0,1,1,1,1,2)+CHOOSE(--RIGHTB(OFFSET(INDIRECT(Свёртка_Перебор_2_20170709140117[[#This Row],[С]],FALSE),-1,2))+1,0,1,1,1,1,2)))+1))*IF(AND(Свёртка_Перебор_2_20170709140117[[#This Row],[F]]&gt;=(1+(CHOOSE(--RIGHTB(OFFSET(INDIRECT(Свёртка_Перебор_2_20170709140117[[#This Row],[С]],FALSE),,3))+1,0,1,1,1,1,2)+CHOOSE(--RIGHTB(OFFSET(INDIRECT(Свёртка_Перебор_2_20170709140117[[#This Row],[С]],FALSE),-1,2))+1,0,1,1,1,1,2))),Свёртка_Перебор_2_20170709140117[[#This Row],[F]]&lt;=(1+(CHOOSE(--RIGHTB(OFFSET(INDIRECT(Свёртка_Перебор_2_20170709140117[[#This Row],[С]],FALSE),,3))+1,0,1,1,1,1,2)+CHOOSE(--RIGHTB(OFFSET(INDIRECT(Свёртка_Перебор_2_20170709140117[[#This Row],[С]],FALSE),-1,2))+1,0,1,1,1,1,2)+CHOOSE(--RIGHTB(OFFSET(INDIRECT(Свёртка_Перебор_2_20170709140117[[#This Row],[С]],FALSE),-2,1))+1,0,1,1,1,1,2)))),1,0)+COUNTIFS(OFFSET(INDIRECT((OFFSET(INDIRECT(Свёртка_Перебор_2_20170709140117[[#This Row],[С]],FALSE),-2,2)&amp;"!R2C2"),FALSE),,,101,101),"="&amp;(Свёртка_Перебор_2_20170709140117[[#This Row],[F]]-(1+(CHOOSE(--RIGHTB(OFFSET(INDIRECT(Свёртка_Перебор_2_20170709140117[[#This Row],[С]],FALSE),,3))+1,0,1,0,1,1,1)+CHOOSE(--RIGHTB(OFFSET(INDIRECT(Свёртка_Перебор_2_20170709140117[[#This Row],[С]],FALSE),-1,3))+1,0,1,1,1,1,2)))+1))*IF(AND(Свёртка_Перебор_2_20170709140117[[#This Row],[F]]&gt;=(1+(CHOOSE(--RIGHTB(OFFSET(INDIRECT(Свёртка_Перебор_2_20170709140117[[#This Row],[С]],FALSE),,3))+1,0,0,0,1,1,1)+CHOOSE(--RIGHTB(OFFSET(INDIRECT(Свёртка_Перебор_2_20170709140117[[#This Row],[С]],FALSE),-1,3))+1,0,1,1,1,1,2))),Свёртка_Перебор_2_20170709140117[[#This Row],[F]]&lt;=(1+(CHOOSE(--RIGHTB(OFFSET(INDIRECT(Свёртка_Перебор_2_20170709140117[[#This Row],[С]],FALSE),,3))+1,0,0,0,1,1,1)+CHOOSE(--RIGHTB(OFFSET(INDIRECT(Свёртка_Перебор_2_20170709140117[[#This Row],[С]],FALSE),-1,3))+1,0,1,1,1,1,2)+CHOOSE(--RIGHTB(OFFSET(INDIRECT(Свёртка_Перебор_2_20170709140117[[#This Row],[С]],FALSE),-2,2))+1,0,1,1,1,1,2)))),1,0)+COUNTIFS(OFFSET(INDIRECT((OFFSET(INDIRECT(Свёртка_Перебор_2_20170709140117[[#This Row],[С]],FALSE),-2,3)&amp;"!R2C2"),FALSE),,,101,101),"="&amp;(Свёртка_Перебор_2_20170709140117[[#This Row],[F]]-(1+(CHOOSE(--RIGHTB(OFFSET(INDIRECT(Свёртка_Перебор_2_20170709140117[[#This Row],[С]],FALSE),,3))+1,0,0,0,1,1,1)+CHOOSE(--RIGHTB(OFFSET(INDIRECT(Свёртка_Перебор_2_20170709140117[[#This Row],[С]],FALSE),-1,3))+1,0,0,0,1,1,1)))+1))*IF(AND(Свёртка_Перебор_2_20170709140117[[#This Row],[F]]&gt;=(1+(CHOOSE(--RIGHTB(OFFSET(INDIRECT(Свёртка_Перебор_2_20170709140117[[#This Row],[С]],FALSE),,3))+1,0,0,0,1,1,1)+CHOOSE(--RIGHTB(OFFSET(INDIRECT(Свёртка_Перебор_2_20170709140117[[#This Row],[С]],FALSE),-1,3))+1,0,0,0,1,1,1))),Свёртка_Перебор_2_20170709140117[[#This Row],[F]]&lt;=(1+(CHOOSE(--RIGHTB(OFFSET(INDIRECT(Свёртка_Перебор_2_20170709140117[[#This Row],[С]],FALSE),,3))+1,0,0,0,1,1,1)+CHOOSE(--RIGHTB(OFFSET(INDIRECT(Свёртка_Перебор_2_20170709140117[[#This Row],[С]],FALSE),-1,3))+1,0,0,0,1,1,1)+CHOOSE(--RIGHTB(OFFSET(INDIRECT(Свёртка_Перебор_2_20170709140117[[#This Row],[С]],FALSE),-2,3))+1,0,1,1,1,1,2)))),1,0)+COUNTIFS(OFFSET(INDIRECT((OFFSET(INDIRECT(Свёртка_Перебор_2_20170709140117[[#This Row],[С]],FALSE),-1,1)&amp;"!R2C2"),FALSE),,,101,101),"="&amp;(Свёртка_Перебор_2_20170709140117[[#This Row],[F]]-(1+(CHOOSE(--RIGHTB(OFFSET(INDIRECT(Свёртка_Перебор_2_20170709140117[[#This Row],[С]],FALSE),,3))+1,0,0,1,0,1,1)+CHOOSE(--RIGHTB(OFFSET(INDIRECT(Свёртка_Перебор_2_20170709140117[[#This Row],[С]],FALSE),0,2))+1,0,1,1,1,1,2)))+1))*IF(AND(Свёртка_Перебор_2_20170709140117[[#This Row],[F]]&gt;=(1+(CHOOSE(--RIGHTB(OFFSET(INDIRECT(Свёртка_Перебор_2_20170709140117[[#This Row],[С]],FALSE),,3))+1,0,0,1,0,1,1)+CHOOSE(--RIGHTB(OFFSET(INDIRECT(Свёртка_Перебор_2_20170709140117[[#This Row],[С]],FALSE),,2))+1,0,1,1,1,1,2))),Свёртка_Перебор_2_20170709140117[[#This Row],[F]]&lt;=(1+(CHOOSE(--RIGHTB(OFFSET(INDIRECT(Свёртка_Перебор_2_20170709140117[[#This Row],[С]],FALSE),,3))+1,0,0,1,0,1,1)+CHOOSE(--RIGHTB(OFFSET(INDIRECT(Свёртка_Перебор_2_20170709140117[[#This Row],[С]],FALSE),,2))+1,0,1,1,1,1,2)+CHOOSE(--RIGHTB(OFFSET(INDIRECT(Свёртка_Перебор_2_20170709140117[[#This Row],[С]],FALSE),-1,1))+1,0,1,1,1,1,2)))),1,0)+COUNTIFS(OFFSET(INDIRECT((OFFSET(INDIRECT(Свёртка_Перебор_2_20170709140117[[#This Row],[С]],FALSE),-1,2)&amp;"!R2C2"),FALSE),,,101,101),"="&amp;(Свёртка_Перебор_2_20170709140117[[#This Row],[F]]-(1+(CHOOSE(--RIGHTB(OFFSET(INDIRECT(Свёртка_Перебор_2_20170709140117[[#This Row],[С]],FALSE),,3))+1,0,1,1,1,1,2)))+1))*IF(AND(Свёртка_Перебор_2_20170709140117[[#This Row],[F]]&gt;=(1+(CHOOSE(--RIGHTB(OFFSET(INDIRECT(Свёртка_Перебор_2_20170709140117[[#This Row],[С]],FALSE),,3))+1,0,1,1,1,1,2))),Свёртка_Перебор_2_20170709140117[[#This Row],[F]]&lt;=(1+(CHOOSE(--RIGHTB(OFFSET(INDIRECT(Свёртка_Перебор_2_20170709140117[[#This Row],[С]],FALSE),,3))+1,0,1,1,1,1,2)+CHOOSE(--RIGHTB(OFFSET(INDIRECT(Свёртка_Перебор_2_20170709140117[[#This Row],[С]],FALSE),-1,2))+1,0,1,1,1,1,2)))),1,0)+COUNTIFS(OFFSET(INDIRECT((OFFSET(INDIRECT(Свёртка_Перебор_2_20170709140117[[#This Row],[С]],FALSE),-1,3)&amp;"!R2C2"),FALSE),,,101,101),"="&amp;(Свёртка_Перебор_2_20170709140117[[#This Row],[F]]-(1+(CHOOSE(--RIGHTB(OFFSET(INDIRECT(Свёртка_Перебор_2_20170709140117[[#This Row],[С]],FALSE),,3))+1,0,0,0,1,1,1)))+1))*IF(AND(Свёртка_Перебор_2_20170709140117[[#This Row],[F]]&gt;=(1+(CHOOSE(--RIGHTB(OFFSET(INDIRECT(Свёртка_Перебор_2_20170709140117[[#This Row],[С]],FALSE),,3))+1,0,0,0,1,1,1))),Свёртка_Перебор_2_20170709140117[[#This Row],[F]]&lt;=(1+(CHOOSE(--RIGHTB(OFFSET(INDIRECT(Свёртка_Перебор_2_20170709140117[[#This Row],[С]],FALSE),,3))+1,0,0,0,1,1,1)+CHOOSE(--RIGHTB(OFFSET(INDIRECT(Свёртка_Перебор_2_20170709140117[[#This Row],[С]],FALSE),-1,3))+1,0,1,1,1,1,2)))),1,0)+COUNTIFS(OFFSET(INDIRECT((OFFSET(INDIRECT(Свёртка_Перебор_2_20170709140117[[#This Row],[С]],FALSE),,1)&amp;"!R2C2"),FALSE),,,101,101),"="&amp;(Свёртка_Перебор_2_20170709140117[[#This Row],[F]]-(1+(CHOOSE(--RIGHTB(OFFSET(INDIRECT(Свёртка_Перебор_2_20170709140117[[#This Row],[С]],FALSE),,3))+1,0,0,1,0,1,1)+CHOOSE(--RIGHTB(OFFSET(INDIRECT(Свёртка_Перебор_2_20170709140117[[#This Row],[С]],FALSE),,2))+1,0,0,1,0,1,1)))+1))*IF(AND(Свёртка_Перебор_2_20170709140117[[#This Row],[F]]&gt;=(1+(CHOOSE(--RIGHTB(OFFSET(INDIRECT(Свёртка_Перебор_2_20170709140117[[#This Row],[С]],FALSE),,3))+1,0,0,1,0,1,1)+CHOOSE(--RIGHTB(OFFSET(INDIRECT(Свёртка_Перебор_2_20170709140117[[#This Row],[С]],FALSE),,2))+1,0,0,1,0,1,1))),Свёртка_Перебор_2_20170709140117[[#This Row],[F]]&lt;=(1+(CHOOSE(--RIGHTB(OFFSET(INDIRECT(Свёртка_Перебор_2_20170709140117[[#This Row],[С]],FALSE),,3))+1,0,0,1,0,1,1)+CHOOSE(--RIGHTB(OFFSET(INDIRECT(Свёртка_Перебор_2_20170709140117[[#This Row],[С]],FALSE),,2))+1,0,0,1,0,1,1)+CHOOSE(--RIGHTB(OFFSET(INDIRECT(Свёртка_Перебор_2_20170709140117[[#This Row],[С]],FALSE),,3))+1,0,1,1,1,1,2)))),1,0)+COUNTIFS(OFFSET(INDIRECT((OFFSET(INDIRECT(Свёртка_Перебор_2_20170709140117[[#This Row],[С]],FALSE),,2)&amp;"!R2C2"),FALSE),,,101,101),"="&amp;(Свёртка_Перебор_2_20170709140117[[#This Row],[F]]-(1+(CHOOSE(--RIGHTB(OFFSET(INDIRECT(Свёртка_Перебор_2_20170709140117[[#This Row],[С]],FALSE),,3))+1,0,0,1,0,1,1)))+1))*IF(AND(Свёртка_Перебор_2_20170709140117[[#This Row],[F]]&gt;=(1+(CHOOSE(--RIGHTB(OFFSET(INDIRECT(Свёртка_Перебор_2_20170709140117[[#This Row],[С]],FALSE),0,3))+1,0,0,1,0,1,1))),Свёртка_Перебор_2_20170709140117[[#This Row],[F]]&lt;=(1+(CHOOSE(--RIGHTB(OFFSET(INDIRECT(Свёртка_Перебор_2_20170709140117[[#This Row],[С]],FALSE),,3))+1,0,1,0,0,1,1)+CHOOSE(--RIGHTB(OFFSET(INDIRECT(Свёртка_Перебор_2_20170709140117[[#This Row],[С]],FALSE),,2))+1,0,1,1,1,1,2)))),1,0)+COUNTIFS(OFFSET(INDIRECT((OFFSET(INDIRECT(Свёртка_Перебор_2_20170709140117[[#This Row],[С]],FALSE),,3)&amp;"!R2C2"),FALSE),,,101,101),"="&amp;(Свёртка_Перебор_2_20170709140117[[#This Row],[F]]-1+1))*IF(AND(Свёртка_Перебор_2_20170709140117[[#This Row],[F]]&gt;=1,Свёртка_Перебор_2_20170709140117[[#This Row],[F]]&lt;=1+(CHOOSE(--RIGHTB(OFFSET(INDIRECT(Свёртка_Перебор_2_20170709140117[[#This Row],[С]],FALSE),,3))+1,0,1,1,1,1,2))),1,0)</f>
        <v>#REF!</v>
      </c>
    </row>
    <row r="11" spans="2:88" x14ac:dyDescent="0.25">
      <c r="B11" t="e">
        <f ca="1">IF(AND(Критерий_Перебор_2_20170709140117[[#This Row],[Критерий]]&lt;&gt;"",Критерий_Перебор_2_20170709140117[[#This Row],[O.K.Критерий]]=1),ROW()-ROW(Критерий_Перебор_2_20170709140117[[#Headers],[№]]),"")</f>
        <v>#REF!</v>
      </c>
      <c r="C11" s="37" t="e">
        <f>Модель!#REF!</f>
        <v>#REF!</v>
      </c>
      <c r="D11" t="str">
        <f ca="1">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f>
        <v>ошибка</v>
      </c>
      <c r="E11" t="str">
        <f ca="1">IFERROR(IF(LEFT(Критерий_Перебор_2_20170709140117[[#This Row],[Фкритерий]],5)="=Прив","Критерий",IF(LEFT(Критерий_Перебор_2_20170709140117[[#This Row],[Фкритерий]],5)="=Матр","ошибка","ошибка")),"ошибка")</f>
        <v>ошибка</v>
      </c>
      <c r="F11" t="str">
        <f ca="1">IFERROR(IF(LEN((INDIRECT(Критерий_Перебор_2_20170709140117[[#This Row],[СНаименование]],FALSE)))=0,"ошибка",IFERROR(INDIRECT(Критерий_Перебор_2_20170709140117[[#This Row],[СНаименование]],FALSE),"ошибка")),"ошибка")</f>
        <v>ошибка</v>
      </c>
      <c r="G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f>
        <v>ошибка</v>
      </c>
      <c r="H11" t="str">
        <f ca="1">IFERROR(IF(N(INDIRECT(Критерий_Перебор_2_20170709140117[[#This Row],[СФизКритерий]],FALSE))=0,"ошибка",IFERROR(INDIRECT(Критерий_Перебор_2_20170709140117[[#This Row],[СФизКритерий]],FALSE),"ошибка")),"ошибка")</f>
        <v>ошибка</v>
      </c>
      <c r="I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f>
        <v>ошибка</v>
      </c>
      <c r="J11" t="str">
        <f ca="1">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f>
        <v>ошибка</v>
      </c>
      <c r="K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f>
        <v>ошибка</v>
      </c>
      <c r="L11" t="str">
        <f ca="1">IFERROR(_xlfn.FORMULATEXT(INDIRECT(Критерий_Перебор_2_20170709140117[[#This Row],[Скритерий]],FALSE)),"ошибка")</f>
        <v>ошибка</v>
      </c>
      <c r="M11" t="str">
        <f ca="1">IFERROR(IF(N(INDIRECT(Критерий_Перебор_2_20170709140117[[#This Row],[СМинФизКритерий]],FALSE))=0,"ошибка",IFERROR(INDIRECT(Критерий_Перебор_2_20170709140117[[#This Row],[СМинФизКритерий]],FALSE),"ошибка")),"ошибка")</f>
        <v>ошибка</v>
      </c>
      <c r="N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f>
        <v>ошибка</v>
      </c>
      <c r="O11" t="str">
        <f ca="1">IFERROR(IF(N(INDIRECT(Критерий_Перебор_2_20170709140117[[#This Row],[СМаксФизКритерий]],FALSE))=0,"ошибка",IFERROR(INDIRECT(Критерий_Перебор_2_20170709140117[[#This Row],[СМаксФизКритерий]],FALSE),"ошибка")),"ошибка")</f>
        <v>ошибка</v>
      </c>
      <c r="P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f>
        <v>ошибка</v>
      </c>
      <c r="Q11" t="str">
        <f ca="1">IFERROR(IF(N(INDIRECT(Критерий_Перебор_2_20170709140117[[#This Row],[ССрФизКритерий]],FALSE))=0,"ошибка",IFERROR(INDIRECT(Критерий_Перебор_2_20170709140117[[#This Row],[ССрФизКритерий]],FALSE),"ошибка")),"")</f>
        <v/>
      </c>
      <c r="R11" t="str">
        <f ca="1">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f>
        <v/>
      </c>
      <c r="S11" s="66">
        <f ca="1">IFERROR(IF(AND(Критерий_Перебор_2_20170709140117[[#This Row],[ВидКритерий]]="Критерий",Критерий_Перебор_2_20170709140117[[#This Row],[Фкритерий]]="=Приведение"),1,-1),-1)</f>
        <v>-1</v>
      </c>
      <c r="V11" t="str">
        <f ca="1">IF(AND(Свёртка_Перебор_2_20170709140117[[#This Row],[Свёртка]]&lt;&gt;"",Свёртка_Перебор_2_20170709140117[[#This Row],[O.K.Свёртка]]=1),ROW()-ROW(Свёртка_Перебор_2_20170709140117[[#Headers],[№]]),"")</f>
        <v/>
      </c>
      <c r="W11" s="146"/>
      <c r="X11" t="str">
        <f ca="1">IFERROR(IF(AND(Свёртка_Перебор_2_20170709140117[[#This Row],[Свёртка]]&gt;=1,Свёртка_Перебор_2_20170709140117[[#This Row],[Свёртка]]&lt;=4),IF(IFERROR(FIND("!",_xlfn.FORMULATEXT(Свёртка_Перебор_2_20170709140117[[#This Row],[Свёртка]])),"на странице")="на странице",CONCATENATE("R",ROW((INDIRECT(RIGHT(_xlfn.FORMULATEXT(Свёртка_Перебор_2_20170709140117[[#This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Row],[Свёртка]]))-1),FALSE)))-X$6),CONCATENATE(RIGHT(LEFT(_xlfn.FORMULATEXT(Свёртка_Перебор_2_20170709140117[[#This Row],[Свёртка]]),FIND("!",_xlfn.FORMULATEXT(Свёртка_Перебор_2_20170709140117[[#This Row],[Свёртка]]))),LEN(LEFT(_xlfn.FORMULATEXT(Свёртка_Перебор_2_20170709140117[[#This Row],[Свёртка]]),FIND("!",_xlfn.FORMULATEXT(Свёртка_Перебор_2_20170709140117[[#This Row],[Свёртка]]))))-1),"R",ROW((INDIRECT(RIGHT(_xlfn.FORMULATEXT(Свёртка_Перебор_2_20170709140117[[#This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Row],[Свёртка]]))-1),FALSE)))-X$6)),"ошибка"),"ошибка")</f>
        <v>ошибка</v>
      </c>
      <c r="Y11" t="str">
        <f ca="1">IFERROR(_xlfn.FORMULATEXT(INDIRECT(Свёртка_Перебор_2_20170709140117[[#This Row],[ССвёртка]],FALSE)),"ошибка")</f>
        <v>ошибка</v>
      </c>
      <c r="Z11" t="str">
        <f ca="1">IFERROR(IF(LEFT(Свёртка_Перебор_2_20170709140117[[#This Row],[ФСвёртка]],5)="=Прив","ошибка",IF(LEFT(Свёртка_Перебор_2_20170709140117[[#This Row],[ФСвёртка]],5)="=Матр","Свёртка","ошибка")),"ошибка")</f>
        <v>ошибка</v>
      </c>
      <c r="AA11" t="str">
        <f ca="1">IFERROR(IF(LEN((INDIRECT(Свёртка_Перебор_2_20170709140117[[#This Row],[СНаименование]],FALSE)))=0,"ошибка",IFERROR(INDIRECT(Свёртка_Перебор_2_20170709140117[[#This Row],[СНаименование]],FALSE),"ошибка")),"ошибка")</f>
        <v>ошибка</v>
      </c>
      <c r="AB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Row],[ССвёртка]])))+AB$7),FIND("R",Свёртка_Перебор_2_20170709140117[[#This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Row],[ССвёртка]])))+AB$6),"ошибка")</f>
        <v>ошибка</v>
      </c>
      <c r="AC11" t="str">
        <f ca="1">IFERROR(IF(LEN((INDIRECT(Свёртка_Перебор_2_20170709140117[[#This Row],[ССВ_1_1]],FALSE)))=0,"ошибка",IFERROR(INDIRECT(Свёртка_Перебор_2_20170709140117[[#This Row],[ССВ_1_1]],FALSE),"ошибка")),"ошибка")</f>
        <v>ошибка</v>
      </c>
      <c r="AD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Row],[ССвёртка]])))+AD$7),FIND("R",Свёртка_Перебор_2_20170709140117[[#This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Row],[ССвёртка]])))+AD$6),"ошибка")</f>
        <v>ошибка</v>
      </c>
      <c r="AH11" t="str">
        <f ca="1">IFERROR(IF(LEN((INDIRECT(Свёртка_Перебор_2_20170709140117[[#This Row],[ССВ_2_1]],FALSE)))=0,"ошибка",IFERROR(INDIRECT(Свёртка_Перебор_2_20170709140117[[#This Row],[ССВ_2_1]],FALSE),"ошибка")),"ошибка")</f>
        <v>ошибка</v>
      </c>
      <c r="AI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Row],[ССвёртка]])))+AI$7),FIND("R",Свёртка_Перебор_2_20170709140117[[#This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Row],[ССвёртка]])))+AI$6),"ошибка")</f>
        <v>ошибка</v>
      </c>
      <c r="AM11" t="str">
        <f ca="1">IFERROR(IF(LEN((INDIRECT(Свёртка_Перебор_2_20170709140117[[#This Row],[ССВ_1_2]],FALSE)))=0,"ошибка",IFERROR(INDIRECT(Свёртка_Перебор_2_20170709140117[[#This Row],[ССВ_1_2]],FALSE),"ошибка")),"ошибка")</f>
        <v>ошибка</v>
      </c>
      <c r="AN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Row],[ССвёртка]])))+AN$7),FIND("R",Свёртка_Перебор_2_20170709140117[[#This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Row],[ССвёртка]])))+AN$6),"ошибка")</f>
        <v>ошибка</v>
      </c>
      <c r="AR11" t="str">
        <f ca="1">IFERROR(IF(LEN((INDIRECT(Свёртка_Перебор_2_20170709140117[[#This Row],[ССВ_2_2]],FALSE)))=0,"ошибка",IFERROR(INDIRECT(Свёртка_Перебор_2_20170709140117[[#This Row],[ССВ_2_2]],FALSE),"ошибка")),"ошибка")</f>
        <v>ошибка</v>
      </c>
      <c r="AS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Row],[ССвёртка]])))+AS$7),FIND("R",Свёртка_Перебор_2_20170709140117[[#This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Row],[ССвёртка]])))+AS$6),"ошибка")</f>
        <v>ошибка</v>
      </c>
      <c r="AW11" t="str">
        <f ca="1">IFERROR(IF(LEN((INDIRECT(Свёртка_Перебор_2_20170709140117[[#This Row],[ССВ_3_1]],FALSE)))=0,"ошибка",IFERROR(INDIRECT(Свёртка_Перебор_2_20170709140117[[#This Row],[ССВ_3_1]],FALSE),"ошибка")),"ошибка")</f>
        <v>ошибка</v>
      </c>
      <c r="AX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Row],[ССвёртка]])))+AX$6),"ошибка")</f>
        <v>ошибка</v>
      </c>
      <c r="BB11" t="str">
        <f ca="1">IFERROR(IF(LEN((INDIRECT(Свёртка_Перебор_2_20170709140117[[#This Row],[ССВ_1_3]],FALSE)))=0,"ошибка",IFERROR(INDIRECT(Свёртка_Перебор_2_20170709140117[[#This Row],[ССВ_1_3]],FALSE),"ошибка")),"ошибка")</f>
        <v>ошибка</v>
      </c>
      <c r="BC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Row],[ССвёртка]])))+BC$7),FIND("R",Свёртка_Перебор_2_20170709140117[[#This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Row],[ССвёртка]])))+BC$6),"ошибка")</f>
        <v>ошибка</v>
      </c>
      <c r="BG11" t="str">
        <f ca="1">IFERROR(IF(LEN((INDIRECT(Свёртка_Перебор_2_20170709140117[[#This Row],[ССВ_3_2]],FALSE)))=0,"ошибка",IFERROR(INDIRECT(Свёртка_Перебор_2_20170709140117[[#This Row],[ССВ_3_2]],FALSE),"ошибка")),"ошибка")</f>
        <v>ошибка</v>
      </c>
      <c r="BH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Row],[ССвёртка]])))+BH$7),FIND("R",Свёртка_Перебор_2_20170709140117[[#This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Row],[ССвёртка]])))+BH$6),"ошибка")</f>
        <v>ошибка</v>
      </c>
      <c r="BL11" t="str">
        <f ca="1">IFERROR(IF(LEN((INDIRECT(Свёртка_Перебор_2_20170709140117[[#This Row],[ССВ_2_3]],FALSE)))=0,"ошибка",IFERROR(INDIRECT(Свёртка_Перебор_2_20170709140117[[#This Row],[ССВ_2_3]],FALSE),"ошибка")),"ошибка")</f>
        <v>ошибка</v>
      </c>
      <c r="BM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Row],[ССвёртка]])))+BM$7),FIND("R",Свёртка_Перебор_2_20170709140117[[#This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Row],[ССвёртка]])))+BM$6),"ошибка")</f>
        <v>ошибка</v>
      </c>
      <c r="BQ11" t="str">
        <f ca="1">IFERROR(IF(LEN((INDIRECT(Свёртка_Перебор_2_20170709140117[[#This Row],[ССВ_3_3]],FALSE)))=0,"ошибка",IFERROR(INDIRECT(Свёртка_Перебор_2_20170709140117[[#This Row],[ССВ_3_3]],FALSE),"ошибка")),"ошибка")</f>
        <v>ошибка</v>
      </c>
      <c r="BR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Row],[ССвёртка]])))+BR$7),FIND("R",Свёртка_Перебор_2_20170709140117[[#This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Row],[ССвёртка]])))+BR$6),"ошибка")</f>
        <v>ошибка</v>
      </c>
      <c r="BV11">
        <f>Свёртка_Перебор_2_20170709140117[[#This Row],[ССВ_1_1_kolvo]]+Свёртка_Перебор_2_20170709140117[[#This Row],[ССВ_2_1_kolvo]]+Свёртка_Перебор_2_20170709140117[[#This Row],[ССВ_1_2_kolvo]]+Свёртка_Перебор_2_20170709140117[[#This Row],[ССВ_2_2_kolvo]]+Свёртка_Перебор_2_20170709140117[[#This Row],[ССВ_3_1_kolvo]]+Свёртка_Перебор_2_20170709140117[[#This Row],[ССВ_1_3_kolvo]]+Свёртка_Перебор_2_20170709140117[[#This Row],[ССВ_3_2_kolvo]]+Свёртка_Перебор_2_20170709140117[[#This Row],[ССВ_2_3_kolvo]]+Свёртка_Перебор_2_20170709140117[[#This Row],[ССВ_3_3_kolvo]]</f>
        <v>0</v>
      </c>
      <c r="BW11" t="str">
        <f ca="1">IFERROR(IF(LEN((INDIRECT(Свёртка_Перебор_2_20170709140117[[#This Row],[СЛ]],FALSE)))=0,"ошибка",IFERROR(INDIRECT(Свёртка_Перебор_2_20170709140117[[#This Row],[СЛ]],FALSE),"ошибка")),"ошибка")</f>
        <v>ошибка</v>
      </c>
      <c r="BX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Row],[ССвёртка]])))+BX$6),"ошибка")</f>
        <v>ошибка</v>
      </c>
      <c r="BY11" t="str">
        <f ca="1">IFERROR(_xlfn.FORMULATEXT(INDIRECT(Свёртка_Перебор_2_20170709140117[[#This Row],[СЛ]],FALSE)),"ошибка")</f>
        <v>ошибка</v>
      </c>
      <c r="BZ11" t="str">
        <f ca="1">IFERROR(IF(LEN((INDIRECT(Свёртка_Перебор_2_20170709140117[[#This Row],[СП]],FALSE)))=0,"ошибка",IFERROR(INDIRECT(Свёртка_Перебор_2_20170709140117[[#This Row],[СП]],FALSE),"ошибка")),"ошибка")</f>
        <v>ошибка</v>
      </c>
      <c r="CA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Row],[ССвёртка]])))+CA$7),FIND("R",Свёртка_Перебор_2_20170709140117[[#This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Row],[ССвёртка]])))+CA$6),"ошибка")</f>
        <v>ошибка</v>
      </c>
      <c r="CB11" t="str">
        <f ca="1">IFERROR(_xlfn.FORMULATEXT(INDIRECT(Свёртка_Перебор_2_20170709140117[[#This Row],[СП]],FALSE)),"ошибка")</f>
        <v>ошибка</v>
      </c>
      <c r="CC11">
        <f ca="1">IF(AND(Свёртка_Перебор_2_20170709140117[[#This Row],[ВидСвёртка]]="Свёртка",CONCATENATE(LEFT(Свёртка_Перебор_2_20170709140117[[#This Row],[СВ_1_1]],1),LEFT(Свёртка_Перебор_2_20170709140117[[#This Row],[СВ_2_1]],1),LEFT(Свёртка_Перебор_2_20170709140117[[#This Row],[СВ_1_2]],1),LEFT(Свёртка_Перебор_2_20170709140117[[#This Row],[СВ_2_2]],1),LEFT(Свёртка_Перебор_2_20170709140117[[#This Row],[СВ_3_1]],1),LEFT(Свёртка_Перебор_2_20170709140117[[#This Row],[СВ_1_3]],1),LEFT(Свёртка_Перебор_2_20170709140117[[#This Row],[СВ_3_2]],1),LEFT(Свёртка_Перебор_2_20170709140117[[#This Row],[СВ_2_3]],1),LEFT(Свёртка_Перебор_2_20170709140117[[#This Row],[СВ_3_3]],1))="FFFFFFFFF",AND(Свёртка_Перебор_2_20170709140117[[#This Row],[Л]]&gt;=1,Свёртка_Перебор_2_20170709140117[[#This Row],[Л]]&lt;=4),AND(Свёртка_Перебор_2_20170709140117[[#This Row],[П]]&gt;=1,Свёртка_Перебор_2_20170709140117[[#This Row],[П]]&lt;=4)),1,-1)</f>
        <v>-1</v>
      </c>
      <c r="CE11" t="e">
        <f ca="1">_xlfn.NUMBERVALUE(MID(Свёртка_Перебор_2_20170709140117[[#This Row],[ССвёртка]],SEARCH("R",Свёртка_Перебор_2_20170709140117[[#This Row],[ССвёртка]])+1,SEARCH("C",Свёртка_Перебор_2_20170709140117[[#This Row],[ССвёртка]])-SEARCH("R",Свёртка_Перебор_2_20170709140117[[#This Row],[ССвёртка]])-1))</f>
        <v>#VALUE!</v>
      </c>
      <c r="CF11" t="e">
        <f ca="1">_xlfn.NUMBERVALUE(MID(Свёртка_Перебор_2_20170709140117[[#This Row],[ССвёртка]],SEARCH("C",Свёртка_Перебор_2_20170709140117[[#This Row],[ССвёртка]])+1,LEN(Свёртка_Перебор_2_20170709140117[[#This Row],[ССвёртка]])-SEARCH("C",Свёртка_Перебор_2_20170709140117[[#This Row],[ССвёртка]])))</f>
        <v>#VALUE!</v>
      </c>
      <c r="CG11" t="str">
        <f ca="1">IF(ISERR(SEARCH("!",Свёртка_Перебор_2_20170709140117[[#This Row],[ССвёртка]])),"",LEFT(Свёртка_Перебор_2_20170709140117[[#This Row],[ССвёртка]],SEARCH("!",Свёртка_Перебор_2_20170709140117[[#This Row],[ССвёртка]])))</f>
        <v/>
      </c>
      <c r="CH11" t="str">
        <f ca="1">Свёртка_Перебор_2_20170709140117[[#This Row],[ССвёртка]]</f>
        <v>ошибка</v>
      </c>
      <c r="CI11" t="e">
        <f ca="1">IF(SUM(IF(SUM(LOOKUP(--RIGHT(OFFSET(INDIRECT(Свёртка_Перебор_2_20170709140117[[#This Row],[ССвёртка]],FALSE),-2,1)),{0,1,2,3,4,5},{0,1,1,0,1,1.5}),LOOKUP(--RIGHT(OFFSET(INDIRECT(Свёртка_Перебор_2_20170709140117[[#This Row],[ССвёртка]],FALSE),-1,1)),{0,1,2,3,4,5},{0,1,1,0,1,1.5}),LOOKUP(--RIGHT(OFFSET(INDIRECT(Свёртка_Перебор_2_20170709140117[[#This Row],[ССвёртка]],FALSE),0,1)),{0,1,2,3,4,5},{0,1,1,0,1,1.5}))&gt;4,1,0),IF(SUM(LOOKUP(--RIGHT(OFFSET(INDIRECT(Свёртка_Перебор_2_20170709140117[[#This Row],[ССвёртка]],FALSE),-2,2)),{0,1,2,3,4,5},{0,1,1,0,1,1.5}),LOOKUP(--RIGHT(OFFSET(INDIRECT(Свёртка_Перебор_2_20170709140117[[#This Row],[ССвёртка]],FALSE),-1,2)),{0,1,2,3,4,5},{0,1,1,0,1,1.5}),LOOKUP(--RIGHT(OFFSET(INDIRECT(Свёртка_Перебор_2_20170709140117[[#This Row],[ССвёртка]],FALSE),0,2)),{0,1,2,3,4,5},{0,1,1,0,1,1.5}))&gt;4,1,0),IF(SUM(LOOKUP(--RIGHT(OFFSET(INDIRECT(Свёртка_Перебор_2_20170709140117[[#This Row],[ССвёртка]],FALSE),-2,3)),{0,1,2,3,4,5},{0,1,1,0,1,1.5}),LOOKUP(--RIGHT(OFFSET(INDIRECT(Свёртка_Перебор_2_20170709140117[[#This Row],[ССвёртка]],FALSE),-1,3)),{0,1,2,3,4,5},{0,1,1,0,1,1.5}),LOOKUP(--RIGHT(OFFSET(INDIRECT(Свёртка_Перебор_2_20170709140117[[#This Row],[ССвёртка]],FALSE),0,3)),{0,1,2,3,4,5},{0,1,1,0,1,1.5}))&gt;4,1,0),IF(SUM(LOOKUP(--RIGHT(OFFSET(INDIRECT(Свёртка_Перебор_2_20170709140117[[#This Row],[ССвёртка]],FALSE),-2,1)),{0,1,2,3,4,5},{0,1,1,1,1,2}),LOOKUP(--RIGHT(OFFSET(INDIRECT(Свёртка_Перебор_2_20170709140117[[#This Row],[ССвёртка]],FALSE),-1,2)),{0,1,2,3,4,5},{0,1,1,1,1,2}),LOOKUP(--RIGHT(OFFSET(INDIRECT(Свёртка_Перебор_2_20170709140117[[#This Row],[ССвёртка]],FALSE),0,3)),{0,1,2,3,4,5},{0,1,1,1,1,2}))&lt;&gt;3,1,0),IF(SUM(LOOKUP(--RIGHT(OFFSET(INDIRECT(Свёртка_Перебор_2_20170709140117[[#This Row],[ССвёртка]],FALSE),-2,1)),{0,1,2,3,4,5},{0,1,0,1,1,1.5}),LOOKUP(--RIGHT(OFFSET(INDIRECT(Свёртка_Перебор_2_20170709140117[[#This Row],[ССвёртка]],FALSE),-2,2)),{0,1,2,3,4,5},{0,1,0,1,1,1.5}),LOOKUP(--RIGHT(OFFSET(INDIRECT(Свёртка_Перебор_2_20170709140117[[#This Row],[ССвёртка]],FALSE),-2,3)),{0,1,2,3,4,5},{0,1,0,1,1,1.5}))&gt;4,1,0),IF(SUM(LOOKUP(--RIGHT(OFFSET(INDIRECT(Свёртка_Перебор_2_20170709140117[[#This Row],[ССвёртка]],FALSE),-1,1)),{0,1,2,3,4,5},{0,1,0,1,1,1.5}),LOOKUP(--RIGHT(OFFSET(INDIRECT(Свёртка_Перебор_2_20170709140117[[#This Row],[ССвёртка]],FALSE),-1,2)),{0,1,2,3,4,5},{0,1,0,1,1,1.5}),LOOKUP(--RIGHT(OFFSET(INDIRECT(Свёртка_Перебор_2_20170709140117[[#This Row],[ССвёртка]],FALSE),-1,3)),{0,1,2,3,4,5},{0,1,0,1,1,1.5}))&gt;4,1,0),IF(SUM(LOOKUP(--RIGHT(OFFSET(INDIRECT(Свёртка_Перебор_2_20170709140117[[#This Row],[ССвёртка]],FALSE),0,1)),{0,1,2,3,4,5},{0,1,0,1,1,1.5}),LOOKUP(--RIGHT(OFFSET(INDIRECT(Свёртка_Перебор_2_20170709140117[[#This Row],[ССвёртка]],FALSE),0,2)),{0,1,2,3,4,5},{0,1,0,1,1,1.5}),LOOKUP(--RIGHT(OFFSET(INDIRECT(Свёртка_Перебор_2_20170709140117[[#This Row],[ССвёртка]],FALSE),0,3)),{0,1,2,3,4,5},{0,1,0,1,1,1.5}))&gt;4,1,0))&lt;&gt;0,0,1)</f>
        <v>#REF!</v>
      </c>
      <c r="CJ11" s="66" t="e">
        <f ca="1">COUNTIFS(OFFSET(INDIRECT((OFFSET(INDIRECT(Свёртка_Перебор_2_20170709140117[[#This Row],[С]],FALSE),-2,1)&amp;"!R2C2"),FALSE),,,101,101),"="&amp;(Свёртка_Перебор_2_20170709140117[[#This Row],[F]]-(1+(CHOOSE(--RIGHTB(OFFSET(INDIRECT(Свёртка_Перебор_2_20170709140117[[#This Row],[С]],FALSE),,3))+1,0,1,1,1,1,2)+CHOOSE(--RIGHTB(OFFSET(INDIRECT(Свёртка_Перебор_2_20170709140117[[#This Row],[С]],FALSE),-1,2))+1,0,1,1,1,1,2)))+1))*IF(AND(Свёртка_Перебор_2_20170709140117[[#This Row],[F]]&gt;=(1+(CHOOSE(--RIGHTB(OFFSET(INDIRECT(Свёртка_Перебор_2_20170709140117[[#This Row],[С]],FALSE),,3))+1,0,1,1,1,1,2)+CHOOSE(--RIGHTB(OFFSET(INDIRECT(Свёртка_Перебор_2_20170709140117[[#This Row],[С]],FALSE),-1,2))+1,0,1,1,1,1,2))),Свёртка_Перебор_2_20170709140117[[#This Row],[F]]&lt;=(1+(CHOOSE(--RIGHTB(OFFSET(INDIRECT(Свёртка_Перебор_2_20170709140117[[#This Row],[С]],FALSE),,3))+1,0,1,1,1,1,2)+CHOOSE(--RIGHTB(OFFSET(INDIRECT(Свёртка_Перебор_2_20170709140117[[#This Row],[С]],FALSE),-1,2))+1,0,1,1,1,1,2)+CHOOSE(--RIGHTB(OFFSET(INDIRECT(Свёртка_Перебор_2_20170709140117[[#This Row],[С]],FALSE),-2,1))+1,0,1,1,1,1,2)))),1,0)+COUNTIFS(OFFSET(INDIRECT((OFFSET(INDIRECT(Свёртка_Перебор_2_20170709140117[[#This Row],[С]],FALSE),-2,2)&amp;"!R2C2"),FALSE),,,101,101),"="&amp;(Свёртка_Перебор_2_20170709140117[[#This Row],[F]]-(1+(CHOOSE(--RIGHTB(OFFSET(INDIRECT(Свёртка_Перебор_2_20170709140117[[#This Row],[С]],FALSE),,3))+1,0,1,0,1,1,1)+CHOOSE(--RIGHTB(OFFSET(INDIRECT(Свёртка_Перебор_2_20170709140117[[#This Row],[С]],FALSE),-1,3))+1,0,1,1,1,1,2)))+1))*IF(AND(Свёртка_Перебор_2_20170709140117[[#This Row],[F]]&gt;=(1+(CHOOSE(--RIGHTB(OFFSET(INDIRECT(Свёртка_Перебор_2_20170709140117[[#This Row],[С]],FALSE),,3))+1,0,0,0,1,1,1)+CHOOSE(--RIGHTB(OFFSET(INDIRECT(Свёртка_Перебор_2_20170709140117[[#This Row],[С]],FALSE),-1,3))+1,0,1,1,1,1,2))),Свёртка_Перебор_2_20170709140117[[#This Row],[F]]&lt;=(1+(CHOOSE(--RIGHTB(OFFSET(INDIRECT(Свёртка_Перебор_2_20170709140117[[#This Row],[С]],FALSE),,3))+1,0,0,0,1,1,1)+CHOOSE(--RIGHTB(OFFSET(INDIRECT(Свёртка_Перебор_2_20170709140117[[#This Row],[С]],FALSE),-1,3))+1,0,1,1,1,1,2)+CHOOSE(--RIGHTB(OFFSET(INDIRECT(Свёртка_Перебор_2_20170709140117[[#This Row],[С]],FALSE),-2,2))+1,0,1,1,1,1,2)))),1,0)+COUNTIFS(OFFSET(INDIRECT((OFFSET(INDIRECT(Свёртка_Перебор_2_20170709140117[[#This Row],[С]],FALSE),-2,3)&amp;"!R2C2"),FALSE),,,101,101),"="&amp;(Свёртка_Перебор_2_20170709140117[[#This Row],[F]]-(1+(CHOOSE(--RIGHTB(OFFSET(INDIRECT(Свёртка_Перебор_2_20170709140117[[#This Row],[С]],FALSE),,3))+1,0,0,0,1,1,1)+CHOOSE(--RIGHTB(OFFSET(INDIRECT(Свёртка_Перебор_2_20170709140117[[#This Row],[С]],FALSE),-1,3))+1,0,0,0,1,1,1)))+1))*IF(AND(Свёртка_Перебор_2_20170709140117[[#This Row],[F]]&gt;=(1+(CHOOSE(--RIGHTB(OFFSET(INDIRECT(Свёртка_Перебор_2_20170709140117[[#This Row],[С]],FALSE),,3))+1,0,0,0,1,1,1)+CHOOSE(--RIGHTB(OFFSET(INDIRECT(Свёртка_Перебор_2_20170709140117[[#This Row],[С]],FALSE),-1,3))+1,0,0,0,1,1,1))),Свёртка_Перебор_2_20170709140117[[#This Row],[F]]&lt;=(1+(CHOOSE(--RIGHTB(OFFSET(INDIRECT(Свёртка_Перебор_2_20170709140117[[#This Row],[С]],FALSE),,3))+1,0,0,0,1,1,1)+CHOOSE(--RIGHTB(OFFSET(INDIRECT(Свёртка_Перебор_2_20170709140117[[#This Row],[С]],FALSE),-1,3))+1,0,0,0,1,1,1)+CHOOSE(--RIGHTB(OFFSET(INDIRECT(Свёртка_Перебор_2_20170709140117[[#This Row],[С]],FALSE),-2,3))+1,0,1,1,1,1,2)))),1,0)+COUNTIFS(OFFSET(INDIRECT((OFFSET(INDIRECT(Свёртка_Перебор_2_20170709140117[[#This Row],[С]],FALSE),-1,1)&amp;"!R2C2"),FALSE),,,101,101),"="&amp;(Свёртка_Перебор_2_20170709140117[[#This Row],[F]]-(1+(CHOOSE(--RIGHTB(OFFSET(INDIRECT(Свёртка_Перебор_2_20170709140117[[#This Row],[С]],FALSE),,3))+1,0,0,1,0,1,1)+CHOOSE(--RIGHTB(OFFSET(INDIRECT(Свёртка_Перебор_2_20170709140117[[#This Row],[С]],FALSE),0,2))+1,0,1,1,1,1,2)))+1))*IF(AND(Свёртка_Перебор_2_20170709140117[[#This Row],[F]]&gt;=(1+(CHOOSE(--RIGHTB(OFFSET(INDIRECT(Свёртка_Перебор_2_20170709140117[[#This Row],[С]],FALSE),,3))+1,0,0,1,0,1,1)+CHOOSE(--RIGHTB(OFFSET(INDIRECT(Свёртка_Перебор_2_20170709140117[[#This Row],[С]],FALSE),,2))+1,0,1,1,1,1,2))),Свёртка_Перебор_2_20170709140117[[#This Row],[F]]&lt;=(1+(CHOOSE(--RIGHTB(OFFSET(INDIRECT(Свёртка_Перебор_2_20170709140117[[#This Row],[С]],FALSE),,3))+1,0,0,1,0,1,1)+CHOOSE(--RIGHTB(OFFSET(INDIRECT(Свёртка_Перебор_2_20170709140117[[#This Row],[С]],FALSE),,2))+1,0,1,1,1,1,2)+CHOOSE(--RIGHTB(OFFSET(INDIRECT(Свёртка_Перебор_2_20170709140117[[#This Row],[С]],FALSE),-1,1))+1,0,1,1,1,1,2)))),1,0)+COUNTIFS(OFFSET(INDIRECT((OFFSET(INDIRECT(Свёртка_Перебор_2_20170709140117[[#This Row],[С]],FALSE),-1,2)&amp;"!R2C2"),FALSE),,,101,101),"="&amp;(Свёртка_Перебор_2_20170709140117[[#This Row],[F]]-(1+(CHOOSE(--RIGHTB(OFFSET(INDIRECT(Свёртка_Перебор_2_20170709140117[[#This Row],[С]],FALSE),,3))+1,0,1,1,1,1,2)))+1))*IF(AND(Свёртка_Перебор_2_20170709140117[[#This Row],[F]]&gt;=(1+(CHOOSE(--RIGHTB(OFFSET(INDIRECT(Свёртка_Перебор_2_20170709140117[[#This Row],[С]],FALSE),,3))+1,0,1,1,1,1,2))),Свёртка_Перебор_2_20170709140117[[#This Row],[F]]&lt;=(1+(CHOOSE(--RIGHTB(OFFSET(INDIRECT(Свёртка_Перебор_2_20170709140117[[#This Row],[С]],FALSE),,3))+1,0,1,1,1,1,2)+CHOOSE(--RIGHTB(OFFSET(INDIRECT(Свёртка_Перебор_2_20170709140117[[#This Row],[С]],FALSE),-1,2))+1,0,1,1,1,1,2)))),1,0)+COUNTIFS(OFFSET(INDIRECT((OFFSET(INDIRECT(Свёртка_Перебор_2_20170709140117[[#This Row],[С]],FALSE),-1,3)&amp;"!R2C2"),FALSE),,,101,101),"="&amp;(Свёртка_Перебор_2_20170709140117[[#This Row],[F]]-(1+(CHOOSE(--RIGHTB(OFFSET(INDIRECT(Свёртка_Перебор_2_20170709140117[[#This Row],[С]],FALSE),,3))+1,0,0,0,1,1,1)))+1))*IF(AND(Свёртка_Перебор_2_20170709140117[[#This Row],[F]]&gt;=(1+(CHOOSE(--RIGHTB(OFFSET(INDIRECT(Свёртка_Перебор_2_20170709140117[[#This Row],[С]],FALSE),,3))+1,0,0,0,1,1,1))),Свёртка_Перебор_2_20170709140117[[#This Row],[F]]&lt;=(1+(CHOOSE(--RIGHTB(OFFSET(INDIRECT(Свёртка_Перебор_2_20170709140117[[#This Row],[С]],FALSE),,3))+1,0,0,0,1,1,1)+CHOOSE(--RIGHTB(OFFSET(INDIRECT(Свёртка_Перебор_2_20170709140117[[#This Row],[С]],FALSE),-1,3))+1,0,1,1,1,1,2)))),1,0)+COUNTIFS(OFFSET(INDIRECT((OFFSET(INDIRECT(Свёртка_Перебор_2_20170709140117[[#This Row],[С]],FALSE),,1)&amp;"!R2C2"),FALSE),,,101,101),"="&amp;(Свёртка_Перебор_2_20170709140117[[#This Row],[F]]-(1+(CHOOSE(--RIGHTB(OFFSET(INDIRECT(Свёртка_Перебор_2_20170709140117[[#This Row],[С]],FALSE),,3))+1,0,0,1,0,1,1)+CHOOSE(--RIGHTB(OFFSET(INDIRECT(Свёртка_Перебор_2_20170709140117[[#This Row],[С]],FALSE),,2))+1,0,0,1,0,1,1)))+1))*IF(AND(Свёртка_Перебор_2_20170709140117[[#This Row],[F]]&gt;=(1+(CHOOSE(--RIGHTB(OFFSET(INDIRECT(Свёртка_Перебор_2_20170709140117[[#This Row],[С]],FALSE),,3))+1,0,0,1,0,1,1)+CHOOSE(--RIGHTB(OFFSET(INDIRECT(Свёртка_Перебор_2_20170709140117[[#This Row],[С]],FALSE),,2))+1,0,0,1,0,1,1))),Свёртка_Перебор_2_20170709140117[[#This Row],[F]]&lt;=(1+(CHOOSE(--RIGHTB(OFFSET(INDIRECT(Свёртка_Перебор_2_20170709140117[[#This Row],[С]],FALSE),,3))+1,0,0,1,0,1,1)+CHOOSE(--RIGHTB(OFFSET(INDIRECT(Свёртка_Перебор_2_20170709140117[[#This Row],[С]],FALSE),,2))+1,0,0,1,0,1,1)+CHOOSE(--RIGHTB(OFFSET(INDIRECT(Свёртка_Перебор_2_20170709140117[[#This Row],[С]],FALSE),,3))+1,0,1,1,1,1,2)))),1,0)+COUNTIFS(OFFSET(INDIRECT((OFFSET(INDIRECT(Свёртка_Перебор_2_20170709140117[[#This Row],[С]],FALSE),,2)&amp;"!R2C2"),FALSE),,,101,101),"="&amp;(Свёртка_Перебор_2_20170709140117[[#This Row],[F]]-(1+(CHOOSE(--RIGHTB(OFFSET(INDIRECT(Свёртка_Перебор_2_20170709140117[[#This Row],[С]],FALSE),,3))+1,0,0,1,0,1,1)))+1))*IF(AND(Свёртка_Перебор_2_20170709140117[[#This Row],[F]]&gt;=(1+(CHOOSE(--RIGHTB(OFFSET(INDIRECT(Свёртка_Перебор_2_20170709140117[[#This Row],[С]],FALSE),0,3))+1,0,0,1,0,1,1))),Свёртка_Перебор_2_20170709140117[[#This Row],[F]]&lt;=(1+(CHOOSE(--RIGHTB(OFFSET(INDIRECT(Свёртка_Перебор_2_20170709140117[[#This Row],[С]],FALSE),,3))+1,0,1,0,0,1,1)+CHOOSE(--RIGHTB(OFFSET(INDIRECT(Свёртка_Перебор_2_20170709140117[[#This Row],[С]],FALSE),,2))+1,0,1,1,1,1,2)))),1,0)+COUNTIFS(OFFSET(INDIRECT((OFFSET(INDIRECT(Свёртка_Перебор_2_20170709140117[[#This Row],[С]],FALSE),,3)&amp;"!R2C2"),FALSE),,,101,101),"="&amp;(Свёртка_Перебор_2_20170709140117[[#This Row],[F]]-1+1))*IF(AND(Свёртка_Перебор_2_20170709140117[[#This Row],[F]]&gt;=1,Свёртка_Перебор_2_20170709140117[[#This Row],[F]]&lt;=1+(CHOOSE(--RIGHTB(OFFSET(INDIRECT(Свёртка_Перебор_2_20170709140117[[#This Row],[С]],FALSE),,3))+1,0,1,1,1,1,2))),1,0)</f>
        <v>#REF!</v>
      </c>
    </row>
    <row r="12" spans="2:88" x14ac:dyDescent="0.25">
      <c r="B12" t="str">
        <f ca="1">IF(AND(Критерий_Перебор_2_20170709140117[[#This Row],[Критерий]]&lt;&gt;"",Критерий_Перебор_2_20170709140117[[#This Row],[O.K.Критерий]]=1),ROW()-ROW(Критерий_Перебор_2_20170709140117[[#Headers],[№]]),"")</f>
        <v/>
      </c>
      <c r="C12" s="37"/>
      <c r="D12" t="str">
        <f ca="1">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f>
        <v>ошибка</v>
      </c>
      <c r="E12" t="str">
        <f ca="1">IFERROR(IF(LEFT(Критерий_Перебор_2_20170709140117[[#This Row],[Фкритерий]],5)="=Прив","Критерий",IF(LEFT(Критерий_Перебор_2_20170709140117[[#This Row],[Фкритерий]],5)="=Матр","ошибка","ошибка")),"ошибка")</f>
        <v>ошибка</v>
      </c>
      <c r="F12" t="str">
        <f ca="1">IFERROR(IF(LEN((INDIRECT(Критерий_Перебор_2_20170709140117[[#This Row],[СНаименование]],FALSE)))=0,"ошибка",IFERROR(INDIRECT(Критерий_Перебор_2_20170709140117[[#This Row],[СНаименование]],FALSE),"ошибка")),"ошибка")</f>
        <v>ошибка</v>
      </c>
      <c r="G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f>
        <v>ошибка</v>
      </c>
      <c r="H12" t="str">
        <f ca="1">IFERROR(IF(N(INDIRECT(Критерий_Перебор_2_20170709140117[[#This Row],[СФизКритерий]],FALSE))=0,"ошибка",IFERROR(INDIRECT(Критерий_Перебор_2_20170709140117[[#This Row],[СФизКритерий]],FALSE),"ошибка")),"ошибка")</f>
        <v>ошибка</v>
      </c>
      <c r="I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f>
        <v>ошибка</v>
      </c>
      <c r="J12" t="str">
        <f ca="1">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f>
        <v>ошибка</v>
      </c>
      <c r="K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f>
        <v>ошибка</v>
      </c>
      <c r="L12" t="str">
        <f ca="1">IFERROR(_xlfn.FORMULATEXT(INDIRECT(Критерий_Перебор_2_20170709140117[[#This Row],[Скритерий]],FALSE)),"ошибка")</f>
        <v>ошибка</v>
      </c>
      <c r="M12" t="str">
        <f ca="1">IFERROR(IF(N(INDIRECT(Критерий_Перебор_2_20170709140117[[#This Row],[СМинФизКритерий]],FALSE))=0,"ошибка",IFERROR(INDIRECT(Критерий_Перебор_2_20170709140117[[#This Row],[СМинФизКритерий]],FALSE),"ошибка")),"ошибка")</f>
        <v>ошибка</v>
      </c>
      <c r="N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f>
        <v>ошибка</v>
      </c>
      <c r="O12" t="str">
        <f ca="1">IFERROR(IF(N(INDIRECT(Критерий_Перебор_2_20170709140117[[#This Row],[СМаксФизКритерий]],FALSE))=0,"ошибка",IFERROR(INDIRECT(Критерий_Перебор_2_20170709140117[[#This Row],[СМаксФизКритерий]],FALSE),"ошибка")),"ошибка")</f>
        <v>ошибка</v>
      </c>
      <c r="P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f>
        <v>ошибка</v>
      </c>
      <c r="Q12" t="str">
        <f ca="1">IFERROR(IF(N(INDIRECT(Критерий_Перебор_2_20170709140117[[#This Row],[ССрФизКритерий]],FALSE))=0,"ошибка",IFERROR(INDIRECT(Критерий_Перебор_2_20170709140117[[#This Row],[ССрФизКритерий]],FALSE),"ошибка")),"")</f>
        <v/>
      </c>
      <c r="R12" t="str">
        <f ca="1">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f>
        <v/>
      </c>
      <c r="S12" s="66">
        <f ca="1">IFERROR(IF(AND(Критерий_Перебор_2_20170709140117[[#This Row],[ВидКритерий]]="Критерий",Критерий_Перебор_2_20170709140117[[#This Row],[Фкритерий]]="=Приведение"),1,-1),-1)</f>
        <v>-1</v>
      </c>
    </row>
  </sheetData>
  <conditionalFormatting sqref="W11 C10:C12">
    <cfRule type="cellIs" dxfId="21" priority="1" stopIfTrue="1" operator="notBetween">
      <formula>1</formula>
      <formula>4</formula>
    </cfRule>
  </conditionalFormatting>
  <conditionalFormatting sqref="S10:S12">
    <cfRule type="iconSet" priority="2">
      <iconSet showValue="0">
        <cfvo type="percent" val="0"/>
        <cfvo type="num" val="0"/>
        <cfvo type="num" val="1"/>
      </iconSet>
    </cfRule>
  </conditionalFormatting>
  <conditionalFormatting sqref="W10:W11">
    <cfRule type="cellIs" dxfId="20" priority="3" stopIfTrue="1" operator="notBetween">
      <formula>1</formula>
      <formula>4</formula>
    </cfRule>
  </conditionalFormatting>
  <conditionalFormatting sqref="CJ10:CJ11">
    <cfRule type="iconSet" priority="4">
      <iconSet showValue="0">
        <cfvo type="percent" val="0"/>
        <cfvo type="num" val="0"/>
        <cfvo type="num" val="1"/>
      </iconSet>
    </cfRule>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1111"/>
  <dimension ref="B1:CO23"/>
  <sheetViews>
    <sheetView topLeftCell="BT1" workbookViewId="0">
      <selection activeCell="CI10" sqref="CI10"/>
    </sheetView>
  </sheetViews>
  <sheetFormatPr defaultRowHeight="15" outlineLevelRow="2" x14ac:dyDescent="0.25"/>
  <cols>
    <col min="2" max="2" width="11.140625" customWidth="1"/>
    <col min="4" max="4" width="26.42578125" customWidth="1"/>
    <col min="22" max="22" width="11.140625" customWidth="1"/>
    <col min="24" max="24" width="29.28515625" customWidth="1"/>
    <col min="28" max="29" width="8.85546875" customWidth="1"/>
    <col min="31" max="31" width="13.7109375" customWidth="1"/>
    <col min="36" max="36" width="14.5703125" customWidth="1"/>
    <col min="41" max="41" width="14.85546875" customWidth="1"/>
    <col min="83" max="83" width="9.5703125" customWidth="1"/>
    <col min="86" max="87" width="9.85546875" bestFit="1" customWidth="1"/>
  </cols>
  <sheetData>
    <row r="1" spans="2:89" outlineLevel="2" x14ac:dyDescent="0.25"/>
    <row r="2" spans="2:89" outlineLevel="2" x14ac:dyDescent="0.25">
      <c r="C2" t="s">
        <v>364</v>
      </c>
      <c r="E2">
        <f>ROWS(Критерий_Перебор_2_20170602154411[])</f>
        <v>10</v>
      </c>
      <c r="W2" t="s">
        <v>364</v>
      </c>
      <c r="Y2">
        <f>ROWS(Свёртка_Перебор_2_20170602154411[])</f>
        <v>9</v>
      </c>
    </row>
    <row r="3" spans="2:89" outlineLevel="2" x14ac:dyDescent="0.25">
      <c r="C3" t="s">
        <v>365</v>
      </c>
      <c r="E3">
        <f>COUNTIF(Критерий_Перебор_2_20170602154411[Критерий],"&gt;=1")-COUNTIF(Критерий_Перебор_2_20170602154411[Критерий],"&gt;4")</f>
        <v>0</v>
      </c>
      <c r="W3" t="s">
        <v>365</v>
      </c>
      <c r="Y3">
        <f>COUNTIF(Свёртка_Перебор_2_20170602154411[Свёртка],"&gt;=1")-COUNTIF(Свёртка_Перебор_2_20170602154411[Свёртка],"&gt;4")</f>
        <v>0</v>
      </c>
    </row>
    <row r="4" spans="2:89" outlineLevel="2" x14ac:dyDescent="0.25">
      <c r="C4" t="s">
        <v>447</v>
      </c>
      <c r="E4">
        <f ca="1">COUNTIF(Критерий_Перебор_2_20170602154411[O.K.Критерий],1)</f>
        <v>0</v>
      </c>
      <c r="W4" t="s">
        <v>447</v>
      </c>
      <c r="Y4">
        <f>COUNTIF(Свёртка_Перебор_2_20170602154411[ССВ_3_1_kolvo],1)</f>
        <v>0</v>
      </c>
    </row>
    <row r="5" spans="2:89" outlineLevel="2" x14ac:dyDescent="0.25"/>
    <row r="6" spans="2:89" outlineLevel="2" x14ac:dyDescent="0.25">
      <c r="G6">
        <v>-2</v>
      </c>
      <c r="I6">
        <v>1</v>
      </c>
      <c r="K6">
        <v>-1</v>
      </c>
      <c r="N6">
        <v>1</v>
      </c>
      <c r="P6">
        <v>1</v>
      </c>
      <c r="R6">
        <v>1</v>
      </c>
      <c r="X6">
        <v>1</v>
      </c>
      <c r="Y6">
        <v>2</v>
      </c>
      <c r="Z6">
        <v>3</v>
      </c>
      <c r="AA6">
        <v>4</v>
      </c>
      <c r="AB6">
        <v>-3</v>
      </c>
      <c r="AE6">
        <v>0</v>
      </c>
      <c r="AJ6">
        <v>-1</v>
      </c>
      <c r="AO6">
        <v>0</v>
      </c>
      <c r="AT6">
        <v>-1</v>
      </c>
      <c r="AY6">
        <v>-2</v>
      </c>
      <c r="BD6">
        <v>0</v>
      </c>
      <c r="BI6">
        <v>-2</v>
      </c>
      <c r="BN6">
        <v>-1</v>
      </c>
      <c r="BS6">
        <v>-2</v>
      </c>
      <c r="BY6">
        <v>-2</v>
      </c>
      <c r="CB6">
        <v>-1</v>
      </c>
    </row>
    <row r="7" spans="2:89" outlineLevel="2" x14ac:dyDescent="0.25">
      <c r="G7">
        <v>-3</v>
      </c>
      <c r="I7">
        <v>0</v>
      </c>
      <c r="K7">
        <v>-3</v>
      </c>
      <c r="N7">
        <v>-3</v>
      </c>
      <c r="P7">
        <v>-1</v>
      </c>
      <c r="R7">
        <v>-2</v>
      </c>
      <c r="X7">
        <v>1</v>
      </c>
      <c r="Y7">
        <v>2</v>
      </c>
      <c r="Z7">
        <v>3</v>
      </c>
      <c r="AA7">
        <v>4</v>
      </c>
      <c r="AB7">
        <v>0</v>
      </c>
      <c r="AE7">
        <v>3</v>
      </c>
      <c r="AJ7">
        <v>3</v>
      </c>
      <c r="AO7">
        <v>2</v>
      </c>
      <c r="AT7">
        <v>2</v>
      </c>
      <c r="AY7">
        <v>3</v>
      </c>
      <c r="BD7">
        <v>1</v>
      </c>
      <c r="BI7">
        <v>2</v>
      </c>
      <c r="BN7">
        <v>1</v>
      </c>
      <c r="BS7">
        <v>1</v>
      </c>
      <c r="BY7">
        <v>0</v>
      </c>
      <c r="CB7">
        <v>0</v>
      </c>
    </row>
    <row r="8" spans="2:89" outlineLevel="2" x14ac:dyDescent="0.25">
      <c r="C8">
        <v>0</v>
      </c>
      <c r="D8">
        <v>1</v>
      </c>
      <c r="E8">
        <v>2</v>
      </c>
      <c r="F8">
        <v>3</v>
      </c>
      <c r="G8">
        <v>4</v>
      </c>
      <c r="H8">
        <v>5</v>
      </c>
      <c r="I8">
        <v>6</v>
      </c>
      <c r="J8">
        <v>7</v>
      </c>
      <c r="K8">
        <v>8</v>
      </c>
      <c r="L8">
        <v>9</v>
      </c>
      <c r="M8">
        <v>10</v>
      </c>
      <c r="N8">
        <v>11</v>
      </c>
      <c r="O8">
        <v>12</v>
      </c>
      <c r="P8">
        <v>13</v>
      </c>
      <c r="Q8">
        <v>14</v>
      </c>
      <c r="R8">
        <v>15</v>
      </c>
      <c r="S8">
        <v>16</v>
      </c>
      <c r="W8">
        <v>0</v>
      </c>
      <c r="X8">
        <v>1</v>
      </c>
      <c r="Y8">
        <v>2</v>
      </c>
      <c r="Z8">
        <v>3</v>
      </c>
      <c r="AA8">
        <v>4</v>
      </c>
      <c r="AB8">
        <v>5</v>
      </c>
      <c r="AD8">
        <v>6</v>
      </c>
      <c r="AE8">
        <v>7</v>
      </c>
      <c r="AF8">
        <v>8</v>
      </c>
      <c r="AG8">
        <v>9</v>
      </c>
      <c r="AH8">
        <v>10</v>
      </c>
      <c r="AI8">
        <v>11</v>
      </c>
      <c r="AJ8">
        <v>12</v>
      </c>
      <c r="AK8">
        <v>13</v>
      </c>
      <c r="AL8">
        <v>14</v>
      </c>
      <c r="AM8">
        <v>15</v>
      </c>
      <c r="AN8">
        <v>16</v>
      </c>
      <c r="AO8">
        <v>17</v>
      </c>
      <c r="AP8">
        <v>18</v>
      </c>
      <c r="AQ8">
        <v>19</v>
      </c>
      <c r="AR8">
        <v>20</v>
      </c>
      <c r="AS8">
        <v>21</v>
      </c>
      <c r="AT8">
        <v>22</v>
      </c>
      <c r="AU8">
        <v>23</v>
      </c>
      <c r="AV8">
        <v>24</v>
      </c>
      <c r="AW8">
        <v>25</v>
      </c>
      <c r="AX8">
        <v>26</v>
      </c>
      <c r="AY8">
        <v>27</v>
      </c>
      <c r="AZ8">
        <v>28</v>
      </c>
      <c r="BA8">
        <v>29</v>
      </c>
      <c r="BB8">
        <v>30</v>
      </c>
      <c r="BC8">
        <v>31</v>
      </c>
      <c r="BD8">
        <v>32</v>
      </c>
      <c r="BE8">
        <v>33</v>
      </c>
      <c r="BF8">
        <v>34</v>
      </c>
      <c r="BG8">
        <v>35</v>
      </c>
      <c r="BH8">
        <v>36</v>
      </c>
      <c r="BI8">
        <v>37</v>
      </c>
      <c r="BJ8">
        <v>38</v>
      </c>
      <c r="BK8">
        <v>39</v>
      </c>
      <c r="BL8">
        <v>40</v>
      </c>
      <c r="BM8">
        <v>41</v>
      </c>
      <c r="BN8">
        <v>42</v>
      </c>
      <c r="BO8">
        <v>43</v>
      </c>
      <c r="BP8">
        <v>44</v>
      </c>
      <c r="BQ8">
        <v>45</v>
      </c>
      <c r="BR8">
        <v>46</v>
      </c>
      <c r="BS8">
        <v>47</v>
      </c>
      <c r="BT8">
        <v>48</v>
      </c>
      <c r="BU8">
        <v>49</v>
      </c>
      <c r="BV8">
        <v>50</v>
      </c>
      <c r="BW8">
        <v>51</v>
      </c>
      <c r="BX8">
        <v>52</v>
      </c>
      <c r="BY8">
        <v>53</v>
      </c>
      <c r="BZ8">
        <v>54</v>
      </c>
      <c r="CA8">
        <v>55</v>
      </c>
      <c r="CB8">
        <v>56</v>
      </c>
      <c r="CC8">
        <v>57</v>
      </c>
      <c r="CD8">
        <v>58</v>
      </c>
    </row>
    <row r="9" spans="2:89" x14ac:dyDescent="0.25">
      <c r="B9" t="s">
        <v>395</v>
      </c>
      <c r="C9" t="s">
        <v>396</v>
      </c>
      <c r="D9" t="s">
        <v>397</v>
      </c>
      <c r="E9" t="s">
        <v>409</v>
      </c>
      <c r="F9" t="s">
        <v>456</v>
      </c>
      <c r="G9" t="s">
        <v>457</v>
      </c>
      <c r="H9" t="s">
        <v>398</v>
      </c>
      <c r="I9" t="s">
        <v>399</v>
      </c>
      <c r="J9" t="s">
        <v>400</v>
      </c>
      <c r="K9" t="s">
        <v>401</v>
      </c>
      <c r="L9" t="s">
        <v>402</v>
      </c>
      <c r="M9" t="s">
        <v>403</v>
      </c>
      <c r="N9" t="s">
        <v>404</v>
      </c>
      <c r="O9" t="s">
        <v>405</v>
      </c>
      <c r="P9" t="s">
        <v>406</v>
      </c>
      <c r="Q9" t="s">
        <v>407</v>
      </c>
      <c r="R9" t="s">
        <v>408</v>
      </c>
      <c r="S9" t="s">
        <v>410</v>
      </c>
      <c r="V9" t="s">
        <v>395</v>
      </c>
      <c r="W9" t="s">
        <v>411</v>
      </c>
      <c r="X9" t="s">
        <v>414</v>
      </c>
      <c r="Y9" t="s">
        <v>412</v>
      </c>
      <c r="Z9" t="s">
        <v>413</v>
      </c>
      <c r="AA9" t="s">
        <v>456</v>
      </c>
      <c r="AB9" t="s">
        <v>457</v>
      </c>
      <c r="AC9" t="s">
        <v>561</v>
      </c>
      <c r="AD9" t="s">
        <v>475</v>
      </c>
      <c r="AE9" t="s">
        <v>478</v>
      </c>
      <c r="AF9" t="s">
        <v>519</v>
      </c>
      <c r="AG9" t="s">
        <v>537</v>
      </c>
      <c r="AH9" t="s">
        <v>520</v>
      </c>
      <c r="AI9" t="s">
        <v>476</v>
      </c>
      <c r="AJ9" t="s">
        <v>479</v>
      </c>
      <c r="AK9" t="s">
        <v>521</v>
      </c>
      <c r="AL9" t="s">
        <v>538</v>
      </c>
      <c r="AM9" t="s">
        <v>522</v>
      </c>
      <c r="AN9" t="s">
        <v>477</v>
      </c>
      <c r="AO9" t="s">
        <v>480</v>
      </c>
      <c r="AP9" t="s">
        <v>523</v>
      </c>
      <c r="AQ9" t="s">
        <v>539</v>
      </c>
      <c r="AR9" t="s">
        <v>524</v>
      </c>
      <c r="AS9" t="s">
        <v>481</v>
      </c>
      <c r="AT9" t="s">
        <v>482</v>
      </c>
      <c r="AU9" t="s">
        <v>525</v>
      </c>
      <c r="AV9" t="s">
        <v>540</v>
      </c>
      <c r="AW9" t="s">
        <v>526</v>
      </c>
      <c r="AX9" t="s">
        <v>483</v>
      </c>
      <c r="AY9" t="s">
        <v>484</v>
      </c>
      <c r="AZ9" t="s">
        <v>527</v>
      </c>
      <c r="BA9" t="s">
        <v>541</v>
      </c>
      <c r="BB9" t="s">
        <v>528</v>
      </c>
      <c r="BC9" t="s">
        <v>485</v>
      </c>
      <c r="BD9" t="s">
        <v>486</v>
      </c>
      <c r="BE9" t="s">
        <v>529</v>
      </c>
      <c r="BF9" t="s">
        <v>542</v>
      </c>
      <c r="BG9" t="s">
        <v>530</v>
      </c>
      <c r="BH9" t="s">
        <v>487</v>
      </c>
      <c r="BI9" t="s">
        <v>488</v>
      </c>
      <c r="BJ9" t="s">
        <v>531</v>
      </c>
      <c r="BK9" t="s">
        <v>543</v>
      </c>
      <c r="BL9" t="s">
        <v>532</v>
      </c>
      <c r="BM9" t="s">
        <v>489</v>
      </c>
      <c r="BN9" t="s">
        <v>490</v>
      </c>
      <c r="BO9" t="s">
        <v>533</v>
      </c>
      <c r="BP9" t="s">
        <v>544</v>
      </c>
      <c r="BQ9" t="s">
        <v>534</v>
      </c>
      <c r="BR9" t="s">
        <v>491</v>
      </c>
      <c r="BS9" t="s">
        <v>492</v>
      </c>
      <c r="BT9" t="s">
        <v>535</v>
      </c>
      <c r="BU9" t="s">
        <v>545</v>
      </c>
      <c r="BV9" t="s">
        <v>536</v>
      </c>
      <c r="BW9" t="s">
        <v>546</v>
      </c>
      <c r="BX9" t="s">
        <v>493</v>
      </c>
      <c r="BY9" t="s">
        <v>494</v>
      </c>
      <c r="BZ9" t="s">
        <v>495</v>
      </c>
      <c r="CA9" t="s">
        <v>496</v>
      </c>
      <c r="CB9" t="s">
        <v>497</v>
      </c>
      <c r="CC9" t="s">
        <v>498</v>
      </c>
      <c r="CD9" t="s">
        <v>415</v>
      </c>
      <c r="CE9" t="s">
        <v>559</v>
      </c>
      <c r="CF9" t="s">
        <v>560</v>
      </c>
      <c r="CG9" t="s">
        <v>558</v>
      </c>
      <c r="CH9" t="s">
        <v>562</v>
      </c>
      <c r="CI9" t="s">
        <v>570</v>
      </c>
      <c r="CJ9" t="s">
        <v>569</v>
      </c>
      <c r="CK9" t="s">
        <v>556</v>
      </c>
    </row>
    <row r="10" spans="2:89" x14ac:dyDescent="0.25">
      <c r="B10" t="e">
        <f ca="1">IF(AND(Критерий_Перебор_2_20170602154411[[#This Row],[Критерий]]&lt;&gt;"",Критерий_Перебор_2_20170602154411[[#This Row],[O.K.Критерий]]=1),ROW()-ROW(Критерий_Перебор_2_20170602154411[[#Headers],[№]]),"")</f>
        <v>#REF!</v>
      </c>
      <c r="C10" s="37" t="e">
        <f>Модель!#REF!</f>
        <v>#REF!</v>
      </c>
      <c r="D10"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0" t="str">
        <f ca="1">IFERROR(IF(LEFT(Критерий_Перебор_2_20170602154411[[#This Row],[Фкритерий]],5)="=Прив","Критерий",IF(LEFT(Критерий_Перебор_2_20170602154411[[#This Row],[Фкритерий]],5)="=Матр","ошибка","ошибка")),"ошибка")</f>
        <v>ошибка</v>
      </c>
      <c r="F10"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0" t="str">
        <f ca="1">IFERROR(IF(N(INDIRECT(Критерий_Перебор_2_20170602154411[[#This Row],[СФизКритерий]],FALSE))=0,"ошибка",IFERROR(INDIRECT(Критерий_Перебор_2_20170602154411[[#This Row],[СФизКритерий]],FALSE),"ошибка")),"ошибка")</f>
        <v>ошибка</v>
      </c>
      <c r="I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0"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0" t="str">
        <f ca="1">IFERROR(_xlfn.FORMULATEXT(INDIRECT(Критерий_Перебор_2_20170602154411[[#This Row],[Скритерий]],FALSE)),"ошибка")</f>
        <v>ошибка</v>
      </c>
      <c r="M10"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0"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0" t="str">
        <f ca="1">IFERROR(IF(N(INDIRECT(Критерий_Перебор_2_20170602154411[[#This Row],[ССрФизКритерий]],FALSE))=0,"ошибка",IFERROR(INDIRECT(Критерий_Перебор_2_20170602154411[[#This Row],[ССрФизКритерий]],FALSE),"ошибка")),"")</f>
        <v/>
      </c>
      <c r="R10"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0" s="66">
        <f ca="1">IFERROR(IF(AND(Критерий_Перебор_2_20170602154411[[#This Row],[ВидКритерий]]="Критерий",Критерий_Перебор_2_20170602154411[[#This Row],[Фкритерий]]="=Приведение"),1,-1),-1)</f>
        <v>-1</v>
      </c>
      <c r="V10" t="e">
        <f ca="1">IF(AND(Свёртка_Перебор_2_20170602154411[[#This Row],[Свёртка]]&lt;&gt;"",Свёртка_Перебор_2_20170602154411[[#This Row],[O.K.Свёртка]]=1),ROW()-ROW(Свёртка_Перебор_2_20170602154411[[#Headers],[№]]),"")</f>
        <v>#REF!</v>
      </c>
      <c r="W10" s="146" t="e">
        <f>Модель!#REF!</f>
        <v>#REF!</v>
      </c>
      <c r="X10"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0" t="str">
        <f ca="1">IFERROR(_xlfn.FORMULATEXT(INDIRECT(Свёртка_Перебор_2_20170602154411[[#This Row],[ССвёртка]],FALSE)),"ошибка")</f>
        <v>ошибка</v>
      </c>
      <c r="Z10" t="str">
        <f ca="1">IFERROR(IF(LEFT(Свёртка_Перебор_2_20170602154411[[#This Row],[ФСвёртка]],5)="=Прив","ошибка",IF(LEFT(Свёртка_Перебор_2_20170602154411[[#This Row],[ФСвёртка]],5)="=Матр","Свёртка","ошибка")),"ошибка")</f>
        <v>ошибка</v>
      </c>
      <c r="AA10" t="str">
        <f ca="1">IFERROR(IF(LEN((INDIRECT(Свёртка_Перебор_2_20170602154411[[#This Row],[СНаименование]],FALSE)))=0,"ошибка",IFERROR(INDIRECT(Свёртка_Перебор_2_20170602154411[[#This Row],[СНаименование]],FALSE),"ошибка")),"ошибка")</f>
        <v>ошибка</v>
      </c>
      <c r="AB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0">
        <v>2.71</v>
      </c>
      <c r="AD10" t="str">
        <f ca="1">IFERROR(IF(LEN((INDIRECT(Свёртка_Перебор_2_20170602154411[[#This Row],[ССВ_1_1]],FALSE)))=0,"ошибка",IFERROR(INDIRECT(Свёртка_Перебор_2_20170602154411[[#This Row],[ССВ_1_1]],FALSE),"ошибка")),"ошибка")</f>
        <v>ошибка</v>
      </c>
      <c r="AE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0">
        <v>0</v>
      </c>
      <c r="AG10">
        <v>2</v>
      </c>
      <c r="AH10">
        <f ca="1">IF(Свёртка_Перебор_2_20170602154411[[#This Row],[F]]&gt;3,0,IF(Свёртка_Перебор_2_20170602154411[[#This Row],[СВ_1_1]]&lt;&gt;"F5",0))</f>
        <v>0</v>
      </c>
      <c r="AI10" t="str">
        <f ca="1">IFERROR(IF(LEN((INDIRECT(Свёртка_Перебор_2_20170602154411[[#This Row],[ССВ_2_1]],FALSE)))=0,"ошибка",IFERROR(INDIRECT(Свёртка_Перебор_2_20170602154411[[#This Row],[ССВ_2_1]],FALSE),"ошибка")),"ошибка")</f>
        <v>ошибка</v>
      </c>
      <c r="AJ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0">
        <v>0</v>
      </c>
      <c r="AL10">
        <v>3</v>
      </c>
      <c r="AM10">
        <v>0</v>
      </c>
      <c r="AN10" t="str">
        <f ca="1">IFERROR(IF(LEN((INDIRECT(Свёртка_Перебор_2_20170602154411[[#This Row],[ССВ_1_2]],FALSE)))=0,"ошибка",IFERROR(INDIRECT(Свёртка_Перебор_2_20170602154411[[#This Row],[ССВ_1_2]],FALSE),"ошибка")),"ошибка")</f>
        <v>ошибка</v>
      </c>
      <c r="AO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0">
        <v>0</v>
      </c>
      <c r="AQ10">
        <v>3</v>
      </c>
      <c r="AR10">
        <v>0</v>
      </c>
      <c r="AS10" t="str">
        <f ca="1">IFERROR(IF(LEN((INDIRECT(Свёртка_Перебор_2_20170602154411[[#This Row],[ССВ_2_2]],FALSE)))=0,"ошибка",IFERROR(INDIRECT(Свёртка_Перебор_2_20170602154411[[#This Row],[ССВ_2_2]],FALSE),"ошибка")),"ошибка")</f>
        <v>ошибка</v>
      </c>
      <c r="AT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0">
        <v>1</v>
      </c>
      <c r="AV10">
        <v>4</v>
      </c>
      <c r="AW10">
        <v>84</v>
      </c>
      <c r="AX10" t="str">
        <f ca="1">IFERROR(IF(LEN((INDIRECT(Свёртка_Перебор_2_20170602154411[[#This Row],[ССВ_3_1]],FALSE)))=0,"ошибка",IFERROR(INDIRECT(Свёртка_Перебор_2_20170602154411[[#This Row],[ССВ_3_1]],FALSE),"ошибка")),"ошибка")</f>
        <v>ошибка</v>
      </c>
      <c r="AY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0">
        <v>0</v>
      </c>
      <c r="BA10">
        <v>3</v>
      </c>
      <c r="BB10">
        <v>0</v>
      </c>
      <c r="BC10" t="str">
        <f ca="1">IFERROR(IF(LEN((INDIRECT(Свёртка_Перебор_2_20170602154411[[#This Row],[ССВ_1_3]],FALSE)))=0,"ошибка",IFERROR(INDIRECT(Свёртка_Перебор_2_20170602154411[[#This Row],[ССВ_1_3]],FALSE),"ошибка")),"ошибка")</f>
        <v>ошибка</v>
      </c>
      <c r="BD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0">
        <v>0</v>
      </c>
      <c r="BF10">
        <v>3</v>
      </c>
      <c r="BG10">
        <v>0</v>
      </c>
      <c r="BH10" t="str">
        <f ca="1">IFERROR(IF(LEN((INDIRECT(Свёртка_Перебор_2_20170602154411[[#This Row],[ССВ_3_2]],FALSE)))=0,"ошибка",IFERROR(INDIRECT(Свёртка_Перебор_2_20170602154411[[#This Row],[ССВ_3_2]],FALSE),"ошибка")),"ошибка")</f>
        <v>ошибка</v>
      </c>
      <c r="BI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0">
        <v>1</v>
      </c>
      <c r="BK10">
        <v>4</v>
      </c>
      <c r="BL10">
        <v>101</v>
      </c>
      <c r="BM10" t="str">
        <f ca="1">IFERROR(IF(LEN((INDIRECT(Свёртка_Перебор_2_20170602154411[[#This Row],[ССВ_2_3]],FALSE)))=0,"ошибка",IFERROR(INDIRECT(Свёртка_Перебор_2_20170602154411[[#This Row],[ССВ_2_3]],FALSE),"ошибка")),"ошибка")</f>
        <v>ошибка</v>
      </c>
      <c r="BN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0">
        <v>1</v>
      </c>
      <c r="BP10">
        <v>4</v>
      </c>
      <c r="BQ10">
        <v>101</v>
      </c>
      <c r="BR10" t="str">
        <f ca="1">IFERROR(IF(LEN((INDIRECT(Свёртка_Перебор_2_20170602154411[[#This Row],[ССВ_3_3]],FALSE)))=0,"ошибка",IFERROR(INDIRECT(Свёртка_Перебор_2_20170602154411[[#This Row],[ССВ_3_3]],FALSE),"ошибка")),"ошибка")</f>
        <v>ошибка</v>
      </c>
      <c r="BS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0">
        <v>0</v>
      </c>
      <c r="BU10">
        <v>4</v>
      </c>
      <c r="BV10">
        <v>0</v>
      </c>
      <c r="BW10">
        <f ca="1">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286</v>
      </c>
      <c r="BX10" t="str">
        <f ca="1">IFERROR(IF(LEN((INDIRECT(Свёртка_Перебор_2_20170602154411[[#This Row],[СЛ]],FALSE)))=0,"ошибка",IFERROR(INDIRECT(Свёртка_Перебор_2_20170602154411[[#This Row],[СЛ]],FALSE),"ошибка")),"ошибка")</f>
        <v>ошибка</v>
      </c>
      <c r="BY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0" t="str">
        <f ca="1">IFERROR(_xlfn.FORMULATEXT(INDIRECT(Свёртка_Перебор_2_20170602154411[[#This Row],[СЛ]],FALSE)),"ошибка")</f>
        <v>ошибка</v>
      </c>
      <c r="CA10" t="str">
        <f ca="1">IFERROR(IF(LEN((INDIRECT(Свёртка_Перебор_2_20170602154411[[#This Row],[СП]],FALSE)))=0,"ошибка",IFERROR(INDIRECT(Свёртка_Перебор_2_20170602154411[[#This Row],[СП]],FALSE),"ошибка")),"ошибка")</f>
        <v>ошибка</v>
      </c>
      <c r="CB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0" t="str">
        <f ca="1">IFERROR(_xlfn.FORMULATEXT(INDIRECT(Свёртка_Перебор_2_20170602154411[[#This Row],[СП]],FALSE)),"ошибка")</f>
        <v>ошибка</v>
      </c>
      <c r="CD10"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0"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0"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0" t="str">
        <f ca="1">IF(ISERR(SEARCH("!",Свёртка_Перебор_2_20170602154411[[#This Row],[ССвёртка]])),"",LEFT(Свёртка_Перебор_2_20170602154411[[#This Row],[ССвёртка]],SEARCH("!",Свёртка_Перебор_2_20170602154411[[#This Row],[ССвёртка]])))</f>
        <v/>
      </c>
      <c r="CH10" t="str">
        <f ca="1">Свёртка_Перебор_2_20170602154411[[#This Row],[ССвёртка]]</f>
        <v>ошибка</v>
      </c>
      <c r="CI10"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0" t="str">
        <f t="array" aca="1" ref="CJ10"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0"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1" spans="2:89" x14ac:dyDescent="0.25">
      <c r="B11" t="e">
        <f ca="1">IF(AND(Критерий_Перебор_2_20170602154411[[#This Row],[Критерий]]&lt;&gt;"",Критерий_Перебор_2_20170602154411[[#This Row],[O.K.Критерий]]=1),ROW()-ROW(Критерий_Перебор_2_20170602154411[[#Headers],[№]]),"")</f>
        <v>#REF!</v>
      </c>
      <c r="C11" s="37" t="e">
        <f>Модель!#REF!</f>
        <v>#REF!</v>
      </c>
      <c r="D11"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1" t="str">
        <f ca="1">IFERROR(IF(LEFT(Критерий_Перебор_2_20170602154411[[#This Row],[Фкритерий]],5)="=Прив","Критерий",IF(LEFT(Критерий_Перебор_2_20170602154411[[#This Row],[Фкритерий]],5)="=Матр","ошибка","ошибка")),"ошибка")</f>
        <v>ошибка</v>
      </c>
      <c r="F11"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1" t="str">
        <f ca="1">IFERROR(IF(N(INDIRECT(Критерий_Перебор_2_20170602154411[[#This Row],[СФизКритерий]],FALSE))=0,"ошибка",IFERROR(INDIRECT(Критерий_Перебор_2_20170602154411[[#This Row],[СФизКритерий]],FALSE),"ошибка")),"ошибка")</f>
        <v>ошибка</v>
      </c>
      <c r="I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1"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1" t="str">
        <f ca="1">IFERROR(_xlfn.FORMULATEXT(INDIRECT(Критерий_Перебор_2_20170602154411[[#This Row],[Скритерий]],FALSE)),"ошибка")</f>
        <v>ошибка</v>
      </c>
      <c r="M11"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1"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1" t="str">
        <f ca="1">IFERROR(IF(N(INDIRECT(Критерий_Перебор_2_20170602154411[[#This Row],[ССрФизКритерий]],FALSE))=0,"ошибка",IFERROR(INDIRECT(Критерий_Перебор_2_20170602154411[[#This Row],[ССрФизКритерий]],FALSE),"ошибка")),"")</f>
        <v/>
      </c>
      <c r="R11"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1" s="66">
        <f ca="1">IFERROR(IF(AND(Критерий_Перебор_2_20170602154411[[#This Row],[ВидКритерий]]="Критерий",Критерий_Перебор_2_20170602154411[[#This Row],[Фкритерий]]="=Приведение"),1,-1),-1)</f>
        <v>-1</v>
      </c>
      <c r="V11" t="e">
        <f ca="1">IF(AND(Свёртка_Перебор_2_20170602154411[[#This Row],[Свёртка]]&lt;&gt;"",Свёртка_Перебор_2_20170602154411[[#This Row],[O.K.Свёртка]]=1),ROW()-ROW(Свёртка_Перебор_2_20170602154411[[#Headers],[№]]),"")</f>
        <v>#REF!</v>
      </c>
      <c r="W11" s="146" t="e">
        <f>Модель!#REF!</f>
        <v>#REF!</v>
      </c>
      <c r="X11"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1" t="str">
        <f ca="1">IFERROR(_xlfn.FORMULATEXT(INDIRECT(Свёртка_Перебор_2_20170602154411[[#This Row],[ССвёртка]],FALSE)),"ошибка")</f>
        <v>ошибка</v>
      </c>
      <c r="Z11" t="str">
        <f ca="1">IFERROR(IF(LEFT(Свёртка_Перебор_2_20170602154411[[#This Row],[ФСвёртка]],5)="=Прив","ошибка",IF(LEFT(Свёртка_Перебор_2_20170602154411[[#This Row],[ФСвёртка]],5)="=Матр","Свёртка","ошибка")),"ошибка")</f>
        <v>ошибка</v>
      </c>
      <c r="AA11" t="str">
        <f ca="1">IFERROR(IF(LEN((INDIRECT(Свёртка_Перебор_2_20170602154411[[#This Row],[СНаименование]],FALSE)))=0,"ошибка",IFERROR(INDIRECT(Свёртка_Перебор_2_20170602154411[[#This Row],[СНаименование]],FALSE),"ошибка")),"ошибка")</f>
        <v>ошибка</v>
      </c>
      <c r="AB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1">
        <v>1.5</v>
      </c>
      <c r="AD11" t="str">
        <f ca="1">IFERROR(IF(LEN((INDIRECT(Свёртка_Перебор_2_20170602154411[[#This Row],[ССВ_1_1]],FALSE)))=0,"ошибка",IFERROR(INDIRECT(Свёртка_Перебор_2_20170602154411[[#This Row],[ССВ_1_1]],FALSE),"ошибка")),"ошибка")</f>
        <v>ошибка</v>
      </c>
      <c r="AE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1">
        <v>0</v>
      </c>
      <c r="AG11">
        <v>1</v>
      </c>
      <c r="AH11">
        <v>0</v>
      </c>
      <c r="AI11" t="str">
        <f ca="1">IFERROR(IF(LEN((INDIRECT(Свёртка_Перебор_2_20170602154411[[#This Row],[ССВ_2_1]],FALSE)))=0,"ошибка",IFERROR(INDIRECT(Свёртка_Перебор_2_20170602154411[[#This Row],[ССВ_2_1]],FALSE),"ошибка")),"ошибка")</f>
        <v>ошибка</v>
      </c>
      <c r="AJ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1">
        <v>0</v>
      </c>
      <c r="AL11">
        <v>2</v>
      </c>
      <c r="AM11">
        <v>0</v>
      </c>
      <c r="AN11" t="str">
        <f ca="1">IFERROR(IF(LEN((INDIRECT(Свёртка_Перебор_2_20170602154411[[#This Row],[ССВ_1_2]],FALSE)))=0,"ошибка",IFERROR(INDIRECT(Свёртка_Перебор_2_20170602154411[[#This Row],[ССВ_1_2]],FALSE),"ошибка")),"ошибка")</f>
        <v>ошибка</v>
      </c>
      <c r="AO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1">
        <v>0</v>
      </c>
      <c r="AQ11">
        <v>2</v>
      </c>
      <c r="AR11">
        <v>0</v>
      </c>
      <c r="AS11" t="str">
        <f ca="1">IFERROR(IF(LEN((INDIRECT(Свёртка_Перебор_2_20170602154411[[#This Row],[ССВ_2_2]],FALSE)))=0,"ошибка",IFERROR(INDIRECT(Свёртка_Перебор_2_20170602154411[[#This Row],[ССВ_2_2]],FALSE),"ошибка")),"ошибка")</f>
        <v>ошибка</v>
      </c>
      <c r="AT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1">
        <v>0</v>
      </c>
      <c r="AV11">
        <v>2</v>
      </c>
      <c r="AW11">
        <v>0</v>
      </c>
      <c r="AX11" t="str">
        <f ca="1">IFERROR(IF(LEN((INDIRECT(Свёртка_Перебор_2_20170602154411[[#This Row],[ССВ_3_1]],FALSE)))=0,"ошибка",IFERROR(INDIRECT(Свёртка_Перебор_2_20170602154411[[#This Row],[ССВ_3_1]],FALSE),"ошибка")),"ошибка")</f>
        <v>ошибка</v>
      </c>
      <c r="AY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1">
        <v>0</v>
      </c>
      <c r="BA11">
        <v>2</v>
      </c>
      <c r="BB11">
        <v>0</v>
      </c>
      <c r="BC11" t="str">
        <f ca="1">IFERROR(IF(LEN((INDIRECT(Свёртка_Перебор_2_20170602154411[[#This Row],[ССВ_1_3]],FALSE)))=0,"ошибка",IFERROR(INDIRECT(Свёртка_Перебор_2_20170602154411[[#This Row],[ССВ_1_3]],FALSE),"ошибка")),"ошибка")</f>
        <v>ошибка</v>
      </c>
      <c r="BD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1">
        <v>0</v>
      </c>
      <c r="BF11">
        <v>3</v>
      </c>
      <c r="BG11">
        <v>0</v>
      </c>
      <c r="BH11" t="str">
        <f ca="1">IFERROR(IF(LEN((INDIRECT(Свёртка_Перебор_2_20170602154411[[#This Row],[ССВ_3_2]],FALSE)))=0,"ошибка",IFERROR(INDIRECT(Свёртка_Перебор_2_20170602154411[[#This Row],[ССВ_3_2]],FALSE),"ошибка")),"ошибка")</f>
        <v>ошибка</v>
      </c>
      <c r="BI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1">
        <v>0</v>
      </c>
      <c r="BK11">
        <v>3</v>
      </c>
      <c r="BL11">
        <v>0</v>
      </c>
      <c r="BM11" t="str">
        <f ca="1">IFERROR(IF(LEN((INDIRECT(Свёртка_Перебор_2_20170602154411[[#This Row],[ССВ_2_3]],FALSE)))=0,"ошибка",IFERROR(INDIRECT(Свёртка_Перебор_2_20170602154411[[#This Row],[ССВ_2_3]],FALSE),"ошибка")),"ошибка")</f>
        <v>ошибка</v>
      </c>
      <c r="BN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1">
        <v>0</v>
      </c>
      <c r="BP11">
        <v>3</v>
      </c>
      <c r="BQ11">
        <v>0</v>
      </c>
      <c r="BR11" t="str">
        <f ca="1">IFERROR(IF(LEN((INDIRECT(Свёртка_Перебор_2_20170602154411[[#This Row],[ССВ_3_3]],FALSE)))=0,"ошибка",IFERROR(INDIRECT(Свёртка_Перебор_2_20170602154411[[#This Row],[ССВ_3_3]],FALSE),"ошибка")),"ошибка")</f>
        <v>ошибка</v>
      </c>
      <c r="BS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1">
        <v>0</v>
      </c>
      <c r="BU11">
        <v>3</v>
      </c>
      <c r="BV11">
        <v>0</v>
      </c>
      <c r="BW11">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0</v>
      </c>
      <c r="BX11" t="str">
        <f ca="1">IFERROR(IF(LEN((INDIRECT(Свёртка_Перебор_2_20170602154411[[#This Row],[СЛ]],FALSE)))=0,"ошибка",IFERROR(INDIRECT(Свёртка_Перебор_2_20170602154411[[#This Row],[СЛ]],FALSE),"ошибка")),"ошибка")</f>
        <v>ошибка</v>
      </c>
      <c r="BY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1" t="str">
        <f ca="1">IFERROR(_xlfn.FORMULATEXT(INDIRECT(Свёртка_Перебор_2_20170602154411[[#This Row],[СЛ]],FALSE)),"ошибка")</f>
        <v>ошибка</v>
      </c>
      <c r="CA11" t="str">
        <f ca="1">IFERROR(IF(LEN((INDIRECT(Свёртка_Перебор_2_20170602154411[[#This Row],[СП]],FALSE)))=0,"ошибка",IFERROR(INDIRECT(Свёртка_Перебор_2_20170602154411[[#This Row],[СП]],FALSE),"ошибка")),"ошибка")</f>
        <v>ошибка</v>
      </c>
      <c r="CB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1" t="str">
        <f ca="1">IFERROR(_xlfn.FORMULATEXT(INDIRECT(Свёртка_Перебор_2_20170602154411[[#This Row],[СП]],FALSE)),"ошибка")</f>
        <v>ошибка</v>
      </c>
      <c r="CD11"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1"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1"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1" t="str">
        <f ca="1">IF(ISERR(SEARCH("!",Свёртка_Перебор_2_20170602154411[[#This Row],[ССвёртка]])),"",LEFT(Свёртка_Перебор_2_20170602154411[[#This Row],[ССвёртка]],SEARCH("!",Свёртка_Перебор_2_20170602154411[[#This Row],[ССвёртка]])))</f>
        <v/>
      </c>
      <c r="CH11" t="str">
        <f ca="1">Свёртка_Перебор_2_20170602154411[[#This Row],[ССвёртка]]</f>
        <v>ошибка</v>
      </c>
      <c r="CI11"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1" t="str">
        <f t="array" aca="1" ref="CJ11"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1"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2" spans="2:89" x14ac:dyDescent="0.25">
      <c r="B12" t="e">
        <f ca="1">IF(AND(Критерий_Перебор_2_20170602154411[[#This Row],[Критерий]]&lt;&gt;"",Критерий_Перебор_2_20170602154411[[#This Row],[O.K.Критерий]]=1),ROW()-ROW(Критерий_Перебор_2_20170602154411[[#Headers],[№]]),"")</f>
        <v>#REF!</v>
      </c>
      <c r="C12" s="37" t="e">
        <f>Модель!#REF!</f>
        <v>#REF!</v>
      </c>
      <c r="D12"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2" t="str">
        <f ca="1">IFERROR(IF(LEFT(Критерий_Перебор_2_20170602154411[[#This Row],[Фкритерий]],5)="=Прив","Критерий",IF(LEFT(Критерий_Перебор_2_20170602154411[[#This Row],[Фкритерий]],5)="=Матр","ошибка","ошибка")),"ошибка")</f>
        <v>ошибка</v>
      </c>
      <c r="F12"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2" t="str">
        <f ca="1">IFERROR(IF(N(INDIRECT(Критерий_Перебор_2_20170602154411[[#This Row],[СФизКритерий]],FALSE))=0,"ошибка",IFERROR(INDIRECT(Критерий_Перебор_2_20170602154411[[#This Row],[СФизКритерий]],FALSE),"ошибка")),"ошибка")</f>
        <v>ошибка</v>
      </c>
      <c r="I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2"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2" t="str">
        <f ca="1">IFERROR(_xlfn.FORMULATEXT(INDIRECT(Критерий_Перебор_2_20170602154411[[#This Row],[Скритерий]],FALSE)),"ошибка")</f>
        <v>ошибка</v>
      </c>
      <c r="M12"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2"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2" t="str">
        <f ca="1">IFERROR(IF(N(INDIRECT(Критерий_Перебор_2_20170602154411[[#This Row],[ССрФизКритерий]],FALSE))=0,"ошибка",IFERROR(INDIRECT(Критерий_Перебор_2_20170602154411[[#This Row],[ССрФизКритерий]],FALSE),"ошибка")),"")</f>
        <v/>
      </c>
      <c r="R12"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2" s="66">
        <f ca="1">IFERROR(IF(AND(Критерий_Перебор_2_20170602154411[[#This Row],[ВидКритерий]]="Критерий",Критерий_Перебор_2_20170602154411[[#This Row],[Фкритерий]]="=Приведение"),1,-1),-1)</f>
        <v>-1</v>
      </c>
      <c r="V12" t="e">
        <f ca="1">IF(AND(Свёртка_Перебор_2_20170602154411[[#This Row],[Свёртка]]&lt;&gt;"",Свёртка_Перебор_2_20170602154411[[#This Row],[O.K.Свёртка]]=1),ROW()-ROW(Свёртка_Перебор_2_20170602154411[[#Headers],[№]]),"")</f>
        <v>#REF!</v>
      </c>
      <c r="W12" s="146" t="e">
        <f>Модель!#REF!</f>
        <v>#REF!</v>
      </c>
      <c r="X12"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2" t="str">
        <f ca="1">IFERROR(_xlfn.FORMULATEXT(INDIRECT(Свёртка_Перебор_2_20170602154411[[#This Row],[ССвёртка]],FALSE)),"ошибка")</f>
        <v>ошибка</v>
      </c>
      <c r="Z12" t="str">
        <f ca="1">IFERROR(IF(LEFT(Свёртка_Перебор_2_20170602154411[[#This Row],[ФСвёртка]],5)="=Прив","ошибка",IF(LEFT(Свёртка_Перебор_2_20170602154411[[#This Row],[ФСвёртка]],5)="=Матр","Свёртка","ошибка")),"ошибка")</f>
        <v>ошибка</v>
      </c>
      <c r="AA12" t="str">
        <f ca="1">IFERROR(IF(LEN((INDIRECT(Свёртка_Перебор_2_20170602154411[[#This Row],[СНаименование]],FALSE)))=0,"ошибка",IFERROR(INDIRECT(Свёртка_Перебор_2_20170602154411[[#This Row],[СНаименование]],FALSE),"ошибка")),"ошибка")</f>
        <v>ошибка</v>
      </c>
      <c r="AB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2">
        <v>3.18</v>
      </c>
      <c r="AD12" t="str">
        <f ca="1">IFERROR(IF(LEN((INDIRECT(Свёртка_Перебор_2_20170602154411[[#This Row],[ССВ_1_1]],FALSE)))=0,"ошибка",IFERROR(INDIRECT(Свёртка_Перебор_2_20170602154411[[#This Row],[ССВ_1_1]],FALSE),"ошибка")),"ошибка")</f>
        <v>ошибка</v>
      </c>
      <c r="AE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2">
        <v>0</v>
      </c>
      <c r="AG12">
        <v>1</v>
      </c>
      <c r="AH12">
        <v>0</v>
      </c>
      <c r="AI12" t="str">
        <f ca="1">IFERROR(IF(LEN((INDIRECT(Свёртка_Перебор_2_20170602154411[[#This Row],[ССВ_2_1]],FALSE)))=0,"ошибка",IFERROR(INDIRECT(Свёртка_Перебор_2_20170602154411[[#This Row],[ССВ_2_1]],FALSE),"ошибка")),"ошибка")</f>
        <v>ошибка</v>
      </c>
      <c r="AJ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2">
        <v>0</v>
      </c>
      <c r="AL12">
        <v>2</v>
      </c>
      <c r="AM12">
        <v>0</v>
      </c>
      <c r="AN12" t="str">
        <f ca="1">IFERROR(IF(LEN((INDIRECT(Свёртка_Перебор_2_20170602154411[[#This Row],[ССВ_1_2]],FALSE)))=0,"ошибка",IFERROR(INDIRECT(Свёртка_Перебор_2_20170602154411[[#This Row],[ССВ_1_2]],FALSE),"ошибка")),"ошибка")</f>
        <v>ошибка</v>
      </c>
      <c r="AO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2">
        <v>0</v>
      </c>
      <c r="AQ12">
        <v>1</v>
      </c>
      <c r="AR12">
        <v>0</v>
      </c>
      <c r="AS12" t="str">
        <f ca="1">IFERROR(IF(LEN((INDIRECT(Свёртка_Перебор_2_20170602154411[[#This Row],[ССВ_2_2]],FALSE)))=0,"ошибка",IFERROR(INDIRECT(Свёртка_Перебор_2_20170602154411[[#This Row],[ССВ_2_2]],FALSE),"ошибка")),"ошибка")</f>
        <v>ошибка</v>
      </c>
      <c r="AT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2">
        <v>0</v>
      </c>
      <c r="AV12">
        <v>2</v>
      </c>
      <c r="AW12">
        <v>0</v>
      </c>
      <c r="AX12" t="str">
        <f ca="1">IFERROR(IF(LEN((INDIRECT(Свёртка_Перебор_2_20170602154411[[#This Row],[ССВ_3_1]],FALSE)))=0,"ошибка",IFERROR(INDIRECT(Свёртка_Перебор_2_20170602154411[[#This Row],[ССВ_3_1]],FALSE),"ошибка")),"ошибка")</f>
        <v>ошибка</v>
      </c>
      <c r="AY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2">
        <v>1</v>
      </c>
      <c r="BA12">
        <v>3</v>
      </c>
      <c r="BB12">
        <v>101</v>
      </c>
      <c r="BC12" t="str">
        <f ca="1">IFERROR(IF(LEN((INDIRECT(Свёртка_Перебор_2_20170602154411[[#This Row],[ССВ_1_3]],FALSE)))=0,"ошибка",IFERROR(INDIRECT(Свёртка_Перебор_2_20170602154411[[#This Row],[ССВ_1_3]],FALSE),"ошибка")),"ошибка")</f>
        <v>ошибка</v>
      </c>
      <c r="BD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2">
        <v>0</v>
      </c>
      <c r="BF12">
        <v>2</v>
      </c>
      <c r="BG12">
        <v>0</v>
      </c>
      <c r="BH12" t="str">
        <f ca="1">IFERROR(IF(LEN((INDIRECT(Свёртка_Перебор_2_20170602154411[[#This Row],[ССВ_3_2]],FALSE)))=0,"ошибка",IFERROR(INDIRECT(Свёртка_Перебор_2_20170602154411[[#This Row],[ССВ_3_2]],FALSE),"ошибка")),"ошибка")</f>
        <v>ошибка</v>
      </c>
      <c r="BI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2">
        <v>1</v>
      </c>
      <c r="BK12">
        <v>3</v>
      </c>
      <c r="BL12">
        <v>101</v>
      </c>
      <c r="BM12" t="str">
        <f ca="1">IFERROR(IF(LEN((INDIRECT(Свёртка_Перебор_2_20170602154411[[#This Row],[ССВ_2_3]],FALSE)))=0,"ошибка",IFERROR(INDIRECT(Свёртка_Перебор_2_20170602154411[[#This Row],[ССВ_2_3]],FALSE),"ошибка")),"ошибка")</f>
        <v>ошибка</v>
      </c>
      <c r="BN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2">
        <v>1</v>
      </c>
      <c r="BP12">
        <v>3</v>
      </c>
      <c r="BQ12">
        <v>61</v>
      </c>
      <c r="BR12" t="str">
        <f ca="1">IFERROR(IF(LEN((INDIRECT(Свёртка_Перебор_2_20170602154411[[#This Row],[ССВ_3_3]],FALSE)))=0,"ошибка",IFERROR(INDIRECT(Свёртка_Перебор_2_20170602154411[[#This Row],[ССВ_3_3]],FALSE),"ошибка")),"ошибка")</f>
        <v>ошибка</v>
      </c>
      <c r="BS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2">
        <v>1</v>
      </c>
      <c r="BU12">
        <v>4</v>
      </c>
      <c r="BV12">
        <v>61</v>
      </c>
      <c r="BW12">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324</v>
      </c>
      <c r="BX12" t="str">
        <f ca="1">IFERROR(IF(LEN((INDIRECT(Свёртка_Перебор_2_20170602154411[[#This Row],[СЛ]],FALSE)))=0,"ошибка",IFERROR(INDIRECT(Свёртка_Перебор_2_20170602154411[[#This Row],[СЛ]],FALSE),"ошибка")),"ошибка")</f>
        <v>ошибка</v>
      </c>
      <c r="BY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2" t="str">
        <f ca="1">IFERROR(_xlfn.FORMULATEXT(INDIRECT(Свёртка_Перебор_2_20170602154411[[#This Row],[СЛ]],FALSE)),"ошибка")</f>
        <v>ошибка</v>
      </c>
      <c r="CA12" t="str">
        <f ca="1">IFERROR(IF(LEN((INDIRECT(Свёртка_Перебор_2_20170602154411[[#This Row],[СП]],FALSE)))=0,"ошибка",IFERROR(INDIRECT(Свёртка_Перебор_2_20170602154411[[#This Row],[СП]],FALSE),"ошибка")),"ошибка")</f>
        <v>ошибка</v>
      </c>
      <c r="CB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2" t="str">
        <f ca="1">IFERROR(_xlfn.FORMULATEXT(INDIRECT(Свёртка_Перебор_2_20170602154411[[#This Row],[СП]],FALSE)),"ошибка")</f>
        <v>ошибка</v>
      </c>
      <c r="CD12"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2"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2"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2" t="str">
        <f ca="1">IF(ISERR(SEARCH("!",Свёртка_Перебор_2_20170602154411[[#This Row],[ССвёртка]])),"",LEFT(Свёртка_Перебор_2_20170602154411[[#This Row],[ССвёртка]],SEARCH("!",Свёртка_Перебор_2_20170602154411[[#This Row],[ССвёртка]])))</f>
        <v/>
      </c>
      <c r="CH12" t="str">
        <f ca="1">Свёртка_Перебор_2_20170602154411[[#This Row],[ССвёртка]]</f>
        <v>ошибка</v>
      </c>
      <c r="CI12"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2" t="str">
        <f t="array" aca="1" ref="CJ12"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2"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3" spans="2:89" x14ac:dyDescent="0.25">
      <c r="B13" t="e">
        <f ca="1">IF(AND(Критерий_Перебор_2_20170602154411[[#This Row],[Критерий]]&lt;&gt;"",Критерий_Перебор_2_20170602154411[[#This Row],[O.K.Критерий]]=1),ROW()-ROW(Критерий_Перебор_2_20170602154411[[#Headers],[№]]),"")</f>
        <v>#REF!</v>
      </c>
      <c r="C13" s="37" t="e">
        <f>Модель!#REF!</f>
        <v>#REF!</v>
      </c>
      <c r="D13"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3" t="str">
        <f ca="1">IFERROR(IF(LEFT(Критерий_Перебор_2_20170602154411[[#This Row],[Фкритерий]],5)="=Прив","Критерий",IF(LEFT(Критерий_Перебор_2_20170602154411[[#This Row],[Фкритерий]],5)="=Матр","ошибка","ошибка")),"ошибка")</f>
        <v>ошибка</v>
      </c>
      <c r="F13"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3" t="str">
        <f ca="1">IFERROR(IF(N(INDIRECT(Критерий_Перебор_2_20170602154411[[#This Row],[СФизКритерий]],FALSE))=0,"ошибка",IFERROR(INDIRECT(Критерий_Перебор_2_20170602154411[[#This Row],[СФизКритерий]],FALSE),"ошибка")),"ошибка")</f>
        <v>ошибка</v>
      </c>
      <c r="I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3"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3" t="str">
        <f ca="1">IFERROR(_xlfn.FORMULATEXT(INDIRECT(Критерий_Перебор_2_20170602154411[[#This Row],[Скритерий]],FALSE)),"ошибка")</f>
        <v>ошибка</v>
      </c>
      <c r="M13"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3"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3" t="str">
        <f ca="1">IFERROR(IF(N(INDIRECT(Критерий_Перебор_2_20170602154411[[#This Row],[ССрФизКритерий]],FALSE))=0,"ошибка",IFERROR(INDIRECT(Критерий_Перебор_2_20170602154411[[#This Row],[ССрФизКритерий]],FALSE),"ошибка")),"")</f>
        <v/>
      </c>
      <c r="R13"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3" s="66">
        <f ca="1">IFERROR(IF(AND(Критерий_Перебор_2_20170602154411[[#This Row],[ВидКритерий]]="Критерий",Критерий_Перебор_2_20170602154411[[#This Row],[Фкритерий]]="=Приведение"),1,-1),-1)</f>
        <v>-1</v>
      </c>
      <c r="V13" t="e">
        <f ca="1">IF(AND(Свёртка_Перебор_2_20170602154411[[#This Row],[Свёртка]]&lt;&gt;"",Свёртка_Перебор_2_20170602154411[[#This Row],[O.K.Свёртка]]=1),ROW()-ROW(Свёртка_Перебор_2_20170602154411[[#Headers],[№]]),"")</f>
        <v>#REF!</v>
      </c>
      <c r="W13" s="146" t="e">
        <f>Модель!#REF!</f>
        <v>#REF!</v>
      </c>
      <c r="X13"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3" t="str">
        <f ca="1">IFERROR(_xlfn.FORMULATEXT(INDIRECT(Свёртка_Перебор_2_20170602154411[[#This Row],[ССвёртка]],FALSE)),"ошибка")</f>
        <v>ошибка</v>
      </c>
      <c r="Z13" t="str">
        <f ca="1">IFERROR(IF(LEFT(Свёртка_Перебор_2_20170602154411[[#This Row],[ФСвёртка]],5)="=Прив","ошибка",IF(LEFT(Свёртка_Перебор_2_20170602154411[[#This Row],[ФСвёртка]],5)="=Матр","Свёртка","ошибка")),"ошибка")</f>
        <v>ошибка</v>
      </c>
      <c r="AA13" t="str">
        <f ca="1">IFERROR(IF(LEN((INDIRECT(Свёртка_Перебор_2_20170602154411[[#This Row],[СНаименование]],FALSE)))=0,"ошибка",IFERROR(INDIRECT(Свёртка_Перебор_2_20170602154411[[#This Row],[СНаименование]],FALSE),"ошибка")),"ошибка")</f>
        <v>ошибка</v>
      </c>
      <c r="AB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3">
        <v>3.1799999999999997</v>
      </c>
      <c r="AD13" t="str">
        <f ca="1">IFERROR(IF(LEN((INDIRECT(Свёртка_Перебор_2_20170602154411[[#This Row],[ССВ_1_1]],FALSE)))=0,"ошибка",IFERROR(INDIRECT(Свёртка_Перебор_2_20170602154411[[#This Row],[ССВ_1_1]],FALSE),"ошибка")),"ошибка")</f>
        <v>ошибка</v>
      </c>
      <c r="AE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3">
        <v>0</v>
      </c>
      <c r="AG13">
        <v>2</v>
      </c>
      <c r="AH13">
        <v>0</v>
      </c>
      <c r="AI13" t="str">
        <f ca="1">IFERROR(IF(LEN((INDIRECT(Свёртка_Перебор_2_20170602154411[[#This Row],[ССВ_2_1]],FALSE)))=0,"ошибка",IFERROR(INDIRECT(Свёртка_Перебор_2_20170602154411[[#This Row],[ССВ_2_1]],FALSE),"ошибка")),"ошибка")</f>
        <v>ошибка</v>
      </c>
      <c r="AJ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3">
        <v>0</v>
      </c>
      <c r="AL13">
        <v>2</v>
      </c>
      <c r="AM13">
        <v>0</v>
      </c>
      <c r="AN13" t="str">
        <f ca="1">IFERROR(IF(LEN((INDIRECT(Свёртка_Перебор_2_20170602154411[[#This Row],[ССВ_1_2]],FALSE)))=0,"ошибка",IFERROR(INDIRECT(Свёртка_Перебор_2_20170602154411[[#This Row],[ССВ_1_2]],FALSE),"ошибка")),"ошибка")</f>
        <v>ошибка</v>
      </c>
      <c r="AO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3">
        <v>1</v>
      </c>
      <c r="AQ13">
        <v>3</v>
      </c>
      <c r="AR13">
        <v>101</v>
      </c>
      <c r="AS13" t="str">
        <f ca="1">IFERROR(IF(LEN((INDIRECT(Свёртка_Перебор_2_20170602154411[[#This Row],[ССВ_2_2]],FALSE)))=0,"ошибка",IFERROR(INDIRECT(Свёртка_Перебор_2_20170602154411[[#This Row],[ССВ_2_2]],FALSE),"ошибка")),"ошибка")</f>
        <v>ошибка</v>
      </c>
      <c r="AT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3">
        <v>1</v>
      </c>
      <c r="AV13">
        <v>3</v>
      </c>
      <c r="AW13">
        <v>101</v>
      </c>
      <c r="AX13" t="str">
        <f ca="1">IFERROR(IF(LEN((INDIRECT(Свёртка_Перебор_2_20170602154411[[#This Row],[ССВ_3_1]],FALSE)))=0,"ошибка",IFERROR(INDIRECT(Свёртка_Перебор_2_20170602154411[[#This Row],[ССВ_3_1]],FALSE),"ошибка")),"ошибка")</f>
        <v>ошибка</v>
      </c>
      <c r="AY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3">
        <v>1</v>
      </c>
      <c r="BA13">
        <v>3</v>
      </c>
      <c r="BB13">
        <v>101</v>
      </c>
      <c r="BC13" t="str">
        <f ca="1">IFERROR(IF(LEN((INDIRECT(Свёртка_Перебор_2_20170602154411[[#This Row],[ССВ_1_3]],FALSE)))=0,"ошибка",IFERROR(INDIRECT(Свёртка_Перебор_2_20170602154411[[#This Row],[ССВ_1_3]],FALSE),"ошибка")),"ошибка")</f>
        <v>ошибка</v>
      </c>
      <c r="BD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3">
        <v>0</v>
      </c>
      <c r="BF13">
        <v>4</v>
      </c>
      <c r="BG13">
        <v>0</v>
      </c>
      <c r="BH13" t="str">
        <f ca="1">IFERROR(IF(LEN((INDIRECT(Свёртка_Перебор_2_20170602154411[[#This Row],[ССВ_3_2]],FALSE)))=0,"ошибка",IFERROR(INDIRECT(Свёртка_Перебор_2_20170602154411[[#This Row],[ССВ_3_2]],FALSE),"ошибка")),"ошибка")</f>
        <v>ошибка</v>
      </c>
      <c r="BI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3">
        <v>1</v>
      </c>
      <c r="BK13">
        <v>4</v>
      </c>
      <c r="BL13">
        <v>61</v>
      </c>
      <c r="BM13" t="str">
        <f ca="1">IFERROR(IF(LEN((INDIRECT(Свёртка_Перебор_2_20170602154411[[#This Row],[ССВ_2_3]],FALSE)))=0,"ошибка",IFERROR(INDIRECT(Свёртка_Перебор_2_20170602154411[[#This Row],[ССВ_2_3]],FALSE),"ошибка")),"ошибка")</f>
        <v>ошибка</v>
      </c>
      <c r="BN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3">
        <v>0</v>
      </c>
      <c r="BP13">
        <v>4</v>
      </c>
      <c r="BQ13">
        <v>0</v>
      </c>
      <c r="BR13" t="str">
        <f ca="1">IFERROR(IF(LEN((INDIRECT(Свёртка_Перебор_2_20170602154411[[#This Row],[ССВ_3_3]],FALSE)))=0,"ошибка",IFERROR(INDIRECT(Свёртка_Перебор_2_20170602154411[[#This Row],[ССВ_3_3]],FALSE),"ошибка")),"ошибка")</f>
        <v>ошибка</v>
      </c>
      <c r="BS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3">
        <v>0</v>
      </c>
      <c r="BU13">
        <v>4</v>
      </c>
      <c r="BV13">
        <v>0</v>
      </c>
      <c r="BW13">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364</v>
      </c>
      <c r="BX13" t="str">
        <f ca="1">IFERROR(IF(LEN((INDIRECT(Свёртка_Перебор_2_20170602154411[[#This Row],[СЛ]],FALSE)))=0,"ошибка",IFERROR(INDIRECT(Свёртка_Перебор_2_20170602154411[[#This Row],[СЛ]],FALSE),"ошибка")),"ошибка")</f>
        <v>ошибка</v>
      </c>
      <c r="BY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3" t="str">
        <f ca="1">IFERROR(_xlfn.FORMULATEXT(INDIRECT(Свёртка_Перебор_2_20170602154411[[#This Row],[СЛ]],FALSE)),"ошибка")</f>
        <v>ошибка</v>
      </c>
      <c r="CA13" t="str">
        <f ca="1">IFERROR(IF(LEN((INDIRECT(Свёртка_Перебор_2_20170602154411[[#This Row],[СП]],FALSE)))=0,"ошибка",IFERROR(INDIRECT(Свёртка_Перебор_2_20170602154411[[#This Row],[СП]],FALSE),"ошибка")),"ошибка")</f>
        <v>ошибка</v>
      </c>
      <c r="CB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3" t="str">
        <f ca="1">IFERROR(_xlfn.FORMULATEXT(INDIRECT(Свёртка_Перебор_2_20170602154411[[#This Row],[СП]],FALSE)),"ошибка")</f>
        <v>ошибка</v>
      </c>
      <c r="CD13"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3"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3"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3" t="str">
        <f ca="1">IF(ISERR(SEARCH("!",Свёртка_Перебор_2_20170602154411[[#This Row],[ССвёртка]])),"",LEFT(Свёртка_Перебор_2_20170602154411[[#This Row],[ССвёртка]],SEARCH("!",Свёртка_Перебор_2_20170602154411[[#This Row],[ССвёртка]])))</f>
        <v/>
      </c>
      <c r="CH13" t="str">
        <f ca="1">Свёртка_Перебор_2_20170602154411[[#This Row],[ССвёртка]]</f>
        <v>ошибка</v>
      </c>
      <c r="CI13"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3" t="str">
        <f t="array" aca="1" ref="CJ13"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3"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4" spans="2:89" x14ac:dyDescent="0.25">
      <c r="B14" t="e">
        <f ca="1">IF(AND(Критерий_Перебор_2_20170602154411[[#This Row],[Критерий]]&lt;&gt;"",Критерий_Перебор_2_20170602154411[[#This Row],[O.K.Критерий]]=1),ROW()-ROW(Критерий_Перебор_2_20170602154411[[#Headers],[№]]),"")</f>
        <v>#REF!</v>
      </c>
      <c r="C14" s="37" t="e">
        <f>Модель!#REF!</f>
        <v>#REF!</v>
      </c>
      <c r="D14"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4" t="str">
        <f ca="1">IFERROR(IF(LEFT(Критерий_Перебор_2_20170602154411[[#This Row],[Фкритерий]],5)="=Прив","Критерий",IF(LEFT(Критерий_Перебор_2_20170602154411[[#This Row],[Фкритерий]],5)="=Матр","ошибка","ошибка")),"ошибка")</f>
        <v>ошибка</v>
      </c>
      <c r="F14"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4" t="str">
        <f ca="1">IFERROR(IF(N(INDIRECT(Критерий_Перебор_2_20170602154411[[#This Row],[СФизКритерий]],FALSE))=0,"ошибка",IFERROR(INDIRECT(Критерий_Перебор_2_20170602154411[[#This Row],[СФизКритерий]],FALSE),"ошибка")),"ошибка")</f>
        <v>ошибка</v>
      </c>
      <c r="I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4"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4" t="str">
        <f ca="1">IFERROR(_xlfn.FORMULATEXT(INDIRECT(Критерий_Перебор_2_20170602154411[[#This Row],[Скритерий]],FALSE)),"ошибка")</f>
        <v>ошибка</v>
      </c>
      <c r="M14"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4"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4" t="str">
        <f ca="1">IFERROR(IF(N(INDIRECT(Критерий_Перебор_2_20170602154411[[#This Row],[ССрФизКритерий]],FALSE))=0,"ошибка",IFERROR(INDIRECT(Критерий_Перебор_2_20170602154411[[#This Row],[ССрФизКритерий]],FALSE),"ошибка")),"")</f>
        <v/>
      </c>
      <c r="R14"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4" s="66">
        <f ca="1">IFERROR(IF(AND(Критерий_Перебор_2_20170602154411[[#This Row],[ВидКритерий]]="Критерий",Критерий_Перебор_2_20170602154411[[#This Row],[Фкритерий]]="=Приведение"),1,-1),-1)</f>
        <v>-1</v>
      </c>
      <c r="V14" t="e">
        <f ca="1">IF(AND(Свёртка_Перебор_2_20170602154411[[#This Row],[Свёртка]]&lt;&gt;"",Свёртка_Перебор_2_20170602154411[[#This Row],[O.K.Свёртка]]=1),ROW()-ROW(Свёртка_Перебор_2_20170602154411[[#Headers],[№]]),"")</f>
        <v>#REF!</v>
      </c>
      <c r="W14" s="146" t="e">
        <f>Модель!#REF!</f>
        <v>#REF!</v>
      </c>
      <c r="X14"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4" t="str">
        <f ca="1">IFERROR(_xlfn.FORMULATEXT(INDIRECT(Свёртка_Перебор_2_20170602154411[[#This Row],[ССвёртка]],FALSE)),"ошибка")</f>
        <v>ошибка</v>
      </c>
      <c r="Z14" t="str">
        <f ca="1">IFERROR(IF(LEFT(Свёртка_Перебор_2_20170602154411[[#This Row],[ФСвёртка]],5)="=Прив","ошибка",IF(LEFT(Свёртка_Перебор_2_20170602154411[[#This Row],[ФСвёртка]],5)="=Матр","Свёртка","ошибка")),"ошибка")</f>
        <v>ошибка</v>
      </c>
      <c r="AA14" t="str">
        <f ca="1">IFERROR(IF(LEN((INDIRECT(Свёртка_Перебор_2_20170602154411[[#This Row],[СНаименование]],FALSE)))=0,"ошибка",IFERROR(INDIRECT(Свёртка_Перебор_2_20170602154411[[#This Row],[СНаименование]],FALSE),"ошибка")),"ошибка")</f>
        <v>ошибка</v>
      </c>
      <c r="AB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4">
        <v>1.54</v>
      </c>
      <c r="AD14" t="str">
        <f ca="1">IFERROR(IF(LEN((INDIRECT(Свёртка_Перебор_2_20170602154411[[#This Row],[ССВ_1_1]],FALSE)))=0,"ошибка",IFERROR(INDIRECT(Свёртка_Перебор_2_20170602154411[[#This Row],[ССВ_1_1]],FALSE),"ошибка")),"ошибка")</f>
        <v>ошибка</v>
      </c>
      <c r="AE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4">
        <v>1</v>
      </c>
      <c r="AG14">
        <v>2</v>
      </c>
      <c r="AH14">
        <v>81</v>
      </c>
      <c r="AI14" t="str">
        <f ca="1">IFERROR(IF(LEN((INDIRECT(Свёртка_Перебор_2_20170602154411[[#This Row],[ССВ_2_1]],FALSE)))=0,"ошибка",IFERROR(INDIRECT(Свёртка_Перебор_2_20170602154411[[#This Row],[ССВ_2_1]],FALSE),"ошибка")),"ошибка")</f>
        <v>ошибка</v>
      </c>
      <c r="AJ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4">
        <v>0</v>
      </c>
      <c r="AL14">
        <v>3</v>
      </c>
      <c r="AM14">
        <v>0</v>
      </c>
      <c r="AN14" t="str">
        <f ca="1">IFERROR(IF(LEN((INDIRECT(Свёртка_Перебор_2_20170602154411[[#This Row],[ССВ_1_2]],FALSE)))=0,"ошибка",IFERROR(INDIRECT(Свёртка_Перебор_2_20170602154411[[#This Row],[ССВ_1_2]],FALSE),"ошибка")),"ошибка")</f>
        <v>ошибка</v>
      </c>
      <c r="AO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4">
        <v>0</v>
      </c>
      <c r="AQ14">
        <v>3</v>
      </c>
      <c r="AR14">
        <v>0</v>
      </c>
      <c r="AS14" t="str">
        <f ca="1">IFERROR(IF(LEN((INDIRECT(Свёртка_Перебор_2_20170602154411[[#This Row],[ССВ_2_2]],FALSE)))=0,"ошибка",IFERROR(INDIRECT(Свёртка_Перебор_2_20170602154411[[#This Row],[ССВ_2_2]],FALSE),"ошибка")),"ошибка")</f>
        <v>ошибка</v>
      </c>
      <c r="AT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4">
        <v>0</v>
      </c>
      <c r="AV14">
        <v>4</v>
      </c>
      <c r="AW14">
        <v>0</v>
      </c>
      <c r="AX14" t="str">
        <f ca="1">IFERROR(IF(LEN((INDIRECT(Свёртка_Перебор_2_20170602154411[[#This Row],[ССВ_3_1]],FALSE)))=0,"ошибка",IFERROR(INDIRECT(Свёртка_Перебор_2_20170602154411[[#This Row],[ССВ_3_1]],FALSE),"ошибка")),"ошибка")</f>
        <v>ошибка</v>
      </c>
      <c r="AY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4">
        <v>0</v>
      </c>
      <c r="BA14">
        <v>4</v>
      </c>
      <c r="BB14">
        <v>0</v>
      </c>
      <c r="BC14" t="str">
        <f ca="1">IFERROR(IF(LEN((INDIRECT(Свёртка_Перебор_2_20170602154411[[#This Row],[ССВ_1_3]],FALSE)))=0,"ошибка",IFERROR(INDIRECT(Свёртка_Перебор_2_20170602154411[[#This Row],[ССВ_1_3]],FALSE),"ошибка")),"ошибка")</f>
        <v>ошибка</v>
      </c>
      <c r="BD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4">
        <v>0</v>
      </c>
      <c r="BF14">
        <v>3</v>
      </c>
      <c r="BG14">
        <v>0</v>
      </c>
      <c r="BH14" t="str">
        <f ca="1">IFERROR(IF(LEN((INDIRECT(Свёртка_Перебор_2_20170602154411[[#This Row],[ССВ_3_2]],FALSE)))=0,"ошибка",IFERROR(INDIRECT(Свёртка_Перебор_2_20170602154411[[#This Row],[ССВ_3_2]],FALSE),"ошибка")),"ошибка")</f>
        <v>ошибка</v>
      </c>
      <c r="BI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4">
        <v>0</v>
      </c>
      <c r="BK14">
        <v>4</v>
      </c>
      <c r="BL14">
        <v>0</v>
      </c>
      <c r="BM14" t="str">
        <f ca="1">IFERROR(IF(LEN((INDIRECT(Свёртка_Перебор_2_20170602154411[[#This Row],[ССВ_2_3]],FALSE)))=0,"ошибка",IFERROR(INDIRECT(Свёртка_Перебор_2_20170602154411[[#This Row],[ССВ_2_3]],FALSE),"ошибка")),"ошибка")</f>
        <v>ошибка</v>
      </c>
      <c r="BN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4">
        <v>0</v>
      </c>
      <c r="BP14">
        <v>4</v>
      </c>
      <c r="BQ14">
        <v>0</v>
      </c>
      <c r="BR14" t="str">
        <f ca="1">IFERROR(IF(LEN((INDIRECT(Свёртка_Перебор_2_20170602154411[[#This Row],[ССВ_3_3]],FALSE)))=0,"ошибка",IFERROR(INDIRECT(Свёртка_Перебор_2_20170602154411[[#This Row],[ССВ_3_3]],FALSE),"ошибка")),"ошибка")</f>
        <v>ошибка</v>
      </c>
      <c r="BS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4">
        <v>0</v>
      </c>
      <c r="BU14">
        <v>4</v>
      </c>
      <c r="BV14">
        <v>0</v>
      </c>
      <c r="BW14">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81</v>
      </c>
      <c r="BX14" t="str">
        <f ca="1">IFERROR(IF(LEN((INDIRECT(Свёртка_Перебор_2_20170602154411[[#This Row],[СЛ]],FALSE)))=0,"ошибка",IFERROR(INDIRECT(Свёртка_Перебор_2_20170602154411[[#This Row],[СЛ]],FALSE),"ошибка")),"ошибка")</f>
        <v>ошибка</v>
      </c>
      <c r="BY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4" t="str">
        <f ca="1">IFERROR(_xlfn.FORMULATEXT(INDIRECT(Свёртка_Перебор_2_20170602154411[[#This Row],[СЛ]],FALSE)),"ошибка")</f>
        <v>ошибка</v>
      </c>
      <c r="CA14" t="str">
        <f ca="1">IFERROR(IF(LEN((INDIRECT(Свёртка_Перебор_2_20170602154411[[#This Row],[СП]],FALSE)))=0,"ошибка",IFERROR(INDIRECT(Свёртка_Перебор_2_20170602154411[[#This Row],[СП]],FALSE),"ошибка")),"ошибка")</f>
        <v>ошибка</v>
      </c>
      <c r="CB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4" t="str">
        <f ca="1">IFERROR(_xlfn.FORMULATEXT(INDIRECT(Свёртка_Перебор_2_20170602154411[[#This Row],[СП]],FALSE)),"ошибка")</f>
        <v>ошибка</v>
      </c>
      <c r="CD14"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4"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4"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4" t="str">
        <f ca="1">IF(ISERR(SEARCH("!",Свёртка_Перебор_2_20170602154411[[#This Row],[ССвёртка]])),"",LEFT(Свёртка_Перебор_2_20170602154411[[#This Row],[ССвёртка]],SEARCH("!",Свёртка_Перебор_2_20170602154411[[#This Row],[ССвёртка]])))</f>
        <v/>
      </c>
      <c r="CH14" t="str">
        <f ca="1">Свёртка_Перебор_2_20170602154411[[#This Row],[ССвёртка]]</f>
        <v>ошибка</v>
      </c>
      <c r="CI14"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4" t="str">
        <f t="array" aca="1" ref="CJ14"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4"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5" spans="2:89" x14ac:dyDescent="0.25">
      <c r="B15" t="e">
        <f ca="1">IF(AND(Критерий_Перебор_2_20170602154411[[#This Row],[Критерий]]&lt;&gt;"",Критерий_Перебор_2_20170602154411[[#This Row],[O.K.Критерий]]=1),ROW()-ROW(Критерий_Перебор_2_20170602154411[[#Headers],[№]]),"")</f>
        <v>#REF!</v>
      </c>
      <c r="C15" s="37" t="e">
        <f>Модель!#REF!</f>
        <v>#REF!</v>
      </c>
      <c r="D15"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5" t="str">
        <f ca="1">IFERROR(IF(LEFT(Критерий_Перебор_2_20170602154411[[#This Row],[Фкритерий]],5)="=Прив","Критерий",IF(LEFT(Критерий_Перебор_2_20170602154411[[#This Row],[Фкритерий]],5)="=Матр","ошибка","ошибка")),"ошибка")</f>
        <v>ошибка</v>
      </c>
      <c r="F15"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5" t="str">
        <f ca="1">IFERROR(IF(N(INDIRECT(Критерий_Перебор_2_20170602154411[[#This Row],[СФизКритерий]],FALSE))=0,"ошибка",IFERROR(INDIRECT(Критерий_Перебор_2_20170602154411[[#This Row],[СФизКритерий]],FALSE),"ошибка")),"ошибка")</f>
        <v>ошибка</v>
      </c>
      <c r="I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5"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5" t="str">
        <f ca="1">IFERROR(_xlfn.FORMULATEXT(INDIRECT(Критерий_Перебор_2_20170602154411[[#This Row],[Скритерий]],FALSE)),"ошибка")</f>
        <v>ошибка</v>
      </c>
      <c r="M15"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5"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5" t="str">
        <f ca="1">IFERROR(IF(N(INDIRECT(Критерий_Перебор_2_20170602154411[[#This Row],[ССрФизКритерий]],FALSE))=0,"ошибка",IFERROR(INDIRECT(Критерий_Перебор_2_20170602154411[[#This Row],[ССрФизКритерий]],FALSE),"ошибка")),"")</f>
        <v/>
      </c>
      <c r="R15"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5" s="66">
        <f ca="1">IFERROR(IF(AND(Критерий_Перебор_2_20170602154411[[#This Row],[ВидКритерий]]="Критерий",Критерий_Перебор_2_20170602154411[[#This Row],[Фкритерий]]="=Приведение"),1,-1),-1)</f>
        <v>-1</v>
      </c>
      <c r="V15" t="e">
        <f ca="1">IF(AND(Свёртка_Перебор_2_20170602154411[[#This Row],[Свёртка]]&lt;&gt;"",Свёртка_Перебор_2_20170602154411[[#This Row],[O.K.Свёртка]]=1),ROW()-ROW(Свёртка_Перебор_2_20170602154411[[#Headers],[№]]),"")</f>
        <v>#REF!</v>
      </c>
      <c r="W15" s="146" t="e">
        <f>Модель!#REF!</f>
        <v>#REF!</v>
      </c>
      <c r="X15"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5" t="str">
        <f ca="1">IFERROR(_xlfn.FORMULATEXT(INDIRECT(Свёртка_Перебор_2_20170602154411[[#This Row],[ССвёртка]],FALSE)),"ошибка")</f>
        <v>ошибка</v>
      </c>
      <c r="Z15" t="str">
        <f ca="1">IFERROR(IF(LEFT(Свёртка_Перебор_2_20170602154411[[#This Row],[ФСвёртка]],5)="=Прив","ошибка",IF(LEFT(Свёртка_Перебор_2_20170602154411[[#This Row],[ФСвёртка]],5)="=Матр","Свёртка","ошибка")),"ошибка")</f>
        <v>ошибка</v>
      </c>
      <c r="AA15" t="str">
        <f ca="1">IFERROR(IF(LEN((INDIRECT(Свёртка_Перебор_2_20170602154411[[#This Row],[СНаименование]],FALSE)))=0,"ошибка",IFERROR(INDIRECT(Свёртка_Перебор_2_20170602154411[[#This Row],[СНаименование]],FALSE),"ошибка")),"ошибка")</f>
        <v>ошибка</v>
      </c>
      <c r="AB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5">
        <v>3.19</v>
      </c>
      <c r="AD15" t="str">
        <f ca="1">IFERROR(IF(LEN((INDIRECT(Свёртка_Перебор_2_20170602154411[[#This Row],[ССВ_1_1]],FALSE)))=0,"ошибка",IFERROR(INDIRECT(Свёртка_Перебор_2_20170602154411[[#This Row],[ССВ_1_1]],FALSE),"ошибка")),"ошибка")</f>
        <v>ошибка</v>
      </c>
      <c r="AE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5">
        <v>0</v>
      </c>
      <c r="AG15">
        <v>2</v>
      </c>
      <c r="AH15">
        <v>0</v>
      </c>
      <c r="AI15" t="str">
        <f ca="1">IFERROR(IF(LEN((INDIRECT(Свёртка_Перебор_2_20170602154411[[#This Row],[ССВ_2_1]],FALSE)))=0,"ошибка",IFERROR(INDIRECT(Свёртка_Перебор_2_20170602154411[[#This Row],[ССВ_2_1]],FALSE),"ошибка")),"ошибка")</f>
        <v>ошибка</v>
      </c>
      <c r="AJ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5">
        <v>0</v>
      </c>
      <c r="AL15">
        <v>2</v>
      </c>
      <c r="AM15">
        <v>0</v>
      </c>
      <c r="AN15" t="str">
        <f ca="1">IFERROR(IF(LEN((INDIRECT(Свёртка_Перебор_2_20170602154411[[#This Row],[ССВ_1_2]],FALSE)))=0,"ошибка",IFERROR(INDIRECT(Свёртка_Перебор_2_20170602154411[[#This Row],[ССВ_1_2]],FALSE),"ошибка")),"ошибка")</f>
        <v>ошибка</v>
      </c>
      <c r="AO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5">
        <v>1</v>
      </c>
      <c r="AQ15">
        <v>3</v>
      </c>
      <c r="AR15">
        <v>4</v>
      </c>
      <c r="AS15" t="str">
        <f ca="1">IFERROR(IF(LEN((INDIRECT(Свёртка_Перебор_2_20170602154411[[#This Row],[ССВ_2_2]],FALSE)))=0,"ошибка",IFERROR(INDIRECT(Свёртка_Перебор_2_20170602154411[[#This Row],[ССВ_2_2]],FALSE),"ошибка")),"ошибка")</f>
        <v>ошибка</v>
      </c>
      <c r="AT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5">
        <v>1</v>
      </c>
      <c r="AV15">
        <v>3</v>
      </c>
      <c r="AW15">
        <v>81</v>
      </c>
      <c r="AX15" t="str">
        <f ca="1">IFERROR(IF(LEN((INDIRECT(Свёртка_Перебор_2_20170602154411[[#This Row],[ССВ_3_1]],FALSE)))=0,"ошибка",IFERROR(INDIRECT(Свёртка_Перебор_2_20170602154411[[#This Row],[ССВ_3_1]],FALSE),"ошибка")),"ошибка")</f>
        <v>ошибка</v>
      </c>
      <c r="AY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5">
        <v>1</v>
      </c>
      <c r="BA15">
        <v>3</v>
      </c>
      <c r="BB15">
        <v>9</v>
      </c>
      <c r="BC15" t="str">
        <f ca="1">IFERROR(IF(LEN((INDIRECT(Свёртка_Перебор_2_20170602154411[[#This Row],[ССВ_1_3]],FALSE)))=0,"ошибка",IFERROR(INDIRECT(Свёртка_Перебор_2_20170602154411[[#This Row],[ССВ_1_3]],FALSE),"ошибка")),"ошибка")</f>
        <v>ошибка</v>
      </c>
      <c r="BD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5">
        <v>1</v>
      </c>
      <c r="BF15">
        <v>3</v>
      </c>
      <c r="BG15">
        <v>81</v>
      </c>
      <c r="BH15" t="str">
        <f ca="1">IFERROR(IF(LEN((INDIRECT(Свёртка_Перебор_2_20170602154411[[#This Row],[ССВ_3_2]],FALSE)))=0,"ошибка",IFERROR(INDIRECT(Свёртка_Перебор_2_20170602154411[[#This Row],[ССВ_3_2]],FALSE),"ошибка")),"ошибка")</f>
        <v>ошибка</v>
      </c>
      <c r="BI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5">
        <v>1</v>
      </c>
      <c r="BK15">
        <v>4</v>
      </c>
      <c r="BL15">
        <v>119</v>
      </c>
      <c r="BM15" t="str">
        <f ca="1">IFERROR(IF(LEN((INDIRECT(Свёртка_Перебор_2_20170602154411[[#This Row],[ССВ_2_3]],FALSE)))=0,"ошибка",IFERROR(INDIRECT(Свёртка_Перебор_2_20170602154411[[#This Row],[ССВ_2_3]],FALSE),"ошибка")),"ошибка")</f>
        <v>ошибка</v>
      </c>
      <c r="BN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5">
        <v>0</v>
      </c>
      <c r="BP15">
        <v>4</v>
      </c>
      <c r="BQ15">
        <v>0</v>
      </c>
      <c r="BR15" t="str">
        <f ca="1">IFERROR(IF(LEN((INDIRECT(Свёртка_Перебор_2_20170602154411[[#This Row],[ССВ_3_3]],FALSE)))=0,"ошибка",IFERROR(INDIRECT(Свёртка_Перебор_2_20170602154411[[#This Row],[ССВ_3_3]],FALSE),"ошибка")),"ошибка")</f>
        <v>ошибка</v>
      </c>
      <c r="BS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5">
        <v>0</v>
      </c>
      <c r="BU15">
        <v>4</v>
      </c>
      <c r="BV15">
        <v>0</v>
      </c>
      <c r="BW15">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294</v>
      </c>
      <c r="BX15" t="str">
        <f ca="1">IFERROR(IF(LEN((INDIRECT(Свёртка_Перебор_2_20170602154411[[#This Row],[СЛ]],FALSE)))=0,"ошибка",IFERROR(INDIRECT(Свёртка_Перебор_2_20170602154411[[#This Row],[СЛ]],FALSE),"ошибка")),"ошибка")</f>
        <v>ошибка</v>
      </c>
      <c r="BY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5" t="str">
        <f ca="1">IFERROR(_xlfn.FORMULATEXT(INDIRECT(Свёртка_Перебор_2_20170602154411[[#This Row],[СЛ]],FALSE)),"ошибка")</f>
        <v>ошибка</v>
      </c>
      <c r="CA15" t="str">
        <f ca="1">IFERROR(IF(LEN((INDIRECT(Свёртка_Перебор_2_20170602154411[[#This Row],[СП]],FALSE)))=0,"ошибка",IFERROR(INDIRECT(Свёртка_Перебор_2_20170602154411[[#This Row],[СП]],FALSE),"ошибка")),"ошибка")</f>
        <v>ошибка</v>
      </c>
      <c r="CB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5" t="str">
        <f ca="1">IFERROR(_xlfn.FORMULATEXT(INDIRECT(Свёртка_Перебор_2_20170602154411[[#This Row],[СП]],FALSE)),"ошибка")</f>
        <v>ошибка</v>
      </c>
      <c r="CD15"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5"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5"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5" t="str">
        <f ca="1">IF(ISERR(SEARCH("!",Свёртка_Перебор_2_20170602154411[[#This Row],[ССвёртка]])),"",LEFT(Свёртка_Перебор_2_20170602154411[[#This Row],[ССвёртка]],SEARCH("!",Свёртка_Перебор_2_20170602154411[[#This Row],[ССвёртка]])))</f>
        <v/>
      </c>
      <c r="CH15" t="str">
        <f ca="1">Свёртка_Перебор_2_20170602154411[[#This Row],[ССвёртка]]</f>
        <v>ошибка</v>
      </c>
      <c r="CI15"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5" t="str">
        <f t="array" aca="1" ref="CJ15"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5"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6" spans="2:89" x14ac:dyDescent="0.25">
      <c r="B16" t="e">
        <f ca="1">IF(AND(Критерий_Перебор_2_20170602154411[[#This Row],[Критерий]]&lt;&gt;"",Критерий_Перебор_2_20170602154411[[#This Row],[O.K.Критерий]]=1),ROW()-ROW(Критерий_Перебор_2_20170602154411[[#Headers],[№]]),"")</f>
        <v>#REF!</v>
      </c>
      <c r="C16" s="37" t="e">
        <f>Модель!#REF!</f>
        <v>#REF!</v>
      </c>
      <c r="D16"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6" t="str">
        <f ca="1">IFERROR(IF(LEFT(Критерий_Перебор_2_20170602154411[[#This Row],[Фкритерий]],5)="=Прив","Критерий",IF(LEFT(Критерий_Перебор_2_20170602154411[[#This Row],[Фкритерий]],5)="=Матр","ошибка","ошибка")),"ошибка")</f>
        <v>ошибка</v>
      </c>
      <c r="F16"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6" t="str">
        <f ca="1">IFERROR(IF(N(INDIRECT(Критерий_Перебор_2_20170602154411[[#This Row],[СФизКритерий]],FALSE))=0,"ошибка",IFERROR(INDIRECT(Критерий_Перебор_2_20170602154411[[#This Row],[СФизКритерий]],FALSE),"ошибка")),"ошибка")</f>
        <v>ошибка</v>
      </c>
      <c r="I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6"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6" t="str">
        <f ca="1">IFERROR(_xlfn.FORMULATEXT(INDIRECT(Критерий_Перебор_2_20170602154411[[#This Row],[Скритерий]],FALSE)),"ошибка")</f>
        <v>ошибка</v>
      </c>
      <c r="M16"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6"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6" t="str">
        <f ca="1">IFERROR(IF(N(INDIRECT(Критерий_Перебор_2_20170602154411[[#This Row],[ССрФизКритерий]],FALSE))=0,"ошибка",IFERROR(INDIRECT(Критерий_Перебор_2_20170602154411[[#This Row],[ССрФизКритерий]],FALSE),"ошибка")),"")</f>
        <v/>
      </c>
      <c r="R16"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6" s="66">
        <f ca="1">IFERROR(IF(AND(Критерий_Перебор_2_20170602154411[[#This Row],[ВидКритерий]]="Критерий",Критерий_Перебор_2_20170602154411[[#This Row],[Фкритерий]]="=Приведение"),1,-1),-1)</f>
        <v>-1</v>
      </c>
      <c r="V16" t="e">
        <f ca="1">IF(AND(Свёртка_Перебор_2_20170602154411[[#This Row],[Свёртка]]&lt;&gt;"",Свёртка_Перебор_2_20170602154411[[#This Row],[O.K.Свёртка]]=1),ROW()-ROW(Свёртка_Перебор_2_20170602154411[[#Headers],[№]]),"")</f>
        <v>#REF!</v>
      </c>
      <c r="W16" s="146" t="e">
        <f>Модель!#REF!</f>
        <v>#REF!</v>
      </c>
      <c r="X16"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6" t="str">
        <f ca="1">IFERROR(_xlfn.FORMULATEXT(INDIRECT(Свёртка_Перебор_2_20170602154411[[#This Row],[ССвёртка]],FALSE)),"ошибка")</f>
        <v>ошибка</v>
      </c>
      <c r="Z16" t="str">
        <f ca="1">IFERROR(IF(LEFT(Свёртка_Перебор_2_20170602154411[[#This Row],[ФСвёртка]],5)="=Прив","ошибка",IF(LEFT(Свёртка_Перебор_2_20170602154411[[#This Row],[ФСвёртка]],5)="=Матр","Свёртка","ошибка")),"ошибка")</f>
        <v>ошибка</v>
      </c>
      <c r="AA16" t="str">
        <f ca="1">IFERROR(IF(LEN((INDIRECT(Свёртка_Перебор_2_20170602154411[[#This Row],[СНаименование]],FALSE)))=0,"ошибка",IFERROR(INDIRECT(Свёртка_Перебор_2_20170602154411[[#This Row],[СНаименование]],FALSE),"ошибка")),"ошибка")</f>
        <v>ошибка</v>
      </c>
      <c r="AB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6">
        <v>2.19</v>
      </c>
      <c r="AD16" t="str">
        <f ca="1">IFERROR(IF(LEN((INDIRECT(Свёртка_Перебор_2_20170602154411[[#This Row],[ССВ_1_1]],FALSE)))=0,"ошибка",IFERROR(INDIRECT(Свёртка_Перебор_2_20170602154411[[#This Row],[ССВ_1_1]],FALSE),"ошибка")),"ошибка")</f>
        <v>ошибка</v>
      </c>
      <c r="AE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6">
        <v>0</v>
      </c>
      <c r="AG16">
        <v>2</v>
      </c>
      <c r="AH16">
        <v>0</v>
      </c>
      <c r="AI16" t="str">
        <f ca="1">IFERROR(IF(LEN((INDIRECT(Свёртка_Перебор_2_20170602154411[[#This Row],[ССВ_2_1]],FALSE)))=0,"ошибка",IFERROR(INDIRECT(Свёртка_Перебор_2_20170602154411[[#This Row],[ССВ_2_1]],FALSE),"ошибка")),"ошибка")</f>
        <v>ошибка</v>
      </c>
      <c r="AJ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6">
        <v>1</v>
      </c>
      <c r="AL16">
        <v>3</v>
      </c>
      <c r="AM16">
        <v>4</v>
      </c>
      <c r="AN16" t="str">
        <f ca="1">IFERROR(IF(LEN((INDIRECT(Свёртка_Перебор_2_20170602154411[[#This Row],[ССВ_1_2]],FALSE)))=0,"ошибка",IFERROR(INDIRECT(Свёртка_Перебор_2_20170602154411[[#This Row],[ССВ_1_2]],FALSE),"ошибка")),"ошибка")</f>
        <v>ошибка</v>
      </c>
      <c r="AO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6">
        <v>1</v>
      </c>
      <c r="AQ16">
        <v>3</v>
      </c>
      <c r="AR16">
        <v>81</v>
      </c>
      <c r="AS16" t="str">
        <f ca="1">IFERROR(IF(LEN((INDIRECT(Свёртка_Перебор_2_20170602154411[[#This Row],[ССВ_2_2]],FALSE)))=0,"ошибка",IFERROR(INDIRECT(Свёртка_Перебор_2_20170602154411[[#This Row],[ССВ_2_2]],FALSE),"ошибка")),"ошибка")</f>
        <v>ошибка</v>
      </c>
      <c r="AT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6">
        <v>1</v>
      </c>
      <c r="AV16">
        <v>4</v>
      </c>
      <c r="AW16">
        <v>119</v>
      </c>
      <c r="AX16" t="str">
        <f ca="1">IFERROR(IF(LEN((INDIRECT(Свёртка_Перебор_2_20170602154411[[#This Row],[ССВ_3_1]],FALSE)))=0,"ошибка",IFERROR(INDIRECT(Свёртка_Перебор_2_20170602154411[[#This Row],[ССВ_3_1]],FALSE),"ошибка")),"ошибка")</f>
        <v>ошибка</v>
      </c>
      <c r="AY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6">
        <v>1</v>
      </c>
      <c r="BA16">
        <v>4</v>
      </c>
      <c r="BB16">
        <v>119</v>
      </c>
      <c r="BC16" t="str">
        <f ca="1">IFERROR(IF(LEN((INDIRECT(Свёртка_Перебор_2_20170602154411[[#This Row],[ССВ_1_3]],FALSE)))=0,"ошибка",IFERROR(INDIRECT(Свёртка_Перебор_2_20170602154411[[#This Row],[ССВ_1_3]],FALSE),"ошибка")),"ошибка")</f>
        <v>ошибка</v>
      </c>
      <c r="BD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6">
        <v>0</v>
      </c>
      <c r="BF16">
        <v>4</v>
      </c>
      <c r="BG16">
        <v>0</v>
      </c>
      <c r="BH16" t="str">
        <f ca="1">IFERROR(IF(LEN((INDIRECT(Свёртка_Перебор_2_20170602154411[[#This Row],[ССВ_3_2]],FALSE)))=0,"ошибка",IFERROR(INDIRECT(Свёртка_Перебор_2_20170602154411[[#This Row],[ССВ_3_2]],FALSE),"ошибка")),"ошибка")</f>
        <v>ошибка</v>
      </c>
      <c r="BI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6">
        <v>0</v>
      </c>
      <c r="BK16">
        <v>4</v>
      </c>
      <c r="BL16">
        <v>0</v>
      </c>
      <c r="BM16" t="str">
        <f ca="1">IFERROR(IF(LEN((INDIRECT(Свёртка_Перебор_2_20170602154411[[#This Row],[ССВ_2_3]],FALSE)))=0,"ошибка",IFERROR(INDIRECT(Свёртка_Перебор_2_20170602154411[[#This Row],[ССВ_2_3]],FALSE),"ошибка")),"ошибка")</f>
        <v>ошибка</v>
      </c>
      <c r="BN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6">
        <v>0</v>
      </c>
      <c r="BP16">
        <v>4</v>
      </c>
      <c r="BQ16">
        <v>0</v>
      </c>
      <c r="BR16" t="str">
        <f ca="1">IFERROR(IF(LEN((INDIRECT(Свёртка_Перебор_2_20170602154411[[#This Row],[ССВ_3_3]],FALSE)))=0,"ошибка",IFERROR(INDIRECT(Свёртка_Перебор_2_20170602154411[[#This Row],[ССВ_3_3]],FALSE),"ошибка")),"ошибка")</f>
        <v>ошибка</v>
      </c>
      <c r="BS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6">
        <v>0</v>
      </c>
      <c r="BU16">
        <v>4</v>
      </c>
      <c r="BV16">
        <v>0</v>
      </c>
      <c r="BW16">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323</v>
      </c>
      <c r="BX16" t="str">
        <f ca="1">IFERROR(IF(LEN((INDIRECT(Свёртка_Перебор_2_20170602154411[[#This Row],[СЛ]],FALSE)))=0,"ошибка",IFERROR(INDIRECT(Свёртка_Перебор_2_20170602154411[[#This Row],[СЛ]],FALSE),"ошибка")),"ошибка")</f>
        <v>ошибка</v>
      </c>
      <c r="BY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6" t="str">
        <f ca="1">IFERROR(_xlfn.FORMULATEXT(INDIRECT(Свёртка_Перебор_2_20170602154411[[#This Row],[СЛ]],FALSE)),"ошибка")</f>
        <v>ошибка</v>
      </c>
      <c r="CA16" t="str">
        <f ca="1">IFERROR(IF(LEN((INDIRECT(Свёртка_Перебор_2_20170602154411[[#This Row],[СП]],FALSE)))=0,"ошибка",IFERROR(INDIRECT(Свёртка_Перебор_2_20170602154411[[#This Row],[СП]],FALSE),"ошибка")),"ошибка")</f>
        <v>ошибка</v>
      </c>
      <c r="CB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6" t="str">
        <f ca="1">IFERROR(_xlfn.FORMULATEXT(INDIRECT(Свёртка_Перебор_2_20170602154411[[#This Row],[СП]],FALSE)),"ошибка")</f>
        <v>ошибка</v>
      </c>
      <c r="CD16"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6"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6"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6" t="str">
        <f ca="1">IF(ISERR(SEARCH("!",Свёртка_Перебор_2_20170602154411[[#This Row],[ССвёртка]])),"",LEFT(Свёртка_Перебор_2_20170602154411[[#This Row],[ССвёртка]],SEARCH("!",Свёртка_Перебор_2_20170602154411[[#This Row],[ССвёртка]])))</f>
        <v/>
      </c>
      <c r="CH16" t="str">
        <f ca="1">Свёртка_Перебор_2_20170602154411[[#This Row],[ССвёртка]]</f>
        <v>ошибка</v>
      </c>
      <c r="CI16"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6" t="str">
        <f t="array" aca="1" ref="CJ16"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6"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7" spans="2:93" x14ac:dyDescent="0.25">
      <c r="B17" t="e">
        <f ca="1">IF(AND(Критерий_Перебор_2_20170602154411[[#This Row],[Критерий]]&lt;&gt;"",Критерий_Перебор_2_20170602154411[[#This Row],[O.K.Критерий]]=1),ROW()-ROW(Критерий_Перебор_2_20170602154411[[#Headers],[№]]),"")</f>
        <v>#REF!</v>
      </c>
      <c r="C17" s="37" t="e">
        <f>Модель!#REF!</f>
        <v>#REF!</v>
      </c>
      <c r="D17"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7" t="str">
        <f ca="1">IFERROR(IF(LEFT(Критерий_Перебор_2_20170602154411[[#This Row],[Фкритерий]],5)="=Прив","Критерий",IF(LEFT(Критерий_Перебор_2_20170602154411[[#This Row],[Фкритерий]],5)="=Матр","ошибка","ошибка")),"ошибка")</f>
        <v>ошибка</v>
      </c>
      <c r="F17"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7" t="str">
        <f ca="1">IFERROR(IF(N(INDIRECT(Критерий_Перебор_2_20170602154411[[#This Row],[СФизКритерий]],FALSE))=0,"ошибка",IFERROR(INDIRECT(Критерий_Перебор_2_20170602154411[[#This Row],[СФизКритерий]],FALSE),"ошибка")),"ошибка")</f>
        <v>ошибка</v>
      </c>
      <c r="I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7"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7" t="str">
        <f ca="1">IFERROR(_xlfn.FORMULATEXT(INDIRECT(Критерий_Перебор_2_20170602154411[[#This Row],[Скритерий]],FALSE)),"ошибка")</f>
        <v>ошибка</v>
      </c>
      <c r="M17"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7"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7" t="str">
        <f ca="1">IFERROR(IF(N(INDIRECT(Критерий_Перебор_2_20170602154411[[#This Row],[ССрФизКритерий]],FALSE))=0,"ошибка",IFERROR(INDIRECT(Критерий_Перебор_2_20170602154411[[#This Row],[ССрФизКритерий]],FALSE),"ошибка")),"")</f>
        <v/>
      </c>
      <c r="R17"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7" s="66">
        <f ca="1">IFERROR(IF(AND(Критерий_Перебор_2_20170602154411[[#This Row],[ВидКритерий]]="Критерий",Критерий_Перебор_2_20170602154411[[#This Row],[Фкритерий]]="=Приведение"),1,-1),-1)</f>
        <v>-1</v>
      </c>
      <c r="V17" t="e">
        <f ca="1">IF(AND(Свёртка_Перебор_2_20170602154411[[#This Row],[Свёртка]]&lt;&gt;"",Свёртка_Перебор_2_20170602154411[[#This Row],[O.K.Свёртка]]=1),ROW()-ROW(Свёртка_Перебор_2_20170602154411[[#Headers],[№]]),"")</f>
        <v>#REF!</v>
      </c>
      <c r="W17" s="146" t="e">
        <f>Модель!#REF!</f>
        <v>#REF!</v>
      </c>
      <c r="X17"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7" t="str">
        <f ca="1">IFERROR(_xlfn.FORMULATEXT(INDIRECT(Свёртка_Перебор_2_20170602154411[[#This Row],[ССвёртка]],FALSE)),"ошибка")</f>
        <v>ошибка</v>
      </c>
      <c r="Z17" t="str">
        <f ca="1">IFERROR(IF(LEFT(Свёртка_Перебор_2_20170602154411[[#This Row],[ФСвёртка]],5)="=Прив","ошибка",IF(LEFT(Свёртка_Перебор_2_20170602154411[[#This Row],[ФСвёртка]],5)="=Матр","Свёртка","ошибка")),"ошибка")</f>
        <v>ошибка</v>
      </c>
      <c r="AA17" t="str">
        <f ca="1">IFERROR(IF(LEN((INDIRECT(Свёртка_Перебор_2_20170602154411[[#This Row],[СНаименование]],FALSE)))=0,"ошибка",IFERROR(INDIRECT(Свёртка_Перебор_2_20170602154411[[#This Row],[СНаименование]],FALSE),"ошибка")),"ошибка")</f>
        <v>ошибка</v>
      </c>
      <c r="AB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7">
        <v>4</v>
      </c>
      <c r="AD17" t="str">
        <f ca="1">IFERROR(IF(LEN((INDIRECT(Свёртка_Перебор_2_20170602154411[[#This Row],[ССВ_1_1]],FALSE)))=0,"ошибка",IFERROR(INDIRECT(Свёртка_Перебор_2_20170602154411[[#This Row],[ССВ_1_1]],FALSE),"ошибка")),"ошибка")</f>
        <v>ошибка</v>
      </c>
      <c r="AE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7">
        <v>1</v>
      </c>
      <c r="AG17">
        <v>3</v>
      </c>
      <c r="AH17">
        <v>12</v>
      </c>
      <c r="AI17" t="str">
        <f ca="1">IFERROR(IF(LEN((INDIRECT(Свёртка_Перебор_2_20170602154411[[#This Row],[ССВ_2_1]],FALSE)))=0,"ошибка",IFERROR(INDIRECT(Свёртка_Перебор_2_20170602154411[[#This Row],[ССВ_2_1]],FALSE),"ошибка")),"ошибка")</f>
        <v>ошибка</v>
      </c>
      <c r="AJ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7">
        <v>0</v>
      </c>
      <c r="AL17">
        <v>3</v>
      </c>
      <c r="AM17">
        <v>0</v>
      </c>
      <c r="AN17" t="str">
        <f ca="1">IFERROR(IF(LEN((INDIRECT(Свёртка_Перебор_2_20170602154411[[#This Row],[ССВ_1_2]],FALSE)))=0,"ошибка",IFERROR(INDIRECT(Свёртка_Перебор_2_20170602154411[[#This Row],[ССВ_1_2]],FALSE),"ошибка")),"ошибка")</f>
        <v>ошибка</v>
      </c>
      <c r="AO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7">
        <v>0</v>
      </c>
      <c r="AQ17">
        <v>3</v>
      </c>
      <c r="AR17">
        <v>0</v>
      </c>
      <c r="AS17" t="str">
        <f ca="1">IFERROR(IF(LEN((INDIRECT(Свёртка_Перебор_2_20170602154411[[#This Row],[ССВ_2_2]],FALSE)))=0,"ошибка",IFERROR(INDIRECT(Свёртка_Перебор_2_20170602154411[[#This Row],[ССВ_2_2]],FALSE),"ошибка")),"ошибка")</f>
        <v>ошибка</v>
      </c>
      <c r="AT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7">
        <v>0</v>
      </c>
      <c r="AV17">
        <v>4</v>
      </c>
      <c r="AW17">
        <v>0</v>
      </c>
      <c r="AX17" t="str">
        <f ca="1">IFERROR(IF(LEN((INDIRECT(Свёртка_Перебор_2_20170602154411[[#This Row],[ССВ_3_1]],FALSE)))=0,"ошибка",IFERROR(INDIRECT(Свёртка_Перебор_2_20170602154411[[#This Row],[ССВ_3_1]],FALSE),"ошибка")),"ошибка")</f>
        <v>ошибка</v>
      </c>
      <c r="AY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7">
        <v>0</v>
      </c>
      <c r="BA17">
        <v>4</v>
      </c>
      <c r="BB17">
        <v>0</v>
      </c>
      <c r="BC17" t="str">
        <f ca="1">IFERROR(IF(LEN((INDIRECT(Свёртка_Перебор_2_20170602154411[[#This Row],[ССВ_1_3]],FALSE)))=0,"ошибка",IFERROR(INDIRECT(Свёртка_Перебор_2_20170602154411[[#This Row],[ССВ_1_3]],FALSE),"ошибка")),"ошибка")</f>
        <v>ошибка</v>
      </c>
      <c r="BD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7">
        <v>0</v>
      </c>
      <c r="BF17">
        <v>4</v>
      </c>
      <c r="BG17">
        <v>0</v>
      </c>
      <c r="BH17" t="str">
        <f ca="1">IFERROR(IF(LEN((INDIRECT(Свёртка_Перебор_2_20170602154411[[#This Row],[ССВ_3_2]],FALSE)))=0,"ошибка",IFERROR(INDIRECT(Свёртка_Перебор_2_20170602154411[[#This Row],[ССВ_3_2]],FALSE),"ошибка")),"ошибка")</f>
        <v>ошибка</v>
      </c>
      <c r="BI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7">
        <v>0</v>
      </c>
      <c r="BK17">
        <v>4</v>
      </c>
      <c r="BL17">
        <v>0</v>
      </c>
      <c r="BM17" t="str">
        <f ca="1">IFERROR(IF(LEN((INDIRECT(Свёртка_Перебор_2_20170602154411[[#This Row],[ССВ_2_3]],FALSE)))=0,"ошибка",IFERROR(INDIRECT(Свёртка_Перебор_2_20170602154411[[#This Row],[ССВ_2_3]],FALSE),"ошибка")),"ошибка")</f>
        <v>ошибка</v>
      </c>
      <c r="BN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7">
        <v>0</v>
      </c>
      <c r="BP17">
        <v>4</v>
      </c>
      <c r="BQ17">
        <v>0</v>
      </c>
      <c r="BR17" t="str">
        <f ca="1">IFERROR(IF(LEN((INDIRECT(Свёртка_Перебор_2_20170602154411[[#This Row],[ССВ_3_3]],FALSE)))=0,"ошибка",IFERROR(INDIRECT(Свёртка_Перебор_2_20170602154411[[#This Row],[ССВ_3_3]],FALSE),"ошибка")),"ошибка")</f>
        <v>ошибка</v>
      </c>
      <c r="BS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7">
        <v>0</v>
      </c>
      <c r="BU17">
        <v>4</v>
      </c>
      <c r="BV17">
        <v>0</v>
      </c>
      <c r="BW17">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12</v>
      </c>
      <c r="BX17" t="str">
        <f ca="1">IFERROR(IF(LEN((INDIRECT(Свёртка_Перебор_2_20170602154411[[#This Row],[СЛ]],FALSE)))=0,"ошибка",IFERROR(INDIRECT(Свёртка_Перебор_2_20170602154411[[#This Row],[СЛ]],FALSE),"ошибка")),"ошибка")</f>
        <v>ошибка</v>
      </c>
      <c r="BY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7" t="str">
        <f ca="1">IFERROR(_xlfn.FORMULATEXT(INDIRECT(Свёртка_Перебор_2_20170602154411[[#This Row],[СЛ]],FALSE)),"ошибка")</f>
        <v>ошибка</v>
      </c>
      <c r="CA17" t="str">
        <f ca="1">IFERROR(IF(LEN((INDIRECT(Свёртка_Перебор_2_20170602154411[[#This Row],[СП]],FALSE)))=0,"ошибка",IFERROR(INDIRECT(Свёртка_Перебор_2_20170602154411[[#This Row],[СП]],FALSE),"ошибка")),"ошибка")</f>
        <v>ошибка</v>
      </c>
      <c r="CB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7" t="str">
        <f ca="1">IFERROR(_xlfn.FORMULATEXT(INDIRECT(Свёртка_Перебор_2_20170602154411[[#This Row],[СП]],FALSE)),"ошибка")</f>
        <v>ошибка</v>
      </c>
      <c r="CD17"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7"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7"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7" t="str">
        <f ca="1">IF(ISERR(SEARCH("!",Свёртка_Перебор_2_20170602154411[[#This Row],[ССвёртка]])),"",LEFT(Свёртка_Перебор_2_20170602154411[[#This Row],[ССвёртка]],SEARCH("!",Свёртка_Перебор_2_20170602154411[[#This Row],[ССвёртка]])))</f>
        <v/>
      </c>
      <c r="CH17" t="str">
        <f ca="1">Свёртка_Перебор_2_20170602154411[[#This Row],[ССвёртка]]</f>
        <v>ошибка</v>
      </c>
      <c r="CI17"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7" t="str">
        <f t="array" aca="1" ref="CJ17"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7"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8" spans="2:93" x14ac:dyDescent="0.25">
      <c r="B18" t="e">
        <f ca="1">IF(AND(Критерий_Перебор_2_20170602154411[[#This Row],[Критерий]]&lt;&gt;"",Критерий_Перебор_2_20170602154411[[#This Row],[O.K.Критерий]]=1),ROW()-ROW(Критерий_Перебор_2_20170602154411[[#Headers],[№]]),"")</f>
        <v>#REF!</v>
      </c>
      <c r="C18" s="37" t="e">
        <f>Модель!#REF!</f>
        <v>#REF!</v>
      </c>
      <c r="D18"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8" t="str">
        <f ca="1">IFERROR(IF(LEFT(Критерий_Перебор_2_20170602154411[[#This Row],[Фкритерий]],5)="=Прив","Критерий",IF(LEFT(Критерий_Перебор_2_20170602154411[[#This Row],[Фкритерий]],5)="=Матр","ошибка","ошибка")),"ошибка")</f>
        <v>ошибка</v>
      </c>
      <c r="F18"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8" t="str">
        <f ca="1">IFERROR(IF(N(INDIRECT(Критерий_Перебор_2_20170602154411[[#This Row],[СФизКритерий]],FALSE))=0,"ошибка",IFERROR(INDIRECT(Критерий_Перебор_2_20170602154411[[#This Row],[СФизКритерий]],FALSE),"ошибка")),"ошибка")</f>
        <v>ошибка</v>
      </c>
      <c r="I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8"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8" t="str">
        <f ca="1">IFERROR(_xlfn.FORMULATEXT(INDIRECT(Критерий_Перебор_2_20170602154411[[#This Row],[Скритерий]],FALSE)),"ошибка")</f>
        <v>ошибка</v>
      </c>
      <c r="M18"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8"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8" t="str">
        <f ca="1">IFERROR(IF(N(INDIRECT(Критерий_Перебор_2_20170602154411[[#This Row],[ССрФизКритерий]],FALSE))=0,"ошибка",IFERROR(INDIRECT(Критерий_Перебор_2_20170602154411[[#This Row],[ССрФизКритерий]],FALSE),"ошибка")),"")</f>
        <v/>
      </c>
      <c r="R18"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8" s="66">
        <f ca="1">IFERROR(IF(AND(Критерий_Перебор_2_20170602154411[[#This Row],[ВидКритерий]]="Критерий",Критерий_Перебор_2_20170602154411[[#This Row],[Фкритерий]]="=Приведение"),1,-1),-1)</f>
        <v>-1</v>
      </c>
      <c r="V18" t="str">
        <f ca="1">IF(AND(Свёртка_Перебор_2_20170602154411[[#This Row],[Свёртка]]&lt;&gt;"",Свёртка_Перебор_2_20170602154411[[#This Row],[O.K.Свёртка]]=1),ROW()-ROW(Свёртка_Перебор_2_20170602154411[[#Headers],[№]]),"")</f>
        <v/>
      </c>
      <c r="W18" s="146"/>
      <c r="X18"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8" t="str">
        <f ca="1">IFERROR(_xlfn.FORMULATEXT(INDIRECT(Свёртка_Перебор_2_20170602154411[[#This Row],[ССвёртка]],FALSE)),"ошибка")</f>
        <v>ошибка</v>
      </c>
      <c r="Z18" t="str">
        <f ca="1">IFERROR(IF(LEFT(Свёртка_Перебор_2_20170602154411[[#This Row],[ФСвёртка]],5)="=Прив","ошибка",IF(LEFT(Свёртка_Перебор_2_20170602154411[[#This Row],[ФСвёртка]],5)="=Матр","Свёртка","ошибка")),"ошибка")</f>
        <v>ошибка</v>
      </c>
      <c r="AA18" t="str">
        <f ca="1">IFERROR(IF(LEN((INDIRECT(Свёртка_Перебор_2_20170602154411[[#This Row],[СНаименование]],FALSE)))=0,"ошибка",IFERROR(INDIRECT(Свёртка_Перебор_2_20170602154411[[#This Row],[СНаименование]],FALSE),"ошибка")),"ошибка")</f>
        <v>ошибка</v>
      </c>
      <c r="AB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D18" t="str">
        <f ca="1">IFERROR(IF(LEN((INDIRECT(Свёртка_Перебор_2_20170602154411[[#This Row],[ССВ_1_1]],FALSE)))=0,"ошибка",IFERROR(INDIRECT(Свёртка_Перебор_2_20170602154411[[#This Row],[ССВ_1_1]],FALSE),"ошибка")),"ошибка")</f>
        <v>ошибка</v>
      </c>
      <c r="AE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I18" t="str">
        <f ca="1">IFERROR(IF(LEN((INDIRECT(Свёртка_Перебор_2_20170602154411[[#This Row],[ССВ_2_1]],FALSE)))=0,"ошибка",IFERROR(INDIRECT(Свёртка_Перебор_2_20170602154411[[#This Row],[ССВ_2_1]],FALSE),"ошибка")),"ошибка")</f>
        <v>ошибка</v>
      </c>
      <c r="AJ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N18" t="str">
        <f ca="1">IFERROR(IF(LEN((INDIRECT(Свёртка_Перебор_2_20170602154411[[#This Row],[ССВ_1_2]],FALSE)))=0,"ошибка",IFERROR(INDIRECT(Свёртка_Перебор_2_20170602154411[[#This Row],[ССВ_1_2]],FALSE),"ошибка")),"ошибка")</f>
        <v>ошибка</v>
      </c>
      <c r="AO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S18" t="str">
        <f ca="1">IFERROR(IF(LEN((INDIRECT(Свёртка_Перебор_2_20170602154411[[#This Row],[ССВ_2_2]],FALSE)))=0,"ошибка",IFERROR(INDIRECT(Свёртка_Перебор_2_20170602154411[[#This Row],[ССВ_2_2]],FALSE),"ошибка")),"ошибка")</f>
        <v>ошибка</v>
      </c>
      <c r="AT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X18" t="str">
        <f ca="1">IFERROR(IF(LEN((INDIRECT(Свёртка_Перебор_2_20170602154411[[#This Row],[ССВ_3_1]],FALSE)))=0,"ошибка",IFERROR(INDIRECT(Свёртка_Перебор_2_20170602154411[[#This Row],[ССВ_3_1]],FALSE),"ошибка")),"ошибка")</f>
        <v>ошибка</v>
      </c>
      <c r="AY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BC18" t="str">
        <f ca="1">IFERROR(IF(LEN((INDIRECT(Свёртка_Перебор_2_20170602154411[[#This Row],[ССВ_1_3]],FALSE)))=0,"ошибка",IFERROR(INDIRECT(Свёртка_Перебор_2_20170602154411[[#This Row],[ССВ_1_3]],FALSE),"ошибка")),"ошибка")</f>
        <v>ошибка</v>
      </c>
      <c r="BD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H18" t="str">
        <f ca="1">IFERROR(IF(LEN((INDIRECT(Свёртка_Перебор_2_20170602154411[[#This Row],[ССВ_3_2]],FALSE)))=0,"ошибка",IFERROR(INDIRECT(Свёртка_Перебор_2_20170602154411[[#This Row],[ССВ_3_2]],FALSE),"ошибка")),"ошибка")</f>
        <v>ошибка</v>
      </c>
      <c r="BI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M18" t="str">
        <f ca="1">IFERROR(IF(LEN((INDIRECT(Свёртка_Перебор_2_20170602154411[[#This Row],[ССВ_2_3]],FALSE)))=0,"ошибка",IFERROR(INDIRECT(Свёртка_Перебор_2_20170602154411[[#This Row],[ССВ_2_3]],FALSE),"ошибка")),"ошибка")</f>
        <v>ошибка</v>
      </c>
      <c r="BN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R18" t="str">
        <f ca="1">IFERROR(IF(LEN((INDIRECT(Свёртка_Перебор_2_20170602154411[[#This Row],[ССВ_3_3]],FALSE)))=0,"ошибка",IFERROR(INDIRECT(Свёртка_Перебор_2_20170602154411[[#This Row],[ССВ_3_3]],FALSE),"ошибка")),"ошибка")</f>
        <v>ошибка</v>
      </c>
      <c r="BS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W18">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0</v>
      </c>
      <c r="BX18" t="str">
        <f ca="1">IFERROR(IF(LEN((INDIRECT(Свёртка_Перебор_2_20170602154411[[#This Row],[СЛ]],FALSE)))=0,"ошибка",IFERROR(INDIRECT(Свёртка_Перебор_2_20170602154411[[#This Row],[СЛ]],FALSE),"ошибка")),"ошибка")</f>
        <v>ошибка</v>
      </c>
      <c r="BY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8" t="str">
        <f ca="1">IFERROR(_xlfn.FORMULATEXT(INDIRECT(Свёртка_Перебор_2_20170602154411[[#This Row],[СЛ]],FALSE)),"ошибка")</f>
        <v>ошибка</v>
      </c>
      <c r="CA18" t="str">
        <f ca="1">IFERROR(IF(LEN((INDIRECT(Свёртка_Перебор_2_20170602154411[[#This Row],[СП]],FALSE)))=0,"ошибка",IFERROR(INDIRECT(Свёртка_Перебор_2_20170602154411[[#This Row],[СП]],FALSE),"ошибка")),"ошибка")</f>
        <v>ошибка</v>
      </c>
      <c r="CB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8" t="str">
        <f ca="1">IFERROR(_xlfn.FORMULATEXT(INDIRECT(Свёртка_Перебор_2_20170602154411[[#This Row],[СП]],FALSE)),"ошибка")</f>
        <v>ошибка</v>
      </c>
      <c r="CD18"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8"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8"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8" t="str">
        <f ca="1">IF(ISERR(SEARCH("!",Свёртка_Перебор_2_20170602154411[[#This Row],[ССвёртка]])),"",LEFT(Свёртка_Перебор_2_20170602154411[[#This Row],[ССвёртка]],SEARCH("!",Свёртка_Перебор_2_20170602154411[[#This Row],[ССвёртка]])))</f>
        <v/>
      </c>
      <c r="CH18" t="str">
        <f ca="1">Свёртка_Перебор_2_20170602154411[[#This Row],[ССвёртка]]</f>
        <v>ошибка</v>
      </c>
      <c r="CI18"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8" t="str">
        <f t="array" aca="1" ref="CJ18"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8"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c r="CO18" t="s">
        <v>559</v>
      </c>
    </row>
    <row r="19" spans="2:93" x14ac:dyDescent="0.25">
      <c r="B19" t="str">
        <f ca="1">IF(AND(Критерий_Перебор_2_20170602154411[[#This Row],[Критерий]]&lt;&gt;"",Критерий_Перебор_2_20170602154411[[#This Row],[O.K.Критерий]]=1),ROW()-ROW(Критерий_Перебор_2_20170602154411[[#Headers],[№]]),"")</f>
        <v/>
      </c>
      <c r="C19" s="37"/>
      <c r="D19"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9" t="str">
        <f ca="1">IFERROR(IF(LEFT(Критерий_Перебор_2_20170602154411[[#This Row],[Фкритерий]],5)="=Прив","Критерий",IF(LEFT(Критерий_Перебор_2_20170602154411[[#This Row],[Фкритерий]],5)="=Матр","ошибка","ошибка")),"ошибка")</f>
        <v>ошибка</v>
      </c>
      <c r="F19"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9" t="str">
        <f ca="1">IFERROR(IF(N(INDIRECT(Критерий_Перебор_2_20170602154411[[#This Row],[СФизКритерий]],FALSE))=0,"ошибка",IFERROR(INDIRECT(Критерий_Перебор_2_20170602154411[[#This Row],[СФизКритерий]],FALSE),"ошибка")),"ошибка")</f>
        <v>ошибка</v>
      </c>
      <c r="I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9"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9" t="str">
        <f ca="1">IFERROR(_xlfn.FORMULATEXT(INDIRECT(Критерий_Перебор_2_20170602154411[[#This Row],[Скритерий]],FALSE)),"ошибка")</f>
        <v>ошибка</v>
      </c>
      <c r="M19"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9"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9" t="str">
        <f ca="1">IFERROR(IF(N(INDIRECT(Критерий_Перебор_2_20170602154411[[#This Row],[ССрФизКритерий]],FALSE))=0,"ошибка",IFERROR(INDIRECT(Критерий_Перебор_2_20170602154411[[#This Row],[ССрФизКритерий]],FALSE),"ошибка")),"")</f>
        <v/>
      </c>
      <c r="R19"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9" s="66">
        <f ca="1">IFERROR(IF(AND(Критерий_Перебор_2_20170602154411[[#This Row],[ВидКритерий]]="Критерий",Критерий_Перебор_2_20170602154411[[#This Row],[Фкритерий]]="=Приведение"),1,-1),-1)</f>
        <v>-1</v>
      </c>
      <c r="CN19" t="s">
        <v>560</v>
      </c>
    </row>
    <row r="20" spans="2:93" x14ac:dyDescent="0.25">
      <c r="CN20" t="s">
        <v>558</v>
      </c>
    </row>
    <row r="21" spans="2:93" x14ac:dyDescent="0.25">
      <c r="CN21" t="s">
        <v>562</v>
      </c>
    </row>
    <row r="22" spans="2:93" x14ac:dyDescent="0.25">
      <c r="CN22" t="s">
        <v>557</v>
      </c>
    </row>
    <row r="23" spans="2:93" x14ac:dyDescent="0.25">
      <c r="CN23" t="s">
        <v>556</v>
      </c>
    </row>
  </sheetData>
  <conditionalFormatting sqref="W11:W18 C10:C19">
    <cfRule type="cellIs" dxfId="19" priority="1" stopIfTrue="1" operator="notBetween">
      <formula>1</formula>
      <formula>4</formula>
    </cfRule>
  </conditionalFormatting>
  <conditionalFormatting sqref="S10:S19">
    <cfRule type="iconSet" priority="2">
      <iconSet showValue="0">
        <cfvo type="percent" val="0"/>
        <cfvo type="num" val="0"/>
        <cfvo type="num" val="1"/>
      </iconSet>
    </cfRule>
  </conditionalFormatting>
  <conditionalFormatting sqref="W10:W18">
    <cfRule type="cellIs" dxfId="18" priority="3" stopIfTrue="1" operator="notBetween">
      <formula>1</formula>
      <formula>4</formula>
    </cfRule>
  </conditionalFormatting>
  <conditionalFormatting sqref="CD10:CD18">
    <cfRule type="iconSet" priority="4">
      <iconSet showValue="0">
        <cfvo type="percent" val="0"/>
        <cfvo type="num" val="0"/>
        <cfvo type="num" val="1"/>
      </iconSet>
    </cfRule>
  </conditionalFormatting>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1611"/>
  <dimension ref="A1:AX40"/>
  <sheetViews>
    <sheetView zoomScale="85" zoomScaleNormal="85" workbookViewId="0">
      <selection activeCell="K5" sqref="K5"/>
    </sheetView>
  </sheetViews>
  <sheetFormatPr defaultColWidth="4.7109375" defaultRowHeight="22.9" customHeight="1" x14ac:dyDescent="0.25"/>
  <cols>
    <col min="1" max="1" width="4.7109375" style="39"/>
    <col min="2" max="2" width="4.7109375" style="39" customWidth="1"/>
    <col min="3" max="5" width="4.7109375" style="39"/>
    <col min="6" max="7" width="4.7109375" style="39" customWidth="1"/>
    <col min="8" max="9" width="4.7109375" style="39"/>
    <col min="10" max="11" width="4.7109375" style="39" customWidth="1"/>
    <col min="12" max="12" width="4.7109375" style="39"/>
    <col min="13" max="13" width="4.7109375" style="39" customWidth="1"/>
    <col min="14" max="35" width="4.7109375" style="39"/>
    <col min="36" max="36" width="5.140625" style="39" bestFit="1" customWidth="1"/>
    <col min="37" max="16384" width="4.7109375" style="39"/>
  </cols>
  <sheetData>
    <row r="1" spans="1:50" ht="22.9" customHeight="1" x14ac:dyDescent="0.25">
      <c r="A1" s="257" t="s">
        <v>361</v>
      </c>
      <c r="B1" s="258"/>
      <c r="C1" s="258"/>
      <c r="D1" s="258"/>
      <c r="E1" s="258"/>
      <c r="F1" s="258"/>
      <c r="G1" s="258"/>
      <c r="H1" s="258"/>
      <c r="I1" s="258"/>
      <c r="J1" s="258"/>
      <c r="K1" s="258"/>
      <c r="L1" s="258"/>
      <c r="M1" s="258"/>
      <c r="N1" s="259"/>
    </row>
    <row r="2" spans="1:50" ht="22.9" customHeight="1" thickBot="1" x14ac:dyDescent="0.3">
      <c r="A2" s="40"/>
      <c r="B2" s="256" t="s">
        <v>362</v>
      </c>
      <c r="C2" s="256"/>
      <c r="D2" s="256"/>
      <c r="E2" s="256"/>
      <c r="F2" s="256"/>
      <c r="G2" s="256"/>
      <c r="H2" s="256"/>
      <c r="I2" s="41"/>
      <c r="J2" s="256" t="s">
        <v>363</v>
      </c>
      <c r="K2" s="256"/>
      <c r="L2" s="256"/>
      <c r="M2" s="256"/>
      <c r="N2" s="42"/>
    </row>
    <row r="3" spans="1:50" ht="22.9" customHeight="1" thickTop="1" thickBot="1" x14ac:dyDescent="0.3">
      <c r="A3" s="40"/>
      <c r="B3" s="239"/>
      <c r="C3" s="240"/>
      <c r="D3" s="240"/>
      <c r="E3" s="240"/>
      <c r="F3" s="240"/>
      <c r="G3" s="240"/>
      <c r="H3" s="241"/>
      <c r="I3" s="41"/>
      <c r="J3" s="239"/>
      <c r="K3" s="240"/>
      <c r="L3" s="240"/>
      <c r="M3" s="241"/>
      <c r="N3" s="42"/>
      <c r="W3"/>
      <c r="X3"/>
      <c r="Y3"/>
      <c r="Z3"/>
      <c r="AA3"/>
      <c r="AB3"/>
      <c r="AC3"/>
      <c r="AD3"/>
      <c r="AE3"/>
      <c r="AF3"/>
      <c r="AG3"/>
      <c r="AH3"/>
    </row>
    <row r="4" spans="1:50" ht="22.9" customHeight="1" thickTop="1" x14ac:dyDescent="0.25">
      <c r="A4" s="43"/>
      <c r="B4" s="115"/>
      <c r="C4" s="116"/>
      <c r="D4" s="117"/>
      <c r="E4" s="118"/>
      <c r="F4" s="119" t="str">
        <f>Изопрайса</f>
        <v/>
      </c>
      <c r="G4" s="120" t="str">
        <f>Изопрайса</f>
        <v/>
      </c>
      <c r="H4" s="121" t="str">
        <f>Изопрайса</f>
        <v/>
      </c>
      <c r="I4" s="44"/>
      <c r="J4" s="242" t="s">
        <v>357</v>
      </c>
      <c r="K4" s="243"/>
      <c r="L4" s="244"/>
      <c r="M4" s="122"/>
      <c r="N4" s="45"/>
      <c r="W4"/>
      <c r="X4"/>
      <c r="Y4"/>
      <c r="Z4"/>
      <c r="AA4"/>
      <c r="AB4"/>
      <c r="AC4"/>
      <c r="AD4"/>
      <c r="AE4"/>
      <c r="AF4"/>
      <c r="AG4"/>
      <c r="AH4"/>
    </row>
    <row r="5" spans="1:50" ht="22.9" customHeight="1" thickBot="1" x14ac:dyDescent="0.3">
      <c r="A5" s="43"/>
      <c r="B5" s="46"/>
      <c r="C5" s="47"/>
      <c r="D5" s="48"/>
      <c r="E5" s="49"/>
      <c r="F5" s="50" t="str">
        <f>Изопрайса</f>
        <v/>
      </c>
      <c r="G5" s="51" t="str">
        <f>Изопрайса</f>
        <v/>
      </c>
      <c r="H5" s="52" t="str">
        <f>Изопрайса</f>
        <v/>
      </c>
      <c r="I5" s="44"/>
      <c r="J5" s="81">
        <f ca="1">Min_1</f>
        <v>1</v>
      </c>
      <c r="K5" s="82">
        <f ca="1">Mid_1</f>
        <v>2.5</v>
      </c>
      <c r="L5" s="83">
        <f ca="1">Max_1</f>
        <v>4</v>
      </c>
      <c r="M5" s="76" t="str">
        <f>Приведение</f>
        <v>!!!</v>
      </c>
      <c r="N5" s="45"/>
      <c r="W5"/>
      <c r="X5"/>
      <c r="Y5"/>
      <c r="Z5"/>
      <c r="AA5"/>
      <c r="AB5"/>
      <c r="AC5"/>
      <c r="AD5"/>
      <c r="AE5"/>
      <c r="AF5"/>
      <c r="AG5"/>
      <c r="AH5"/>
    </row>
    <row r="6" spans="1:50" ht="22.9" customHeight="1" thickBot="1" x14ac:dyDescent="0.3">
      <c r="A6" s="43"/>
      <c r="B6" s="53" t="str">
        <f>Матрица_Расчёт</f>
        <v/>
      </c>
      <c r="C6" s="54"/>
      <c r="D6" s="55"/>
      <c r="E6" s="56" t="s">
        <v>103</v>
      </c>
      <c r="F6" s="57" t="str">
        <f>Изопрайса</f>
        <v/>
      </c>
      <c r="G6" s="58" t="str">
        <f>Изопрайса</f>
        <v/>
      </c>
      <c r="H6" s="59" t="str">
        <f>Изопрайса</f>
        <v>Q</v>
      </c>
      <c r="I6" s="44"/>
      <c r="J6" s="77"/>
      <c r="K6" s="78"/>
      <c r="L6" s="79"/>
      <c r="M6" s="80"/>
      <c r="N6" s="45"/>
      <c r="W6"/>
      <c r="X6"/>
      <c r="Y6"/>
      <c r="Z6"/>
      <c r="AA6"/>
      <c r="AB6"/>
      <c r="AC6"/>
      <c r="AD6"/>
      <c r="AE6"/>
      <c r="AF6"/>
      <c r="AG6"/>
      <c r="AH6"/>
    </row>
    <row r="7" spans="1:50" s="64" customFormat="1" ht="22.9" customHeight="1" thickTop="1" thickBot="1" x14ac:dyDescent="0.3">
      <c r="A7" s="99"/>
      <c r="F7" s="60"/>
      <c r="G7" s="61"/>
      <c r="H7" s="61"/>
      <c r="I7" s="60"/>
      <c r="J7" s="60"/>
      <c r="K7" s="62"/>
      <c r="L7" s="60"/>
      <c r="M7" s="60"/>
      <c r="N7" s="63"/>
      <c r="W7"/>
      <c r="X7"/>
      <c r="Y7"/>
      <c r="Z7"/>
      <c r="AA7"/>
      <c r="AB7"/>
      <c r="AC7"/>
      <c r="AD7"/>
      <c r="AE7"/>
      <c r="AF7"/>
      <c r="AG7"/>
      <c r="AH7"/>
    </row>
    <row r="8" spans="1:50" s="64" customFormat="1" ht="22.9" customHeight="1" thickBot="1" x14ac:dyDescent="0.3">
      <c r="A8" s="99"/>
      <c r="B8" s="256" t="s">
        <v>455</v>
      </c>
      <c r="C8" s="256"/>
      <c r="D8" s="256"/>
      <c r="E8" s="100"/>
      <c r="W8"/>
      <c r="X8"/>
      <c r="Y8"/>
      <c r="Z8"/>
      <c r="AA8"/>
      <c r="AB8"/>
      <c r="AC8"/>
      <c r="AD8"/>
      <c r="AE8"/>
      <c r="AF8"/>
      <c r="AG8"/>
      <c r="AH8"/>
    </row>
    <row r="9" spans="1:50" s="64" customFormat="1" ht="22.9" customHeight="1" thickTop="1" x14ac:dyDescent="0.25">
      <c r="A9" s="99"/>
      <c r="B9" s="105" t="s">
        <v>450</v>
      </c>
      <c r="C9" s="106"/>
      <c r="D9" s="107" t="s">
        <v>449</v>
      </c>
      <c r="E9" s="100"/>
      <c r="G9" s="91">
        <v>0</v>
      </c>
      <c r="H9" s="92">
        <v>1</v>
      </c>
      <c r="I9" s="93">
        <v>-1</v>
      </c>
      <c r="W9"/>
      <c r="X9"/>
      <c r="Y9"/>
      <c r="Z9"/>
      <c r="AA9"/>
      <c r="AB9"/>
      <c r="AC9"/>
      <c r="AD9"/>
      <c r="AE9"/>
      <c r="AF9"/>
      <c r="AG9"/>
      <c r="AH9"/>
    </row>
    <row r="10" spans="1:50" s="64" customFormat="1" ht="22.9" customHeight="1" thickBot="1" x14ac:dyDescent="0.3">
      <c r="A10" s="99"/>
      <c r="B10" s="108">
        <v>1</v>
      </c>
      <c r="C10" s="98">
        <f>MAX(Таблица1372257[№_Э])</f>
        <v>2</v>
      </c>
      <c r="D10" s="109">
        <v>4</v>
      </c>
      <c r="E10" s="100"/>
      <c r="G10" s="94">
        <v>0</v>
      </c>
      <c r="H10" s="82">
        <v>1</v>
      </c>
      <c r="I10" s="83">
        <v>0</v>
      </c>
    </row>
    <row r="11" spans="1:50" s="64" customFormat="1" ht="22.9" customHeight="1" thickBot="1" x14ac:dyDescent="0.3">
      <c r="A11" s="99"/>
      <c r="B11" s="110" t="s">
        <v>452</v>
      </c>
      <c r="C11" s="101" t="s">
        <v>441</v>
      </c>
      <c r="D11" s="111" t="s">
        <v>453</v>
      </c>
      <c r="E11" s="100"/>
      <c r="G11" s="95">
        <v>0</v>
      </c>
      <c r="H11" s="96">
        <v>1</v>
      </c>
      <c r="I11" s="97">
        <v>1</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s="64" customFormat="1" ht="22.9" customHeight="1" x14ac:dyDescent="0.25">
      <c r="A12" s="99"/>
      <c r="B12" s="110">
        <f>ROW()-ROW(Таблица1372257[#Headers])</f>
        <v>1</v>
      </c>
      <c r="C12" s="130" t="str">
        <f ca="1">Фантом</f>
        <v/>
      </c>
      <c r="D12" s="111">
        <v>3</v>
      </c>
      <c r="E12" s="100"/>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s="64" customFormat="1" ht="22.9" customHeight="1" x14ac:dyDescent="0.25">
      <c r="A13" s="99"/>
      <c r="B13" s="110">
        <f>ROW()-ROW(Таблица1372257[#Headers])</f>
        <v>2</v>
      </c>
      <c r="C13" s="130">
        <f ca="1">Фантом</f>
        <v>2.5</v>
      </c>
      <c r="D13" s="111">
        <v>4</v>
      </c>
      <c r="E13" s="100"/>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s="64" customFormat="1" ht="22.9" customHeight="1" thickBot="1" x14ac:dyDescent="0.3">
      <c r="A14" s="99"/>
      <c r="B14" s="112" t="s">
        <v>454</v>
      </c>
      <c r="C14" s="113">
        <f>MAX(Таблица1372257[№_Э])</f>
        <v>2</v>
      </c>
      <c r="D14" s="114">
        <f ca="1">MEDIAN(Таблица1372257[_]:Таблица1372257[О])</f>
        <v>3</v>
      </c>
      <c r="E14" s="100"/>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ht="22.9" customHeight="1" thickTop="1" thickBot="1" x14ac:dyDescent="0.3">
      <c r="A15" s="102"/>
      <c r="B15" s="103"/>
      <c r="C15" s="103"/>
      <c r="D15" s="103"/>
      <c r="E15" s="104"/>
      <c r="H15" s="64"/>
      <c r="I15" s="64"/>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ht="22.9" customHeight="1" x14ac:dyDescent="0.25">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0:50" ht="22.9" customHeight="1" x14ac:dyDescent="0.25">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0:50" ht="22.9" customHeight="1" x14ac:dyDescent="0.25">
      <c r="J18"/>
      <c r="K18"/>
      <c r="L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0:50" ht="22.9" customHeight="1" x14ac:dyDescent="0.25">
      <c r="J19"/>
      <c r="K19"/>
      <c r="L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0:50" ht="22.9" customHeight="1" x14ac:dyDescent="0.25">
      <c r="J20"/>
      <c r="K20"/>
      <c r="L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0:50" ht="22.9" customHeight="1" x14ac:dyDescent="0.25">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0:50" ht="22.9" customHeight="1" x14ac:dyDescent="0.25">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0:50" ht="22.9" customHeight="1" x14ac:dyDescent="0.25">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0:50" ht="22.9" customHeight="1" x14ac:dyDescent="0.25">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0:50" ht="22.9" customHeight="1" x14ac:dyDescent="0.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0:50" ht="22.9" customHeight="1" x14ac:dyDescent="0.25">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0:50" ht="22.9" customHeight="1" x14ac:dyDescent="0.25">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0:50" ht="22.9" customHeight="1" x14ac:dyDescent="0.25">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0:50" ht="22.9" customHeight="1" x14ac:dyDescent="0.25">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0:50" ht="22.9" customHeight="1" x14ac:dyDescent="0.25">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0:50" ht="22.9" customHeight="1" x14ac:dyDescent="0.25">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0:50" ht="22.9" customHeight="1" x14ac:dyDescent="0.25">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8:50" ht="22.9" customHeight="1" x14ac:dyDescent="0.25">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5" spans="8:50" ht="22.9" customHeight="1" x14ac:dyDescent="0.25">
      <c r="J35"/>
      <c r="K35"/>
      <c r="L35"/>
      <c r="M35"/>
      <c r="N35"/>
      <c r="O35"/>
      <c r="P35"/>
      <c r="Q35"/>
      <c r="R35"/>
      <c r="S35"/>
    </row>
    <row r="36" spans="8:50" ht="22.9" customHeight="1" x14ac:dyDescent="0.25">
      <c r="H36"/>
      <c r="I36"/>
      <c r="J36"/>
      <c r="K36"/>
      <c r="L36"/>
      <c r="M36"/>
      <c r="N36"/>
      <c r="O36"/>
      <c r="P36"/>
      <c r="Q36"/>
      <c r="R36"/>
      <c r="S36"/>
    </row>
    <row r="37" spans="8:50" ht="22.9" customHeight="1" x14ac:dyDescent="0.25">
      <c r="H37"/>
      <c r="I37"/>
      <c r="J37"/>
      <c r="K37"/>
      <c r="L37"/>
      <c r="M37"/>
      <c r="N37"/>
      <c r="O37"/>
      <c r="P37"/>
      <c r="Q37"/>
      <c r="R37"/>
      <c r="S37"/>
    </row>
    <row r="38" spans="8:50" ht="22.9" customHeight="1" x14ac:dyDescent="0.25">
      <c r="H38"/>
      <c r="I38"/>
      <c r="J38"/>
      <c r="K38"/>
      <c r="L38"/>
      <c r="M38"/>
      <c r="N38"/>
      <c r="O38"/>
      <c r="P38"/>
      <c r="Q38"/>
      <c r="R38"/>
      <c r="S38"/>
    </row>
    <row r="39" spans="8:50" ht="22.9" customHeight="1" x14ac:dyDescent="0.25">
      <c r="H39"/>
      <c r="I39"/>
      <c r="J39"/>
      <c r="K39"/>
      <c r="L39"/>
      <c r="M39"/>
      <c r="N39"/>
      <c r="O39"/>
      <c r="P39"/>
      <c r="Q39"/>
      <c r="R39"/>
      <c r="S39"/>
    </row>
    <row r="40" spans="8:50" ht="22.9" customHeight="1" x14ac:dyDescent="0.25">
      <c r="H40"/>
      <c r="I40"/>
      <c r="J40"/>
      <c r="K40"/>
      <c r="L40"/>
    </row>
  </sheetData>
  <scenarios current="0" sqref="O24">
    <scenario name="1" locked="1" count="1" user="Gureev Self" comment="Автор: Gureev Self , 24.05.2016_x000a_Автор изменений: Gureev Self , 24.05.2016">
      <inputCells r="N21" val="1"/>
    </scenario>
  </scenarios>
  <mergeCells count="7">
    <mergeCell ref="B8:D8"/>
    <mergeCell ref="A1:N1"/>
    <mergeCell ref="B2:H2"/>
    <mergeCell ref="J2:M2"/>
    <mergeCell ref="B3:H3"/>
    <mergeCell ref="J3:M3"/>
    <mergeCell ref="J4:L4"/>
  </mergeCells>
  <conditionalFormatting sqref="C6:D6">
    <cfRule type="expression" dxfId="17" priority="41">
      <formula>D6=""</formula>
    </cfRule>
  </conditionalFormatting>
  <conditionalFormatting sqref="E4:E5">
    <cfRule type="expression" dxfId="16" priority="40">
      <formula>E5=""</formula>
    </cfRule>
  </conditionalFormatting>
  <conditionalFormatting sqref="C4:D5">
    <cfRule type="expression" dxfId="15" priority="39">
      <formula>OR(D4="",C5="")</formula>
    </cfRule>
  </conditionalFormatting>
  <conditionalFormatting sqref="K6">
    <cfRule type="expression" dxfId="14" priority="20">
      <formula>OR(K5=1,K5=4)</formula>
    </cfRule>
    <cfRule type="expression" dxfId="13" priority="21">
      <formula>OR(K5&lt;&gt;1,K5&lt;&gt;4)</formula>
    </cfRule>
  </conditionalFormatting>
  <conditionalFormatting sqref="K5">
    <cfRule type="expression" dxfId="12" priority="4">
      <formula>OR(AND(J5=1,L5=4),AND(J5=4,L5=1))</formula>
    </cfRule>
  </conditionalFormatting>
  <conditionalFormatting sqref="G9:I11">
    <cfRule type="iconSet" priority="3">
      <iconSet iconSet="3Symbols" showValue="0">
        <cfvo type="percent" val="0"/>
        <cfvo type="num" val="0"/>
        <cfvo type="num" val="1"/>
      </iconSet>
    </cfRule>
  </conditionalFormatting>
  <dataValidations count="15">
    <dataValidation type="decimal" allowBlank="1" showInputMessage="1" showErrorMessage="1" sqref="D12" xr:uid="{00000000-0002-0000-0900-000000000000}">
      <formula1>Фантом</formula1>
      <formula2>Фантом</formula2>
    </dataValidation>
    <dataValidation type="list" allowBlank="1" showInputMessage="1" showErrorMessage="1" sqref="G9:I11" xr:uid="{00000000-0002-0000-0900-000001000000}">
      <formula1>"-1,0,1"</formula1>
    </dataValidation>
    <dataValidation type="decimal" allowBlank="1" showInputMessage="1" showErrorMessage="1" sqref="K6" xr:uid="{00000000-0002-0000-0900-000002000000}">
      <formula1>MIN(J6,L6)</formula1>
      <formula2>MAX(J6,L6)</formula2>
    </dataValidation>
    <dataValidation type="decimal" allowBlank="1" showInputMessage="1" showErrorMessage="1" sqref="M6" xr:uid="{00000000-0002-0000-0900-000003000000}">
      <formula1>MIN(J6:L6)</formula1>
      <formula2>MAX(J6:L6)</formula2>
    </dataValidation>
    <dataValidation type="list" allowBlank="1" showInputMessage="1" showErrorMessage="1" sqref="J4:L4" xr:uid="{00000000-0002-0000-0900-000004000000}">
      <formula1>INDIRECT("Тип_шкалы[ТИП ШКАЛЫ]")</formula1>
    </dataValidation>
    <dataValidation type="list" allowBlank="1" showInputMessage="1" showErrorMessage="1" sqref="D4" xr:uid="{00000000-0002-0000-0900-000005000000}">
      <formula1>UPUP</formula1>
    </dataValidation>
    <dataValidation type="list" allowBlank="1" showInputMessage="1" showErrorMessage="1" sqref="E4" xr:uid="{00000000-0002-0000-0900-000006000000}">
      <formula1>COLUMNRIGHT_1</formula1>
    </dataValidation>
    <dataValidation type="list" allowBlank="1" showInputMessage="1" showErrorMessage="1" sqref="C6" xr:uid="{00000000-0002-0000-0900-000007000000}">
      <formula1>ROWDOWN_1</formula1>
    </dataValidation>
    <dataValidation type="decimal" allowBlank="1" showErrorMessage="1" errorTitle="ВЫ НЕ МОЖЕТЕ ВВЕСТИ ЭТО ЧИСЛО!!!" error="Ваше значение должно быть &gt;=1 или &lt;=4!" promptTitle="ВНИМАТЕЛЬНО ВВОДИТЕ ЗНАЧЕНИЯ!" prompt="Ваше значение должно быть &gt;=1 или &lt;=4!" sqref="B4:B5" xr:uid="{00000000-0002-0000-0900-000008000000}">
      <formula1>0.999999999999999</formula1>
      <formula2>4</formula2>
    </dataValidation>
    <dataValidation type="list" allowBlank="1" showInputMessage="1" showErrorMessage="1" sqref="C5" xr:uid="{00000000-0002-0000-0900-000009000000}">
      <formula1>UPLEFT</formula1>
    </dataValidation>
    <dataValidation type="list" allowBlank="1" showInputMessage="1" showErrorMessage="1" sqref="C4" xr:uid="{00000000-0002-0000-0900-00000A000000}">
      <formula1>UPMAIN_2</formula1>
    </dataValidation>
    <dataValidation type="list" allowBlank="1" showInputMessage="1" showErrorMessage="1" sqref="D5" xr:uid="{00000000-0002-0000-0900-00000B000000}">
      <formula1>UPMAIN_1</formula1>
    </dataValidation>
    <dataValidation type="list" allowBlank="1" showInputMessage="1" showErrorMessage="1" sqref="E5" xr:uid="{00000000-0002-0000-0900-00000C000000}">
      <formula1>COLUMNRIGHT</formula1>
    </dataValidation>
    <dataValidation type="list" allowBlank="1" showInputMessage="1" showErrorMessage="1" sqref="E6" xr:uid="{00000000-0002-0000-0900-00000D000000}">
      <formula1>INDIRECT("П_Общий[Общий]")</formula1>
    </dataValidation>
    <dataValidation type="list" allowBlank="1" showInputMessage="1" showErrorMessage="1" sqref="D6" xr:uid="{00000000-0002-0000-0900-00000E000000}">
      <formula1>ROWDOWN</formula1>
    </dataValidation>
  </dataValidations>
  <pageMargins left="0.39370078740157483" right="0.39370078740157483" top="0.39370078740157483" bottom="0.39370078740157483" header="0.31496062992125984" footer="0.31496062992125984"/>
  <pageSetup paperSize="9" scale="60" orientation="landscape" r:id="rId1"/>
  <drawing r:id="rId2"/>
  <tableParts count="1">
    <tablePart r:id="rId3"/>
  </tableParts>
  <extLst>
    <ext xmlns:x14="http://schemas.microsoft.com/office/spreadsheetml/2009/9/main" uri="{05C60535-1F16-4fd2-B633-F4F36F0B64E0}">
      <x14:sparklineGroups xmlns:xm="http://schemas.microsoft.com/office/excel/2006/main">
        <x14:sparklineGroup manualMax="0" manualMin="0" lineWeight="2.25" displayEmptyCellsAs="gap" xr2:uid="{00000000-0003-0000-0900-000016000000}">
          <x14:colorSeries rgb="FF000000"/>
          <x14:colorNegative rgb="FF0070C0"/>
          <x14:colorAxis rgb="FF000000"/>
          <x14:colorMarkers rgb="FF0070C0"/>
          <x14:colorFirst rgb="FF0070C0"/>
          <x14:colorLast rgb="FF0070C0"/>
          <x14:colorHigh rgb="FF0070C0"/>
          <x14:colorLow rgb="FF0070C0"/>
          <x14:sparklines>
            <x14:sparkline>
              <xm:f>'Модель - Формы'!J5:L5</xm:f>
              <xm:sqref>M4</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311"/>
  <dimension ref="A1:AW170"/>
  <sheetViews>
    <sheetView topLeftCell="F45" zoomScale="115" zoomScaleNormal="115" workbookViewId="0">
      <selection activeCell="P61" sqref="P61"/>
    </sheetView>
  </sheetViews>
  <sheetFormatPr defaultRowHeight="15" x14ac:dyDescent="0.25"/>
  <cols>
    <col min="1" max="1" width="11.140625" customWidth="1"/>
    <col min="2" max="7" width="9" customWidth="1"/>
    <col min="14" max="14" width="13.140625" customWidth="1"/>
    <col min="15" max="15" width="12.7109375" customWidth="1"/>
    <col min="16" max="16" width="13" customWidth="1"/>
    <col min="17" max="49" width="12.7109375" customWidth="1"/>
  </cols>
  <sheetData>
    <row r="1" spans="1:49" x14ac:dyDescent="0.25">
      <c r="A1" s="9" t="s">
        <v>117</v>
      </c>
      <c r="B1" t="s">
        <v>111</v>
      </c>
      <c r="C1" t="s">
        <v>112</v>
      </c>
      <c r="D1" t="s">
        <v>113</v>
      </c>
      <c r="E1" t="s">
        <v>114</v>
      </c>
      <c r="F1" t="s">
        <v>115</v>
      </c>
      <c r="G1" t="s">
        <v>116</v>
      </c>
      <c r="H1" t="s">
        <v>118</v>
      </c>
      <c r="I1" t="s">
        <v>119</v>
      </c>
      <c r="J1" t="s">
        <v>120</v>
      </c>
      <c r="K1" t="s">
        <v>121</v>
      </c>
      <c r="L1" t="s">
        <v>122</v>
      </c>
      <c r="M1" t="s">
        <v>123</v>
      </c>
      <c r="N1" t="s">
        <v>124</v>
      </c>
      <c r="O1" t="s">
        <v>125</v>
      </c>
      <c r="P1" t="s">
        <v>126</v>
      </c>
      <c r="Q1" t="s">
        <v>127</v>
      </c>
      <c r="R1" t="s">
        <v>128</v>
      </c>
      <c r="S1" t="s">
        <v>129</v>
      </c>
      <c r="T1" t="s">
        <v>130</v>
      </c>
      <c r="U1" t="s">
        <v>131</v>
      </c>
      <c r="V1" t="s">
        <v>132</v>
      </c>
      <c r="W1" t="s">
        <v>133</v>
      </c>
      <c r="X1" t="s">
        <v>134</v>
      </c>
      <c r="Y1" t="s">
        <v>135</v>
      </c>
      <c r="Z1" t="s">
        <v>136</v>
      </c>
      <c r="AA1" t="s">
        <v>137</v>
      </c>
      <c r="AB1" t="s">
        <v>138</v>
      </c>
      <c r="AC1" t="s">
        <v>139</v>
      </c>
      <c r="AD1" t="s">
        <v>140</v>
      </c>
      <c r="AE1" t="s">
        <v>141</v>
      </c>
      <c r="AF1" t="s">
        <v>142</v>
      </c>
      <c r="AG1" t="s">
        <v>143</v>
      </c>
      <c r="AH1" t="s">
        <v>144</v>
      </c>
      <c r="AI1" t="s">
        <v>145</v>
      </c>
      <c r="AJ1" t="s">
        <v>146</v>
      </c>
      <c r="AK1" t="s">
        <v>147</v>
      </c>
      <c r="AL1" t="s">
        <v>148</v>
      </c>
      <c r="AM1" t="s">
        <v>149</v>
      </c>
      <c r="AN1" t="s">
        <v>150</v>
      </c>
      <c r="AO1" t="s">
        <v>151</v>
      </c>
      <c r="AP1" t="s">
        <v>152</v>
      </c>
      <c r="AQ1" t="s">
        <v>153</v>
      </c>
      <c r="AR1" t="s">
        <v>154</v>
      </c>
      <c r="AS1" t="s">
        <v>155</v>
      </c>
      <c r="AT1" t="s">
        <v>156</v>
      </c>
      <c r="AU1" t="s">
        <v>157</v>
      </c>
      <c r="AV1" t="s">
        <v>158</v>
      </c>
      <c r="AW1" t="s">
        <v>159</v>
      </c>
    </row>
    <row r="2" spans="1:49" x14ac:dyDescent="0.25">
      <c r="A2" s="8" t="s">
        <v>103</v>
      </c>
      <c r="B2" s="12" t="s">
        <v>103</v>
      </c>
      <c r="C2" s="12" t="s">
        <v>106</v>
      </c>
      <c r="D2" s="12" t="s">
        <v>103</v>
      </c>
      <c r="E2" s="12" t="s">
        <v>106</v>
      </c>
      <c r="F2" s="12" t="s">
        <v>103</v>
      </c>
      <c r="G2" s="14" t="s">
        <v>106</v>
      </c>
      <c r="H2" s="12" t="s">
        <v>103</v>
      </c>
      <c r="I2" s="12" t="s">
        <v>105</v>
      </c>
      <c r="J2" s="12" t="s">
        <v>105</v>
      </c>
      <c r="K2" s="12" t="s">
        <v>103</v>
      </c>
      <c r="L2" s="12" t="s">
        <v>103</v>
      </c>
      <c r="M2" s="12" t="s">
        <v>105</v>
      </c>
      <c r="N2" t="s">
        <v>103</v>
      </c>
      <c r="O2" t="s">
        <v>106</v>
      </c>
      <c r="P2" t="s">
        <v>103</v>
      </c>
      <c r="Q2" t="s">
        <v>106</v>
      </c>
      <c r="R2" t="s">
        <v>103</v>
      </c>
      <c r="S2" t="s">
        <v>106</v>
      </c>
      <c r="T2" t="s">
        <v>105</v>
      </c>
      <c r="U2" t="s">
        <v>107</v>
      </c>
      <c r="V2" t="s">
        <v>105</v>
      </c>
      <c r="W2" t="s">
        <v>107</v>
      </c>
      <c r="X2" t="s">
        <v>105</v>
      </c>
      <c r="Y2" t="s">
        <v>107</v>
      </c>
      <c r="Z2" t="s">
        <v>105</v>
      </c>
      <c r="AA2" t="s">
        <v>107</v>
      </c>
      <c r="AB2" t="s">
        <v>105</v>
      </c>
      <c r="AC2" t="s">
        <v>107</v>
      </c>
      <c r="AD2" t="s">
        <v>105</v>
      </c>
      <c r="AE2" t="s">
        <v>107</v>
      </c>
      <c r="AF2" t="s">
        <v>103</v>
      </c>
      <c r="AG2" t="s">
        <v>106</v>
      </c>
      <c r="AH2" t="s">
        <v>103</v>
      </c>
      <c r="AI2" t="s">
        <v>106</v>
      </c>
      <c r="AJ2" t="s">
        <v>103</v>
      </c>
      <c r="AK2" t="s">
        <v>106</v>
      </c>
      <c r="AL2" t="s">
        <v>103</v>
      </c>
      <c r="AM2" t="s">
        <v>106</v>
      </c>
      <c r="AN2" t="s">
        <v>103</v>
      </c>
      <c r="AO2" t="s">
        <v>106</v>
      </c>
      <c r="AP2" t="s">
        <v>103</v>
      </c>
      <c r="AQ2" t="s">
        <v>106</v>
      </c>
      <c r="AR2" t="s">
        <v>105</v>
      </c>
      <c r="AS2" t="s">
        <v>107</v>
      </c>
      <c r="AT2" t="s">
        <v>105</v>
      </c>
      <c r="AU2" t="s">
        <v>107</v>
      </c>
      <c r="AV2" t="s">
        <v>105</v>
      </c>
      <c r="AW2" t="s">
        <v>107</v>
      </c>
    </row>
    <row r="3" spans="1:49" x14ac:dyDescent="0.25">
      <c r="A3" s="8" t="s">
        <v>104</v>
      </c>
      <c r="B3" s="12" t="s">
        <v>104</v>
      </c>
      <c r="C3" s="12" t="s">
        <v>107</v>
      </c>
      <c r="D3" s="12" t="s">
        <v>104</v>
      </c>
      <c r="E3" s="12" t="s">
        <v>107</v>
      </c>
      <c r="F3" s="12" t="s">
        <v>104</v>
      </c>
      <c r="G3" s="14" t="s">
        <v>107</v>
      </c>
      <c r="H3" s="12" t="s">
        <v>104</v>
      </c>
      <c r="I3" s="12" t="s">
        <v>107</v>
      </c>
      <c r="J3" s="12" t="s">
        <v>107</v>
      </c>
      <c r="K3" s="12" t="s">
        <v>104</v>
      </c>
      <c r="L3" s="12" t="s">
        <v>104</v>
      </c>
      <c r="M3" s="12" t="s">
        <v>107</v>
      </c>
      <c r="N3" t="s">
        <v>104</v>
      </c>
      <c r="P3" t="s">
        <v>104</v>
      </c>
      <c r="R3" t="s">
        <v>104</v>
      </c>
      <c r="U3" t="s">
        <v>108</v>
      </c>
      <c r="W3" t="s">
        <v>108</v>
      </c>
      <c r="Y3" t="s">
        <v>108</v>
      </c>
      <c r="AA3" t="s">
        <v>108</v>
      </c>
      <c r="AC3" t="s">
        <v>108</v>
      </c>
      <c r="AE3" t="s">
        <v>108</v>
      </c>
      <c r="AF3" t="s">
        <v>104</v>
      </c>
      <c r="AH3" t="s">
        <v>104</v>
      </c>
      <c r="AJ3" t="s">
        <v>104</v>
      </c>
      <c r="AL3" t="s">
        <v>104</v>
      </c>
      <c r="AN3" t="s">
        <v>104</v>
      </c>
      <c r="AP3" t="s">
        <v>104</v>
      </c>
      <c r="AS3" t="s">
        <v>108</v>
      </c>
      <c r="AU3" t="s">
        <v>108</v>
      </c>
      <c r="AW3" t="s">
        <v>108</v>
      </c>
    </row>
    <row r="4" spans="1:49" x14ac:dyDescent="0.25">
      <c r="A4" s="8" t="s">
        <v>105</v>
      </c>
      <c r="B4" s="13" t="s">
        <v>105</v>
      </c>
      <c r="C4" s="13" t="s">
        <v>108</v>
      </c>
      <c r="D4" s="13" t="s">
        <v>105</v>
      </c>
      <c r="E4" s="12" t="s">
        <v>108</v>
      </c>
      <c r="F4" s="12" t="s">
        <v>105</v>
      </c>
      <c r="G4" s="14" t="s">
        <v>108</v>
      </c>
      <c r="H4" s="12" t="s">
        <v>106</v>
      </c>
      <c r="I4" s="12" t="s">
        <v>108</v>
      </c>
      <c r="J4" s="12" t="s">
        <v>108</v>
      </c>
      <c r="K4" s="12" t="s">
        <v>106</v>
      </c>
      <c r="L4" s="12" t="s">
        <v>106</v>
      </c>
      <c r="M4" s="12" t="s">
        <v>108</v>
      </c>
    </row>
    <row r="5" spans="1:49" x14ac:dyDescent="0.25">
      <c r="A5" s="8" t="s">
        <v>106</v>
      </c>
      <c r="B5" s="12"/>
      <c r="C5" s="12"/>
      <c r="H5" s="12"/>
      <c r="I5" s="12"/>
      <c r="J5" s="12"/>
      <c r="K5" s="12"/>
      <c r="L5" s="12"/>
      <c r="M5" s="12"/>
    </row>
    <row r="6" spans="1:49" x14ac:dyDescent="0.25">
      <c r="A6" s="8" t="s">
        <v>107</v>
      </c>
      <c r="B6" s="12"/>
      <c r="C6" s="12"/>
      <c r="H6" s="7"/>
      <c r="I6" s="7"/>
      <c r="J6" s="7"/>
      <c r="K6" s="7"/>
      <c r="L6" s="7"/>
      <c r="M6" s="7"/>
    </row>
    <row r="7" spans="1:49" x14ac:dyDescent="0.25">
      <c r="A7" s="10" t="s">
        <v>108</v>
      </c>
      <c r="B7" s="13"/>
      <c r="C7" s="13"/>
      <c r="H7" s="11"/>
      <c r="I7" s="11"/>
      <c r="J7" s="11"/>
      <c r="K7" s="11"/>
      <c r="L7" s="11"/>
      <c r="M7" s="11"/>
    </row>
    <row r="8" spans="1:49" x14ac:dyDescent="0.25">
      <c r="B8" s="36"/>
      <c r="C8" s="36"/>
      <c r="N8" t="str">
        <f>П_В_F0_F0[[#Headers],[В_F0_F0]]</f>
        <v>В_F0_F0</v>
      </c>
    </row>
    <row r="9" spans="1:49" ht="14.45" customHeight="1" x14ac:dyDescent="0.25">
      <c r="A9" s="9" t="s">
        <v>117</v>
      </c>
      <c r="B9" t="s">
        <v>344</v>
      </c>
      <c r="C9" t="s">
        <v>345</v>
      </c>
      <c r="D9" t="s">
        <v>346</v>
      </c>
      <c r="E9" t="s">
        <v>347</v>
      </c>
      <c r="F9" t="s">
        <v>348</v>
      </c>
      <c r="G9" t="s">
        <v>349</v>
      </c>
      <c r="H9" t="s">
        <v>350</v>
      </c>
      <c r="I9" t="s">
        <v>351</v>
      </c>
      <c r="J9" t="s">
        <v>352</v>
      </c>
      <c r="K9" t="s">
        <v>353</v>
      </c>
      <c r="L9" t="s">
        <v>354</v>
      </c>
      <c r="M9" t="s">
        <v>355</v>
      </c>
      <c r="N9" t="s">
        <v>160</v>
      </c>
      <c r="O9" t="s">
        <v>161</v>
      </c>
      <c r="P9" t="s">
        <v>162</v>
      </c>
      <c r="Q9" t="s">
        <v>163</v>
      </c>
      <c r="R9" t="s">
        <v>164</v>
      </c>
      <c r="S9" t="s">
        <v>165</v>
      </c>
      <c r="T9" t="s">
        <v>166</v>
      </c>
      <c r="U9" t="s">
        <v>167</v>
      </c>
      <c r="V9" t="s">
        <v>168</v>
      </c>
      <c r="W9" t="s">
        <v>169</v>
      </c>
      <c r="X9" t="s">
        <v>170</v>
      </c>
      <c r="Y9" t="s">
        <v>171</v>
      </c>
      <c r="Z9" t="s">
        <v>172</v>
      </c>
      <c r="AA9" t="s">
        <v>173</v>
      </c>
      <c r="AB9" t="s">
        <v>174</v>
      </c>
      <c r="AC9" t="s">
        <v>175</v>
      </c>
      <c r="AD9" t="s">
        <v>176</v>
      </c>
      <c r="AE9" t="s">
        <v>177</v>
      </c>
      <c r="AF9" t="s">
        <v>178</v>
      </c>
      <c r="AG9" t="s">
        <v>179</v>
      </c>
      <c r="AH9" t="s">
        <v>180</v>
      </c>
      <c r="AI9" t="s">
        <v>181</v>
      </c>
      <c r="AJ9" t="s">
        <v>182</v>
      </c>
      <c r="AK9" t="s">
        <v>183</v>
      </c>
      <c r="AL9" t="s">
        <v>184</v>
      </c>
      <c r="AM9" t="s">
        <v>185</v>
      </c>
      <c r="AN9" t="s">
        <v>186</v>
      </c>
      <c r="AO9" t="s">
        <v>187</v>
      </c>
      <c r="AP9" t="s">
        <v>188</v>
      </c>
      <c r="AQ9" t="s">
        <v>189</v>
      </c>
      <c r="AR9" t="s">
        <v>190</v>
      </c>
      <c r="AS9" t="s">
        <v>191</v>
      </c>
      <c r="AT9" t="s">
        <v>192</v>
      </c>
      <c r="AU9" t="s">
        <v>193</v>
      </c>
      <c r="AV9" t="s">
        <v>194</v>
      </c>
      <c r="AW9" t="s">
        <v>195</v>
      </c>
    </row>
    <row r="10" spans="1:49" x14ac:dyDescent="0.25">
      <c r="A10" s="8" t="s">
        <v>103</v>
      </c>
      <c r="B10" s="12" t="s">
        <v>103</v>
      </c>
      <c r="C10" s="12" t="s">
        <v>106</v>
      </c>
      <c r="D10" s="12" t="s">
        <v>103</v>
      </c>
      <c r="E10" s="12" t="s">
        <v>106</v>
      </c>
      <c r="F10" s="12" t="s">
        <v>103</v>
      </c>
      <c r="G10" s="14" t="s">
        <v>106</v>
      </c>
      <c r="H10" s="12" t="s">
        <v>103</v>
      </c>
      <c r="I10" s="12" t="s">
        <v>105</v>
      </c>
      <c r="J10" s="12" t="s">
        <v>105</v>
      </c>
      <c r="K10" s="12" t="s">
        <v>103</v>
      </c>
      <c r="L10" s="12" t="s">
        <v>103</v>
      </c>
      <c r="M10" s="12" t="s">
        <v>105</v>
      </c>
      <c r="N10" t="s">
        <v>104</v>
      </c>
      <c r="O10" t="s">
        <v>106</v>
      </c>
      <c r="P10" t="s">
        <v>104</v>
      </c>
      <c r="Q10" t="s">
        <v>106</v>
      </c>
      <c r="R10" t="s">
        <v>104</v>
      </c>
      <c r="S10" t="s">
        <v>106</v>
      </c>
      <c r="T10" t="s">
        <v>105</v>
      </c>
      <c r="U10" t="s">
        <v>107</v>
      </c>
      <c r="V10" t="s">
        <v>105</v>
      </c>
      <c r="W10" t="s">
        <v>107</v>
      </c>
      <c r="X10" t="s">
        <v>105</v>
      </c>
      <c r="Y10" t="s">
        <v>107</v>
      </c>
      <c r="Z10" t="s">
        <v>105</v>
      </c>
      <c r="AA10" t="s">
        <v>107</v>
      </c>
      <c r="AB10" t="s">
        <v>105</v>
      </c>
      <c r="AC10" t="s">
        <v>107</v>
      </c>
      <c r="AD10" t="s">
        <v>105</v>
      </c>
      <c r="AE10" t="s">
        <v>107</v>
      </c>
      <c r="AF10" t="s">
        <v>104</v>
      </c>
      <c r="AG10" t="s">
        <v>106</v>
      </c>
      <c r="AH10" t="s">
        <v>104</v>
      </c>
      <c r="AI10" t="s">
        <v>106</v>
      </c>
      <c r="AJ10" t="s">
        <v>104</v>
      </c>
      <c r="AK10" t="s">
        <v>106</v>
      </c>
      <c r="AL10" t="s">
        <v>104</v>
      </c>
      <c r="AM10" t="s">
        <v>106</v>
      </c>
      <c r="AN10" t="s">
        <v>104</v>
      </c>
      <c r="AO10" t="s">
        <v>106</v>
      </c>
      <c r="AP10" t="s">
        <v>104</v>
      </c>
      <c r="AQ10" t="s">
        <v>106</v>
      </c>
      <c r="AR10" t="s">
        <v>105</v>
      </c>
      <c r="AS10" t="s">
        <v>107</v>
      </c>
      <c r="AT10" t="s">
        <v>105</v>
      </c>
      <c r="AU10" t="s">
        <v>107</v>
      </c>
      <c r="AV10" t="s">
        <v>105</v>
      </c>
      <c r="AW10" t="s">
        <v>107</v>
      </c>
    </row>
    <row r="11" spans="1:49" x14ac:dyDescent="0.25">
      <c r="A11" s="8" t="s">
        <v>104</v>
      </c>
      <c r="B11" s="12" t="s">
        <v>104</v>
      </c>
      <c r="C11" s="12" t="s">
        <v>107</v>
      </c>
      <c r="D11" s="12" t="s">
        <v>104</v>
      </c>
      <c r="E11" s="12" t="s">
        <v>107</v>
      </c>
      <c r="F11" s="12" t="s">
        <v>104</v>
      </c>
      <c r="G11" s="14" t="s">
        <v>107</v>
      </c>
      <c r="H11" s="12" t="s">
        <v>104</v>
      </c>
      <c r="I11" s="12" t="s">
        <v>107</v>
      </c>
      <c r="J11" s="12" t="s">
        <v>107</v>
      </c>
      <c r="K11" s="12" t="s">
        <v>104</v>
      </c>
      <c r="L11" s="12" t="s">
        <v>104</v>
      </c>
      <c r="M11" s="12" t="s">
        <v>107</v>
      </c>
      <c r="U11" t="s">
        <v>108</v>
      </c>
      <c r="W11" t="s">
        <v>108</v>
      </c>
      <c r="Y11" t="s">
        <v>108</v>
      </c>
      <c r="AA11" t="s">
        <v>108</v>
      </c>
      <c r="AC11" t="s">
        <v>108</v>
      </c>
      <c r="AE11" t="s">
        <v>108</v>
      </c>
      <c r="AS11" t="s">
        <v>108</v>
      </c>
      <c r="AU11" t="s">
        <v>108</v>
      </c>
      <c r="AW11" t="s">
        <v>108</v>
      </c>
    </row>
    <row r="12" spans="1:49" x14ac:dyDescent="0.25">
      <c r="A12" s="8" t="s">
        <v>105</v>
      </c>
      <c r="B12" s="13" t="s">
        <v>105</v>
      </c>
      <c r="C12" s="13"/>
      <c r="D12" s="13" t="s">
        <v>105</v>
      </c>
      <c r="E12" s="12"/>
      <c r="F12" s="12" t="s">
        <v>105</v>
      </c>
      <c r="G12" s="14"/>
      <c r="H12" s="12" t="s">
        <v>106</v>
      </c>
      <c r="I12" s="12"/>
      <c r="J12" s="12"/>
      <c r="K12" s="12" t="s">
        <v>106</v>
      </c>
      <c r="L12" s="12" t="s">
        <v>106</v>
      </c>
      <c r="M12" s="12"/>
    </row>
    <row r="13" spans="1:49" x14ac:dyDescent="0.25">
      <c r="A13" s="8" t="s">
        <v>106</v>
      </c>
      <c r="B13" s="12"/>
      <c r="C13" s="12"/>
      <c r="H13" s="12"/>
      <c r="I13" s="12"/>
      <c r="J13" s="12"/>
      <c r="K13" s="12"/>
      <c r="L13" s="12"/>
      <c r="M13" s="12"/>
    </row>
    <row r="14" spans="1:49" x14ac:dyDescent="0.25">
      <c r="A14" s="8" t="s">
        <v>107</v>
      </c>
      <c r="B14" s="12"/>
      <c r="C14" s="12"/>
      <c r="H14" s="7"/>
      <c r="I14" s="7"/>
      <c r="J14" s="7"/>
      <c r="K14" s="7"/>
      <c r="L14" s="7"/>
      <c r="M14" s="7"/>
    </row>
    <row r="15" spans="1:49" x14ac:dyDescent="0.25">
      <c r="A15" s="10" t="s">
        <v>108</v>
      </c>
      <c r="B15" s="13"/>
      <c r="C15" s="13"/>
      <c r="H15" s="11"/>
      <c r="I15" s="11"/>
      <c r="J15" s="11"/>
      <c r="K15" s="11"/>
      <c r="L15" s="11"/>
      <c r="M15" s="11"/>
    </row>
    <row r="16" spans="1:49" ht="14.45" customHeight="1" x14ac:dyDescent="0.25">
      <c r="A16" s="260" t="s">
        <v>394</v>
      </c>
      <c r="B16" s="260"/>
      <c r="C16" s="260"/>
      <c r="D16" s="260"/>
      <c r="E16" s="260"/>
      <c r="F16" s="260"/>
      <c r="G16" s="260"/>
      <c r="H16" s="260"/>
      <c r="I16" s="260"/>
      <c r="J16" s="260"/>
      <c r="K16" s="260"/>
      <c r="L16" s="260"/>
    </row>
    <row r="17" spans="1:49" x14ac:dyDescent="0.25">
      <c r="A17" s="260"/>
      <c r="B17" s="260"/>
      <c r="C17" s="260"/>
      <c r="D17" s="260"/>
      <c r="E17" s="260"/>
      <c r="F17" s="260"/>
      <c r="G17" s="260"/>
      <c r="H17" s="260"/>
      <c r="I17" s="260"/>
      <c r="J17" s="260"/>
      <c r="K17" s="260"/>
      <c r="L17" s="260"/>
      <c r="N17" t="s">
        <v>196</v>
      </c>
      <c r="O17" t="s">
        <v>197</v>
      </c>
      <c r="P17" t="s">
        <v>198</v>
      </c>
      <c r="Q17" t="s">
        <v>199</v>
      </c>
      <c r="R17" t="s">
        <v>200</v>
      </c>
      <c r="S17" t="s">
        <v>201</v>
      </c>
      <c r="T17" t="s">
        <v>202</v>
      </c>
      <c r="U17" t="s">
        <v>203</v>
      </c>
      <c r="V17" t="s">
        <v>204</v>
      </c>
      <c r="W17" t="s">
        <v>205</v>
      </c>
      <c r="X17" t="s">
        <v>206</v>
      </c>
      <c r="Y17" t="s">
        <v>207</v>
      </c>
      <c r="Z17" t="s">
        <v>208</v>
      </c>
      <c r="AA17" t="s">
        <v>209</v>
      </c>
      <c r="AB17" t="s">
        <v>210</v>
      </c>
      <c r="AC17" t="s">
        <v>211</v>
      </c>
      <c r="AD17" t="s">
        <v>212</v>
      </c>
      <c r="AE17" t="s">
        <v>213</v>
      </c>
      <c r="AF17" t="s">
        <v>214</v>
      </c>
      <c r="AG17" t="s">
        <v>215</v>
      </c>
      <c r="AH17" t="s">
        <v>216</v>
      </c>
      <c r="AI17" t="s">
        <v>217</v>
      </c>
      <c r="AJ17" t="s">
        <v>218</v>
      </c>
      <c r="AK17" t="s">
        <v>219</v>
      </c>
      <c r="AL17" t="s">
        <v>220</v>
      </c>
      <c r="AM17" t="s">
        <v>221</v>
      </c>
      <c r="AN17" t="s">
        <v>222</v>
      </c>
      <c r="AO17" t="s">
        <v>223</v>
      </c>
      <c r="AP17" t="s">
        <v>224</v>
      </c>
      <c r="AQ17" t="s">
        <v>225</v>
      </c>
      <c r="AR17" t="s">
        <v>226</v>
      </c>
      <c r="AS17" t="s">
        <v>227</v>
      </c>
      <c r="AT17" t="s">
        <v>228</v>
      </c>
      <c r="AU17" t="s">
        <v>229</v>
      </c>
      <c r="AV17" t="s">
        <v>230</v>
      </c>
      <c r="AW17" t="s">
        <v>231</v>
      </c>
    </row>
    <row r="18" spans="1:49" x14ac:dyDescent="0.25">
      <c r="A18" s="260"/>
      <c r="B18" s="260"/>
      <c r="C18" s="260"/>
      <c r="D18" s="260"/>
      <c r="E18" s="260"/>
      <c r="F18" s="260"/>
      <c r="G18" s="260"/>
      <c r="H18" s="260"/>
      <c r="I18" s="260"/>
      <c r="J18" s="260"/>
      <c r="K18" s="260"/>
      <c r="L18" s="260"/>
      <c r="N18" t="s">
        <v>103</v>
      </c>
      <c r="O18" t="s">
        <v>106</v>
      </c>
      <c r="P18" t="s">
        <v>103</v>
      </c>
      <c r="Q18" t="s">
        <v>106</v>
      </c>
      <c r="R18" t="s">
        <v>103</v>
      </c>
      <c r="S18" t="s">
        <v>106</v>
      </c>
      <c r="T18" t="s">
        <v>105</v>
      </c>
      <c r="U18" t="s">
        <v>107</v>
      </c>
      <c r="V18" t="s">
        <v>105</v>
      </c>
      <c r="W18" t="s">
        <v>107</v>
      </c>
      <c r="X18" t="s">
        <v>105</v>
      </c>
      <c r="Y18" t="s">
        <v>107</v>
      </c>
      <c r="Z18" t="s">
        <v>105</v>
      </c>
      <c r="AA18" t="s">
        <v>107</v>
      </c>
      <c r="AB18" t="s">
        <v>105</v>
      </c>
      <c r="AC18" t="s">
        <v>107</v>
      </c>
      <c r="AD18" t="s">
        <v>105</v>
      </c>
      <c r="AE18" t="s">
        <v>107</v>
      </c>
      <c r="AF18" t="s">
        <v>103</v>
      </c>
      <c r="AG18" t="s">
        <v>106</v>
      </c>
      <c r="AH18" t="s">
        <v>103</v>
      </c>
      <c r="AI18" t="s">
        <v>106</v>
      </c>
      <c r="AJ18" t="s">
        <v>103</v>
      </c>
      <c r="AK18" t="s">
        <v>106</v>
      </c>
      <c r="AL18" t="s">
        <v>103</v>
      </c>
      <c r="AM18" t="s">
        <v>106</v>
      </c>
      <c r="AN18" t="s">
        <v>103</v>
      </c>
      <c r="AO18" t="s">
        <v>106</v>
      </c>
      <c r="AP18" t="s">
        <v>103</v>
      </c>
      <c r="AQ18" t="s">
        <v>106</v>
      </c>
      <c r="AR18" t="s">
        <v>105</v>
      </c>
      <c r="AS18" t="s">
        <v>107</v>
      </c>
      <c r="AT18" t="s">
        <v>105</v>
      </c>
      <c r="AU18" t="s">
        <v>107</v>
      </c>
      <c r="AV18" t="s">
        <v>105</v>
      </c>
      <c r="AW18" t="s">
        <v>107</v>
      </c>
    </row>
    <row r="19" spans="1:49" x14ac:dyDescent="0.25">
      <c r="A19" s="260"/>
      <c r="B19" s="260"/>
      <c r="C19" s="260"/>
      <c r="D19" s="260"/>
      <c r="E19" s="260"/>
      <c r="F19" s="260"/>
      <c r="G19" s="260"/>
      <c r="H19" s="260"/>
      <c r="I19" s="260"/>
      <c r="J19" s="260"/>
      <c r="K19" s="260"/>
      <c r="L19" s="260"/>
      <c r="N19" t="s">
        <v>104</v>
      </c>
      <c r="P19" t="s">
        <v>104</v>
      </c>
      <c r="R19" t="s">
        <v>104</v>
      </c>
      <c r="AF19" t="s">
        <v>104</v>
      </c>
      <c r="AH19" t="s">
        <v>104</v>
      </c>
      <c r="AJ19" t="s">
        <v>104</v>
      </c>
      <c r="AL19" t="s">
        <v>104</v>
      </c>
      <c r="AN19" t="s">
        <v>104</v>
      </c>
      <c r="AP19" t="s">
        <v>104</v>
      </c>
    </row>
    <row r="20" spans="1:49" x14ac:dyDescent="0.25">
      <c r="A20" s="260"/>
      <c r="B20" s="260"/>
      <c r="C20" s="260"/>
      <c r="D20" s="260"/>
      <c r="E20" s="260"/>
      <c r="F20" s="260"/>
      <c r="G20" s="260"/>
      <c r="H20" s="260"/>
      <c r="I20" s="260"/>
      <c r="J20" s="260"/>
      <c r="K20" s="260"/>
      <c r="L20" s="260"/>
    </row>
    <row r="21" spans="1:49" x14ac:dyDescent="0.25">
      <c r="A21" s="260"/>
      <c r="B21" s="260"/>
      <c r="C21" s="260"/>
      <c r="D21" s="260"/>
      <c r="E21" s="260"/>
      <c r="F21" s="260"/>
      <c r="G21" s="260"/>
      <c r="H21" s="260"/>
      <c r="I21" s="260"/>
      <c r="J21" s="260"/>
      <c r="K21" s="260"/>
      <c r="L21" s="260"/>
    </row>
    <row r="22" spans="1:49" x14ac:dyDescent="0.25">
      <c r="A22" s="260"/>
      <c r="B22" s="260"/>
      <c r="C22" s="260"/>
      <c r="D22" s="260"/>
      <c r="E22" s="260"/>
      <c r="F22" s="260"/>
      <c r="G22" s="260"/>
      <c r="H22" s="260"/>
      <c r="I22" s="260"/>
      <c r="J22" s="260"/>
      <c r="K22" s="260"/>
      <c r="L22" s="260"/>
    </row>
    <row r="23" spans="1:49" x14ac:dyDescent="0.25">
      <c r="A23" s="260"/>
      <c r="B23" s="260"/>
      <c r="C23" s="260"/>
      <c r="D23" s="260"/>
      <c r="E23" s="260"/>
      <c r="F23" s="260"/>
      <c r="G23" s="260"/>
      <c r="H23" s="260"/>
      <c r="I23" s="260"/>
      <c r="J23" s="260"/>
      <c r="K23" s="260"/>
      <c r="L23" s="260"/>
    </row>
    <row r="24" spans="1:49" x14ac:dyDescent="0.25">
      <c r="A24" s="260"/>
      <c r="B24" s="260"/>
      <c r="C24" s="260"/>
      <c r="D24" s="260"/>
      <c r="E24" s="260"/>
      <c r="F24" s="260"/>
      <c r="G24" s="260"/>
      <c r="H24" s="260"/>
      <c r="I24" s="260"/>
      <c r="J24" s="260"/>
      <c r="K24" s="260"/>
      <c r="L24" s="260"/>
    </row>
    <row r="25" spans="1:49" x14ac:dyDescent="0.25">
      <c r="A25" s="260"/>
      <c r="B25" s="260"/>
      <c r="C25" s="260"/>
      <c r="D25" s="260"/>
      <c r="E25" s="260"/>
      <c r="F25" s="260"/>
      <c r="G25" s="260"/>
      <c r="H25" s="260"/>
      <c r="I25" s="260"/>
      <c r="J25" s="260"/>
      <c r="K25" s="260"/>
      <c r="L25" s="260"/>
      <c r="N25" t="s">
        <v>304</v>
      </c>
      <c r="O25" t="s">
        <v>305</v>
      </c>
      <c r="P25" t="s">
        <v>339</v>
      </c>
      <c r="Q25" t="s">
        <v>338</v>
      </c>
      <c r="R25" t="s">
        <v>337</v>
      </c>
      <c r="S25" t="s">
        <v>336</v>
      </c>
      <c r="T25" t="s">
        <v>335</v>
      </c>
      <c r="U25" t="s">
        <v>334</v>
      </c>
      <c r="V25" t="s">
        <v>333</v>
      </c>
      <c r="W25" t="s">
        <v>332</v>
      </c>
      <c r="X25" t="s">
        <v>331</v>
      </c>
      <c r="Y25" t="s">
        <v>330</v>
      </c>
      <c r="Z25" t="s">
        <v>329</v>
      </c>
      <c r="AA25" t="s">
        <v>328</v>
      </c>
      <c r="AB25" t="s">
        <v>327</v>
      </c>
      <c r="AC25" t="s">
        <v>326</v>
      </c>
      <c r="AD25" t="s">
        <v>325</v>
      </c>
      <c r="AE25" t="s">
        <v>324</v>
      </c>
      <c r="AF25" t="s">
        <v>323</v>
      </c>
      <c r="AG25" t="s">
        <v>322</v>
      </c>
      <c r="AH25" t="s">
        <v>321</v>
      </c>
      <c r="AI25" t="s">
        <v>320</v>
      </c>
      <c r="AJ25" t="s">
        <v>319</v>
      </c>
      <c r="AK25" t="s">
        <v>318</v>
      </c>
      <c r="AL25" t="s">
        <v>317</v>
      </c>
      <c r="AM25" t="s">
        <v>316</v>
      </c>
      <c r="AN25" t="s">
        <v>315</v>
      </c>
      <c r="AO25" t="s">
        <v>314</v>
      </c>
      <c r="AP25" t="s">
        <v>313</v>
      </c>
      <c r="AQ25" t="s">
        <v>312</v>
      </c>
      <c r="AR25" t="s">
        <v>311</v>
      </c>
      <c r="AS25" t="s">
        <v>310</v>
      </c>
      <c r="AT25" t="s">
        <v>309</v>
      </c>
      <c r="AU25" t="s">
        <v>308</v>
      </c>
      <c r="AV25" t="s">
        <v>307</v>
      </c>
      <c r="AW25" t="s">
        <v>306</v>
      </c>
    </row>
    <row r="26" spans="1:49" x14ac:dyDescent="0.25">
      <c r="A26" s="260"/>
      <c r="B26" s="260"/>
      <c r="C26" s="260"/>
      <c r="D26" s="260"/>
      <c r="E26" s="260"/>
      <c r="F26" s="260"/>
      <c r="G26" s="260"/>
      <c r="H26" s="260"/>
      <c r="I26" s="260"/>
      <c r="J26" s="260"/>
      <c r="K26" s="260"/>
      <c r="L26" s="260"/>
      <c r="N26" t="s">
        <v>104</v>
      </c>
      <c r="O26" t="s">
        <v>106</v>
      </c>
      <c r="P26" t="s">
        <v>104</v>
      </c>
      <c r="Q26" t="s">
        <v>106</v>
      </c>
      <c r="R26" t="s">
        <v>104</v>
      </c>
      <c r="S26" t="s">
        <v>106</v>
      </c>
      <c r="T26" t="s">
        <v>105</v>
      </c>
      <c r="U26" t="s">
        <v>107</v>
      </c>
      <c r="V26" t="s">
        <v>105</v>
      </c>
      <c r="W26" t="s">
        <v>107</v>
      </c>
      <c r="X26" t="s">
        <v>105</v>
      </c>
      <c r="Y26" t="s">
        <v>107</v>
      </c>
      <c r="Z26" t="s">
        <v>105</v>
      </c>
      <c r="AA26" t="s">
        <v>107</v>
      </c>
      <c r="AB26" t="s">
        <v>105</v>
      </c>
      <c r="AC26" t="s">
        <v>107</v>
      </c>
      <c r="AD26" t="s">
        <v>105</v>
      </c>
      <c r="AE26" t="s">
        <v>107</v>
      </c>
      <c r="AF26" t="s">
        <v>104</v>
      </c>
      <c r="AG26" t="s">
        <v>106</v>
      </c>
      <c r="AH26" t="s">
        <v>104</v>
      </c>
      <c r="AI26" t="s">
        <v>106</v>
      </c>
      <c r="AJ26" t="s">
        <v>104</v>
      </c>
      <c r="AK26" t="s">
        <v>106</v>
      </c>
      <c r="AL26" t="s">
        <v>104</v>
      </c>
      <c r="AM26" t="s">
        <v>106</v>
      </c>
      <c r="AN26" t="s">
        <v>104</v>
      </c>
      <c r="AO26" t="s">
        <v>106</v>
      </c>
      <c r="AP26" t="s">
        <v>104</v>
      </c>
      <c r="AQ26" t="s">
        <v>106</v>
      </c>
      <c r="AR26" t="s">
        <v>105</v>
      </c>
      <c r="AS26" t="s">
        <v>107</v>
      </c>
      <c r="AT26" t="s">
        <v>105</v>
      </c>
      <c r="AU26" t="s">
        <v>107</v>
      </c>
      <c r="AV26" t="s">
        <v>105</v>
      </c>
      <c r="AW26" t="s">
        <v>107</v>
      </c>
    </row>
    <row r="27" spans="1:49" x14ac:dyDescent="0.25">
      <c r="A27" s="260"/>
      <c r="B27" s="260"/>
      <c r="C27" s="260"/>
      <c r="D27" s="260"/>
      <c r="E27" s="260"/>
      <c r="F27" s="260"/>
      <c r="G27" s="260"/>
      <c r="H27" s="260"/>
      <c r="I27" s="260"/>
      <c r="J27" s="260"/>
      <c r="K27" s="260"/>
      <c r="L27" s="260"/>
    </row>
    <row r="28" spans="1:49" x14ac:dyDescent="0.25">
      <c r="A28" s="260"/>
      <c r="B28" s="260"/>
      <c r="C28" s="260"/>
      <c r="D28" s="260"/>
      <c r="E28" s="260"/>
      <c r="F28" s="260"/>
      <c r="G28" s="260"/>
      <c r="H28" s="260"/>
      <c r="I28" s="260"/>
      <c r="J28" s="260"/>
      <c r="K28" s="260"/>
      <c r="L28" s="260"/>
    </row>
    <row r="29" spans="1:49" x14ac:dyDescent="0.25">
      <c r="A29" s="260"/>
      <c r="B29" s="260"/>
      <c r="C29" s="260"/>
      <c r="D29" s="260"/>
      <c r="E29" s="260"/>
      <c r="F29" s="260"/>
      <c r="G29" s="260"/>
      <c r="H29" s="260"/>
      <c r="I29" s="260"/>
      <c r="J29" s="260"/>
      <c r="K29" s="260"/>
      <c r="L29" s="260"/>
    </row>
    <row r="30" spans="1:49" x14ac:dyDescent="0.25">
      <c r="A30" s="260"/>
      <c r="B30" s="260"/>
      <c r="C30" s="260"/>
      <c r="D30" s="260"/>
      <c r="E30" s="260"/>
      <c r="F30" s="260"/>
      <c r="G30" s="260"/>
      <c r="H30" s="260"/>
      <c r="I30" s="260"/>
      <c r="J30" s="260"/>
      <c r="K30" s="260"/>
      <c r="L30" s="260"/>
    </row>
    <row r="31" spans="1:49" x14ac:dyDescent="0.25">
      <c r="A31" s="260"/>
      <c r="B31" s="260"/>
      <c r="C31" s="260"/>
      <c r="D31" s="260"/>
      <c r="E31" s="260"/>
      <c r="F31" s="260"/>
      <c r="G31" s="260"/>
      <c r="H31" s="260"/>
      <c r="I31" s="260"/>
      <c r="J31" s="260"/>
      <c r="K31" s="260"/>
      <c r="L31" s="260"/>
    </row>
    <row r="32" spans="1:49" x14ac:dyDescent="0.25">
      <c r="A32" s="260"/>
      <c r="B32" s="260"/>
      <c r="C32" s="260"/>
      <c r="D32" s="260"/>
      <c r="E32" s="260"/>
      <c r="F32" s="260"/>
      <c r="G32" s="260"/>
      <c r="H32" s="260"/>
      <c r="I32" s="260"/>
      <c r="J32" s="260"/>
      <c r="K32" s="260"/>
      <c r="L32" s="260"/>
    </row>
    <row r="33" spans="1:49" x14ac:dyDescent="0.25">
      <c r="A33" s="260"/>
      <c r="B33" s="260"/>
      <c r="C33" s="260"/>
      <c r="D33" s="260"/>
      <c r="E33" s="260"/>
      <c r="F33" s="260"/>
      <c r="G33" s="260"/>
      <c r="H33" s="260"/>
      <c r="I33" s="260"/>
      <c r="J33" s="260"/>
      <c r="K33" s="260"/>
      <c r="L33" s="260"/>
      <c r="N33" t="s">
        <v>232</v>
      </c>
      <c r="O33" t="s">
        <v>233</v>
      </c>
      <c r="P33" t="s">
        <v>234</v>
      </c>
      <c r="Q33" t="s">
        <v>235</v>
      </c>
      <c r="R33" t="s">
        <v>236</v>
      </c>
      <c r="S33" t="s">
        <v>237</v>
      </c>
      <c r="T33" t="s">
        <v>238</v>
      </c>
      <c r="U33" t="s">
        <v>239</v>
      </c>
      <c r="V33" t="s">
        <v>240</v>
      </c>
      <c r="W33" t="s">
        <v>241</v>
      </c>
      <c r="X33" t="s">
        <v>242</v>
      </c>
      <c r="Y33" t="s">
        <v>243</v>
      </c>
      <c r="Z33" t="s">
        <v>244</v>
      </c>
      <c r="AA33" t="s">
        <v>245</v>
      </c>
      <c r="AB33" t="s">
        <v>246</v>
      </c>
      <c r="AC33" t="s">
        <v>247</v>
      </c>
      <c r="AD33" t="s">
        <v>248</v>
      </c>
      <c r="AE33" t="s">
        <v>249</v>
      </c>
      <c r="AF33" t="s">
        <v>250</v>
      </c>
      <c r="AG33" t="s">
        <v>251</v>
      </c>
      <c r="AH33" t="s">
        <v>252</v>
      </c>
      <c r="AI33" t="s">
        <v>253</v>
      </c>
      <c r="AJ33" t="s">
        <v>254</v>
      </c>
      <c r="AK33" t="s">
        <v>255</v>
      </c>
      <c r="AL33" t="s">
        <v>256</v>
      </c>
      <c r="AM33" t="s">
        <v>257</v>
      </c>
      <c r="AN33" t="s">
        <v>258</v>
      </c>
      <c r="AO33" t="s">
        <v>259</v>
      </c>
      <c r="AP33" t="s">
        <v>260</v>
      </c>
      <c r="AQ33" t="s">
        <v>261</v>
      </c>
      <c r="AR33" t="s">
        <v>262</v>
      </c>
      <c r="AS33" t="s">
        <v>263</v>
      </c>
      <c r="AT33" t="s">
        <v>264</v>
      </c>
      <c r="AU33" t="s">
        <v>265</v>
      </c>
      <c r="AV33" t="s">
        <v>266</v>
      </c>
      <c r="AW33" t="s">
        <v>267</v>
      </c>
    </row>
    <row r="34" spans="1:49" x14ac:dyDescent="0.25">
      <c r="A34" s="260"/>
      <c r="B34" s="260"/>
      <c r="C34" s="260"/>
      <c r="D34" s="260"/>
      <c r="E34" s="260"/>
      <c r="F34" s="260"/>
      <c r="G34" s="260"/>
      <c r="H34" s="260"/>
      <c r="I34" s="260"/>
      <c r="J34" s="260"/>
      <c r="K34" s="260"/>
      <c r="L34" s="260"/>
      <c r="N34" t="s">
        <v>103</v>
      </c>
      <c r="P34" t="s">
        <v>103</v>
      </c>
      <c r="R34" t="s">
        <v>103</v>
      </c>
      <c r="AF34" t="s">
        <v>103</v>
      </c>
      <c r="AH34" t="s">
        <v>103</v>
      </c>
      <c r="AJ34" t="s">
        <v>103</v>
      </c>
      <c r="AL34" t="s">
        <v>103</v>
      </c>
      <c r="AN34" t="s">
        <v>103</v>
      </c>
      <c r="AP34" t="s">
        <v>103</v>
      </c>
    </row>
    <row r="35" spans="1:49" x14ac:dyDescent="0.25">
      <c r="A35" s="260"/>
      <c r="B35" s="260"/>
      <c r="C35" s="260"/>
      <c r="D35" s="260"/>
      <c r="E35" s="260"/>
      <c r="F35" s="260"/>
      <c r="G35" s="260"/>
      <c r="H35" s="260"/>
      <c r="I35" s="260"/>
      <c r="J35" s="260"/>
      <c r="K35" s="260"/>
      <c r="L35" s="260"/>
    </row>
    <row r="36" spans="1:49" x14ac:dyDescent="0.25">
      <c r="A36" s="260"/>
      <c r="B36" s="260"/>
      <c r="C36" s="260"/>
      <c r="D36" s="260"/>
      <c r="E36" s="260"/>
      <c r="F36" s="260"/>
      <c r="G36" s="260"/>
      <c r="H36" s="260"/>
      <c r="I36" s="260"/>
      <c r="J36" s="260"/>
      <c r="K36" s="260"/>
      <c r="L36" s="260"/>
    </row>
    <row r="37" spans="1:49" x14ac:dyDescent="0.25">
      <c r="A37" s="260"/>
      <c r="B37" s="260"/>
      <c r="C37" s="260"/>
      <c r="D37" s="260"/>
      <c r="E37" s="260"/>
      <c r="F37" s="260"/>
      <c r="G37" s="260"/>
      <c r="H37" s="260"/>
      <c r="I37" s="260"/>
      <c r="J37" s="260"/>
      <c r="K37" s="260"/>
      <c r="L37" s="260"/>
    </row>
    <row r="38" spans="1:49" x14ac:dyDescent="0.25">
      <c r="A38" s="260"/>
      <c r="B38" s="260"/>
      <c r="C38" s="260"/>
      <c r="D38" s="260"/>
      <c r="E38" s="260"/>
      <c r="F38" s="260"/>
      <c r="G38" s="260"/>
      <c r="H38" s="260"/>
      <c r="I38" s="260"/>
      <c r="J38" s="260"/>
      <c r="K38" s="260"/>
      <c r="L38" s="260"/>
    </row>
    <row r="39" spans="1:49" x14ac:dyDescent="0.25">
      <c r="A39" s="260"/>
      <c r="B39" s="260"/>
      <c r="C39" s="260"/>
      <c r="D39" s="260"/>
      <c r="E39" s="260"/>
      <c r="F39" s="260"/>
      <c r="G39" s="260"/>
      <c r="H39" s="260"/>
      <c r="I39" s="260"/>
      <c r="J39" s="260"/>
      <c r="K39" s="260"/>
      <c r="L39" s="260"/>
    </row>
    <row r="40" spans="1:49" x14ac:dyDescent="0.25">
      <c r="A40" s="260"/>
      <c r="B40" s="260"/>
      <c r="C40" s="260"/>
      <c r="D40" s="260"/>
      <c r="E40" s="260"/>
      <c r="F40" s="260"/>
      <c r="G40" s="260"/>
      <c r="H40" s="260"/>
      <c r="I40" s="260"/>
      <c r="J40" s="260"/>
      <c r="K40" s="260"/>
      <c r="L40" s="260"/>
    </row>
    <row r="41" spans="1:49" x14ac:dyDescent="0.25">
      <c r="A41" s="260"/>
      <c r="B41" s="260"/>
      <c r="C41" s="260"/>
      <c r="D41" s="260"/>
      <c r="E41" s="260"/>
      <c r="F41" s="260"/>
      <c r="G41" s="260"/>
      <c r="H41" s="260"/>
      <c r="I41" s="260"/>
      <c r="J41" s="260"/>
      <c r="K41" s="260"/>
      <c r="L41" s="260"/>
      <c r="N41" t="s">
        <v>268</v>
      </c>
      <c r="O41" t="s">
        <v>269</v>
      </c>
      <c r="P41" t="s">
        <v>270</v>
      </c>
      <c r="Q41" t="s">
        <v>271</v>
      </c>
      <c r="R41" t="s">
        <v>272</v>
      </c>
      <c r="S41" t="s">
        <v>273</v>
      </c>
      <c r="T41" t="s">
        <v>274</v>
      </c>
      <c r="U41" t="s">
        <v>275</v>
      </c>
      <c r="V41" t="s">
        <v>276</v>
      </c>
      <c r="W41" t="s">
        <v>277</v>
      </c>
      <c r="X41" t="s">
        <v>278</v>
      </c>
      <c r="Y41" t="s">
        <v>279</v>
      </c>
      <c r="Z41" t="s">
        <v>280</v>
      </c>
      <c r="AA41" t="s">
        <v>281</v>
      </c>
      <c r="AB41" t="s">
        <v>282</v>
      </c>
      <c r="AC41" t="s">
        <v>283</v>
      </c>
      <c r="AD41" t="s">
        <v>284</v>
      </c>
      <c r="AE41" t="s">
        <v>285</v>
      </c>
      <c r="AF41" t="s">
        <v>286</v>
      </c>
      <c r="AG41" t="s">
        <v>287</v>
      </c>
      <c r="AH41" t="s">
        <v>288</v>
      </c>
      <c r="AI41" t="s">
        <v>289</v>
      </c>
      <c r="AJ41" t="s">
        <v>290</v>
      </c>
      <c r="AK41" t="s">
        <v>291</v>
      </c>
      <c r="AL41" t="s">
        <v>292</v>
      </c>
      <c r="AM41" t="s">
        <v>293</v>
      </c>
      <c r="AN41" t="s">
        <v>294</v>
      </c>
      <c r="AO41" t="s">
        <v>295</v>
      </c>
      <c r="AP41" t="s">
        <v>296</v>
      </c>
      <c r="AQ41" t="s">
        <v>297</v>
      </c>
      <c r="AR41" t="s">
        <v>298</v>
      </c>
      <c r="AS41" t="s">
        <v>299</v>
      </c>
      <c r="AT41" t="s">
        <v>300</v>
      </c>
      <c r="AU41" t="s">
        <v>301</v>
      </c>
      <c r="AV41" t="s">
        <v>302</v>
      </c>
      <c r="AW41" t="s">
        <v>303</v>
      </c>
    </row>
    <row r="42" spans="1:49" x14ac:dyDescent="0.25">
      <c r="A42" s="260"/>
      <c r="B42" s="260"/>
      <c r="C42" s="260"/>
      <c r="D42" s="260"/>
      <c r="E42" s="260"/>
      <c r="F42" s="260"/>
      <c r="G42" s="260"/>
      <c r="H42" s="260"/>
      <c r="I42" s="260"/>
      <c r="J42" s="260"/>
      <c r="K42" s="260"/>
      <c r="L42" s="260"/>
      <c r="U42" t="s">
        <v>108</v>
      </c>
      <c r="W42" t="s">
        <v>108</v>
      </c>
      <c r="Y42" t="s">
        <v>108</v>
      </c>
      <c r="AA42" t="s">
        <v>108</v>
      </c>
      <c r="AC42" t="s">
        <v>108</v>
      </c>
      <c r="AE42" t="s">
        <v>108</v>
      </c>
      <c r="AS42" t="s">
        <v>108</v>
      </c>
      <c r="AU42" t="s">
        <v>108</v>
      </c>
      <c r="AW42" t="s">
        <v>108</v>
      </c>
    </row>
    <row r="43" spans="1:49" x14ac:dyDescent="0.25">
      <c r="A43" s="260"/>
      <c r="B43" s="260"/>
      <c r="C43" s="260"/>
      <c r="D43" s="260"/>
      <c r="E43" s="260"/>
      <c r="F43" s="260"/>
      <c r="G43" s="260"/>
      <c r="H43" s="260"/>
      <c r="I43" s="260"/>
      <c r="J43" s="260"/>
      <c r="K43" s="260"/>
      <c r="L43" s="260"/>
    </row>
    <row r="44" spans="1:49" x14ac:dyDescent="0.25">
      <c r="A44" s="260"/>
      <c r="B44" s="260"/>
      <c r="C44" s="260"/>
      <c r="D44" s="260"/>
      <c r="E44" s="260"/>
      <c r="F44" s="260"/>
      <c r="G44" s="260"/>
      <c r="H44" s="260"/>
      <c r="I44" s="260"/>
      <c r="J44" s="260"/>
      <c r="K44" s="260"/>
      <c r="L44" s="260"/>
    </row>
    <row r="45" spans="1:49" x14ac:dyDescent="0.25">
      <c r="A45" s="260"/>
      <c r="B45" s="260"/>
      <c r="C45" s="260"/>
      <c r="D45" s="260"/>
      <c r="E45" s="260"/>
      <c r="F45" s="260"/>
      <c r="G45" s="260"/>
      <c r="H45" s="260"/>
      <c r="I45" s="260"/>
      <c r="J45" s="260"/>
      <c r="K45" s="260"/>
      <c r="L45" s="260"/>
    </row>
    <row r="46" spans="1:49" x14ac:dyDescent="0.25">
      <c r="A46" s="260"/>
      <c r="B46" s="260"/>
      <c r="C46" s="260"/>
      <c r="D46" s="260"/>
      <c r="E46" s="260"/>
      <c r="F46" s="260"/>
      <c r="G46" s="260"/>
      <c r="H46" s="260"/>
      <c r="I46" s="260"/>
      <c r="J46" s="260"/>
      <c r="K46" s="260"/>
      <c r="L46" s="260"/>
    </row>
    <row r="47" spans="1:49" x14ac:dyDescent="0.25">
      <c r="A47" s="260"/>
      <c r="B47" s="260"/>
      <c r="C47" s="260"/>
      <c r="D47" s="260"/>
      <c r="E47" s="260"/>
      <c r="F47" s="260"/>
      <c r="G47" s="260"/>
      <c r="H47" s="260"/>
      <c r="I47" s="260"/>
      <c r="J47" s="260"/>
      <c r="K47" s="260"/>
      <c r="L47" s="260"/>
    </row>
    <row r="48" spans="1:49" x14ac:dyDescent="0.25">
      <c r="A48" s="260"/>
      <c r="B48" s="260"/>
      <c r="C48" s="260"/>
      <c r="D48" s="260"/>
      <c r="E48" s="260"/>
      <c r="F48" s="260"/>
      <c r="G48" s="260"/>
      <c r="H48" s="260"/>
      <c r="I48" s="260"/>
      <c r="J48" s="260"/>
      <c r="K48" s="260"/>
      <c r="L48" s="260"/>
    </row>
    <row r="49" spans="1:18" x14ac:dyDescent="0.25">
      <c r="A49" s="260"/>
      <c r="B49" s="260"/>
      <c r="C49" s="260"/>
      <c r="D49" s="260"/>
      <c r="E49" s="260"/>
      <c r="F49" s="260"/>
      <c r="G49" s="260"/>
      <c r="H49" s="260"/>
      <c r="I49" s="260"/>
      <c r="J49" s="260"/>
      <c r="K49" s="260"/>
      <c r="L49" s="260"/>
      <c r="N49" t="s">
        <v>340</v>
      </c>
      <c r="O49" t="s">
        <v>341</v>
      </c>
      <c r="P49" t="s">
        <v>342</v>
      </c>
      <c r="Q49" t="s">
        <v>343</v>
      </c>
    </row>
    <row r="50" spans="1:18" x14ac:dyDescent="0.25">
      <c r="A50" s="260"/>
      <c r="B50" s="260"/>
      <c r="C50" s="260"/>
      <c r="D50" s="260"/>
      <c r="E50" s="260"/>
      <c r="F50" s="260"/>
      <c r="G50" s="260"/>
      <c r="H50" s="260"/>
      <c r="I50" s="260"/>
      <c r="J50" s="260"/>
      <c r="K50" s="260"/>
      <c r="L50" s="260"/>
      <c r="N50" t="s">
        <v>103</v>
      </c>
      <c r="O50">
        <v>0</v>
      </c>
      <c r="P50">
        <v>0</v>
      </c>
      <c r="Q50">
        <v>0</v>
      </c>
    </row>
    <row r="51" spans="1:18" x14ac:dyDescent="0.25">
      <c r="A51" s="260"/>
      <c r="B51" s="260"/>
      <c r="C51" s="260"/>
      <c r="D51" s="260"/>
      <c r="E51" s="260"/>
      <c r="F51" s="260"/>
      <c r="G51" s="260"/>
      <c r="H51" s="260"/>
      <c r="I51" s="260"/>
      <c r="J51" s="260"/>
      <c r="K51" s="260"/>
      <c r="L51" s="260"/>
      <c r="N51" t="s">
        <v>104</v>
      </c>
      <c r="O51">
        <v>0</v>
      </c>
      <c r="P51">
        <v>0</v>
      </c>
      <c r="Q51">
        <v>1</v>
      </c>
    </row>
    <row r="52" spans="1:18" x14ac:dyDescent="0.25">
      <c r="A52" s="260"/>
      <c r="B52" s="260"/>
      <c r="C52" s="260"/>
      <c r="D52" s="260"/>
      <c r="E52" s="260"/>
      <c r="F52" s="260"/>
      <c r="G52" s="260"/>
      <c r="H52" s="260"/>
      <c r="I52" s="260"/>
      <c r="J52" s="260"/>
      <c r="K52" s="260"/>
      <c r="L52" s="260"/>
      <c r="N52" t="s">
        <v>105</v>
      </c>
      <c r="O52">
        <v>0</v>
      </c>
      <c r="P52">
        <v>1</v>
      </c>
      <c r="Q52">
        <v>1</v>
      </c>
    </row>
    <row r="53" spans="1:18" x14ac:dyDescent="0.25">
      <c r="A53" s="260"/>
      <c r="B53" s="260"/>
      <c r="C53" s="260"/>
      <c r="D53" s="260"/>
      <c r="E53" s="260"/>
      <c r="F53" s="260"/>
      <c r="G53" s="260"/>
      <c r="H53" s="260"/>
      <c r="I53" s="260"/>
      <c r="J53" s="260"/>
      <c r="K53" s="260"/>
      <c r="L53" s="260"/>
      <c r="N53" t="s">
        <v>106</v>
      </c>
      <c r="O53">
        <v>1</v>
      </c>
      <c r="P53">
        <v>0</v>
      </c>
      <c r="Q53">
        <v>1</v>
      </c>
    </row>
    <row r="54" spans="1:18" x14ac:dyDescent="0.25">
      <c r="A54" s="260"/>
      <c r="B54" s="260"/>
      <c r="C54" s="260"/>
      <c r="D54" s="260"/>
      <c r="E54" s="260"/>
      <c r="F54" s="260"/>
      <c r="G54" s="260"/>
      <c r="H54" s="260"/>
      <c r="I54" s="260"/>
      <c r="J54" s="260"/>
      <c r="K54" s="260"/>
      <c r="L54" s="260"/>
      <c r="N54" t="s">
        <v>107</v>
      </c>
      <c r="O54">
        <v>1</v>
      </c>
      <c r="P54">
        <v>1</v>
      </c>
      <c r="Q54">
        <v>1</v>
      </c>
    </row>
    <row r="55" spans="1:18" x14ac:dyDescent="0.25">
      <c r="A55" s="260"/>
      <c r="B55" s="260"/>
      <c r="C55" s="260"/>
      <c r="D55" s="260"/>
      <c r="E55" s="260"/>
      <c r="F55" s="260"/>
      <c r="G55" s="260"/>
      <c r="H55" s="260"/>
      <c r="I55" s="260"/>
      <c r="J55" s="260"/>
      <c r="K55" s="260"/>
      <c r="L55" s="260"/>
      <c r="N55" t="s">
        <v>108</v>
      </c>
      <c r="O55">
        <v>1</v>
      </c>
      <c r="P55">
        <v>1</v>
      </c>
      <c r="Q55">
        <v>2</v>
      </c>
    </row>
    <row r="56" spans="1:18" x14ac:dyDescent="0.25">
      <c r="A56" s="260"/>
      <c r="B56" s="260"/>
      <c r="C56" s="260"/>
      <c r="D56" s="260"/>
      <c r="E56" s="260"/>
      <c r="F56" s="260"/>
      <c r="G56" s="260"/>
      <c r="H56" s="260"/>
      <c r="I56" s="260"/>
      <c r="J56" s="260"/>
      <c r="K56" s="260"/>
      <c r="L56" s="260"/>
    </row>
    <row r="57" spans="1:18" x14ac:dyDescent="0.25">
      <c r="A57" s="260"/>
      <c r="B57" s="260"/>
      <c r="C57" s="260"/>
      <c r="D57" s="260"/>
      <c r="E57" s="260"/>
      <c r="F57" s="260"/>
      <c r="G57" s="260"/>
      <c r="H57" s="260"/>
      <c r="I57" s="260"/>
      <c r="J57" s="260"/>
      <c r="K57" s="260"/>
      <c r="L57" s="260"/>
      <c r="N57" t="s">
        <v>356</v>
      </c>
      <c r="P57" t="s">
        <v>393</v>
      </c>
      <c r="R57" t="s">
        <v>572</v>
      </c>
    </row>
    <row r="58" spans="1:18" x14ac:dyDescent="0.25">
      <c r="A58" s="260"/>
      <c r="B58" s="260"/>
      <c r="C58" s="260"/>
      <c r="D58" s="260"/>
      <c r="E58" s="260"/>
      <c r="F58" s="260"/>
      <c r="G58" s="260"/>
      <c r="H58" s="260"/>
      <c r="I58" s="260"/>
      <c r="J58" s="260"/>
      <c r="K58" s="260"/>
      <c r="L58" s="260"/>
      <c r="N58" t="s">
        <v>357</v>
      </c>
      <c r="P58">
        <v>1</v>
      </c>
      <c r="R58" s="2" t="s">
        <v>573</v>
      </c>
    </row>
    <row r="59" spans="1:18" x14ac:dyDescent="0.25">
      <c r="A59" s="260"/>
      <c r="B59" s="260"/>
      <c r="C59" s="260"/>
      <c r="D59" s="260"/>
      <c r="E59" s="260"/>
      <c r="F59" s="260"/>
      <c r="G59" s="260"/>
      <c r="H59" s="260"/>
      <c r="I59" s="260"/>
      <c r="J59" s="260"/>
      <c r="K59" s="260"/>
      <c r="L59" s="260"/>
      <c r="N59" t="s">
        <v>358</v>
      </c>
      <c r="P59">
        <v>0.5</v>
      </c>
      <c r="R59" s="2" t="s">
        <v>574</v>
      </c>
    </row>
    <row r="60" spans="1:18" x14ac:dyDescent="0.25">
      <c r="A60" s="260"/>
      <c r="B60" s="260"/>
      <c r="C60" s="260"/>
      <c r="D60" s="260"/>
      <c r="E60" s="260"/>
      <c r="F60" s="260"/>
      <c r="G60" s="260"/>
      <c r="H60" s="260"/>
      <c r="I60" s="260"/>
      <c r="J60" s="260"/>
      <c r="K60" s="260"/>
      <c r="L60" s="260"/>
      <c r="N60" t="s">
        <v>359</v>
      </c>
      <c r="P60">
        <v>0.25</v>
      </c>
      <c r="R60" s="2" t="s">
        <v>575</v>
      </c>
    </row>
    <row r="61" spans="1:18" x14ac:dyDescent="0.25">
      <c r="A61" s="260"/>
      <c r="B61" s="260"/>
      <c r="C61" s="260"/>
      <c r="D61" s="260"/>
      <c r="E61" s="260"/>
      <c r="F61" s="260"/>
      <c r="G61" s="260"/>
      <c r="H61" s="260"/>
      <c r="I61" s="260"/>
      <c r="J61" s="260"/>
      <c r="K61" s="260"/>
      <c r="L61" s="260"/>
      <c r="N61" t="s">
        <v>360</v>
      </c>
      <c r="P61">
        <v>0.2</v>
      </c>
      <c r="R61" s="2" t="s">
        <v>576</v>
      </c>
    </row>
    <row r="62" spans="1:18" x14ac:dyDescent="0.25">
      <c r="A62" s="260"/>
      <c r="B62" s="260"/>
      <c r="C62" s="260"/>
      <c r="D62" s="260"/>
      <c r="E62" s="260"/>
      <c r="F62" s="260"/>
      <c r="G62" s="260"/>
      <c r="H62" s="260"/>
      <c r="I62" s="260"/>
      <c r="J62" s="260"/>
      <c r="K62" s="260"/>
      <c r="L62" s="260"/>
      <c r="P62">
        <v>0.1</v>
      </c>
      <c r="R62" s="2" t="s">
        <v>577</v>
      </c>
    </row>
    <row r="63" spans="1:18" x14ac:dyDescent="0.25">
      <c r="A63" s="260"/>
      <c r="B63" s="260"/>
      <c r="C63" s="260"/>
      <c r="D63" s="260"/>
      <c r="E63" s="260"/>
      <c r="F63" s="260"/>
      <c r="G63" s="260"/>
      <c r="H63" s="260"/>
      <c r="I63" s="260"/>
      <c r="J63" s="260"/>
      <c r="K63" s="260"/>
      <c r="L63" s="260"/>
      <c r="P63">
        <v>0.05</v>
      </c>
      <c r="R63" s="2" t="s">
        <v>578</v>
      </c>
    </row>
    <row r="64" spans="1:18" x14ac:dyDescent="0.25">
      <c r="A64" s="260"/>
      <c r="B64" s="260"/>
      <c r="C64" s="260"/>
      <c r="D64" s="260"/>
      <c r="E64" s="260"/>
      <c r="F64" s="260"/>
      <c r="G64" s="260"/>
      <c r="H64" s="260"/>
      <c r="I64" s="260"/>
      <c r="J64" s="260"/>
      <c r="K64" s="260"/>
      <c r="L64" s="260"/>
      <c r="P64">
        <v>0.02</v>
      </c>
      <c r="R64" s="2" t="s">
        <v>579</v>
      </c>
    </row>
    <row r="65" spans="1:18" x14ac:dyDescent="0.25">
      <c r="A65" s="260"/>
      <c r="B65" s="260"/>
      <c r="C65" s="260"/>
      <c r="D65" s="260"/>
      <c r="E65" s="260"/>
      <c r="F65" s="260"/>
      <c r="G65" s="260"/>
      <c r="H65" s="260"/>
      <c r="I65" s="260"/>
      <c r="J65" s="260"/>
      <c r="K65" s="260"/>
      <c r="L65" s="260"/>
      <c r="P65">
        <v>0.01</v>
      </c>
      <c r="R65" s="2" t="s">
        <v>580</v>
      </c>
    </row>
    <row r="66" spans="1:18" x14ac:dyDescent="0.25">
      <c r="A66" s="260"/>
      <c r="B66" s="260"/>
      <c r="C66" s="260"/>
      <c r="D66" s="260"/>
      <c r="E66" s="260"/>
      <c r="F66" s="260"/>
      <c r="G66" s="260"/>
      <c r="H66" s="260"/>
      <c r="I66" s="260"/>
      <c r="J66" s="260"/>
      <c r="K66" s="260"/>
      <c r="L66" s="260"/>
      <c r="R66" s="2" t="s">
        <v>581</v>
      </c>
    </row>
    <row r="67" spans="1:18" x14ac:dyDescent="0.25">
      <c r="A67" s="260"/>
      <c r="B67" s="260"/>
      <c r="C67" s="260"/>
      <c r="D67" s="260"/>
      <c r="E67" s="260"/>
      <c r="F67" s="260"/>
      <c r="G67" s="260"/>
      <c r="H67" s="260"/>
      <c r="I67" s="260"/>
      <c r="J67" s="260"/>
      <c r="K67" s="260"/>
      <c r="L67" s="260"/>
    </row>
    <row r="68" spans="1:18" x14ac:dyDescent="0.25">
      <c r="A68" s="260"/>
      <c r="B68" s="260"/>
      <c r="C68" s="260"/>
      <c r="D68" s="260"/>
      <c r="E68" s="260"/>
      <c r="F68" s="260"/>
      <c r="G68" s="260"/>
      <c r="H68" s="260"/>
      <c r="I68" s="260"/>
      <c r="J68" s="260"/>
      <c r="K68" s="260"/>
      <c r="L68" s="260"/>
      <c r="N68" t="s">
        <v>471</v>
      </c>
      <c r="O68" t="s">
        <v>472</v>
      </c>
      <c r="P68" t="s">
        <v>471</v>
      </c>
      <c r="Q68" t="s">
        <v>472</v>
      </c>
    </row>
    <row r="69" spans="1:18" x14ac:dyDescent="0.25">
      <c r="A69" s="260"/>
      <c r="B69" s="260"/>
      <c r="C69" s="260"/>
      <c r="D69" s="260"/>
      <c r="E69" s="260"/>
      <c r="F69" s="260"/>
      <c r="G69" s="260"/>
      <c r="H69" s="260"/>
      <c r="I69" s="260"/>
      <c r="J69" s="260"/>
      <c r="K69" s="260"/>
      <c r="L69" s="260"/>
      <c r="N69" t="s">
        <v>395</v>
      </c>
      <c r="O69" s="125" t="s">
        <v>499</v>
      </c>
      <c r="P69" t="s">
        <v>395</v>
      </c>
      <c r="Q69" s="125" t="s">
        <v>500</v>
      </c>
    </row>
    <row r="70" spans="1:18" x14ac:dyDescent="0.25">
      <c r="A70" s="260"/>
      <c r="B70" s="260"/>
      <c r="C70" s="260"/>
      <c r="D70" s="260"/>
      <c r="E70" s="260"/>
      <c r="F70" s="260"/>
      <c r="G70" s="260"/>
      <c r="H70" s="260"/>
      <c r="I70" s="260"/>
      <c r="J70" s="260"/>
      <c r="K70" s="260"/>
      <c r="L70" s="260"/>
      <c r="N70" t="s">
        <v>396</v>
      </c>
      <c r="O70" s="125"/>
      <c r="P70" t="s">
        <v>411</v>
      </c>
      <c r="Q70" s="125"/>
    </row>
    <row r="71" spans="1:18" x14ac:dyDescent="0.25">
      <c r="A71" s="260"/>
      <c r="B71" s="260"/>
      <c r="C71" s="260"/>
      <c r="D71" s="260"/>
      <c r="E71" s="260"/>
      <c r="F71" s="260"/>
      <c r="G71" s="260"/>
      <c r="H71" s="260"/>
      <c r="I71" s="260"/>
      <c r="J71" s="260"/>
      <c r="K71" s="260"/>
      <c r="L71" s="260"/>
      <c r="N71" t="s">
        <v>397</v>
      </c>
      <c r="O71" s="125" t="s">
        <v>473</v>
      </c>
      <c r="P71" t="s">
        <v>414</v>
      </c>
      <c r="Q71" s="125" t="s">
        <v>501</v>
      </c>
    </row>
    <row r="72" spans="1:18" x14ac:dyDescent="0.25">
      <c r="A72" s="260"/>
      <c r="B72" s="260"/>
      <c r="C72" s="260"/>
      <c r="D72" s="260"/>
      <c r="E72" s="260"/>
      <c r="F72" s="260"/>
      <c r="G72" s="260"/>
      <c r="H72" s="260"/>
      <c r="I72" s="260"/>
      <c r="J72" s="260"/>
      <c r="K72" s="260"/>
      <c r="L72" s="260"/>
      <c r="N72" t="s">
        <v>409</v>
      </c>
      <c r="O72" s="125" t="s">
        <v>463</v>
      </c>
      <c r="P72" t="s">
        <v>412</v>
      </c>
      <c r="Q72" s="125" t="s">
        <v>502</v>
      </c>
    </row>
    <row r="73" spans="1:18" x14ac:dyDescent="0.25">
      <c r="A73" s="260"/>
      <c r="B73" s="260"/>
      <c r="C73" s="260"/>
      <c r="D73" s="260"/>
      <c r="E73" s="260"/>
      <c r="F73" s="260"/>
      <c r="G73" s="260"/>
      <c r="H73" s="260"/>
      <c r="I73" s="260"/>
      <c r="J73" s="260"/>
      <c r="K73" s="260"/>
      <c r="L73" s="260"/>
      <c r="N73" t="s">
        <v>456</v>
      </c>
      <c r="O73" s="125" t="s">
        <v>464</v>
      </c>
      <c r="P73" t="s">
        <v>413</v>
      </c>
      <c r="Q73" s="125" t="s">
        <v>503</v>
      </c>
    </row>
    <row r="74" spans="1:18" x14ac:dyDescent="0.25">
      <c r="A74" s="260"/>
      <c r="B74" s="260"/>
      <c r="C74" s="260"/>
      <c r="D74" s="260"/>
      <c r="E74" s="260"/>
      <c r="F74" s="260"/>
      <c r="G74" s="260"/>
      <c r="H74" s="260"/>
      <c r="I74" s="260"/>
      <c r="J74" s="260"/>
      <c r="K74" s="260"/>
      <c r="L74" s="260"/>
      <c r="N74" t="s">
        <v>457</v>
      </c>
      <c r="O74" s="125" t="s">
        <v>474</v>
      </c>
      <c r="P74" t="s">
        <v>456</v>
      </c>
      <c r="Q74" s="125" t="s">
        <v>464</v>
      </c>
    </row>
    <row r="75" spans="1:18" x14ac:dyDescent="0.25">
      <c r="A75" s="260"/>
      <c r="B75" s="260"/>
      <c r="C75" s="260"/>
      <c r="D75" s="260"/>
      <c r="E75" s="260"/>
      <c r="F75" s="260"/>
      <c r="G75" s="260"/>
      <c r="H75" s="260"/>
      <c r="I75" s="260"/>
      <c r="J75" s="260"/>
      <c r="K75" s="260"/>
      <c r="L75" s="260"/>
      <c r="N75" t="s">
        <v>398</v>
      </c>
      <c r="O75" s="125" t="s">
        <v>465</v>
      </c>
      <c r="P75" t="s">
        <v>457</v>
      </c>
      <c r="Q75" s="125" t="s">
        <v>504</v>
      </c>
    </row>
    <row r="76" spans="1:18" x14ac:dyDescent="0.25">
      <c r="A76" s="260"/>
      <c r="B76" s="260"/>
      <c r="C76" s="260"/>
      <c r="D76" s="260"/>
      <c r="E76" s="260"/>
      <c r="F76" s="260"/>
      <c r="G76" s="260"/>
      <c r="H76" s="260"/>
      <c r="I76" s="260"/>
      <c r="J76" s="260"/>
      <c r="K76" s="260"/>
      <c r="L76" s="260"/>
      <c r="N76" t="s">
        <v>399</v>
      </c>
      <c r="O76" s="125" t="s">
        <v>474</v>
      </c>
      <c r="P76" t="s">
        <v>475</v>
      </c>
      <c r="Q76" s="125" t="s">
        <v>505</v>
      </c>
    </row>
    <row r="77" spans="1:18" x14ac:dyDescent="0.25">
      <c r="A77" s="260"/>
      <c r="B77" s="260"/>
      <c r="C77" s="260"/>
      <c r="D77" s="260"/>
      <c r="E77" s="260"/>
      <c r="F77" s="260"/>
      <c r="G77" s="260"/>
      <c r="H77" s="260"/>
      <c r="I77" s="260"/>
      <c r="J77" s="260"/>
      <c r="K77" s="260"/>
      <c r="L77" s="260"/>
      <c r="N77" t="s">
        <v>400</v>
      </c>
      <c r="O77" s="125" t="s">
        <v>466</v>
      </c>
      <c r="P77" t="s">
        <v>478</v>
      </c>
      <c r="Q77" s="125" t="s">
        <v>504</v>
      </c>
    </row>
    <row r="78" spans="1:18" x14ac:dyDescent="0.25">
      <c r="A78" s="260"/>
      <c r="B78" s="260"/>
      <c r="C78" s="260"/>
      <c r="D78" s="260"/>
      <c r="E78" s="260"/>
      <c r="F78" s="260"/>
      <c r="G78" s="260"/>
      <c r="H78" s="260"/>
      <c r="I78" s="260"/>
      <c r="J78" s="260"/>
      <c r="K78" s="260"/>
      <c r="L78" s="260"/>
      <c r="N78" t="s">
        <v>401</v>
      </c>
      <c r="O78" s="125" t="s">
        <v>474</v>
      </c>
      <c r="P78" t="s">
        <v>519</v>
      </c>
      <c r="Q78" s="125"/>
    </row>
    <row r="79" spans="1:18" x14ac:dyDescent="0.25">
      <c r="A79" s="260"/>
      <c r="B79" s="260"/>
      <c r="C79" s="260"/>
      <c r="D79" s="260"/>
      <c r="E79" s="260"/>
      <c r="F79" s="260"/>
      <c r="G79" s="260"/>
      <c r="H79" s="260"/>
      <c r="I79" s="260"/>
      <c r="J79" s="260"/>
      <c r="K79" s="260"/>
      <c r="L79" s="260"/>
      <c r="N79" t="s">
        <v>402</v>
      </c>
      <c r="O79" s="125" t="s">
        <v>467</v>
      </c>
      <c r="P79" t="s">
        <v>537</v>
      </c>
      <c r="Q79" s="125"/>
    </row>
    <row r="80" spans="1:18" x14ac:dyDescent="0.25">
      <c r="A80" s="260"/>
      <c r="B80" s="260"/>
      <c r="C80" s="260"/>
      <c r="D80" s="260"/>
      <c r="E80" s="260"/>
      <c r="F80" s="260"/>
      <c r="G80" s="260"/>
      <c r="H80" s="260"/>
      <c r="I80" s="260"/>
      <c r="J80" s="260"/>
      <c r="K80" s="260"/>
      <c r="L80" s="260"/>
      <c r="N80" t="s">
        <v>403</v>
      </c>
      <c r="O80" s="125" t="s">
        <v>468</v>
      </c>
      <c r="P80" t="s">
        <v>520</v>
      </c>
      <c r="Q80" s="125"/>
    </row>
    <row r="81" spans="1:17" x14ac:dyDescent="0.25">
      <c r="A81" s="260"/>
      <c r="B81" s="260"/>
      <c r="C81" s="260"/>
      <c r="D81" s="260"/>
      <c r="E81" s="260"/>
      <c r="F81" s="260"/>
      <c r="G81" s="260"/>
      <c r="H81" s="260"/>
      <c r="I81" s="260"/>
      <c r="J81" s="260"/>
      <c r="K81" s="260"/>
      <c r="L81" s="260"/>
      <c r="N81" t="s">
        <v>404</v>
      </c>
      <c r="O81" s="125" t="s">
        <v>474</v>
      </c>
      <c r="P81" t="s">
        <v>476</v>
      </c>
      <c r="Q81" s="125" t="s">
        <v>506</v>
      </c>
    </row>
    <row r="82" spans="1:17" x14ac:dyDescent="0.25">
      <c r="A82" s="260"/>
      <c r="B82" s="260"/>
      <c r="C82" s="260"/>
      <c r="D82" s="260"/>
      <c r="E82" s="260"/>
      <c r="F82" s="260"/>
      <c r="G82" s="260"/>
      <c r="H82" s="260"/>
      <c r="I82" s="260"/>
      <c r="J82" s="260"/>
      <c r="K82" s="260"/>
      <c r="L82" s="260"/>
      <c r="N82" t="s">
        <v>405</v>
      </c>
      <c r="O82" s="125" t="s">
        <v>469</v>
      </c>
      <c r="P82" t="s">
        <v>479</v>
      </c>
      <c r="Q82" s="125" t="s">
        <v>504</v>
      </c>
    </row>
    <row r="83" spans="1:17" x14ac:dyDescent="0.25">
      <c r="A83" s="260"/>
      <c r="B83" s="260"/>
      <c r="C83" s="260"/>
      <c r="D83" s="260"/>
      <c r="E83" s="260"/>
      <c r="F83" s="260"/>
      <c r="G83" s="260"/>
      <c r="H83" s="260"/>
      <c r="I83" s="260"/>
      <c r="J83" s="260"/>
      <c r="K83" s="260"/>
      <c r="L83" s="260"/>
      <c r="N83" t="s">
        <v>406</v>
      </c>
      <c r="O83" s="125" t="s">
        <v>474</v>
      </c>
      <c r="P83" t="s">
        <v>521</v>
      </c>
      <c r="Q83" s="125"/>
    </row>
    <row r="84" spans="1:17" x14ac:dyDescent="0.25">
      <c r="A84" s="260"/>
      <c r="B84" s="260"/>
      <c r="C84" s="260"/>
      <c r="D84" s="260"/>
      <c r="E84" s="260"/>
      <c r="F84" s="260"/>
      <c r="G84" s="260"/>
      <c r="H84" s="260"/>
      <c r="I84" s="260"/>
      <c r="J84" s="260"/>
      <c r="K84" s="260"/>
      <c r="L84" s="260"/>
      <c r="N84" t="s">
        <v>407</v>
      </c>
      <c r="O84" s="125" t="s">
        <v>548</v>
      </c>
      <c r="P84" t="s">
        <v>538</v>
      </c>
      <c r="Q84" s="125"/>
    </row>
    <row r="85" spans="1:17" x14ac:dyDescent="0.25">
      <c r="A85" s="260"/>
      <c r="B85" s="260"/>
      <c r="C85" s="260"/>
      <c r="D85" s="260"/>
      <c r="E85" s="260"/>
      <c r="F85" s="260"/>
      <c r="G85" s="260"/>
      <c r="H85" s="260"/>
      <c r="I85" s="260"/>
      <c r="J85" s="260"/>
      <c r="K85" s="260"/>
      <c r="L85" s="260"/>
      <c r="N85" t="s">
        <v>408</v>
      </c>
      <c r="O85" s="125" t="s">
        <v>549</v>
      </c>
      <c r="P85" t="s">
        <v>522</v>
      </c>
      <c r="Q85" s="125"/>
    </row>
    <row r="86" spans="1:17" x14ac:dyDescent="0.25">
      <c r="A86" s="260"/>
      <c r="B86" s="260"/>
      <c r="C86" s="260"/>
      <c r="D86" s="260"/>
      <c r="E86" s="260"/>
      <c r="F86" s="260"/>
      <c r="G86" s="260"/>
      <c r="H86" s="260"/>
      <c r="I86" s="260"/>
      <c r="J86" s="260"/>
      <c r="K86" s="260"/>
      <c r="L86" s="260"/>
      <c r="N86" t="s">
        <v>410</v>
      </c>
      <c r="O86" s="125" t="s">
        <v>470</v>
      </c>
      <c r="P86" t="s">
        <v>477</v>
      </c>
      <c r="Q86" s="125" t="s">
        <v>507</v>
      </c>
    </row>
    <row r="87" spans="1:17" x14ac:dyDescent="0.25">
      <c r="A87" s="260"/>
      <c r="B87" s="260"/>
      <c r="C87" s="260"/>
      <c r="D87" s="260"/>
      <c r="E87" s="260"/>
      <c r="F87" s="260"/>
      <c r="G87" s="260"/>
      <c r="H87" s="260"/>
      <c r="I87" s="260"/>
      <c r="J87" s="260"/>
      <c r="K87" s="260"/>
      <c r="L87" s="260"/>
      <c r="P87" t="s">
        <v>480</v>
      </c>
      <c r="Q87" s="125" t="s">
        <v>504</v>
      </c>
    </row>
    <row r="88" spans="1:17" x14ac:dyDescent="0.25">
      <c r="A88" s="260"/>
      <c r="B88" s="260"/>
      <c r="C88" s="260"/>
      <c r="D88" s="260"/>
      <c r="E88" s="260"/>
      <c r="F88" s="260"/>
      <c r="G88" s="260"/>
      <c r="H88" s="260"/>
      <c r="I88" s="260"/>
      <c r="J88" s="260"/>
      <c r="K88" s="260"/>
      <c r="L88" s="260"/>
      <c r="P88" t="s">
        <v>523</v>
      </c>
      <c r="Q88" s="125"/>
    </row>
    <row r="89" spans="1:17" x14ac:dyDescent="0.25">
      <c r="A89" s="260"/>
      <c r="B89" s="260"/>
      <c r="C89" s="260"/>
      <c r="D89" s="260"/>
      <c r="E89" s="260"/>
      <c r="F89" s="260"/>
      <c r="G89" s="260"/>
      <c r="H89" s="260"/>
      <c r="I89" s="260"/>
      <c r="J89" s="260"/>
      <c r="K89" s="260"/>
      <c r="L89" s="260"/>
      <c r="P89" t="s">
        <v>539</v>
      </c>
      <c r="Q89" s="125"/>
    </row>
    <row r="90" spans="1:17" x14ac:dyDescent="0.25">
      <c r="A90" s="260"/>
      <c r="B90" s="260"/>
      <c r="C90" s="260"/>
      <c r="D90" s="260"/>
      <c r="E90" s="260"/>
      <c r="F90" s="260"/>
      <c r="G90" s="260"/>
      <c r="H90" s="260"/>
      <c r="I90" s="260"/>
      <c r="J90" s="260"/>
      <c r="K90" s="260"/>
      <c r="L90" s="260"/>
      <c r="P90" t="s">
        <v>524</v>
      </c>
      <c r="Q90" s="125"/>
    </row>
    <row r="91" spans="1:17" x14ac:dyDescent="0.25">
      <c r="A91" s="260"/>
      <c r="B91" s="260"/>
      <c r="C91" s="260"/>
      <c r="D91" s="260"/>
      <c r="E91" s="260"/>
      <c r="F91" s="260"/>
      <c r="G91" s="260"/>
      <c r="H91" s="260"/>
      <c r="I91" s="260"/>
      <c r="J91" s="260"/>
      <c r="K91" s="260"/>
      <c r="L91" s="260"/>
      <c r="P91" t="s">
        <v>481</v>
      </c>
      <c r="Q91" s="125" t="s">
        <v>508</v>
      </c>
    </row>
    <row r="92" spans="1:17" x14ac:dyDescent="0.25">
      <c r="A92" s="260"/>
      <c r="B92" s="260"/>
      <c r="C92" s="260"/>
      <c r="D92" s="260"/>
      <c r="E92" s="260"/>
      <c r="F92" s="260"/>
      <c r="G92" s="260"/>
      <c r="H92" s="260"/>
      <c r="I92" s="260"/>
      <c r="J92" s="260"/>
      <c r="K92" s="260"/>
      <c r="L92" s="260"/>
      <c r="P92" t="s">
        <v>482</v>
      </c>
      <c r="Q92" s="125" t="s">
        <v>504</v>
      </c>
    </row>
    <row r="93" spans="1:17" x14ac:dyDescent="0.25">
      <c r="A93" s="260"/>
      <c r="B93" s="260"/>
      <c r="C93" s="260"/>
      <c r="D93" s="260"/>
      <c r="E93" s="260"/>
      <c r="F93" s="260"/>
      <c r="G93" s="260"/>
      <c r="H93" s="260"/>
      <c r="I93" s="260"/>
      <c r="J93" s="260"/>
      <c r="K93" s="260"/>
      <c r="L93" s="260"/>
      <c r="P93" t="s">
        <v>525</v>
      </c>
      <c r="Q93" s="125"/>
    </row>
    <row r="94" spans="1:17" x14ac:dyDescent="0.25">
      <c r="A94" s="260"/>
      <c r="B94" s="260"/>
      <c r="C94" s="260"/>
      <c r="D94" s="260"/>
      <c r="E94" s="260"/>
      <c r="F94" s="260"/>
      <c r="G94" s="260"/>
      <c r="H94" s="260"/>
      <c r="I94" s="260"/>
      <c r="J94" s="260"/>
      <c r="K94" s="260"/>
      <c r="L94" s="260"/>
      <c r="P94" t="s">
        <v>540</v>
      </c>
      <c r="Q94" s="125"/>
    </row>
    <row r="95" spans="1:17" x14ac:dyDescent="0.25">
      <c r="A95" s="260"/>
      <c r="B95" s="260"/>
      <c r="C95" s="260"/>
      <c r="D95" s="260"/>
      <c r="E95" s="260"/>
      <c r="F95" s="260"/>
      <c r="G95" s="260"/>
      <c r="H95" s="260"/>
      <c r="I95" s="260"/>
      <c r="J95" s="260"/>
      <c r="K95" s="260"/>
      <c r="L95" s="260"/>
      <c r="P95" t="s">
        <v>526</v>
      </c>
      <c r="Q95" s="125"/>
    </row>
    <row r="96" spans="1:17" x14ac:dyDescent="0.25">
      <c r="A96" s="260"/>
      <c r="B96" s="260"/>
      <c r="C96" s="260"/>
      <c r="D96" s="260"/>
      <c r="E96" s="260"/>
      <c r="F96" s="260"/>
      <c r="G96" s="260"/>
      <c r="H96" s="260"/>
      <c r="I96" s="260"/>
      <c r="J96" s="260"/>
      <c r="K96" s="260"/>
      <c r="L96" s="260"/>
      <c r="P96" t="s">
        <v>483</v>
      </c>
      <c r="Q96" s="125" t="s">
        <v>509</v>
      </c>
    </row>
    <row r="97" spans="1:17" x14ac:dyDescent="0.25">
      <c r="A97" s="260"/>
      <c r="B97" s="260"/>
      <c r="C97" s="260"/>
      <c r="D97" s="260"/>
      <c r="E97" s="260"/>
      <c r="F97" s="260"/>
      <c r="G97" s="260"/>
      <c r="H97" s="260"/>
      <c r="I97" s="260"/>
      <c r="J97" s="260"/>
      <c r="K97" s="260"/>
      <c r="L97" s="260"/>
      <c r="P97" t="s">
        <v>484</v>
      </c>
      <c r="Q97" s="125" t="s">
        <v>504</v>
      </c>
    </row>
    <row r="98" spans="1:17" x14ac:dyDescent="0.25">
      <c r="A98" s="260"/>
      <c r="B98" s="260"/>
      <c r="C98" s="260"/>
      <c r="D98" s="260"/>
      <c r="E98" s="260"/>
      <c r="F98" s="260"/>
      <c r="G98" s="260"/>
      <c r="H98" s="260"/>
      <c r="I98" s="260"/>
      <c r="J98" s="260"/>
      <c r="K98" s="260"/>
      <c r="L98" s="260"/>
      <c r="P98" t="s">
        <v>527</v>
      </c>
      <c r="Q98" s="125"/>
    </row>
    <row r="99" spans="1:17" x14ac:dyDescent="0.25">
      <c r="A99" s="260"/>
      <c r="B99" s="260"/>
      <c r="C99" s="260"/>
      <c r="D99" s="260"/>
      <c r="E99" s="260"/>
      <c r="F99" s="260"/>
      <c r="G99" s="260"/>
      <c r="H99" s="260"/>
      <c r="I99" s="260"/>
      <c r="J99" s="260"/>
      <c r="K99" s="260"/>
      <c r="L99" s="260"/>
      <c r="P99" t="s">
        <v>541</v>
      </c>
      <c r="Q99" s="125"/>
    </row>
    <row r="100" spans="1:17" x14ac:dyDescent="0.25">
      <c r="A100" s="260"/>
      <c r="B100" s="260"/>
      <c r="C100" s="260"/>
      <c r="D100" s="260"/>
      <c r="E100" s="260"/>
      <c r="F100" s="260"/>
      <c r="G100" s="260"/>
      <c r="H100" s="260"/>
      <c r="I100" s="260"/>
      <c r="J100" s="260"/>
      <c r="K100" s="260"/>
      <c r="L100" s="260"/>
      <c r="P100" t="s">
        <v>528</v>
      </c>
      <c r="Q100" s="125"/>
    </row>
    <row r="101" spans="1:17" x14ac:dyDescent="0.25">
      <c r="A101" s="260"/>
      <c r="B101" s="260"/>
      <c r="C101" s="260"/>
      <c r="D101" s="260"/>
      <c r="E101" s="260"/>
      <c r="F101" s="260"/>
      <c r="G101" s="260"/>
      <c r="H101" s="260"/>
      <c r="I101" s="260"/>
      <c r="J101" s="260"/>
      <c r="K101" s="260"/>
      <c r="L101" s="260"/>
      <c r="P101" t="s">
        <v>485</v>
      </c>
      <c r="Q101" s="125" t="s">
        <v>510</v>
      </c>
    </row>
    <row r="102" spans="1:17" x14ac:dyDescent="0.25">
      <c r="A102" s="260"/>
      <c r="B102" s="260"/>
      <c r="C102" s="260"/>
      <c r="D102" s="260"/>
      <c r="E102" s="260"/>
      <c r="F102" s="260"/>
      <c r="G102" s="260"/>
      <c r="H102" s="260"/>
      <c r="I102" s="260"/>
      <c r="J102" s="260"/>
      <c r="K102" s="260"/>
      <c r="L102" s="260"/>
      <c r="P102" t="s">
        <v>486</v>
      </c>
      <c r="Q102" s="125" t="s">
        <v>504</v>
      </c>
    </row>
    <row r="103" spans="1:17" x14ac:dyDescent="0.25">
      <c r="A103" s="260"/>
      <c r="B103" s="260"/>
      <c r="C103" s="260"/>
      <c r="D103" s="260"/>
      <c r="E103" s="260"/>
      <c r="F103" s="260"/>
      <c r="G103" s="260"/>
      <c r="H103" s="260"/>
      <c r="I103" s="260"/>
      <c r="J103" s="260"/>
      <c r="K103" s="260"/>
      <c r="L103" s="260"/>
      <c r="P103" t="s">
        <v>529</v>
      </c>
      <c r="Q103" s="125"/>
    </row>
    <row r="104" spans="1:17" x14ac:dyDescent="0.25">
      <c r="A104" s="260"/>
      <c r="B104" s="260"/>
      <c r="C104" s="260"/>
      <c r="D104" s="260"/>
      <c r="E104" s="260"/>
      <c r="F104" s="260"/>
      <c r="G104" s="260"/>
      <c r="H104" s="260"/>
      <c r="I104" s="260"/>
      <c r="J104" s="260"/>
      <c r="K104" s="260"/>
      <c r="L104" s="260"/>
      <c r="P104" t="s">
        <v>542</v>
      </c>
      <c r="Q104" s="125"/>
    </row>
    <row r="105" spans="1:17" x14ac:dyDescent="0.25">
      <c r="A105" s="260"/>
      <c r="B105" s="260"/>
      <c r="C105" s="260"/>
      <c r="D105" s="260"/>
      <c r="E105" s="260"/>
      <c r="F105" s="260"/>
      <c r="G105" s="260"/>
      <c r="H105" s="260"/>
      <c r="I105" s="260"/>
      <c r="J105" s="260"/>
      <c r="K105" s="260"/>
      <c r="L105" s="260"/>
      <c r="P105" t="s">
        <v>530</v>
      </c>
      <c r="Q105" s="125"/>
    </row>
    <row r="106" spans="1:17" x14ac:dyDescent="0.25">
      <c r="A106" s="260"/>
      <c r="B106" s="260"/>
      <c r="C106" s="260"/>
      <c r="D106" s="260"/>
      <c r="E106" s="260"/>
      <c r="F106" s="260"/>
      <c r="G106" s="260"/>
      <c r="H106" s="260"/>
      <c r="I106" s="260"/>
      <c r="J106" s="260"/>
      <c r="K106" s="260"/>
      <c r="L106" s="260"/>
      <c r="P106" t="s">
        <v>487</v>
      </c>
      <c r="Q106" s="125" t="s">
        <v>511</v>
      </c>
    </row>
    <row r="107" spans="1:17" x14ac:dyDescent="0.25">
      <c r="A107" s="260"/>
      <c r="B107" s="260"/>
      <c r="C107" s="260"/>
      <c r="D107" s="260"/>
      <c r="E107" s="260"/>
      <c r="F107" s="260"/>
      <c r="G107" s="260"/>
      <c r="H107" s="260"/>
      <c r="I107" s="260"/>
      <c r="J107" s="260"/>
      <c r="K107" s="260"/>
      <c r="L107" s="260"/>
      <c r="P107" t="s">
        <v>488</v>
      </c>
      <c r="Q107" s="125" t="s">
        <v>504</v>
      </c>
    </row>
    <row r="108" spans="1:17" x14ac:dyDescent="0.25">
      <c r="A108" s="260"/>
      <c r="B108" s="260"/>
      <c r="C108" s="260"/>
      <c r="D108" s="260"/>
      <c r="E108" s="260"/>
      <c r="F108" s="260"/>
      <c r="G108" s="260"/>
      <c r="H108" s="260"/>
      <c r="I108" s="260"/>
      <c r="J108" s="260"/>
      <c r="K108" s="260"/>
      <c r="L108" s="260"/>
      <c r="P108" t="s">
        <v>531</v>
      </c>
      <c r="Q108" s="125"/>
    </row>
    <row r="109" spans="1:17" x14ac:dyDescent="0.25">
      <c r="A109" s="260"/>
      <c r="B109" s="260"/>
      <c r="C109" s="260"/>
      <c r="D109" s="260"/>
      <c r="E109" s="260"/>
      <c r="F109" s="260"/>
      <c r="G109" s="260"/>
      <c r="H109" s="260"/>
      <c r="I109" s="260"/>
      <c r="J109" s="260"/>
      <c r="K109" s="260"/>
      <c r="L109" s="260"/>
      <c r="P109" t="s">
        <v>543</v>
      </c>
      <c r="Q109" s="125"/>
    </row>
    <row r="110" spans="1:17" x14ac:dyDescent="0.25">
      <c r="A110" s="260"/>
      <c r="B110" s="260"/>
      <c r="C110" s="260"/>
      <c r="D110" s="260"/>
      <c r="E110" s="260"/>
      <c r="F110" s="260"/>
      <c r="G110" s="260"/>
      <c r="H110" s="260"/>
      <c r="I110" s="260"/>
      <c r="J110" s="260"/>
      <c r="K110" s="260"/>
      <c r="L110" s="260"/>
      <c r="P110" t="s">
        <v>532</v>
      </c>
      <c r="Q110" s="125"/>
    </row>
    <row r="111" spans="1:17" x14ac:dyDescent="0.25">
      <c r="A111" s="260"/>
      <c r="B111" s="260"/>
      <c r="C111" s="260"/>
      <c r="D111" s="260"/>
      <c r="E111" s="260"/>
      <c r="F111" s="260"/>
      <c r="G111" s="260"/>
      <c r="H111" s="260"/>
      <c r="I111" s="260"/>
      <c r="J111" s="260"/>
      <c r="K111" s="260"/>
      <c r="L111" s="260"/>
      <c r="P111" t="s">
        <v>489</v>
      </c>
      <c r="Q111" s="125" t="s">
        <v>512</v>
      </c>
    </row>
    <row r="112" spans="1:17" x14ac:dyDescent="0.25">
      <c r="A112" s="260"/>
      <c r="B112" s="260"/>
      <c r="C112" s="260"/>
      <c r="D112" s="260"/>
      <c r="E112" s="260"/>
      <c r="F112" s="260"/>
      <c r="G112" s="260"/>
      <c r="H112" s="260"/>
      <c r="I112" s="260"/>
      <c r="J112" s="260"/>
      <c r="K112" s="260"/>
      <c r="L112" s="260"/>
      <c r="P112" t="s">
        <v>490</v>
      </c>
      <c r="Q112" s="125" t="s">
        <v>504</v>
      </c>
    </row>
    <row r="113" spans="1:17" x14ac:dyDescent="0.25">
      <c r="A113" s="260"/>
      <c r="B113" s="260"/>
      <c r="C113" s="260"/>
      <c r="D113" s="260"/>
      <c r="E113" s="260"/>
      <c r="F113" s="260"/>
      <c r="G113" s="260"/>
      <c r="H113" s="260"/>
      <c r="I113" s="260"/>
      <c r="J113" s="260"/>
      <c r="K113" s="260"/>
      <c r="L113" s="260"/>
      <c r="P113" t="s">
        <v>533</v>
      </c>
      <c r="Q113" s="125"/>
    </row>
    <row r="114" spans="1:17" x14ac:dyDescent="0.25">
      <c r="A114" s="260"/>
      <c r="B114" s="260"/>
      <c r="C114" s="260"/>
      <c r="D114" s="260"/>
      <c r="E114" s="260"/>
      <c r="F114" s="260"/>
      <c r="G114" s="260"/>
      <c r="H114" s="260"/>
      <c r="I114" s="260"/>
      <c r="J114" s="260"/>
      <c r="K114" s="260"/>
      <c r="L114" s="260"/>
      <c r="P114" t="s">
        <v>544</v>
      </c>
      <c r="Q114" s="125"/>
    </row>
    <row r="115" spans="1:17" x14ac:dyDescent="0.25">
      <c r="A115" s="260"/>
      <c r="B115" s="260"/>
      <c r="C115" s="260"/>
      <c r="D115" s="260"/>
      <c r="E115" s="260"/>
      <c r="F115" s="260"/>
      <c r="G115" s="260"/>
      <c r="H115" s="260"/>
      <c r="I115" s="260"/>
      <c r="J115" s="260"/>
      <c r="K115" s="260"/>
      <c r="L115" s="260"/>
      <c r="P115" t="s">
        <v>534</v>
      </c>
      <c r="Q115" s="125"/>
    </row>
    <row r="116" spans="1:17" x14ac:dyDescent="0.25">
      <c r="A116" s="260"/>
      <c r="B116" s="260"/>
      <c r="C116" s="260"/>
      <c r="D116" s="260"/>
      <c r="E116" s="260"/>
      <c r="F116" s="260"/>
      <c r="G116" s="260"/>
      <c r="H116" s="260"/>
      <c r="I116" s="260"/>
      <c r="J116" s="260"/>
      <c r="K116" s="260"/>
      <c r="L116" s="260"/>
      <c r="P116" t="s">
        <v>491</v>
      </c>
      <c r="Q116" s="125" t="s">
        <v>513</v>
      </c>
    </row>
    <row r="117" spans="1:17" x14ac:dyDescent="0.25">
      <c r="A117" s="260"/>
      <c r="B117" s="260"/>
      <c r="C117" s="260"/>
      <c r="D117" s="260"/>
      <c r="E117" s="260"/>
      <c r="F117" s="260"/>
      <c r="G117" s="260"/>
      <c r="H117" s="260"/>
      <c r="I117" s="260"/>
      <c r="J117" s="260"/>
      <c r="K117" s="260"/>
      <c r="L117" s="260"/>
      <c r="P117" t="s">
        <v>492</v>
      </c>
      <c r="Q117" s="125" t="s">
        <v>504</v>
      </c>
    </row>
    <row r="118" spans="1:17" x14ac:dyDescent="0.25">
      <c r="A118" s="260"/>
      <c r="B118" s="260"/>
      <c r="C118" s="260"/>
      <c r="D118" s="260"/>
      <c r="E118" s="260"/>
      <c r="F118" s="260"/>
      <c r="G118" s="260"/>
      <c r="H118" s="260"/>
      <c r="I118" s="260"/>
      <c r="J118" s="260"/>
      <c r="K118" s="260"/>
      <c r="L118" s="260"/>
      <c r="P118" t="s">
        <v>535</v>
      </c>
      <c r="Q118" s="125"/>
    </row>
    <row r="119" spans="1:17" x14ac:dyDescent="0.25">
      <c r="A119" s="260"/>
      <c r="B119" s="260"/>
      <c r="C119" s="260"/>
      <c r="D119" s="260"/>
      <c r="E119" s="260"/>
      <c r="F119" s="260"/>
      <c r="G119" s="260"/>
      <c r="H119" s="260"/>
      <c r="I119" s="260"/>
      <c r="J119" s="260"/>
      <c r="K119" s="260"/>
      <c r="L119" s="260"/>
      <c r="P119" t="s">
        <v>545</v>
      </c>
      <c r="Q119" s="125"/>
    </row>
    <row r="120" spans="1:17" x14ac:dyDescent="0.25">
      <c r="A120" s="260"/>
      <c r="B120" s="260"/>
      <c r="C120" s="260"/>
      <c r="D120" s="260"/>
      <c r="E120" s="260"/>
      <c r="F120" s="260"/>
      <c r="G120" s="260"/>
      <c r="H120" s="260"/>
      <c r="I120" s="260"/>
      <c r="J120" s="260"/>
      <c r="K120" s="260"/>
      <c r="L120" s="260"/>
      <c r="P120" t="s">
        <v>536</v>
      </c>
      <c r="Q120" s="125"/>
    </row>
    <row r="121" spans="1:17" x14ac:dyDescent="0.25">
      <c r="A121" s="260"/>
      <c r="B121" s="260"/>
      <c r="C121" s="260"/>
      <c r="D121" s="260"/>
      <c r="E121" s="260"/>
      <c r="F121" s="260"/>
      <c r="G121" s="260"/>
      <c r="H121" s="260"/>
      <c r="I121" s="260"/>
      <c r="J121" s="260"/>
      <c r="K121" s="260"/>
      <c r="L121" s="260"/>
      <c r="P121" t="s">
        <v>546</v>
      </c>
      <c r="Q121" s="125" t="s">
        <v>547</v>
      </c>
    </row>
    <row r="122" spans="1:17" x14ac:dyDescent="0.25">
      <c r="A122" s="260"/>
      <c r="B122" s="260"/>
      <c r="C122" s="260"/>
      <c r="D122" s="260"/>
      <c r="E122" s="260"/>
      <c r="F122" s="260"/>
      <c r="G122" s="260"/>
      <c r="H122" s="260"/>
      <c r="I122" s="260"/>
      <c r="J122" s="260"/>
      <c r="K122" s="260"/>
      <c r="L122" s="260"/>
      <c r="P122" t="s">
        <v>493</v>
      </c>
      <c r="Q122" s="125" t="s">
        <v>514</v>
      </c>
    </row>
    <row r="123" spans="1:17" x14ac:dyDescent="0.25">
      <c r="A123" s="260"/>
      <c r="B123" s="260"/>
      <c r="C123" s="260"/>
      <c r="D123" s="260"/>
      <c r="E123" s="260"/>
      <c r="F123" s="260"/>
      <c r="G123" s="260"/>
      <c r="H123" s="260"/>
      <c r="I123" s="260"/>
      <c r="J123" s="260"/>
      <c r="K123" s="260"/>
      <c r="L123" s="260"/>
      <c r="P123" t="s">
        <v>494</v>
      </c>
      <c r="Q123" s="125" t="s">
        <v>504</v>
      </c>
    </row>
    <row r="124" spans="1:17" x14ac:dyDescent="0.25">
      <c r="A124" s="260"/>
      <c r="B124" s="260"/>
      <c r="C124" s="260"/>
      <c r="D124" s="260"/>
      <c r="E124" s="260"/>
      <c r="F124" s="260"/>
      <c r="G124" s="260"/>
      <c r="H124" s="260"/>
      <c r="I124" s="260"/>
      <c r="J124" s="260"/>
      <c r="K124" s="260"/>
      <c r="L124" s="260"/>
      <c r="P124" t="s">
        <v>495</v>
      </c>
      <c r="Q124" s="125" t="s">
        <v>515</v>
      </c>
    </row>
    <row r="125" spans="1:17" x14ac:dyDescent="0.25">
      <c r="A125" s="260"/>
      <c r="B125" s="260"/>
      <c r="C125" s="260"/>
      <c r="D125" s="260"/>
      <c r="E125" s="260"/>
      <c r="F125" s="260"/>
      <c r="G125" s="260"/>
      <c r="H125" s="260"/>
      <c r="I125" s="260"/>
      <c r="J125" s="260"/>
      <c r="K125" s="260"/>
      <c r="L125" s="260"/>
      <c r="P125" t="s">
        <v>496</v>
      </c>
      <c r="Q125" s="125" t="s">
        <v>516</v>
      </c>
    </row>
    <row r="126" spans="1:17" x14ac:dyDescent="0.25">
      <c r="A126" s="260"/>
      <c r="B126" s="260"/>
      <c r="C126" s="260"/>
      <c r="D126" s="260"/>
      <c r="E126" s="260"/>
      <c r="F126" s="260"/>
      <c r="G126" s="260"/>
      <c r="H126" s="260"/>
      <c r="I126" s="260"/>
      <c r="J126" s="260"/>
      <c r="K126" s="260"/>
      <c r="L126" s="260"/>
      <c r="P126" t="s">
        <v>497</v>
      </c>
      <c r="Q126" s="125" t="s">
        <v>504</v>
      </c>
    </row>
    <row r="127" spans="1:17" x14ac:dyDescent="0.25">
      <c r="A127" s="260"/>
      <c r="B127" s="260"/>
      <c r="C127" s="260"/>
      <c r="D127" s="260"/>
      <c r="E127" s="260"/>
      <c r="F127" s="260"/>
      <c r="G127" s="260"/>
      <c r="H127" s="260"/>
      <c r="I127" s="260"/>
      <c r="J127" s="260"/>
      <c r="K127" s="260"/>
      <c r="L127" s="260"/>
      <c r="P127" t="s">
        <v>498</v>
      </c>
      <c r="Q127" s="125" t="s">
        <v>517</v>
      </c>
    </row>
    <row r="128" spans="1:17" x14ac:dyDescent="0.25">
      <c r="A128" s="260"/>
      <c r="B128" s="260"/>
      <c r="C128" s="260"/>
      <c r="D128" s="260"/>
      <c r="E128" s="260"/>
      <c r="F128" s="260"/>
      <c r="G128" s="260"/>
      <c r="H128" s="260"/>
      <c r="I128" s="260"/>
      <c r="J128" s="260"/>
      <c r="K128" s="260"/>
      <c r="L128" s="260"/>
      <c r="P128" t="s">
        <v>415</v>
      </c>
      <c r="Q128" s="125" t="s">
        <v>518</v>
      </c>
    </row>
    <row r="129" spans="1:17" x14ac:dyDescent="0.25">
      <c r="A129" s="260"/>
      <c r="B129" s="260"/>
      <c r="C129" s="260"/>
      <c r="D129" s="260"/>
      <c r="E129" s="260"/>
      <c r="F129" s="260"/>
      <c r="G129" s="260"/>
      <c r="H129" s="260"/>
      <c r="I129" s="260"/>
      <c r="J129" s="260"/>
      <c r="K129" s="260"/>
      <c r="L129" s="260"/>
      <c r="P129" t="s">
        <v>561</v>
      </c>
      <c r="Q129" s="125"/>
    </row>
    <row r="130" spans="1:17" x14ac:dyDescent="0.25">
      <c r="A130" s="260"/>
      <c r="B130" s="260"/>
      <c r="C130" s="260"/>
      <c r="D130" s="260"/>
      <c r="E130" s="260"/>
      <c r="F130" s="260"/>
      <c r="G130" s="260"/>
      <c r="H130" s="260"/>
      <c r="I130" s="260"/>
      <c r="J130" s="260"/>
      <c r="K130" s="260"/>
      <c r="L130" s="260"/>
      <c r="P130" t="s">
        <v>559</v>
      </c>
      <c r="Q130" s="125" t="s">
        <v>563</v>
      </c>
    </row>
    <row r="131" spans="1:17" x14ac:dyDescent="0.25">
      <c r="A131" s="260"/>
      <c r="B131" s="260"/>
      <c r="C131" s="260"/>
      <c r="D131" s="260"/>
      <c r="E131" s="260"/>
      <c r="F131" s="260"/>
      <c r="G131" s="260"/>
      <c r="H131" s="260"/>
      <c r="I131" s="260"/>
      <c r="J131" s="260"/>
      <c r="K131" s="260"/>
      <c r="L131" s="260"/>
      <c r="P131" t="s">
        <v>560</v>
      </c>
      <c r="Q131" s="125" t="s">
        <v>564</v>
      </c>
    </row>
    <row r="132" spans="1:17" x14ac:dyDescent="0.25">
      <c r="A132" s="260"/>
      <c r="B132" s="260"/>
      <c r="C132" s="260"/>
      <c r="D132" s="260"/>
      <c r="E132" s="260"/>
      <c r="F132" s="260"/>
      <c r="G132" s="260"/>
      <c r="H132" s="260"/>
      <c r="I132" s="260"/>
      <c r="J132" s="260"/>
      <c r="K132" s="260"/>
      <c r="L132" s="260"/>
      <c r="P132" t="s">
        <v>558</v>
      </c>
      <c r="Q132" s="125" t="s">
        <v>565</v>
      </c>
    </row>
    <row r="133" spans="1:17" x14ac:dyDescent="0.25">
      <c r="A133" s="260"/>
      <c r="B133" s="260"/>
      <c r="C133" s="260"/>
      <c r="D133" s="260"/>
      <c r="E133" s="260"/>
      <c r="F133" s="260"/>
      <c r="G133" s="260"/>
      <c r="H133" s="260"/>
      <c r="I133" s="260"/>
      <c r="J133" s="260"/>
      <c r="K133" s="260"/>
      <c r="L133" s="260"/>
      <c r="P133" t="s">
        <v>562</v>
      </c>
      <c r="Q133" s="125" t="s">
        <v>566</v>
      </c>
    </row>
    <row r="134" spans="1:17" x14ac:dyDescent="0.25">
      <c r="A134" s="260"/>
      <c r="B134" s="260"/>
      <c r="C134" s="260"/>
      <c r="D134" s="260"/>
      <c r="E134" s="260"/>
      <c r="F134" s="260"/>
      <c r="G134" s="260"/>
      <c r="H134" s="260"/>
      <c r="I134" s="260"/>
      <c r="J134" s="260"/>
      <c r="K134" s="260"/>
      <c r="L134" s="260"/>
      <c r="P134" t="s">
        <v>557</v>
      </c>
      <c r="Q134" s="125" t="s">
        <v>571</v>
      </c>
    </row>
    <row r="135" spans="1:17" x14ac:dyDescent="0.25">
      <c r="A135" s="260"/>
      <c r="B135" s="260"/>
      <c r="C135" s="260"/>
      <c r="D135" s="260"/>
      <c r="E135" s="260"/>
      <c r="F135" s="260"/>
      <c r="G135" s="260"/>
      <c r="H135" s="260"/>
      <c r="I135" s="260"/>
      <c r="J135" s="260"/>
      <c r="K135" s="260"/>
      <c r="L135" s="260"/>
      <c r="P135" t="s">
        <v>556</v>
      </c>
      <c r="Q135" s="125" t="s">
        <v>567</v>
      </c>
    </row>
    <row r="136" spans="1:17" x14ac:dyDescent="0.25">
      <c r="A136" s="260"/>
      <c r="B136" s="260"/>
      <c r="C136" s="260"/>
      <c r="D136" s="260"/>
      <c r="E136" s="260"/>
      <c r="F136" s="260"/>
      <c r="G136" s="260"/>
      <c r="H136" s="260"/>
      <c r="I136" s="260"/>
      <c r="J136" s="260"/>
      <c r="K136" s="260"/>
      <c r="L136" s="260"/>
    </row>
    <row r="137" spans="1:17" x14ac:dyDescent="0.25">
      <c r="A137" s="260"/>
      <c r="B137" s="260"/>
      <c r="C137" s="260"/>
      <c r="D137" s="260"/>
      <c r="E137" s="260"/>
      <c r="F137" s="260"/>
      <c r="G137" s="260"/>
      <c r="H137" s="260"/>
      <c r="I137" s="260"/>
      <c r="J137" s="260"/>
      <c r="K137" s="260"/>
      <c r="L137" s="260"/>
      <c r="Q137" s="147" t="s">
        <v>568</v>
      </c>
    </row>
    <row r="138" spans="1:17" x14ac:dyDescent="0.25">
      <c r="A138" s="260"/>
      <c r="B138" s="260"/>
      <c r="C138" s="260"/>
      <c r="D138" s="260"/>
      <c r="E138" s="260"/>
      <c r="F138" s="260"/>
      <c r="G138" s="260"/>
      <c r="H138" s="260"/>
      <c r="I138" s="260"/>
      <c r="J138" s="260"/>
      <c r="K138" s="260"/>
      <c r="L138" s="260"/>
    </row>
    <row r="139" spans="1:17" x14ac:dyDescent="0.25">
      <c r="A139" s="260"/>
      <c r="B139" s="260"/>
      <c r="C139" s="260"/>
      <c r="D139" s="260"/>
      <c r="E139" s="260"/>
      <c r="F139" s="260"/>
      <c r="G139" s="260"/>
      <c r="H139" s="260"/>
      <c r="I139" s="260"/>
      <c r="J139" s="260"/>
      <c r="K139" s="260"/>
      <c r="L139" s="260"/>
    </row>
    <row r="140" spans="1:17" x14ac:dyDescent="0.25">
      <c r="A140" s="260"/>
      <c r="B140" s="260"/>
      <c r="C140" s="260"/>
      <c r="D140" s="260"/>
      <c r="E140" s="260"/>
      <c r="F140" s="260"/>
      <c r="G140" s="260"/>
      <c r="H140" s="260"/>
      <c r="I140" s="260"/>
      <c r="J140" s="260"/>
      <c r="K140" s="260"/>
      <c r="L140" s="260"/>
    </row>
    <row r="141" spans="1:17" x14ac:dyDescent="0.25">
      <c r="A141" s="260"/>
      <c r="B141" s="260"/>
      <c r="C141" s="260"/>
      <c r="D141" s="260"/>
      <c r="E141" s="260"/>
      <c r="F141" s="260"/>
      <c r="G141" s="260"/>
      <c r="H141" s="260"/>
      <c r="I141" s="260"/>
      <c r="J141" s="260"/>
      <c r="K141" s="260"/>
      <c r="L141" s="260"/>
    </row>
    <row r="142" spans="1:17" x14ac:dyDescent="0.25">
      <c r="A142" s="260"/>
      <c r="B142" s="260"/>
      <c r="C142" s="260"/>
      <c r="D142" s="260"/>
      <c r="E142" s="260"/>
      <c r="F142" s="260"/>
      <c r="G142" s="260"/>
      <c r="H142" s="260"/>
      <c r="I142" s="260"/>
      <c r="J142" s="260"/>
      <c r="K142" s="260"/>
      <c r="L142" s="260"/>
    </row>
    <row r="143" spans="1:17" x14ac:dyDescent="0.25">
      <c r="A143" s="260"/>
      <c r="B143" s="260"/>
      <c r="C143" s="260"/>
      <c r="D143" s="260"/>
      <c r="E143" s="260"/>
      <c r="F143" s="260"/>
      <c r="G143" s="260"/>
      <c r="H143" s="260"/>
      <c r="I143" s="260"/>
      <c r="J143" s="260"/>
      <c r="K143" s="260"/>
      <c r="L143" s="260"/>
    </row>
    <row r="144" spans="1:17" x14ac:dyDescent="0.25">
      <c r="A144" s="260"/>
      <c r="B144" s="260"/>
      <c r="C144" s="260"/>
      <c r="D144" s="260"/>
      <c r="E144" s="260"/>
      <c r="F144" s="260"/>
      <c r="G144" s="260"/>
      <c r="H144" s="260"/>
      <c r="I144" s="260"/>
      <c r="J144" s="260"/>
      <c r="K144" s="260"/>
      <c r="L144" s="260"/>
    </row>
    <row r="145" spans="1:12" x14ac:dyDescent="0.25">
      <c r="A145" s="260"/>
      <c r="B145" s="260"/>
      <c r="C145" s="260"/>
      <c r="D145" s="260"/>
      <c r="E145" s="260"/>
      <c r="F145" s="260"/>
      <c r="G145" s="260"/>
      <c r="H145" s="260"/>
      <c r="I145" s="260"/>
      <c r="J145" s="260"/>
      <c r="K145" s="260"/>
      <c r="L145" s="260"/>
    </row>
    <row r="146" spans="1:12" x14ac:dyDescent="0.25">
      <c r="A146" s="260"/>
      <c r="B146" s="260"/>
      <c r="C146" s="260"/>
      <c r="D146" s="260"/>
      <c r="E146" s="260"/>
      <c r="F146" s="260"/>
      <c r="G146" s="260"/>
      <c r="H146" s="260"/>
      <c r="I146" s="260"/>
      <c r="J146" s="260"/>
      <c r="K146" s="260"/>
      <c r="L146" s="260"/>
    </row>
    <row r="147" spans="1:12" x14ac:dyDescent="0.25">
      <c r="A147" s="260"/>
      <c r="B147" s="260"/>
      <c r="C147" s="260"/>
      <c r="D147" s="260"/>
      <c r="E147" s="260"/>
      <c r="F147" s="260"/>
      <c r="G147" s="260"/>
      <c r="H147" s="260"/>
      <c r="I147" s="260"/>
      <c r="J147" s="260"/>
      <c r="K147" s="260"/>
      <c r="L147" s="260"/>
    </row>
    <row r="148" spans="1:12" x14ac:dyDescent="0.25">
      <c r="A148" s="260"/>
      <c r="B148" s="260"/>
      <c r="C148" s="260"/>
      <c r="D148" s="260"/>
      <c r="E148" s="260"/>
      <c r="F148" s="260"/>
      <c r="G148" s="260"/>
      <c r="H148" s="260"/>
      <c r="I148" s="260"/>
      <c r="J148" s="260"/>
      <c r="K148" s="260"/>
      <c r="L148" s="260"/>
    </row>
    <row r="149" spans="1:12" x14ac:dyDescent="0.25">
      <c r="A149" s="260"/>
      <c r="B149" s="260"/>
      <c r="C149" s="260"/>
      <c r="D149" s="260"/>
      <c r="E149" s="260"/>
      <c r="F149" s="260"/>
      <c r="G149" s="260"/>
      <c r="H149" s="260"/>
      <c r="I149" s="260"/>
      <c r="J149" s="260"/>
      <c r="K149" s="260"/>
      <c r="L149" s="260"/>
    </row>
    <row r="150" spans="1:12" x14ac:dyDescent="0.25">
      <c r="A150" s="260"/>
      <c r="B150" s="260"/>
      <c r="C150" s="260"/>
      <c r="D150" s="260"/>
      <c r="E150" s="260"/>
      <c r="F150" s="260"/>
      <c r="G150" s="260"/>
      <c r="H150" s="260"/>
      <c r="I150" s="260"/>
      <c r="J150" s="260"/>
      <c r="K150" s="260"/>
      <c r="L150" s="260"/>
    </row>
    <row r="151" spans="1:12" x14ac:dyDescent="0.25">
      <c r="A151" s="260"/>
      <c r="B151" s="260"/>
      <c r="C151" s="260"/>
      <c r="D151" s="260"/>
      <c r="E151" s="260"/>
      <c r="F151" s="260"/>
      <c r="G151" s="260"/>
      <c r="H151" s="260"/>
      <c r="I151" s="260"/>
      <c r="J151" s="260"/>
      <c r="K151" s="260"/>
      <c r="L151" s="260"/>
    </row>
    <row r="152" spans="1:12" x14ac:dyDescent="0.25">
      <c r="A152" s="260"/>
      <c r="B152" s="260"/>
      <c r="C152" s="260"/>
      <c r="D152" s="260"/>
      <c r="E152" s="260"/>
      <c r="F152" s="260"/>
      <c r="G152" s="260"/>
      <c r="H152" s="260"/>
      <c r="I152" s="260"/>
      <c r="J152" s="260"/>
      <c r="K152" s="260"/>
      <c r="L152" s="260"/>
    </row>
    <row r="153" spans="1:12" x14ac:dyDescent="0.25">
      <c r="A153" s="260"/>
      <c r="B153" s="260"/>
      <c r="C153" s="260"/>
      <c r="D153" s="260"/>
      <c r="E153" s="260"/>
      <c r="F153" s="260"/>
      <c r="G153" s="260"/>
      <c r="H153" s="260"/>
      <c r="I153" s="260"/>
      <c r="J153" s="260"/>
      <c r="K153" s="260"/>
      <c r="L153" s="260"/>
    </row>
    <row r="154" spans="1:12" x14ac:dyDescent="0.25">
      <c r="A154" s="260"/>
      <c r="B154" s="260"/>
      <c r="C154" s="260"/>
      <c r="D154" s="260"/>
      <c r="E154" s="260"/>
      <c r="F154" s="260"/>
      <c r="G154" s="260"/>
      <c r="H154" s="260"/>
      <c r="I154" s="260"/>
      <c r="J154" s="260"/>
      <c r="K154" s="260"/>
      <c r="L154" s="260"/>
    </row>
    <row r="155" spans="1:12" x14ac:dyDescent="0.25">
      <c r="A155" s="260"/>
      <c r="B155" s="260"/>
      <c r="C155" s="260"/>
      <c r="D155" s="260"/>
      <c r="E155" s="260"/>
      <c r="F155" s="260"/>
      <c r="G155" s="260"/>
      <c r="H155" s="260"/>
      <c r="I155" s="260"/>
      <c r="J155" s="260"/>
      <c r="K155" s="260"/>
      <c r="L155" s="260"/>
    </row>
    <row r="156" spans="1:12" x14ac:dyDescent="0.25">
      <c r="A156" s="260"/>
      <c r="B156" s="260"/>
      <c r="C156" s="260"/>
      <c r="D156" s="260"/>
      <c r="E156" s="260"/>
      <c r="F156" s="260"/>
      <c r="G156" s="260"/>
      <c r="H156" s="260"/>
      <c r="I156" s="260"/>
      <c r="J156" s="260"/>
      <c r="K156" s="260"/>
      <c r="L156" s="260"/>
    </row>
    <row r="157" spans="1:12" x14ac:dyDescent="0.25">
      <c r="A157" s="260"/>
      <c r="B157" s="260"/>
      <c r="C157" s="260"/>
      <c r="D157" s="260"/>
      <c r="E157" s="260"/>
      <c r="F157" s="260"/>
      <c r="G157" s="260"/>
      <c r="H157" s="260"/>
      <c r="I157" s="260"/>
      <c r="J157" s="260"/>
      <c r="K157" s="260"/>
      <c r="L157" s="260"/>
    </row>
    <row r="158" spans="1:12" x14ac:dyDescent="0.25">
      <c r="A158" s="260"/>
      <c r="B158" s="260"/>
      <c r="C158" s="260"/>
      <c r="D158" s="260"/>
      <c r="E158" s="260"/>
      <c r="F158" s="260"/>
      <c r="G158" s="260"/>
      <c r="H158" s="260"/>
      <c r="I158" s="260"/>
      <c r="J158" s="260"/>
      <c r="K158" s="260"/>
      <c r="L158" s="260"/>
    </row>
    <row r="159" spans="1:12" x14ac:dyDescent="0.25">
      <c r="A159" s="260"/>
      <c r="B159" s="260"/>
      <c r="C159" s="260"/>
      <c r="D159" s="260"/>
      <c r="E159" s="260"/>
      <c r="F159" s="260"/>
      <c r="G159" s="260"/>
      <c r="H159" s="260"/>
      <c r="I159" s="260"/>
      <c r="J159" s="260"/>
      <c r="K159" s="260"/>
      <c r="L159" s="260"/>
    </row>
    <row r="160" spans="1:12" x14ac:dyDescent="0.25">
      <c r="A160" s="260"/>
      <c r="B160" s="260"/>
      <c r="C160" s="260"/>
      <c r="D160" s="260"/>
      <c r="E160" s="260"/>
      <c r="F160" s="260"/>
      <c r="G160" s="260"/>
      <c r="H160" s="260"/>
      <c r="I160" s="260"/>
      <c r="J160" s="260"/>
      <c r="K160" s="260"/>
      <c r="L160" s="260"/>
    </row>
    <row r="161" spans="1:12" x14ac:dyDescent="0.25">
      <c r="A161" s="260"/>
      <c r="B161" s="260"/>
      <c r="C161" s="260"/>
      <c r="D161" s="260"/>
      <c r="E161" s="260"/>
      <c r="F161" s="260"/>
      <c r="G161" s="260"/>
      <c r="H161" s="260"/>
      <c r="I161" s="260"/>
      <c r="J161" s="260"/>
      <c r="K161" s="260"/>
      <c r="L161" s="260"/>
    </row>
    <row r="162" spans="1:12" x14ac:dyDescent="0.25">
      <c r="A162" s="260"/>
      <c r="B162" s="260"/>
      <c r="C162" s="260"/>
      <c r="D162" s="260"/>
      <c r="E162" s="260"/>
      <c r="F162" s="260"/>
      <c r="G162" s="260"/>
      <c r="H162" s="260"/>
      <c r="I162" s="260"/>
      <c r="J162" s="260"/>
      <c r="K162" s="260"/>
      <c r="L162" s="260"/>
    </row>
    <row r="163" spans="1:12" x14ac:dyDescent="0.25">
      <c r="A163" s="260"/>
      <c r="B163" s="260"/>
      <c r="C163" s="260"/>
      <c r="D163" s="260"/>
      <c r="E163" s="260"/>
      <c r="F163" s="260"/>
      <c r="G163" s="260"/>
      <c r="H163" s="260"/>
      <c r="I163" s="260"/>
      <c r="J163" s="260"/>
      <c r="K163" s="260"/>
      <c r="L163" s="260"/>
    </row>
    <row r="164" spans="1:12" x14ac:dyDescent="0.25">
      <c r="A164" s="260"/>
      <c r="B164" s="260"/>
      <c r="C164" s="260"/>
      <c r="D164" s="260"/>
      <c r="E164" s="260"/>
      <c r="F164" s="260"/>
      <c r="G164" s="260"/>
      <c r="H164" s="260"/>
      <c r="I164" s="260"/>
      <c r="J164" s="260"/>
      <c r="K164" s="260"/>
      <c r="L164" s="260"/>
    </row>
    <row r="165" spans="1:12" x14ac:dyDescent="0.25">
      <c r="A165" s="260"/>
      <c r="B165" s="260"/>
      <c r="C165" s="260"/>
      <c r="D165" s="260"/>
      <c r="E165" s="260"/>
      <c r="F165" s="260"/>
      <c r="G165" s="260"/>
      <c r="H165" s="260"/>
      <c r="I165" s="260"/>
      <c r="J165" s="260"/>
      <c r="K165" s="260"/>
      <c r="L165" s="260"/>
    </row>
    <row r="166" spans="1:12" x14ac:dyDescent="0.25">
      <c r="A166" s="260"/>
      <c r="B166" s="260"/>
      <c r="C166" s="260"/>
      <c r="D166" s="260"/>
      <c r="E166" s="260"/>
      <c r="F166" s="260"/>
      <c r="G166" s="260"/>
      <c r="H166" s="260"/>
      <c r="I166" s="260"/>
      <c r="J166" s="260"/>
      <c r="K166" s="260"/>
      <c r="L166" s="260"/>
    </row>
    <row r="167" spans="1:12" x14ac:dyDescent="0.25">
      <c r="A167" s="260"/>
      <c r="B167" s="260"/>
      <c r="C167" s="260"/>
      <c r="D167" s="260"/>
      <c r="E167" s="260"/>
      <c r="F167" s="260"/>
      <c r="G167" s="260"/>
      <c r="H167" s="260"/>
      <c r="I167" s="260"/>
      <c r="J167" s="260"/>
      <c r="K167" s="260"/>
      <c r="L167" s="260"/>
    </row>
    <row r="168" spans="1:12" x14ac:dyDescent="0.25">
      <c r="A168" s="260"/>
      <c r="B168" s="260"/>
      <c r="C168" s="260"/>
      <c r="D168" s="260"/>
      <c r="E168" s="260"/>
      <c r="F168" s="260"/>
      <c r="G168" s="260"/>
      <c r="H168" s="260"/>
      <c r="I168" s="260"/>
      <c r="J168" s="260"/>
      <c r="K168" s="260"/>
      <c r="L168" s="260"/>
    </row>
    <row r="169" spans="1:12" x14ac:dyDescent="0.25">
      <c r="A169" s="260"/>
      <c r="B169" s="260"/>
      <c r="C169" s="260"/>
      <c r="D169" s="260"/>
      <c r="E169" s="260"/>
      <c r="F169" s="260"/>
      <c r="G169" s="260"/>
      <c r="H169" s="260"/>
      <c r="I169" s="260"/>
      <c r="J169" s="260"/>
      <c r="K169" s="260"/>
      <c r="L169" s="260"/>
    </row>
    <row r="170" spans="1:12" x14ac:dyDescent="0.25">
      <c r="A170" s="260"/>
      <c r="B170" s="260"/>
      <c r="C170" s="260"/>
      <c r="D170" s="260"/>
      <c r="E170" s="260"/>
      <c r="F170" s="260"/>
      <c r="G170" s="260"/>
      <c r="H170" s="260"/>
      <c r="I170" s="260"/>
      <c r="J170" s="260"/>
      <c r="K170" s="260"/>
      <c r="L170" s="260"/>
    </row>
  </sheetData>
  <mergeCells count="1">
    <mergeCell ref="A16:L170"/>
  </mergeCells>
  <pageMargins left="0.70866141732283472" right="0.70866141732283472" top="0.74803149606299213" bottom="0.74803149606299213" header="0.31496062992125984" footer="0.31496062992125984"/>
  <pageSetup paperSize="9" orientation="landscape" r:id="rId1"/>
  <tableParts count="24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 r:id="rId103"/>
    <tablePart r:id="rId104"/>
    <tablePart r:id="rId105"/>
    <tablePart r:id="rId106"/>
    <tablePart r:id="rId107"/>
    <tablePart r:id="rId108"/>
    <tablePart r:id="rId109"/>
    <tablePart r:id="rId110"/>
    <tablePart r:id="rId111"/>
    <tablePart r:id="rId112"/>
    <tablePart r:id="rId113"/>
    <tablePart r:id="rId114"/>
    <tablePart r:id="rId115"/>
    <tablePart r:id="rId116"/>
    <tablePart r:id="rId117"/>
    <tablePart r:id="rId118"/>
    <tablePart r:id="rId119"/>
    <tablePart r:id="rId120"/>
    <tablePart r:id="rId121"/>
    <tablePart r:id="rId122"/>
    <tablePart r:id="rId123"/>
    <tablePart r:id="rId124"/>
    <tablePart r:id="rId125"/>
    <tablePart r:id="rId126"/>
    <tablePart r:id="rId127"/>
    <tablePart r:id="rId128"/>
    <tablePart r:id="rId129"/>
    <tablePart r:id="rId130"/>
    <tablePart r:id="rId131"/>
    <tablePart r:id="rId132"/>
    <tablePart r:id="rId133"/>
    <tablePart r:id="rId134"/>
    <tablePart r:id="rId135"/>
    <tablePart r:id="rId136"/>
    <tablePart r:id="rId137"/>
    <tablePart r:id="rId138"/>
    <tablePart r:id="rId139"/>
    <tablePart r:id="rId140"/>
    <tablePart r:id="rId141"/>
    <tablePart r:id="rId142"/>
    <tablePart r:id="rId143"/>
    <tablePart r:id="rId144"/>
    <tablePart r:id="rId145"/>
    <tablePart r:id="rId146"/>
    <tablePart r:id="rId147"/>
    <tablePart r:id="rId148"/>
    <tablePart r:id="rId149"/>
    <tablePart r:id="rId150"/>
    <tablePart r:id="rId151"/>
    <tablePart r:id="rId152"/>
    <tablePart r:id="rId153"/>
    <tablePart r:id="rId154"/>
    <tablePart r:id="rId155"/>
    <tablePart r:id="rId156"/>
    <tablePart r:id="rId157"/>
    <tablePart r:id="rId158"/>
    <tablePart r:id="rId159"/>
    <tablePart r:id="rId160"/>
    <tablePart r:id="rId161"/>
    <tablePart r:id="rId162"/>
    <tablePart r:id="rId163"/>
    <tablePart r:id="rId164"/>
    <tablePart r:id="rId165"/>
    <tablePart r:id="rId166"/>
    <tablePart r:id="rId167"/>
    <tablePart r:id="rId168"/>
    <tablePart r:id="rId169"/>
    <tablePart r:id="rId170"/>
    <tablePart r:id="rId171"/>
    <tablePart r:id="rId172"/>
    <tablePart r:id="rId173"/>
    <tablePart r:id="rId174"/>
    <tablePart r:id="rId175"/>
    <tablePart r:id="rId176"/>
    <tablePart r:id="rId177"/>
    <tablePart r:id="rId178"/>
    <tablePart r:id="rId179"/>
    <tablePart r:id="rId180"/>
    <tablePart r:id="rId181"/>
    <tablePart r:id="rId182"/>
    <tablePart r:id="rId183"/>
    <tablePart r:id="rId184"/>
    <tablePart r:id="rId185"/>
    <tablePart r:id="rId186"/>
    <tablePart r:id="rId187"/>
    <tablePart r:id="rId188"/>
    <tablePart r:id="rId189"/>
    <tablePart r:id="rId190"/>
    <tablePart r:id="rId191"/>
    <tablePart r:id="rId192"/>
    <tablePart r:id="rId193"/>
    <tablePart r:id="rId194"/>
    <tablePart r:id="rId195"/>
    <tablePart r:id="rId196"/>
    <tablePart r:id="rId197"/>
    <tablePart r:id="rId198"/>
    <tablePart r:id="rId199"/>
    <tablePart r:id="rId200"/>
    <tablePart r:id="rId201"/>
    <tablePart r:id="rId202"/>
    <tablePart r:id="rId203"/>
    <tablePart r:id="rId204"/>
    <tablePart r:id="rId205"/>
    <tablePart r:id="rId206"/>
    <tablePart r:id="rId207"/>
    <tablePart r:id="rId208"/>
    <tablePart r:id="rId209"/>
    <tablePart r:id="rId210"/>
    <tablePart r:id="rId211"/>
    <tablePart r:id="rId212"/>
    <tablePart r:id="rId213"/>
    <tablePart r:id="rId214"/>
    <tablePart r:id="rId215"/>
    <tablePart r:id="rId216"/>
    <tablePart r:id="rId217"/>
    <tablePart r:id="rId218"/>
    <tablePart r:id="rId219"/>
    <tablePart r:id="rId220"/>
    <tablePart r:id="rId221"/>
    <tablePart r:id="rId222"/>
    <tablePart r:id="rId223"/>
    <tablePart r:id="rId224"/>
    <tablePart r:id="rId225"/>
    <tablePart r:id="rId226"/>
    <tablePart r:id="rId227"/>
    <tablePart r:id="rId228"/>
    <tablePart r:id="rId229"/>
    <tablePart r:id="rId230"/>
    <tablePart r:id="rId231"/>
    <tablePart r:id="rId232"/>
    <tablePart r:id="rId233"/>
    <tablePart r:id="rId234"/>
    <tablePart r:id="rId235"/>
    <tablePart r:id="rId236"/>
    <tablePart r:id="rId237"/>
    <tablePart r:id="rId238"/>
    <tablePart r:id="rId239"/>
    <tablePart r:id="rId240"/>
    <tablePart r:id="rId241"/>
    <tablePart r:id="rId242"/>
    <tablePart r:id="rId243"/>
    <tablePart r:id="rId244"/>
    <tablePart r:id="rId245"/>
    <tablePart r:id="rId246"/>
    <tablePart r:id="rId247"/>
    <tablePart r:id="rId248"/>
    <tablePart r:id="rId24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411"/>
  <dimension ref="B1:O108"/>
  <sheetViews>
    <sheetView topLeftCell="A90" zoomScale="85" zoomScaleNormal="85" workbookViewId="0">
      <selection activeCell="L111" sqref="L111"/>
    </sheetView>
  </sheetViews>
  <sheetFormatPr defaultColWidth="4.7109375" defaultRowHeight="21" customHeight="1" x14ac:dyDescent="0.25"/>
  <cols>
    <col min="1" max="2" width="4.7109375" style="5"/>
    <col min="3" max="3" width="4.7109375" style="15"/>
    <col min="4" max="16384" width="4.7109375" style="5"/>
  </cols>
  <sheetData>
    <row r="1" spans="2:15" s="16" customFormat="1" ht="21" customHeight="1" x14ac:dyDescent="0.25">
      <c r="C1" s="17"/>
    </row>
    <row r="2" spans="2:15" s="16" customFormat="1" ht="21" customHeight="1" x14ac:dyDescent="0.25">
      <c r="B2" s="18"/>
      <c r="C2" s="18">
        <v>0</v>
      </c>
      <c r="E2" s="18">
        <v>0</v>
      </c>
      <c r="F2" s="18">
        <f>C2</f>
        <v>0</v>
      </c>
      <c r="H2" s="18">
        <v>1</v>
      </c>
      <c r="I2" s="18">
        <f>F2</f>
        <v>0</v>
      </c>
      <c r="K2" s="18"/>
      <c r="L2" s="18">
        <f>I2</f>
        <v>0</v>
      </c>
      <c r="N2" s="18"/>
      <c r="O2" s="18">
        <f>L2</f>
        <v>0</v>
      </c>
    </row>
    <row r="3" spans="2:15" s="16" customFormat="1" ht="21" customHeight="1" x14ac:dyDescent="0.25">
      <c r="B3" s="18">
        <v>0</v>
      </c>
      <c r="C3" s="18"/>
      <c r="E3" s="18">
        <f>B3</f>
        <v>0</v>
      </c>
      <c r="F3" s="18"/>
      <c r="H3" s="18">
        <f>E3</f>
        <v>0</v>
      </c>
      <c r="I3" s="18"/>
      <c r="K3" s="18">
        <f>H3</f>
        <v>0</v>
      </c>
      <c r="L3" s="18"/>
      <c r="N3" s="18">
        <f>K3</f>
        <v>0</v>
      </c>
      <c r="O3" s="18"/>
    </row>
    <row r="4" spans="2:15" s="16" customFormat="1" ht="21" customHeight="1" x14ac:dyDescent="0.25">
      <c r="C4" s="17"/>
    </row>
    <row r="5" spans="2:15" s="16" customFormat="1" ht="21" customHeight="1" x14ac:dyDescent="0.25">
      <c r="B5" s="18"/>
      <c r="C5" s="18">
        <f>C2+1</f>
        <v>1</v>
      </c>
      <c r="E5" s="18">
        <v>3</v>
      </c>
      <c r="F5" s="18">
        <f>C5</f>
        <v>1</v>
      </c>
      <c r="H5" s="18"/>
      <c r="I5" s="18">
        <f>F5</f>
        <v>1</v>
      </c>
      <c r="K5" s="18"/>
      <c r="L5" s="18">
        <f>I5</f>
        <v>1</v>
      </c>
      <c r="N5" s="18"/>
      <c r="O5" s="18">
        <f>L5</f>
        <v>1</v>
      </c>
    </row>
    <row r="6" spans="2:15" s="16" customFormat="1" ht="21" customHeight="1" x14ac:dyDescent="0.25">
      <c r="B6" s="18">
        <f>B3</f>
        <v>0</v>
      </c>
      <c r="C6" s="18"/>
      <c r="E6" s="18">
        <f>B6</f>
        <v>0</v>
      </c>
      <c r="F6" s="18"/>
      <c r="H6" s="18">
        <f>E6</f>
        <v>0</v>
      </c>
      <c r="I6" s="18"/>
      <c r="K6" s="18">
        <f>H6</f>
        <v>0</v>
      </c>
      <c r="L6" s="18"/>
      <c r="N6" s="18">
        <f>K6</f>
        <v>0</v>
      </c>
      <c r="O6" s="18"/>
    </row>
    <row r="7" spans="2:15" s="16" customFormat="1" ht="21" customHeight="1" x14ac:dyDescent="0.25">
      <c r="C7" s="17"/>
    </row>
    <row r="8" spans="2:15" s="16" customFormat="1" ht="21" customHeight="1" x14ac:dyDescent="0.25">
      <c r="B8" s="18"/>
      <c r="C8" s="18">
        <f>C5+1</f>
        <v>2</v>
      </c>
      <c r="E8" s="18">
        <v>0</v>
      </c>
      <c r="F8" s="18">
        <f>C8</f>
        <v>2</v>
      </c>
      <c r="H8" s="18">
        <v>1</v>
      </c>
      <c r="I8" s="18">
        <f>F8</f>
        <v>2</v>
      </c>
      <c r="K8" s="18"/>
      <c r="L8" s="18">
        <f>I8</f>
        <v>2</v>
      </c>
      <c r="N8" s="18"/>
      <c r="O8" s="18">
        <f>L8</f>
        <v>2</v>
      </c>
    </row>
    <row r="9" spans="2:15" s="16" customFormat="1" ht="21" customHeight="1" x14ac:dyDescent="0.25">
      <c r="B9" s="18">
        <f>B6</f>
        <v>0</v>
      </c>
      <c r="C9" s="18"/>
      <c r="E9" s="18">
        <f>B9</f>
        <v>0</v>
      </c>
      <c r="F9" s="18"/>
      <c r="H9" s="18">
        <f>E9</f>
        <v>0</v>
      </c>
      <c r="I9" s="18"/>
      <c r="K9" s="18">
        <f>H9</f>
        <v>0</v>
      </c>
      <c r="L9" s="18"/>
      <c r="N9" s="18">
        <f>K9</f>
        <v>0</v>
      </c>
      <c r="O9" s="18"/>
    </row>
    <row r="10" spans="2:15" s="16" customFormat="1" ht="21" customHeight="1" x14ac:dyDescent="0.25">
      <c r="C10" s="17"/>
    </row>
    <row r="11" spans="2:15" s="16" customFormat="1" ht="21" customHeight="1" x14ac:dyDescent="0.25">
      <c r="B11" s="18"/>
      <c r="C11" s="18">
        <f>C8+1</f>
        <v>3</v>
      </c>
      <c r="E11" s="18">
        <v>3</v>
      </c>
      <c r="F11" s="18">
        <f>C11</f>
        <v>3</v>
      </c>
      <c r="H11" s="18"/>
      <c r="I11" s="18">
        <f>F11</f>
        <v>3</v>
      </c>
      <c r="K11" s="18"/>
      <c r="L11" s="18">
        <f>I11</f>
        <v>3</v>
      </c>
      <c r="N11" s="18"/>
      <c r="O11" s="18">
        <f>L11</f>
        <v>3</v>
      </c>
    </row>
    <row r="12" spans="2:15" s="16" customFormat="1" ht="21" customHeight="1" x14ac:dyDescent="0.25">
      <c r="B12" s="18">
        <f>B9</f>
        <v>0</v>
      </c>
      <c r="C12" s="18"/>
      <c r="E12" s="18">
        <f>B12</f>
        <v>0</v>
      </c>
      <c r="F12" s="18"/>
      <c r="H12" s="18">
        <f>E12</f>
        <v>0</v>
      </c>
      <c r="I12" s="18"/>
      <c r="K12" s="18">
        <f>H12</f>
        <v>0</v>
      </c>
      <c r="L12" s="18"/>
      <c r="N12" s="18">
        <f>K12</f>
        <v>0</v>
      </c>
      <c r="O12" s="18"/>
    </row>
    <row r="13" spans="2:15" s="16" customFormat="1" ht="21" customHeight="1" x14ac:dyDescent="0.25">
      <c r="C13" s="17"/>
    </row>
    <row r="14" spans="2:15" s="16" customFormat="1" ht="21" customHeight="1" x14ac:dyDescent="0.25">
      <c r="B14" s="18"/>
      <c r="C14" s="18">
        <f>C11+1</f>
        <v>4</v>
      </c>
      <c r="E14" s="18">
        <v>0</v>
      </c>
      <c r="F14" s="18">
        <f>C14</f>
        <v>4</v>
      </c>
      <c r="H14" s="18">
        <v>1</v>
      </c>
      <c r="I14" s="18">
        <f>F14</f>
        <v>4</v>
      </c>
      <c r="K14" s="18"/>
      <c r="L14" s="18">
        <f>I14</f>
        <v>4</v>
      </c>
      <c r="N14" s="18"/>
      <c r="O14" s="18">
        <f>L14</f>
        <v>4</v>
      </c>
    </row>
    <row r="15" spans="2:15" s="16" customFormat="1" ht="21" customHeight="1" x14ac:dyDescent="0.25">
      <c r="B15" s="18">
        <f>B12</f>
        <v>0</v>
      </c>
      <c r="C15" s="18"/>
      <c r="E15" s="18">
        <f>B15</f>
        <v>0</v>
      </c>
      <c r="F15" s="18"/>
      <c r="H15" s="18">
        <f>E15</f>
        <v>0</v>
      </c>
      <c r="I15" s="18"/>
      <c r="K15" s="18">
        <f>H15</f>
        <v>0</v>
      </c>
      <c r="L15" s="18"/>
      <c r="N15" s="18">
        <f>K15</f>
        <v>0</v>
      </c>
      <c r="O15" s="18"/>
    </row>
    <row r="16" spans="2:15" s="16" customFormat="1" ht="21" customHeight="1" x14ac:dyDescent="0.25">
      <c r="C16" s="17"/>
    </row>
    <row r="17" spans="2:15" s="16" customFormat="1" ht="21" customHeight="1" x14ac:dyDescent="0.25">
      <c r="B17" s="18"/>
      <c r="C17" s="18">
        <f>C14+1</f>
        <v>5</v>
      </c>
      <c r="E17" s="18">
        <v>3</v>
      </c>
      <c r="F17" s="18">
        <f>C17</f>
        <v>5</v>
      </c>
      <c r="H17" s="18"/>
      <c r="I17" s="18">
        <f>F17</f>
        <v>5</v>
      </c>
      <c r="K17" s="18"/>
      <c r="L17" s="18">
        <f>I17</f>
        <v>5</v>
      </c>
      <c r="N17" s="18"/>
      <c r="O17" s="18">
        <f>L17</f>
        <v>5</v>
      </c>
    </row>
    <row r="18" spans="2:15" s="19" customFormat="1" ht="21" customHeight="1" x14ac:dyDescent="0.25">
      <c r="B18" s="18">
        <f>B15</f>
        <v>0</v>
      </c>
      <c r="C18" s="18"/>
      <c r="E18" s="18">
        <f>B18</f>
        <v>0</v>
      </c>
      <c r="F18" s="18"/>
      <c r="H18" s="18">
        <f>E18</f>
        <v>0</v>
      </c>
      <c r="I18" s="18"/>
      <c r="K18" s="18">
        <f>H18</f>
        <v>0</v>
      </c>
      <c r="L18" s="18"/>
      <c r="N18" s="18">
        <f>K18</f>
        <v>0</v>
      </c>
      <c r="O18" s="18"/>
    </row>
    <row r="19" spans="2:15" s="20" customFormat="1" ht="21" customHeight="1" x14ac:dyDescent="0.25">
      <c r="C19" s="21"/>
    </row>
    <row r="20" spans="2:15" s="20" customFormat="1" ht="21" customHeight="1" x14ac:dyDescent="0.25">
      <c r="B20" s="22"/>
      <c r="C20" s="22">
        <v>0</v>
      </c>
      <c r="E20" s="22">
        <v>2</v>
      </c>
      <c r="F20" s="22">
        <f>C20</f>
        <v>0</v>
      </c>
      <c r="H20" s="22"/>
      <c r="I20" s="22">
        <f>F20</f>
        <v>0</v>
      </c>
      <c r="K20" s="22"/>
      <c r="L20" s="22">
        <f>I20</f>
        <v>0</v>
      </c>
      <c r="N20" s="22"/>
      <c r="O20" s="22">
        <f>L20</f>
        <v>0</v>
      </c>
    </row>
    <row r="21" spans="2:15" s="20" customFormat="1" ht="21" customHeight="1" x14ac:dyDescent="0.25">
      <c r="B21" s="22">
        <v>1</v>
      </c>
      <c r="C21" s="22"/>
      <c r="E21" s="22">
        <f>B21</f>
        <v>1</v>
      </c>
      <c r="F21" s="22"/>
      <c r="H21" s="22">
        <f>E21</f>
        <v>1</v>
      </c>
      <c r="I21" s="22"/>
      <c r="K21" s="22">
        <f>H21</f>
        <v>1</v>
      </c>
      <c r="L21" s="22"/>
      <c r="N21" s="22">
        <f>K21</f>
        <v>1</v>
      </c>
      <c r="O21" s="22"/>
    </row>
    <row r="22" spans="2:15" s="20" customFormat="1" ht="21" customHeight="1" x14ac:dyDescent="0.25">
      <c r="C22" s="21"/>
    </row>
    <row r="23" spans="2:15" s="20" customFormat="1" ht="21" customHeight="1" x14ac:dyDescent="0.25">
      <c r="B23" s="22"/>
      <c r="C23" s="22">
        <f>C20+1</f>
        <v>1</v>
      </c>
      <c r="E23" s="22">
        <v>4</v>
      </c>
      <c r="F23" s="22">
        <f>C23</f>
        <v>1</v>
      </c>
      <c r="H23" s="22">
        <v>5</v>
      </c>
      <c r="I23" s="22">
        <f>F23</f>
        <v>1</v>
      </c>
      <c r="K23" s="22"/>
      <c r="L23" s="22">
        <f>I23</f>
        <v>1</v>
      </c>
      <c r="N23" s="22"/>
      <c r="O23" s="22">
        <f>L23</f>
        <v>1</v>
      </c>
    </row>
    <row r="24" spans="2:15" s="20" customFormat="1" ht="21" customHeight="1" x14ac:dyDescent="0.25">
      <c r="B24" s="22">
        <f>B21</f>
        <v>1</v>
      </c>
      <c r="C24" s="22"/>
      <c r="E24" s="22">
        <f>B24</f>
        <v>1</v>
      </c>
      <c r="F24" s="22"/>
      <c r="H24" s="22">
        <f>E24</f>
        <v>1</v>
      </c>
      <c r="I24" s="22"/>
      <c r="K24" s="22">
        <f>H24</f>
        <v>1</v>
      </c>
      <c r="L24" s="22"/>
      <c r="N24" s="22">
        <f>K24</f>
        <v>1</v>
      </c>
      <c r="O24" s="22"/>
    </row>
    <row r="25" spans="2:15" s="20" customFormat="1" ht="21" customHeight="1" x14ac:dyDescent="0.25">
      <c r="C25" s="21"/>
    </row>
    <row r="26" spans="2:15" s="20" customFormat="1" ht="21" customHeight="1" x14ac:dyDescent="0.25">
      <c r="B26" s="22"/>
      <c r="C26" s="22">
        <f>C23+1</f>
        <v>2</v>
      </c>
      <c r="E26" s="22">
        <v>2</v>
      </c>
      <c r="F26" s="22">
        <f>C26</f>
        <v>2</v>
      </c>
      <c r="H26" s="22"/>
      <c r="I26" s="22">
        <f>F26</f>
        <v>2</v>
      </c>
      <c r="K26" s="22"/>
      <c r="L26" s="22">
        <f>I26</f>
        <v>2</v>
      </c>
      <c r="N26" s="22"/>
      <c r="O26" s="22">
        <f>L26</f>
        <v>2</v>
      </c>
    </row>
    <row r="27" spans="2:15" s="20" customFormat="1" ht="21" customHeight="1" x14ac:dyDescent="0.25">
      <c r="B27" s="22">
        <f>B24</f>
        <v>1</v>
      </c>
      <c r="C27" s="22"/>
      <c r="E27" s="22">
        <f>B27</f>
        <v>1</v>
      </c>
      <c r="F27" s="22"/>
      <c r="H27" s="22">
        <f>E27</f>
        <v>1</v>
      </c>
      <c r="I27" s="22"/>
      <c r="K27" s="22">
        <f>H27</f>
        <v>1</v>
      </c>
      <c r="L27" s="22"/>
      <c r="N27" s="22">
        <f>K27</f>
        <v>1</v>
      </c>
      <c r="O27" s="22"/>
    </row>
    <row r="28" spans="2:15" s="20" customFormat="1" ht="21" customHeight="1" x14ac:dyDescent="0.25">
      <c r="C28" s="21"/>
    </row>
    <row r="29" spans="2:15" s="20" customFormat="1" ht="21" customHeight="1" x14ac:dyDescent="0.25">
      <c r="B29" s="22"/>
      <c r="C29" s="22">
        <f>C26+1</f>
        <v>3</v>
      </c>
      <c r="E29" s="22">
        <v>4</v>
      </c>
      <c r="F29" s="22">
        <f>C29</f>
        <v>3</v>
      </c>
      <c r="H29" s="22">
        <v>5</v>
      </c>
      <c r="I29" s="22">
        <f>F29</f>
        <v>3</v>
      </c>
      <c r="K29" s="22"/>
      <c r="L29" s="22">
        <f>I29</f>
        <v>3</v>
      </c>
      <c r="N29" s="22"/>
      <c r="O29" s="22">
        <f>L29</f>
        <v>3</v>
      </c>
    </row>
    <row r="30" spans="2:15" s="20" customFormat="1" ht="21" customHeight="1" x14ac:dyDescent="0.25">
      <c r="B30" s="22">
        <f>B27</f>
        <v>1</v>
      </c>
      <c r="C30" s="22"/>
      <c r="E30" s="22">
        <f>B30</f>
        <v>1</v>
      </c>
      <c r="F30" s="22"/>
      <c r="H30" s="22">
        <f>E30</f>
        <v>1</v>
      </c>
      <c r="I30" s="22"/>
      <c r="K30" s="22">
        <f>H30</f>
        <v>1</v>
      </c>
      <c r="L30" s="22"/>
      <c r="N30" s="22">
        <f>K30</f>
        <v>1</v>
      </c>
      <c r="O30" s="22"/>
    </row>
    <row r="31" spans="2:15" s="20" customFormat="1" ht="21" customHeight="1" x14ac:dyDescent="0.25">
      <c r="C31" s="21"/>
    </row>
    <row r="32" spans="2:15" s="20" customFormat="1" ht="21" customHeight="1" x14ac:dyDescent="0.25">
      <c r="B32" s="22"/>
      <c r="C32" s="22">
        <f>C29+1</f>
        <v>4</v>
      </c>
      <c r="E32" s="22">
        <v>2</v>
      </c>
      <c r="F32" s="22">
        <f>C32</f>
        <v>4</v>
      </c>
      <c r="H32" s="22"/>
      <c r="I32" s="22">
        <f>F32</f>
        <v>4</v>
      </c>
      <c r="K32" s="22"/>
      <c r="L32" s="22">
        <f>I32</f>
        <v>4</v>
      </c>
      <c r="N32" s="22"/>
      <c r="O32" s="22">
        <f>L32</f>
        <v>4</v>
      </c>
    </row>
    <row r="33" spans="2:15" s="20" customFormat="1" ht="21" customHeight="1" x14ac:dyDescent="0.25">
      <c r="B33" s="22">
        <f>B30</f>
        <v>1</v>
      </c>
      <c r="C33" s="22"/>
      <c r="E33" s="22">
        <f>B33</f>
        <v>1</v>
      </c>
      <c r="F33" s="22"/>
      <c r="H33" s="22">
        <f>E33</f>
        <v>1</v>
      </c>
      <c r="I33" s="22"/>
      <c r="K33" s="22">
        <f>H33</f>
        <v>1</v>
      </c>
      <c r="L33" s="22"/>
      <c r="N33" s="22">
        <f>K33</f>
        <v>1</v>
      </c>
      <c r="O33" s="22"/>
    </row>
    <row r="34" spans="2:15" s="20" customFormat="1" ht="21" customHeight="1" x14ac:dyDescent="0.25">
      <c r="C34" s="21"/>
    </row>
    <row r="35" spans="2:15" s="20" customFormat="1" ht="21" customHeight="1" x14ac:dyDescent="0.25">
      <c r="B35" s="22"/>
      <c r="C35" s="22">
        <f>C32+1</f>
        <v>5</v>
      </c>
      <c r="E35" s="22">
        <v>4</v>
      </c>
      <c r="F35" s="22">
        <f>C35</f>
        <v>5</v>
      </c>
      <c r="H35" s="22">
        <v>5</v>
      </c>
      <c r="I35" s="22">
        <f>F35</f>
        <v>5</v>
      </c>
      <c r="K35" s="22"/>
      <c r="L35" s="22">
        <f>I35</f>
        <v>5</v>
      </c>
      <c r="N35" s="22"/>
      <c r="O35" s="22">
        <f>L35</f>
        <v>5</v>
      </c>
    </row>
    <row r="36" spans="2:15" s="23" customFormat="1" ht="21" customHeight="1" x14ac:dyDescent="0.25">
      <c r="B36" s="22">
        <f>B33</f>
        <v>1</v>
      </c>
      <c r="C36" s="22"/>
      <c r="E36" s="22">
        <f>B36</f>
        <v>1</v>
      </c>
      <c r="F36" s="22"/>
      <c r="H36" s="22">
        <f>E36</f>
        <v>1</v>
      </c>
      <c r="I36" s="22"/>
      <c r="K36" s="22">
        <f>H36</f>
        <v>1</v>
      </c>
      <c r="L36" s="22"/>
      <c r="N36" s="22">
        <f>K36</f>
        <v>1</v>
      </c>
      <c r="O36" s="22"/>
    </row>
    <row r="37" spans="2:15" s="24" customFormat="1" ht="21" customHeight="1" x14ac:dyDescent="0.25">
      <c r="C37" s="25"/>
    </row>
    <row r="38" spans="2:15" s="24" customFormat="1" ht="21" customHeight="1" x14ac:dyDescent="0.25">
      <c r="B38" s="26"/>
      <c r="C38" s="26">
        <v>0</v>
      </c>
      <c r="E38" s="26">
        <v>2</v>
      </c>
      <c r="F38" s="26">
        <f>C38</f>
        <v>0</v>
      </c>
      <c r="H38" s="26"/>
      <c r="I38" s="26">
        <f>F38</f>
        <v>0</v>
      </c>
      <c r="K38" s="26"/>
      <c r="L38" s="26">
        <f>I38</f>
        <v>0</v>
      </c>
      <c r="N38" s="26"/>
      <c r="O38" s="26">
        <f>L38</f>
        <v>0</v>
      </c>
    </row>
    <row r="39" spans="2:15" s="24" customFormat="1" ht="21" customHeight="1" x14ac:dyDescent="0.25">
      <c r="B39" s="26">
        <f>B36+1</f>
        <v>2</v>
      </c>
      <c r="C39" s="26"/>
      <c r="E39" s="26">
        <f>B39</f>
        <v>2</v>
      </c>
      <c r="F39" s="26"/>
      <c r="H39" s="26">
        <f>E39</f>
        <v>2</v>
      </c>
      <c r="I39" s="26"/>
      <c r="K39" s="26">
        <f>H39</f>
        <v>2</v>
      </c>
      <c r="L39" s="26"/>
      <c r="N39" s="26">
        <f>K39</f>
        <v>2</v>
      </c>
      <c r="O39" s="26"/>
    </row>
    <row r="40" spans="2:15" s="24" customFormat="1" ht="21" customHeight="1" x14ac:dyDescent="0.25">
      <c r="C40" s="25"/>
    </row>
    <row r="41" spans="2:15" s="24" customFormat="1" ht="21" customHeight="1" x14ac:dyDescent="0.25">
      <c r="B41" s="26"/>
      <c r="C41" s="26">
        <f>C38+1</f>
        <v>1</v>
      </c>
      <c r="E41" s="26">
        <v>4</v>
      </c>
      <c r="F41" s="26">
        <f>C41</f>
        <v>1</v>
      </c>
      <c r="H41" s="26">
        <v>5</v>
      </c>
      <c r="I41" s="26">
        <f>F41</f>
        <v>1</v>
      </c>
      <c r="K41" s="26"/>
      <c r="L41" s="26">
        <f>I41</f>
        <v>1</v>
      </c>
      <c r="N41" s="26"/>
      <c r="O41" s="26">
        <f>L41</f>
        <v>1</v>
      </c>
    </row>
    <row r="42" spans="2:15" s="24" customFormat="1" ht="21" customHeight="1" x14ac:dyDescent="0.25">
      <c r="B42" s="26">
        <f>B39</f>
        <v>2</v>
      </c>
      <c r="C42" s="26"/>
      <c r="E42" s="26">
        <f>B42</f>
        <v>2</v>
      </c>
      <c r="F42" s="26"/>
      <c r="H42" s="26">
        <f>E42</f>
        <v>2</v>
      </c>
      <c r="I42" s="26"/>
      <c r="K42" s="26">
        <f>H42</f>
        <v>2</v>
      </c>
      <c r="L42" s="26"/>
      <c r="N42" s="26">
        <f>K42</f>
        <v>2</v>
      </c>
      <c r="O42" s="26"/>
    </row>
    <row r="43" spans="2:15" s="24" customFormat="1" ht="21" customHeight="1" x14ac:dyDescent="0.25">
      <c r="C43" s="25"/>
    </row>
    <row r="44" spans="2:15" s="24" customFormat="1" ht="21" customHeight="1" x14ac:dyDescent="0.25">
      <c r="B44" s="26"/>
      <c r="C44" s="26">
        <f>C41+1</f>
        <v>2</v>
      </c>
      <c r="E44" s="26">
        <v>2</v>
      </c>
      <c r="F44" s="26">
        <f>C44</f>
        <v>2</v>
      </c>
      <c r="H44" s="26"/>
      <c r="I44" s="26">
        <f>F44</f>
        <v>2</v>
      </c>
      <c r="K44" s="26"/>
      <c r="L44" s="26">
        <f>I44</f>
        <v>2</v>
      </c>
      <c r="N44" s="26"/>
      <c r="O44" s="26">
        <f>L44</f>
        <v>2</v>
      </c>
    </row>
    <row r="45" spans="2:15" s="24" customFormat="1" ht="21" customHeight="1" x14ac:dyDescent="0.25">
      <c r="B45" s="26">
        <f>B42</f>
        <v>2</v>
      </c>
      <c r="C45" s="26"/>
      <c r="E45" s="26">
        <f>B45</f>
        <v>2</v>
      </c>
      <c r="F45" s="26"/>
      <c r="H45" s="26">
        <f>E45</f>
        <v>2</v>
      </c>
      <c r="I45" s="26"/>
      <c r="K45" s="26">
        <f>H45</f>
        <v>2</v>
      </c>
      <c r="L45" s="26"/>
      <c r="N45" s="26">
        <f>K45</f>
        <v>2</v>
      </c>
      <c r="O45" s="26"/>
    </row>
    <row r="46" spans="2:15" s="24" customFormat="1" ht="21" customHeight="1" x14ac:dyDescent="0.25">
      <c r="C46" s="25"/>
    </row>
    <row r="47" spans="2:15" s="24" customFormat="1" ht="21" customHeight="1" x14ac:dyDescent="0.25">
      <c r="B47" s="26"/>
      <c r="C47" s="26">
        <f>C44+1</f>
        <v>3</v>
      </c>
      <c r="E47" s="26">
        <v>4</v>
      </c>
      <c r="F47" s="26">
        <f>C47</f>
        <v>3</v>
      </c>
      <c r="H47" s="26">
        <v>5</v>
      </c>
      <c r="I47" s="26">
        <f>F47</f>
        <v>3</v>
      </c>
      <c r="K47" s="26"/>
      <c r="L47" s="26">
        <f>I47</f>
        <v>3</v>
      </c>
      <c r="N47" s="26"/>
      <c r="O47" s="26">
        <f>L47</f>
        <v>3</v>
      </c>
    </row>
    <row r="48" spans="2:15" s="24" customFormat="1" ht="21" customHeight="1" x14ac:dyDescent="0.25">
      <c r="B48" s="26">
        <f>B45</f>
        <v>2</v>
      </c>
      <c r="C48" s="26"/>
      <c r="E48" s="26">
        <f>B48</f>
        <v>2</v>
      </c>
      <c r="F48" s="26"/>
      <c r="H48" s="26">
        <f>E48</f>
        <v>2</v>
      </c>
      <c r="I48" s="26"/>
      <c r="K48" s="26">
        <f>H48</f>
        <v>2</v>
      </c>
      <c r="L48" s="26"/>
      <c r="N48" s="26">
        <f>K48</f>
        <v>2</v>
      </c>
      <c r="O48" s="26"/>
    </row>
    <row r="49" spans="2:15" s="24" customFormat="1" ht="21" customHeight="1" x14ac:dyDescent="0.25">
      <c r="C49" s="25"/>
    </row>
    <row r="50" spans="2:15" s="24" customFormat="1" ht="21" customHeight="1" x14ac:dyDescent="0.25">
      <c r="B50" s="26"/>
      <c r="C50" s="26">
        <f>C47+1</f>
        <v>4</v>
      </c>
      <c r="E50" s="26">
        <v>2</v>
      </c>
      <c r="F50" s="26">
        <f>C50</f>
        <v>4</v>
      </c>
      <c r="H50" s="26"/>
      <c r="I50" s="26">
        <f>F50</f>
        <v>4</v>
      </c>
      <c r="K50" s="26"/>
      <c r="L50" s="26">
        <f>I50</f>
        <v>4</v>
      </c>
      <c r="N50" s="26"/>
      <c r="O50" s="26">
        <f>L50</f>
        <v>4</v>
      </c>
    </row>
    <row r="51" spans="2:15" s="24" customFormat="1" ht="21" customHeight="1" x14ac:dyDescent="0.25">
      <c r="B51" s="26">
        <f>B48</f>
        <v>2</v>
      </c>
      <c r="C51" s="26"/>
      <c r="E51" s="26">
        <f>B51</f>
        <v>2</v>
      </c>
      <c r="F51" s="26"/>
      <c r="H51" s="26">
        <f>E51</f>
        <v>2</v>
      </c>
      <c r="I51" s="26"/>
      <c r="K51" s="26">
        <f>H51</f>
        <v>2</v>
      </c>
      <c r="L51" s="26"/>
      <c r="N51" s="26">
        <f>K51</f>
        <v>2</v>
      </c>
      <c r="O51" s="26"/>
    </row>
    <row r="52" spans="2:15" s="24" customFormat="1" ht="21" customHeight="1" x14ac:dyDescent="0.25">
      <c r="C52" s="25"/>
    </row>
    <row r="53" spans="2:15" s="24" customFormat="1" ht="21" customHeight="1" x14ac:dyDescent="0.25">
      <c r="B53" s="26"/>
      <c r="C53" s="26">
        <f>C50+1</f>
        <v>5</v>
      </c>
      <c r="E53" s="26">
        <v>4</v>
      </c>
      <c r="F53" s="26">
        <f>C53</f>
        <v>5</v>
      </c>
      <c r="H53" s="26">
        <v>5</v>
      </c>
      <c r="I53" s="26">
        <f>F53</f>
        <v>5</v>
      </c>
      <c r="K53" s="26"/>
      <c r="L53" s="26">
        <f>I53</f>
        <v>5</v>
      </c>
      <c r="N53" s="26"/>
      <c r="O53" s="26">
        <f>L53</f>
        <v>5</v>
      </c>
    </row>
    <row r="54" spans="2:15" s="27" customFormat="1" ht="21" customHeight="1" x14ac:dyDescent="0.25">
      <c r="B54" s="26">
        <f>B51</f>
        <v>2</v>
      </c>
      <c r="C54" s="26"/>
      <c r="E54" s="26">
        <f>B54</f>
        <v>2</v>
      </c>
      <c r="F54" s="26"/>
      <c r="H54" s="26">
        <f>E54</f>
        <v>2</v>
      </c>
      <c r="I54" s="26"/>
      <c r="K54" s="26">
        <f>H54</f>
        <v>2</v>
      </c>
      <c r="L54" s="26"/>
      <c r="N54" s="26">
        <f>K54</f>
        <v>2</v>
      </c>
      <c r="O54" s="26"/>
    </row>
    <row r="55" spans="2:15" s="28" customFormat="1" ht="21" customHeight="1" x14ac:dyDescent="0.25">
      <c r="C55" s="29"/>
    </row>
    <row r="56" spans="2:15" s="28" customFormat="1" ht="21" customHeight="1" x14ac:dyDescent="0.25">
      <c r="B56" s="30"/>
      <c r="C56" s="30">
        <v>0</v>
      </c>
      <c r="E56" s="30">
        <v>0</v>
      </c>
      <c r="F56" s="30">
        <f>C56</f>
        <v>0</v>
      </c>
      <c r="H56" s="30">
        <v>1</v>
      </c>
      <c r="I56" s="30">
        <f>F56</f>
        <v>0</v>
      </c>
      <c r="K56" s="30"/>
      <c r="L56" s="30">
        <f>I56</f>
        <v>0</v>
      </c>
      <c r="N56" s="30"/>
      <c r="O56" s="30">
        <f>L56</f>
        <v>0</v>
      </c>
    </row>
    <row r="57" spans="2:15" s="28" customFormat="1" ht="21" customHeight="1" x14ac:dyDescent="0.25">
      <c r="B57" s="30">
        <v>3</v>
      </c>
      <c r="C57" s="30"/>
      <c r="E57" s="30">
        <f>B57</f>
        <v>3</v>
      </c>
      <c r="F57" s="30"/>
      <c r="H57" s="30">
        <f>E57</f>
        <v>3</v>
      </c>
      <c r="I57" s="30"/>
      <c r="K57" s="30">
        <f>H57</f>
        <v>3</v>
      </c>
      <c r="L57" s="30"/>
      <c r="N57" s="30">
        <f>K57</f>
        <v>3</v>
      </c>
      <c r="O57" s="30"/>
    </row>
    <row r="58" spans="2:15" s="28" customFormat="1" ht="21" customHeight="1" x14ac:dyDescent="0.25">
      <c r="C58" s="29"/>
    </row>
    <row r="59" spans="2:15" s="28" customFormat="1" ht="21" customHeight="1" x14ac:dyDescent="0.25">
      <c r="B59" s="30"/>
      <c r="C59" s="30">
        <f>C56+1</f>
        <v>1</v>
      </c>
      <c r="E59" s="30">
        <v>3</v>
      </c>
      <c r="F59" s="30">
        <f>C59</f>
        <v>1</v>
      </c>
      <c r="H59" s="30"/>
      <c r="I59" s="30">
        <f>F59</f>
        <v>1</v>
      </c>
      <c r="K59" s="30"/>
      <c r="L59" s="30">
        <f>I59</f>
        <v>1</v>
      </c>
      <c r="N59" s="30"/>
      <c r="O59" s="30">
        <f>L59</f>
        <v>1</v>
      </c>
    </row>
    <row r="60" spans="2:15" s="28" customFormat="1" ht="21" customHeight="1" x14ac:dyDescent="0.25">
      <c r="B60" s="30">
        <f>B57</f>
        <v>3</v>
      </c>
      <c r="C60" s="30"/>
      <c r="E60" s="30">
        <f>B60</f>
        <v>3</v>
      </c>
      <c r="F60" s="30"/>
      <c r="H60" s="30">
        <f>E60</f>
        <v>3</v>
      </c>
      <c r="I60" s="30"/>
      <c r="K60" s="30">
        <f>H60</f>
        <v>3</v>
      </c>
      <c r="L60" s="30"/>
      <c r="N60" s="30">
        <f>K60</f>
        <v>3</v>
      </c>
      <c r="O60" s="30"/>
    </row>
    <row r="61" spans="2:15" s="28" customFormat="1" ht="21" customHeight="1" x14ac:dyDescent="0.25">
      <c r="C61" s="29"/>
    </row>
    <row r="62" spans="2:15" s="28" customFormat="1" ht="21" customHeight="1" x14ac:dyDescent="0.25">
      <c r="B62" s="30"/>
      <c r="C62" s="30">
        <f>C59+1</f>
        <v>2</v>
      </c>
      <c r="E62" s="30">
        <v>0</v>
      </c>
      <c r="F62" s="30">
        <f>C62</f>
        <v>2</v>
      </c>
      <c r="H62" s="30">
        <v>1</v>
      </c>
      <c r="I62" s="30">
        <f>F62</f>
        <v>2</v>
      </c>
      <c r="K62" s="30"/>
      <c r="L62" s="30">
        <f>I62</f>
        <v>2</v>
      </c>
      <c r="N62" s="30"/>
      <c r="O62" s="30">
        <f>L62</f>
        <v>2</v>
      </c>
    </row>
    <row r="63" spans="2:15" s="28" customFormat="1" ht="21" customHeight="1" x14ac:dyDescent="0.25">
      <c r="B63" s="30">
        <f>B60</f>
        <v>3</v>
      </c>
      <c r="C63" s="30"/>
      <c r="E63" s="30">
        <f>B63</f>
        <v>3</v>
      </c>
      <c r="F63" s="30"/>
      <c r="H63" s="30">
        <f>E63</f>
        <v>3</v>
      </c>
      <c r="I63" s="30"/>
      <c r="K63" s="30">
        <f>H63</f>
        <v>3</v>
      </c>
      <c r="L63" s="30"/>
      <c r="N63" s="30">
        <f>K63</f>
        <v>3</v>
      </c>
      <c r="O63" s="30"/>
    </row>
    <row r="64" spans="2:15" s="28" customFormat="1" ht="21" customHeight="1" x14ac:dyDescent="0.25">
      <c r="C64" s="29"/>
    </row>
    <row r="65" spans="2:15" s="28" customFormat="1" ht="21" customHeight="1" x14ac:dyDescent="0.25">
      <c r="B65" s="30"/>
      <c r="C65" s="30">
        <f>C62+1</f>
        <v>3</v>
      </c>
      <c r="E65" s="30">
        <v>3</v>
      </c>
      <c r="F65" s="30">
        <f>C65</f>
        <v>3</v>
      </c>
      <c r="H65" s="30"/>
      <c r="I65" s="30">
        <f>F65</f>
        <v>3</v>
      </c>
      <c r="K65" s="30"/>
      <c r="L65" s="30">
        <f>I65</f>
        <v>3</v>
      </c>
      <c r="N65" s="30"/>
      <c r="O65" s="30">
        <f>L65</f>
        <v>3</v>
      </c>
    </row>
    <row r="66" spans="2:15" s="28" customFormat="1" ht="21" customHeight="1" x14ac:dyDescent="0.25">
      <c r="B66" s="30">
        <f>B63</f>
        <v>3</v>
      </c>
      <c r="C66" s="30"/>
      <c r="E66" s="30">
        <f>B66</f>
        <v>3</v>
      </c>
      <c r="F66" s="30"/>
      <c r="H66" s="30">
        <f>E66</f>
        <v>3</v>
      </c>
      <c r="I66" s="30"/>
      <c r="K66" s="30">
        <f>H66</f>
        <v>3</v>
      </c>
      <c r="L66" s="30"/>
      <c r="N66" s="30">
        <f>K66</f>
        <v>3</v>
      </c>
      <c r="O66" s="30"/>
    </row>
    <row r="67" spans="2:15" s="28" customFormat="1" ht="21" customHeight="1" x14ac:dyDescent="0.25">
      <c r="C67" s="29"/>
    </row>
    <row r="68" spans="2:15" s="28" customFormat="1" ht="21" customHeight="1" x14ac:dyDescent="0.25">
      <c r="B68" s="30"/>
      <c r="C68" s="30">
        <f>C65+1</f>
        <v>4</v>
      </c>
      <c r="E68" s="30">
        <v>0</v>
      </c>
      <c r="F68" s="30">
        <f>C68</f>
        <v>4</v>
      </c>
      <c r="H68" s="30">
        <v>1</v>
      </c>
      <c r="I68" s="30">
        <f>F68</f>
        <v>4</v>
      </c>
      <c r="K68" s="30"/>
      <c r="L68" s="30">
        <f>I68</f>
        <v>4</v>
      </c>
      <c r="N68" s="30"/>
      <c r="O68" s="30">
        <f>L68</f>
        <v>4</v>
      </c>
    </row>
    <row r="69" spans="2:15" s="28" customFormat="1" ht="21" customHeight="1" x14ac:dyDescent="0.25">
      <c r="B69" s="30">
        <f>B66</f>
        <v>3</v>
      </c>
      <c r="C69" s="30"/>
      <c r="E69" s="30">
        <f>B69</f>
        <v>3</v>
      </c>
      <c r="F69" s="30"/>
      <c r="H69" s="30">
        <f>E69</f>
        <v>3</v>
      </c>
      <c r="I69" s="30"/>
      <c r="K69" s="30">
        <f>H69</f>
        <v>3</v>
      </c>
      <c r="L69" s="30"/>
      <c r="N69" s="30">
        <f>K69</f>
        <v>3</v>
      </c>
      <c r="O69" s="30"/>
    </row>
    <row r="70" spans="2:15" s="28" customFormat="1" ht="21" customHeight="1" x14ac:dyDescent="0.25">
      <c r="C70" s="29"/>
    </row>
    <row r="71" spans="2:15" s="28" customFormat="1" ht="21" customHeight="1" x14ac:dyDescent="0.25">
      <c r="B71" s="30"/>
      <c r="C71" s="30">
        <f>C68+1</f>
        <v>5</v>
      </c>
      <c r="E71" s="30">
        <v>3</v>
      </c>
      <c r="F71" s="30">
        <f>C71</f>
        <v>5</v>
      </c>
      <c r="H71" s="30"/>
      <c r="I71" s="30">
        <f>F71</f>
        <v>5</v>
      </c>
      <c r="K71" s="30"/>
      <c r="L71" s="30">
        <f>I71</f>
        <v>5</v>
      </c>
      <c r="N71" s="30"/>
      <c r="O71" s="30">
        <f>L71</f>
        <v>5</v>
      </c>
    </row>
    <row r="72" spans="2:15" s="31" customFormat="1" ht="21" customHeight="1" x14ac:dyDescent="0.25">
      <c r="B72" s="30">
        <f>B69</f>
        <v>3</v>
      </c>
      <c r="C72" s="30"/>
      <c r="E72" s="30">
        <f>B72</f>
        <v>3</v>
      </c>
      <c r="F72" s="30"/>
      <c r="H72" s="30">
        <f>E72</f>
        <v>3</v>
      </c>
      <c r="I72" s="30"/>
      <c r="K72" s="30">
        <f>H72</f>
        <v>3</v>
      </c>
      <c r="L72" s="30"/>
      <c r="N72" s="30">
        <f>K72</f>
        <v>3</v>
      </c>
      <c r="O72" s="30"/>
    </row>
    <row r="73" spans="2:15" s="32" customFormat="1" ht="21" customHeight="1" x14ac:dyDescent="0.25">
      <c r="C73" s="33"/>
    </row>
    <row r="74" spans="2:15" s="32" customFormat="1" ht="21" customHeight="1" x14ac:dyDescent="0.25">
      <c r="B74" s="34"/>
      <c r="C74" s="34">
        <v>0</v>
      </c>
      <c r="E74" s="34">
        <v>0</v>
      </c>
      <c r="F74" s="34">
        <f>C74</f>
        <v>0</v>
      </c>
      <c r="H74" s="34">
        <v>1</v>
      </c>
      <c r="I74" s="34">
        <f>F74</f>
        <v>0</v>
      </c>
      <c r="K74" s="34"/>
      <c r="L74" s="34">
        <f>I74</f>
        <v>0</v>
      </c>
      <c r="N74" s="34"/>
      <c r="O74" s="34">
        <f>L74</f>
        <v>0</v>
      </c>
    </row>
    <row r="75" spans="2:15" s="32" customFormat="1" ht="21" customHeight="1" x14ac:dyDescent="0.25">
      <c r="B75" s="34">
        <v>4</v>
      </c>
      <c r="C75" s="34"/>
      <c r="E75" s="34">
        <f>B75</f>
        <v>4</v>
      </c>
      <c r="F75" s="34"/>
      <c r="H75" s="34">
        <f>E75</f>
        <v>4</v>
      </c>
      <c r="I75" s="34"/>
      <c r="K75" s="34">
        <f>H75</f>
        <v>4</v>
      </c>
      <c r="L75" s="34"/>
      <c r="N75" s="34">
        <f>K75</f>
        <v>4</v>
      </c>
      <c r="O75" s="34"/>
    </row>
    <row r="76" spans="2:15" s="32" customFormat="1" ht="21" customHeight="1" x14ac:dyDescent="0.25">
      <c r="C76" s="33"/>
    </row>
    <row r="77" spans="2:15" s="32" customFormat="1" ht="21" customHeight="1" x14ac:dyDescent="0.25">
      <c r="B77" s="34"/>
      <c r="C77" s="34">
        <f>C74+1</f>
        <v>1</v>
      </c>
      <c r="E77" s="34">
        <v>3</v>
      </c>
      <c r="F77" s="34">
        <f>C77</f>
        <v>1</v>
      </c>
      <c r="H77" s="34"/>
      <c r="I77" s="34">
        <f>F77</f>
        <v>1</v>
      </c>
      <c r="K77" s="34"/>
      <c r="L77" s="34">
        <f>I77</f>
        <v>1</v>
      </c>
      <c r="N77" s="34"/>
      <c r="O77" s="34">
        <f>L77</f>
        <v>1</v>
      </c>
    </row>
    <row r="78" spans="2:15" s="32" customFormat="1" ht="21" customHeight="1" x14ac:dyDescent="0.25">
      <c r="B78" s="34">
        <f>B75</f>
        <v>4</v>
      </c>
      <c r="C78" s="34"/>
      <c r="E78" s="34">
        <f>B78</f>
        <v>4</v>
      </c>
      <c r="F78" s="34"/>
      <c r="H78" s="34">
        <f>E78</f>
        <v>4</v>
      </c>
      <c r="I78" s="34"/>
      <c r="K78" s="34">
        <f>H78</f>
        <v>4</v>
      </c>
      <c r="L78" s="34"/>
      <c r="N78" s="34">
        <f>K78</f>
        <v>4</v>
      </c>
      <c r="O78" s="34"/>
    </row>
    <row r="79" spans="2:15" s="32" customFormat="1" ht="21" customHeight="1" x14ac:dyDescent="0.25">
      <c r="C79" s="33"/>
    </row>
    <row r="80" spans="2:15" s="32" customFormat="1" ht="21" customHeight="1" x14ac:dyDescent="0.25">
      <c r="B80" s="34"/>
      <c r="C80" s="34">
        <f>C77+1</f>
        <v>2</v>
      </c>
      <c r="E80" s="34">
        <v>0</v>
      </c>
      <c r="F80" s="34">
        <f>C80</f>
        <v>2</v>
      </c>
      <c r="H80" s="34">
        <v>1</v>
      </c>
      <c r="I80" s="34">
        <f>F80</f>
        <v>2</v>
      </c>
      <c r="K80" s="34"/>
      <c r="L80" s="34">
        <f>I80</f>
        <v>2</v>
      </c>
      <c r="N80" s="34"/>
      <c r="O80" s="34">
        <f>L80</f>
        <v>2</v>
      </c>
    </row>
    <row r="81" spans="2:15" s="32" customFormat="1" ht="21" customHeight="1" x14ac:dyDescent="0.25">
      <c r="B81" s="34">
        <f>B78</f>
        <v>4</v>
      </c>
      <c r="C81" s="34"/>
      <c r="E81" s="34">
        <f>B81</f>
        <v>4</v>
      </c>
      <c r="F81" s="34"/>
      <c r="H81" s="34">
        <f>E81</f>
        <v>4</v>
      </c>
      <c r="I81" s="34"/>
      <c r="K81" s="34">
        <f>H81</f>
        <v>4</v>
      </c>
      <c r="L81" s="34"/>
      <c r="N81" s="34">
        <f>K81</f>
        <v>4</v>
      </c>
      <c r="O81" s="34"/>
    </row>
    <row r="82" spans="2:15" s="32" customFormat="1" ht="21" customHeight="1" x14ac:dyDescent="0.25">
      <c r="C82" s="33"/>
    </row>
    <row r="83" spans="2:15" s="32" customFormat="1" ht="21" customHeight="1" x14ac:dyDescent="0.25">
      <c r="B83" s="34"/>
      <c r="C83" s="34">
        <f>C80+1</f>
        <v>3</v>
      </c>
      <c r="E83" s="34">
        <v>3</v>
      </c>
      <c r="F83" s="34">
        <f>C83</f>
        <v>3</v>
      </c>
      <c r="H83" s="34"/>
      <c r="I83" s="34">
        <f>F83</f>
        <v>3</v>
      </c>
      <c r="K83" s="34"/>
      <c r="L83" s="34">
        <f>I83</f>
        <v>3</v>
      </c>
      <c r="N83" s="34"/>
      <c r="O83" s="34">
        <f>L83</f>
        <v>3</v>
      </c>
    </row>
    <row r="84" spans="2:15" s="32" customFormat="1" ht="21" customHeight="1" x14ac:dyDescent="0.25">
      <c r="B84" s="34">
        <f>B81</f>
        <v>4</v>
      </c>
      <c r="C84" s="34"/>
      <c r="E84" s="34">
        <f>B84</f>
        <v>4</v>
      </c>
      <c r="F84" s="34"/>
      <c r="H84" s="34">
        <f>E84</f>
        <v>4</v>
      </c>
      <c r="I84" s="34"/>
      <c r="K84" s="34">
        <f>H84</f>
        <v>4</v>
      </c>
      <c r="L84" s="34"/>
      <c r="N84" s="34">
        <f>K84</f>
        <v>4</v>
      </c>
      <c r="O84" s="34"/>
    </row>
    <row r="85" spans="2:15" s="32" customFormat="1" ht="21" customHeight="1" x14ac:dyDescent="0.25">
      <c r="C85" s="33"/>
    </row>
    <row r="86" spans="2:15" s="32" customFormat="1" ht="21" customHeight="1" x14ac:dyDescent="0.25">
      <c r="B86" s="34"/>
      <c r="C86" s="34">
        <f>C83+1</f>
        <v>4</v>
      </c>
      <c r="E86" s="34">
        <v>0</v>
      </c>
      <c r="F86" s="34">
        <f>C86</f>
        <v>4</v>
      </c>
      <c r="H86" s="34">
        <v>1</v>
      </c>
      <c r="I86" s="34">
        <f>F86</f>
        <v>4</v>
      </c>
      <c r="K86" s="34"/>
      <c r="L86" s="34">
        <f>I86</f>
        <v>4</v>
      </c>
      <c r="N86" s="34"/>
      <c r="O86" s="34">
        <f>L86</f>
        <v>4</v>
      </c>
    </row>
    <row r="87" spans="2:15" s="32" customFormat="1" ht="21" customHeight="1" x14ac:dyDescent="0.25">
      <c r="B87" s="34">
        <f>B84</f>
        <v>4</v>
      </c>
      <c r="C87" s="34"/>
      <c r="E87" s="34">
        <f>B87</f>
        <v>4</v>
      </c>
      <c r="F87" s="34"/>
      <c r="H87" s="34">
        <f>E87</f>
        <v>4</v>
      </c>
      <c r="I87" s="34"/>
      <c r="K87" s="34">
        <f>H87</f>
        <v>4</v>
      </c>
      <c r="L87" s="34"/>
      <c r="N87" s="34">
        <f>K87</f>
        <v>4</v>
      </c>
      <c r="O87" s="34"/>
    </row>
    <row r="88" spans="2:15" s="32" customFormat="1" ht="21" customHeight="1" x14ac:dyDescent="0.25">
      <c r="C88" s="33"/>
    </row>
    <row r="89" spans="2:15" s="32" customFormat="1" ht="21" customHeight="1" x14ac:dyDescent="0.25">
      <c r="B89" s="34"/>
      <c r="C89" s="34">
        <f>C86+1</f>
        <v>5</v>
      </c>
      <c r="E89" s="34">
        <v>3</v>
      </c>
      <c r="F89" s="34">
        <f>C89</f>
        <v>5</v>
      </c>
      <c r="H89" s="34"/>
      <c r="I89" s="34">
        <f>F89</f>
        <v>5</v>
      </c>
      <c r="K89" s="34"/>
      <c r="L89" s="34">
        <f>I89</f>
        <v>5</v>
      </c>
      <c r="N89" s="34"/>
      <c r="O89" s="34">
        <f>L89</f>
        <v>5</v>
      </c>
    </row>
    <row r="90" spans="2:15" s="35" customFormat="1" ht="21" customHeight="1" x14ac:dyDescent="0.25">
      <c r="B90" s="34">
        <f>B87</f>
        <v>4</v>
      </c>
      <c r="C90" s="34"/>
      <c r="E90" s="34">
        <f>B90</f>
        <v>4</v>
      </c>
      <c r="F90" s="34"/>
      <c r="H90" s="34">
        <f>E90</f>
        <v>4</v>
      </c>
      <c r="I90" s="34"/>
      <c r="K90" s="34">
        <f>H90</f>
        <v>4</v>
      </c>
      <c r="L90" s="34"/>
      <c r="N90" s="34">
        <f>K90</f>
        <v>4</v>
      </c>
      <c r="O90" s="34"/>
    </row>
    <row r="92" spans="2:15" ht="21" customHeight="1" x14ac:dyDescent="0.25">
      <c r="B92" s="6"/>
      <c r="C92" s="6">
        <v>0</v>
      </c>
      <c r="E92" s="6">
        <v>2</v>
      </c>
      <c r="F92" s="6">
        <f>C92</f>
        <v>0</v>
      </c>
      <c r="H92" s="6"/>
      <c r="I92" s="6">
        <f>F92</f>
        <v>0</v>
      </c>
      <c r="K92" s="6"/>
      <c r="L92" s="6">
        <f>I92</f>
        <v>0</v>
      </c>
      <c r="N92" s="6"/>
      <c r="O92" s="6">
        <f>L92</f>
        <v>0</v>
      </c>
    </row>
    <row r="93" spans="2:15" ht="21" customHeight="1" x14ac:dyDescent="0.25">
      <c r="B93" s="6">
        <v>5</v>
      </c>
      <c r="C93" s="6"/>
      <c r="E93" s="6">
        <f>B93</f>
        <v>5</v>
      </c>
      <c r="F93" s="6"/>
      <c r="H93" s="6">
        <f>E93</f>
        <v>5</v>
      </c>
      <c r="I93" s="6"/>
      <c r="K93" s="6">
        <f>H93</f>
        <v>5</v>
      </c>
      <c r="L93" s="6"/>
      <c r="N93" s="6">
        <f>K93</f>
        <v>5</v>
      </c>
      <c r="O93" s="6"/>
    </row>
    <row r="95" spans="2:15" ht="21" customHeight="1" x14ac:dyDescent="0.25">
      <c r="B95" s="6"/>
      <c r="C95" s="6">
        <f>C92+1</f>
        <v>1</v>
      </c>
      <c r="E95" s="6">
        <v>4</v>
      </c>
      <c r="F95" s="6">
        <f>C95</f>
        <v>1</v>
      </c>
      <c r="H95" s="6">
        <v>5</v>
      </c>
      <c r="I95" s="6">
        <f>F95</f>
        <v>1</v>
      </c>
      <c r="K95" s="6"/>
      <c r="L95" s="6">
        <f>I95</f>
        <v>1</v>
      </c>
      <c r="N95" s="6"/>
      <c r="O95" s="6">
        <f>L95</f>
        <v>1</v>
      </c>
    </row>
    <row r="96" spans="2:15" ht="21" customHeight="1" x14ac:dyDescent="0.25">
      <c r="B96" s="6">
        <f>B93</f>
        <v>5</v>
      </c>
      <c r="C96" s="6"/>
      <c r="E96" s="6">
        <f>B96</f>
        <v>5</v>
      </c>
      <c r="F96" s="6"/>
      <c r="H96" s="6">
        <f>E96</f>
        <v>5</v>
      </c>
      <c r="I96" s="6"/>
      <c r="K96" s="6">
        <f>H96</f>
        <v>5</v>
      </c>
      <c r="L96" s="6"/>
      <c r="N96" s="6">
        <f>K96</f>
        <v>5</v>
      </c>
      <c r="O96" s="6"/>
    </row>
    <row r="98" spans="2:15" ht="21" customHeight="1" x14ac:dyDescent="0.25">
      <c r="B98" s="6"/>
      <c r="C98" s="6">
        <f>C95+1</f>
        <v>2</v>
      </c>
      <c r="E98" s="6">
        <v>2</v>
      </c>
      <c r="F98" s="6">
        <f>C98</f>
        <v>2</v>
      </c>
      <c r="H98" s="6"/>
      <c r="I98" s="6">
        <f>F98</f>
        <v>2</v>
      </c>
      <c r="K98" s="6"/>
      <c r="L98" s="6">
        <f>I98</f>
        <v>2</v>
      </c>
      <c r="N98" s="6"/>
      <c r="O98" s="6">
        <f>L98</f>
        <v>2</v>
      </c>
    </row>
    <row r="99" spans="2:15" ht="21" customHeight="1" x14ac:dyDescent="0.25">
      <c r="B99" s="6">
        <f>B96</f>
        <v>5</v>
      </c>
      <c r="C99" s="6"/>
      <c r="E99" s="6">
        <f>B99</f>
        <v>5</v>
      </c>
      <c r="F99" s="6"/>
      <c r="H99" s="6">
        <f>E99</f>
        <v>5</v>
      </c>
      <c r="I99" s="6"/>
      <c r="K99" s="6">
        <f>H99</f>
        <v>5</v>
      </c>
      <c r="L99" s="6"/>
      <c r="N99" s="6">
        <f>K99</f>
        <v>5</v>
      </c>
      <c r="O99" s="6"/>
    </row>
    <row r="101" spans="2:15" ht="21" customHeight="1" x14ac:dyDescent="0.25">
      <c r="B101" s="6"/>
      <c r="C101" s="6">
        <f>C98+1</f>
        <v>3</v>
      </c>
      <c r="E101" s="6">
        <v>4</v>
      </c>
      <c r="F101" s="6">
        <f>C101</f>
        <v>3</v>
      </c>
      <c r="H101" s="6">
        <v>5</v>
      </c>
      <c r="I101" s="6">
        <f>F101</f>
        <v>3</v>
      </c>
      <c r="K101" s="6"/>
      <c r="L101" s="6">
        <f>I101</f>
        <v>3</v>
      </c>
      <c r="N101" s="6"/>
      <c r="O101" s="6">
        <f>L101</f>
        <v>3</v>
      </c>
    </row>
    <row r="102" spans="2:15" ht="21" customHeight="1" x14ac:dyDescent="0.25">
      <c r="B102" s="6">
        <f>B99</f>
        <v>5</v>
      </c>
      <c r="C102" s="6"/>
      <c r="E102" s="6">
        <f>B102</f>
        <v>5</v>
      </c>
      <c r="F102" s="6"/>
      <c r="H102" s="6">
        <f>E102</f>
        <v>5</v>
      </c>
      <c r="I102" s="6"/>
      <c r="K102" s="6">
        <f>H102</f>
        <v>5</v>
      </c>
      <c r="L102" s="6"/>
      <c r="N102" s="6">
        <f>K102</f>
        <v>5</v>
      </c>
      <c r="O102" s="6"/>
    </row>
    <row r="104" spans="2:15" ht="21" customHeight="1" x14ac:dyDescent="0.25">
      <c r="B104" s="6"/>
      <c r="C104" s="6">
        <f>C101+1</f>
        <v>4</v>
      </c>
      <c r="E104" s="6">
        <v>2</v>
      </c>
      <c r="F104" s="6">
        <f>C104</f>
        <v>4</v>
      </c>
      <c r="H104" s="6"/>
      <c r="I104" s="6">
        <f>F104</f>
        <v>4</v>
      </c>
      <c r="K104" s="6"/>
      <c r="L104" s="6">
        <f>I104</f>
        <v>4</v>
      </c>
      <c r="N104" s="6"/>
      <c r="O104" s="6">
        <f>L104</f>
        <v>4</v>
      </c>
    </row>
    <row r="105" spans="2:15" ht="21" customHeight="1" x14ac:dyDescent="0.25">
      <c r="B105" s="6">
        <f>B102</f>
        <v>5</v>
      </c>
      <c r="C105" s="6"/>
      <c r="E105" s="6">
        <f>B105</f>
        <v>5</v>
      </c>
      <c r="F105" s="6"/>
      <c r="H105" s="6">
        <f>E105</f>
        <v>5</v>
      </c>
      <c r="I105" s="6"/>
      <c r="K105" s="6">
        <f>H105</f>
        <v>5</v>
      </c>
      <c r="L105" s="6"/>
      <c r="N105" s="6">
        <f>K105</f>
        <v>5</v>
      </c>
      <c r="O105" s="6"/>
    </row>
    <row r="107" spans="2:15" ht="21" customHeight="1" x14ac:dyDescent="0.25">
      <c r="B107" s="6"/>
      <c r="C107" s="6">
        <f>C104+1</f>
        <v>5</v>
      </c>
      <c r="E107" s="6">
        <v>4</v>
      </c>
      <c r="F107" s="6">
        <f>C107</f>
        <v>5</v>
      </c>
      <c r="H107" s="6">
        <v>5</v>
      </c>
      <c r="I107" s="6">
        <f>F107</f>
        <v>5</v>
      </c>
      <c r="K107" s="6"/>
      <c r="L107" s="6">
        <f>I107</f>
        <v>5</v>
      </c>
      <c r="N107" s="6"/>
      <c r="O107" s="6">
        <f>L107</f>
        <v>5</v>
      </c>
    </row>
    <row r="108" spans="2:15" ht="21" customHeight="1" x14ac:dyDescent="0.25">
      <c r="B108" s="6">
        <f>B105</f>
        <v>5</v>
      </c>
      <c r="C108" s="6"/>
      <c r="E108" s="6">
        <f>B108</f>
        <v>5</v>
      </c>
      <c r="F108" s="6"/>
      <c r="H108" s="6">
        <f>E108</f>
        <v>5</v>
      </c>
      <c r="I108" s="6"/>
      <c r="K108" s="6">
        <f>H108</f>
        <v>5</v>
      </c>
      <c r="L108" s="6"/>
      <c r="N108" s="6">
        <f>K108</f>
        <v>5</v>
      </c>
      <c r="O108" s="6"/>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511"/>
  <dimension ref="A1:CZ105"/>
  <sheetViews>
    <sheetView zoomScale="70" zoomScaleNormal="70" zoomScaleSheetLayoutView="20" workbookViewId="0">
      <pane xSplit="1" ySplit="2" topLeftCell="BN52" activePane="bottomRight" state="frozen"/>
      <selection pane="topRight" activeCell="B1" sqref="B1"/>
      <selection pane="bottomLeft" activeCell="A3" sqref="A3"/>
      <selection pane="bottomRight" activeCell="DM154" sqref="DM154"/>
    </sheetView>
  </sheetViews>
  <sheetFormatPr defaultColWidth="4.7109375" defaultRowHeight="21" customHeight="1" x14ac:dyDescent="0.25"/>
  <cols>
    <col min="2" max="2" width="6" bestFit="1" customWidth="1"/>
    <col min="104" max="104" width="4.7109375" style="126" customWidth="1"/>
  </cols>
  <sheetData>
    <row r="1" spans="1:104" ht="21" customHeight="1" x14ac:dyDescent="0.25">
      <c r="A1" s="261" t="s">
        <v>109</v>
      </c>
      <c r="B1" s="261"/>
      <c r="C1" s="261"/>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8">
        <v>1</v>
      </c>
      <c r="C3" s="128">
        <v>1</v>
      </c>
      <c r="D3" s="128">
        <v>1</v>
      </c>
      <c r="E3" s="128">
        <v>1</v>
      </c>
      <c r="F3" s="128">
        <v>1</v>
      </c>
      <c r="G3" s="128">
        <v>1</v>
      </c>
      <c r="H3" s="128">
        <v>1</v>
      </c>
      <c r="I3" s="128">
        <v>1</v>
      </c>
      <c r="J3" s="128">
        <v>1</v>
      </c>
      <c r="K3" s="128">
        <v>1</v>
      </c>
      <c r="L3" s="128">
        <v>1</v>
      </c>
      <c r="M3" s="128">
        <v>1</v>
      </c>
      <c r="N3" s="128">
        <v>1</v>
      </c>
      <c r="O3" s="128">
        <v>1</v>
      </c>
      <c r="P3" s="128">
        <v>1</v>
      </c>
      <c r="Q3" s="128">
        <v>1</v>
      </c>
      <c r="R3" s="128">
        <v>1</v>
      </c>
      <c r="S3" s="128">
        <v>1</v>
      </c>
      <c r="T3" s="128">
        <v>1</v>
      </c>
      <c r="U3" s="128">
        <v>1</v>
      </c>
      <c r="V3" s="128">
        <v>1</v>
      </c>
      <c r="W3" s="128">
        <v>1</v>
      </c>
      <c r="X3" s="128">
        <v>1</v>
      </c>
      <c r="Y3" s="128">
        <v>1</v>
      </c>
      <c r="Z3" s="128">
        <v>1</v>
      </c>
      <c r="AA3" s="128">
        <v>1</v>
      </c>
      <c r="AB3" s="128">
        <v>1</v>
      </c>
      <c r="AC3" s="128">
        <v>1</v>
      </c>
      <c r="AD3" s="128">
        <v>1</v>
      </c>
      <c r="AE3" s="128">
        <v>1</v>
      </c>
      <c r="AF3" s="128">
        <v>1</v>
      </c>
      <c r="AG3" s="128">
        <v>1</v>
      </c>
      <c r="AH3" s="128">
        <v>1</v>
      </c>
      <c r="AI3" s="128">
        <v>1</v>
      </c>
      <c r="AJ3" s="128">
        <v>1</v>
      </c>
      <c r="AK3" s="128">
        <v>1</v>
      </c>
      <c r="AL3" s="128">
        <v>1</v>
      </c>
      <c r="AM3" s="128">
        <v>1</v>
      </c>
      <c r="AN3" s="128">
        <v>1</v>
      </c>
      <c r="AO3" s="128">
        <v>1</v>
      </c>
      <c r="AP3" s="128">
        <v>1</v>
      </c>
      <c r="AQ3" s="128">
        <v>1</v>
      </c>
      <c r="AR3" s="128">
        <v>1</v>
      </c>
      <c r="AS3" s="128">
        <v>1</v>
      </c>
      <c r="AT3" s="128">
        <v>1</v>
      </c>
      <c r="AU3" s="128">
        <v>1</v>
      </c>
      <c r="AV3" s="128">
        <v>1</v>
      </c>
      <c r="AW3" s="128">
        <v>1</v>
      </c>
      <c r="AX3" s="128">
        <v>1</v>
      </c>
      <c r="AY3" s="128">
        <v>1</v>
      </c>
      <c r="AZ3" s="128">
        <v>1</v>
      </c>
      <c r="BA3" s="128">
        <v>1</v>
      </c>
      <c r="BB3" s="128">
        <v>1</v>
      </c>
      <c r="BC3" s="128">
        <v>1</v>
      </c>
      <c r="BD3" s="128">
        <v>1</v>
      </c>
      <c r="BE3" s="128">
        <v>1</v>
      </c>
      <c r="BF3" s="128">
        <v>1</v>
      </c>
      <c r="BG3" s="128">
        <v>1</v>
      </c>
      <c r="BH3" s="128">
        <v>1</v>
      </c>
      <c r="BI3" s="128">
        <v>1</v>
      </c>
      <c r="BJ3" s="128">
        <v>1</v>
      </c>
      <c r="BK3" s="128">
        <v>1</v>
      </c>
      <c r="BL3" s="128">
        <v>1</v>
      </c>
      <c r="BM3" s="128">
        <v>1</v>
      </c>
      <c r="BN3" s="128">
        <v>1</v>
      </c>
      <c r="BO3" s="128">
        <v>1</v>
      </c>
      <c r="BP3" s="128">
        <v>1</v>
      </c>
      <c r="BQ3" s="128">
        <v>1</v>
      </c>
      <c r="BR3" s="128">
        <v>1</v>
      </c>
      <c r="BS3" s="128">
        <v>1</v>
      </c>
      <c r="BT3" s="128">
        <v>1</v>
      </c>
      <c r="BU3" s="128">
        <v>1</v>
      </c>
      <c r="BV3" s="128">
        <v>1</v>
      </c>
      <c r="BW3" s="128">
        <v>1</v>
      </c>
      <c r="BX3" s="128">
        <v>1</v>
      </c>
      <c r="BY3" s="128">
        <v>1</v>
      </c>
      <c r="BZ3" s="128">
        <v>1</v>
      </c>
      <c r="CA3" s="128">
        <v>1</v>
      </c>
      <c r="CB3" s="128">
        <v>1</v>
      </c>
      <c r="CC3" s="128">
        <v>1</v>
      </c>
      <c r="CD3" s="128">
        <v>1</v>
      </c>
      <c r="CE3" s="128">
        <v>1</v>
      </c>
      <c r="CF3" s="128">
        <v>1</v>
      </c>
      <c r="CG3" s="128">
        <v>1</v>
      </c>
      <c r="CH3" s="128">
        <v>1</v>
      </c>
      <c r="CI3" s="128">
        <v>1</v>
      </c>
      <c r="CJ3" s="128">
        <v>1</v>
      </c>
      <c r="CK3" s="128">
        <v>1</v>
      </c>
      <c r="CL3" s="128">
        <v>1</v>
      </c>
      <c r="CM3" s="128">
        <v>1</v>
      </c>
      <c r="CN3" s="128">
        <v>1</v>
      </c>
      <c r="CO3" s="128">
        <v>1</v>
      </c>
      <c r="CP3" s="128">
        <v>1</v>
      </c>
      <c r="CQ3" s="128">
        <v>1</v>
      </c>
      <c r="CR3" s="128">
        <v>1</v>
      </c>
      <c r="CS3" s="128">
        <v>1</v>
      </c>
      <c r="CT3" s="128">
        <v>1</v>
      </c>
      <c r="CU3" s="128">
        <v>1</v>
      </c>
      <c r="CV3" s="128">
        <v>1</v>
      </c>
      <c r="CW3" s="128">
        <v>1</v>
      </c>
      <c r="CX3" s="128">
        <v>1</v>
      </c>
      <c r="CZ3" s="126">
        <f>SUMIF(MatrixF0[[1]:[2]],MatrixF0[[#This Row],[Столбец1]])/MatrixF0[[#This Row],[Столбец1]]</f>
        <v>10201</v>
      </c>
    </row>
    <row r="4" spans="1:104" ht="21" customHeight="1" x14ac:dyDescent="0.25">
      <c r="A4" s="127">
        <v>1.01</v>
      </c>
      <c r="B4" s="128">
        <v>1</v>
      </c>
      <c r="C4" s="128">
        <v>1</v>
      </c>
      <c r="D4" s="128">
        <v>1</v>
      </c>
      <c r="E4" s="128">
        <v>1</v>
      </c>
      <c r="F4" s="128">
        <v>1</v>
      </c>
      <c r="G4" s="128">
        <v>1</v>
      </c>
      <c r="H4" s="128">
        <v>1</v>
      </c>
      <c r="I4" s="128">
        <v>1</v>
      </c>
      <c r="J4" s="128">
        <v>1</v>
      </c>
      <c r="K4" s="128">
        <v>1</v>
      </c>
      <c r="L4" s="128">
        <v>1</v>
      </c>
      <c r="M4" s="128">
        <v>1</v>
      </c>
      <c r="N4" s="128">
        <v>1</v>
      </c>
      <c r="O4" s="128">
        <v>1</v>
      </c>
      <c r="P4" s="128">
        <v>1</v>
      </c>
      <c r="Q4" s="128">
        <v>1</v>
      </c>
      <c r="R4" s="128">
        <v>1</v>
      </c>
      <c r="S4" s="128">
        <v>1</v>
      </c>
      <c r="T4" s="128">
        <v>1</v>
      </c>
      <c r="U4" s="128">
        <v>1</v>
      </c>
      <c r="V4" s="128">
        <v>1</v>
      </c>
      <c r="W4" s="128">
        <v>1</v>
      </c>
      <c r="X4" s="128">
        <v>1</v>
      </c>
      <c r="Y4" s="128">
        <v>1</v>
      </c>
      <c r="Z4" s="128">
        <v>1</v>
      </c>
      <c r="AA4" s="128">
        <v>1</v>
      </c>
      <c r="AB4" s="128">
        <v>1</v>
      </c>
      <c r="AC4" s="128">
        <v>1</v>
      </c>
      <c r="AD4" s="128">
        <v>1</v>
      </c>
      <c r="AE4" s="128">
        <v>1</v>
      </c>
      <c r="AF4" s="128">
        <v>1</v>
      </c>
      <c r="AG4" s="128">
        <v>1</v>
      </c>
      <c r="AH4" s="128">
        <v>1</v>
      </c>
      <c r="AI4" s="128">
        <v>1</v>
      </c>
      <c r="AJ4" s="128">
        <v>1</v>
      </c>
      <c r="AK4" s="128">
        <v>1</v>
      </c>
      <c r="AL4" s="128">
        <v>1</v>
      </c>
      <c r="AM4" s="128">
        <v>1</v>
      </c>
      <c r="AN4" s="128">
        <v>1</v>
      </c>
      <c r="AO4" s="128">
        <v>1</v>
      </c>
      <c r="AP4" s="128">
        <v>1</v>
      </c>
      <c r="AQ4" s="128">
        <v>1</v>
      </c>
      <c r="AR4" s="128">
        <v>1</v>
      </c>
      <c r="AS4" s="128">
        <v>1</v>
      </c>
      <c r="AT4" s="128">
        <v>1</v>
      </c>
      <c r="AU4" s="128">
        <v>1</v>
      </c>
      <c r="AV4" s="128">
        <v>1</v>
      </c>
      <c r="AW4" s="128">
        <v>1</v>
      </c>
      <c r="AX4" s="128">
        <v>1</v>
      </c>
      <c r="AY4" s="128">
        <v>1</v>
      </c>
      <c r="AZ4" s="128">
        <v>1</v>
      </c>
      <c r="BA4" s="128">
        <v>1</v>
      </c>
      <c r="BB4" s="128">
        <v>1</v>
      </c>
      <c r="BC4" s="128">
        <v>1</v>
      </c>
      <c r="BD4" s="128">
        <v>1</v>
      </c>
      <c r="BE4" s="128">
        <v>1</v>
      </c>
      <c r="BF4" s="128">
        <v>1</v>
      </c>
      <c r="BG4" s="128">
        <v>1</v>
      </c>
      <c r="BH4" s="128">
        <v>1</v>
      </c>
      <c r="BI4" s="128">
        <v>1</v>
      </c>
      <c r="BJ4" s="128">
        <v>1</v>
      </c>
      <c r="BK4" s="128">
        <v>1</v>
      </c>
      <c r="BL4" s="128">
        <v>1</v>
      </c>
      <c r="BM4" s="128">
        <v>1</v>
      </c>
      <c r="BN4" s="128">
        <v>1</v>
      </c>
      <c r="BO4" s="128">
        <v>1</v>
      </c>
      <c r="BP4" s="128">
        <v>1</v>
      </c>
      <c r="BQ4" s="128">
        <v>1</v>
      </c>
      <c r="BR4" s="128">
        <v>1</v>
      </c>
      <c r="BS4" s="128">
        <v>1</v>
      </c>
      <c r="BT4" s="128">
        <v>1</v>
      </c>
      <c r="BU4" s="128">
        <v>1</v>
      </c>
      <c r="BV4" s="128">
        <v>1</v>
      </c>
      <c r="BW4" s="128">
        <v>1</v>
      </c>
      <c r="BX4" s="128">
        <v>1</v>
      </c>
      <c r="BY4" s="128">
        <v>1</v>
      </c>
      <c r="BZ4" s="128">
        <v>1</v>
      </c>
      <c r="CA4" s="128">
        <v>1</v>
      </c>
      <c r="CB4" s="128">
        <v>1</v>
      </c>
      <c r="CC4" s="128">
        <v>1</v>
      </c>
      <c r="CD4" s="128">
        <v>1</v>
      </c>
      <c r="CE4" s="128">
        <v>1</v>
      </c>
      <c r="CF4" s="128">
        <v>1</v>
      </c>
      <c r="CG4" s="128">
        <v>1</v>
      </c>
      <c r="CH4" s="128">
        <v>1</v>
      </c>
      <c r="CI4" s="128">
        <v>1</v>
      </c>
      <c r="CJ4" s="128">
        <v>1</v>
      </c>
      <c r="CK4" s="128">
        <v>1</v>
      </c>
      <c r="CL4" s="128">
        <v>1</v>
      </c>
      <c r="CM4" s="128">
        <v>1</v>
      </c>
      <c r="CN4" s="128">
        <v>1</v>
      </c>
      <c r="CO4" s="128">
        <v>1</v>
      </c>
      <c r="CP4" s="128">
        <v>1</v>
      </c>
      <c r="CQ4" s="128">
        <v>1</v>
      </c>
      <c r="CR4" s="128">
        <v>1</v>
      </c>
      <c r="CS4" s="128">
        <v>1</v>
      </c>
      <c r="CT4" s="128">
        <v>1</v>
      </c>
      <c r="CU4" s="128">
        <v>1</v>
      </c>
      <c r="CV4" s="128">
        <v>1</v>
      </c>
      <c r="CW4" s="128">
        <v>1</v>
      </c>
      <c r="CX4" s="128">
        <v>1</v>
      </c>
      <c r="CZ4" s="126">
        <f>SUMIF(MatrixF0[[1]:[2]],MatrixF0[[#This Row],[Столбец1]])/MatrixF0[[#This Row],[Столбец1]]</f>
        <v>0</v>
      </c>
    </row>
    <row r="5" spans="1:104" ht="21" customHeight="1" x14ac:dyDescent="0.25">
      <c r="A5" s="127">
        <v>1.02</v>
      </c>
      <c r="B5" s="128">
        <v>1</v>
      </c>
      <c r="C5" s="128">
        <v>1</v>
      </c>
      <c r="D5" s="128">
        <v>1</v>
      </c>
      <c r="E5" s="128">
        <v>1</v>
      </c>
      <c r="F5" s="128">
        <v>1</v>
      </c>
      <c r="G5" s="128">
        <v>1</v>
      </c>
      <c r="H5" s="128">
        <v>1</v>
      </c>
      <c r="I5" s="128">
        <v>1</v>
      </c>
      <c r="J5" s="128">
        <v>1</v>
      </c>
      <c r="K5" s="128">
        <v>1</v>
      </c>
      <c r="L5" s="128">
        <v>1</v>
      </c>
      <c r="M5" s="128">
        <v>1</v>
      </c>
      <c r="N5" s="128">
        <v>1</v>
      </c>
      <c r="O5" s="128">
        <v>1</v>
      </c>
      <c r="P5" s="128">
        <v>1</v>
      </c>
      <c r="Q5" s="128">
        <v>1</v>
      </c>
      <c r="R5" s="128">
        <v>1</v>
      </c>
      <c r="S5" s="128">
        <v>1</v>
      </c>
      <c r="T5" s="128">
        <v>1</v>
      </c>
      <c r="U5" s="128">
        <v>1</v>
      </c>
      <c r="V5" s="128">
        <v>1</v>
      </c>
      <c r="W5" s="128">
        <v>1</v>
      </c>
      <c r="X5" s="128">
        <v>1</v>
      </c>
      <c r="Y5" s="128">
        <v>1</v>
      </c>
      <c r="Z5" s="128">
        <v>1</v>
      </c>
      <c r="AA5" s="128">
        <v>1</v>
      </c>
      <c r="AB5" s="128">
        <v>1</v>
      </c>
      <c r="AC5" s="128">
        <v>1</v>
      </c>
      <c r="AD5" s="128">
        <v>1</v>
      </c>
      <c r="AE5" s="128">
        <v>1</v>
      </c>
      <c r="AF5" s="128">
        <v>1</v>
      </c>
      <c r="AG5" s="128">
        <v>1</v>
      </c>
      <c r="AH5" s="128">
        <v>1</v>
      </c>
      <c r="AI5" s="128">
        <v>1</v>
      </c>
      <c r="AJ5" s="128">
        <v>1</v>
      </c>
      <c r="AK5" s="128">
        <v>1</v>
      </c>
      <c r="AL5" s="128">
        <v>1</v>
      </c>
      <c r="AM5" s="128">
        <v>1</v>
      </c>
      <c r="AN5" s="128">
        <v>1</v>
      </c>
      <c r="AO5" s="128">
        <v>1</v>
      </c>
      <c r="AP5" s="128">
        <v>1</v>
      </c>
      <c r="AQ5" s="128">
        <v>1</v>
      </c>
      <c r="AR5" s="128">
        <v>1</v>
      </c>
      <c r="AS5" s="128">
        <v>1</v>
      </c>
      <c r="AT5" s="128">
        <v>1</v>
      </c>
      <c r="AU5" s="128">
        <v>1</v>
      </c>
      <c r="AV5" s="128">
        <v>1</v>
      </c>
      <c r="AW5" s="128">
        <v>1</v>
      </c>
      <c r="AX5" s="128">
        <v>1</v>
      </c>
      <c r="AY5" s="128">
        <v>1</v>
      </c>
      <c r="AZ5" s="128">
        <v>1</v>
      </c>
      <c r="BA5" s="128">
        <v>1</v>
      </c>
      <c r="BB5" s="128">
        <v>1</v>
      </c>
      <c r="BC5" s="128">
        <v>1</v>
      </c>
      <c r="BD5" s="128">
        <v>1</v>
      </c>
      <c r="BE5" s="128">
        <v>1</v>
      </c>
      <c r="BF5" s="128">
        <v>1</v>
      </c>
      <c r="BG5" s="128">
        <v>1</v>
      </c>
      <c r="BH5" s="128">
        <v>1</v>
      </c>
      <c r="BI5" s="128">
        <v>1</v>
      </c>
      <c r="BJ5" s="128">
        <v>1</v>
      </c>
      <c r="BK5" s="128">
        <v>1</v>
      </c>
      <c r="BL5" s="128">
        <v>1</v>
      </c>
      <c r="BM5" s="128">
        <v>1</v>
      </c>
      <c r="BN5" s="128">
        <v>1</v>
      </c>
      <c r="BO5" s="128">
        <v>1</v>
      </c>
      <c r="BP5" s="128">
        <v>1</v>
      </c>
      <c r="BQ5" s="128">
        <v>1</v>
      </c>
      <c r="BR5" s="128">
        <v>1</v>
      </c>
      <c r="BS5" s="128">
        <v>1</v>
      </c>
      <c r="BT5" s="128">
        <v>1</v>
      </c>
      <c r="BU5" s="128">
        <v>1</v>
      </c>
      <c r="BV5" s="128">
        <v>1</v>
      </c>
      <c r="BW5" s="128">
        <v>1</v>
      </c>
      <c r="BX5" s="128">
        <v>1</v>
      </c>
      <c r="BY5" s="128">
        <v>1</v>
      </c>
      <c r="BZ5" s="128">
        <v>1</v>
      </c>
      <c r="CA5" s="128">
        <v>1</v>
      </c>
      <c r="CB5" s="128">
        <v>1</v>
      </c>
      <c r="CC5" s="128">
        <v>1</v>
      </c>
      <c r="CD5" s="128">
        <v>1</v>
      </c>
      <c r="CE5" s="128">
        <v>1</v>
      </c>
      <c r="CF5" s="128">
        <v>1</v>
      </c>
      <c r="CG5" s="128">
        <v>1</v>
      </c>
      <c r="CH5" s="128">
        <v>1</v>
      </c>
      <c r="CI5" s="128">
        <v>1</v>
      </c>
      <c r="CJ5" s="128">
        <v>1</v>
      </c>
      <c r="CK5" s="128">
        <v>1</v>
      </c>
      <c r="CL5" s="128">
        <v>1</v>
      </c>
      <c r="CM5" s="128">
        <v>1</v>
      </c>
      <c r="CN5" s="128">
        <v>1</v>
      </c>
      <c r="CO5" s="128">
        <v>1</v>
      </c>
      <c r="CP5" s="128">
        <v>1</v>
      </c>
      <c r="CQ5" s="128">
        <v>1</v>
      </c>
      <c r="CR5" s="128">
        <v>1</v>
      </c>
      <c r="CS5" s="128">
        <v>1</v>
      </c>
      <c r="CT5" s="128">
        <v>1</v>
      </c>
      <c r="CU5" s="128">
        <v>1</v>
      </c>
      <c r="CV5" s="128">
        <v>1</v>
      </c>
      <c r="CW5" s="128">
        <v>1</v>
      </c>
      <c r="CX5" s="128">
        <v>1</v>
      </c>
      <c r="CZ5" s="126">
        <f>SUMIF(MatrixF0[[1]:[2]],MatrixF0[[#This Row],[Столбец1]])/MatrixF0[[#This Row],[Столбец1]]</f>
        <v>0</v>
      </c>
    </row>
    <row r="6" spans="1:104" ht="21" customHeight="1" x14ac:dyDescent="0.25">
      <c r="A6" s="127">
        <v>1.03</v>
      </c>
      <c r="B6" s="128">
        <v>1</v>
      </c>
      <c r="C6" s="128">
        <v>1</v>
      </c>
      <c r="D6" s="128">
        <v>1</v>
      </c>
      <c r="E6" s="128">
        <v>1</v>
      </c>
      <c r="F6" s="128">
        <v>1</v>
      </c>
      <c r="G6" s="128">
        <v>1</v>
      </c>
      <c r="H6" s="128">
        <v>1</v>
      </c>
      <c r="I6" s="128">
        <v>1</v>
      </c>
      <c r="J6" s="128">
        <v>1</v>
      </c>
      <c r="K6" s="128">
        <v>1</v>
      </c>
      <c r="L6" s="128">
        <v>1</v>
      </c>
      <c r="M6" s="128">
        <v>1</v>
      </c>
      <c r="N6" s="128">
        <v>1</v>
      </c>
      <c r="O6" s="128">
        <v>1</v>
      </c>
      <c r="P6" s="128">
        <v>1</v>
      </c>
      <c r="Q6" s="128">
        <v>1</v>
      </c>
      <c r="R6" s="128">
        <v>1</v>
      </c>
      <c r="S6" s="128">
        <v>1</v>
      </c>
      <c r="T6" s="128">
        <v>1</v>
      </c>
      <c r="U6" s="128">
        <v>1</v>
      </c>
      <c r="V6" s="128">
        <v>1</v>
      </c>
      <c r="W6" s="128">
        <v>1</v>
      </c>
      <c r="X6" s="128">
        <v>1</v>
      </c>
      <c r="Y6" s="128">
        <v>1</v>
      </c>
      <c r="Z6" s="128">
        <v>1</v>
      </c>
      <c r="AA6" s="128">
        <v>1</v>
      </c>
      <c r="AB6" s="128">
        <v>1</v>
      </c>
      <c r="AC6" s="128">
        <v>1</v>
      </c>
      <c r="AD6" s="128">
        <v>1</v>
      </c>
      <c r="AE6" s="128">
        <v>1</v>
      </c>
      <c r="AF6" s="128">
        <v>1</v>
      </c>
      <c r="AG6" s="128">
        <v>1</v>
      </c>
      <c r="AH6" s="128">
        <v>1</v>
      </c>
      <c r="AI6" s="128">
        <v>1</v>
      </c>
      <c r="AJ6" s="128">
        <v>1</v>
      </c>
      <c r="AK6" s="128">
        <v>1</v>
      </c>
      <c r="AL6" s="128">
        <v>1</v>
      </c>
      <c r="AM6" s="128">
        <v>1</v>
      </c>
      <c r="AN6" s="128">
        <v>1</v>
      </c>
      <c r="AO6" s="128">
        <v>1</v>
      </c>
      <c r="AP6" s="128">
        <v>1</v>
      </c>
      <c r="AQ6" s="128">
        <v>1</v>
      </c>
      <c r="AR6" s="128">
        <v>1</v>
      </c>
      <c r="AS6" s="128">
        <v>1</v>
      </c>
      <c r="AT6" s="128">
        <v>1</v>
      </c>
      <c r="AU6" s="128">
        <v>1</v>
      </c>
      <c r="AV6" s="128">
        <v>1</v>
      </c>
      <c r="AW6" s="128">
        <v>1</v>
      </c>
      <c r="AX6" s="128">
        <v>1</v>
      </c>
      <c r="AY6" s="128">
        <v>1</v>
      </c>
      <c r="AZ6" s="128">
        <v>1</v>
      </c>
      <c r="BA6" s="128">
        <v>1</v>
      </c>
      <c r="BB6" s="128">
        <v>1</v>
      </c>
      <c r="BC6" s="128">
        <v>1</v>
      </c>
      <c r="BD6" s="128">
        <v>1</v>
      </c>
      <c r="BE6" s="128">
        <v>1</v>
      </c>
      <c r="BF6" s="128">
        <v>1</v>
      </c>
      <c r="BG6" s="128">
        <v>1</v>
      </c>
      <c r="BH6" s="128">
        <v>1</v>
      </c>
      <c r="BI6" s="128">
        <v>1</v>
      </c>
      <c r="BJ6" s="128">
        <v>1</v>
      </c>
      <c r="BK6" s="128">
        <v>1</v>
      </c>
      <c r="BL6" s="128">
        <v>1</v>
      </c>
      <c r="BM6" s="128">
        <v>1</v>
      </c>
      <c r="BN6" s="128">
        <v>1</v>
      </c>
      <c r="BO6" s="128">
        <v>1</v>
      </c>
      <c r="BP6" s="128">
        <v>1</v>
      </c>
      <c r="BQ6" s="128">
        <v>1</v>
      </c>
      <c r="BR6" s="128">
        <v>1</v>
      </c>
      <c r="BS6" s="128">
        <v>1</v>
      </c>
      <c r="BT6" s="128">
        <v>1</v>
      </c>
      <c r="BU6" s="128">
        <v>1</v>
      </c>
      <c r="BV6" s="128">
        <v>1</v>
      </c>
      <c r="BW6" s="128">
        <v>1</v>
      </c>
      <c r="BX6" s="128">
        <v>1</v>
      </c>
      <c r="BY6" s="128">
        <v>1</v>
      </c>
      <c r="BZ6" s="128">
        <v>1</v>
      </c>
      <c r="CA6" s="128">
        <v>1</v>
      </c>
      <c r="CB6" s="128">
        <v>1</v>
      </c>
      <c r="CC6" s="128">
        <v>1</v>
      </c>
      <c r="CD6" s="128">
        <v>1</v>
      </c>
      <c r="CE6" s="128">
        <v>1</v>
      </c>
      <c r="CF6" s="128">
        <v>1</v>
      </c>
      <c r="CG6" s="128">
        <v>1</v>
      </c>
      <c r="CH6" s="128">
        <v>1</v>
      </c>
      <c r="CI6" s="128">
        <v>1</v>
      </c>
      <c r="CJ6" s="128">
        <v>1</v>
      </c>
      <c r="CK6" s="128">
        <v>1</v>
      </c>
      <c r="CL6" s="128">
        <v>1</v>
      </c>
      <c r="CM6" s="128">
        <v>1</v>
      </c>
      <c r="CN6" s="128">
        <v>1</v>
      </c>
      <c r="CO6" s="128">
        <v>1</v>
      </c>
      <c r="CP6" s="128">
        <v>1</v>
      </c>
      <c r="CQ6" s="128">
        <v>1</v>
      </c>
      <c r="CR6" s="128">
        <v>1</v>
      </c>
      <c r="CS6" s="128">
        <v>1</v>
      </c>
      <c r="CT6" s="128">
        <v>1</v>
      </c>
      <c r="CU6" s="128">
        <v>1</v>
      </c>
      <c r="CV6" s="128">
        <v>1</v>
      </c>
      <c r="CW6" s="128">
        <v>1</v>
      </c>
      <c r="CX6" s="128">
        <v>1</v>
      </c>
      <c r="CZ6" s="126">
        <f>SUMIF(MatrixF0[[1]:[2]],MatrixF0[[#This Row],[Столбец1]])/MatrixF0[[#This Row],[Столбец1]]</f>
        <v>0</v>
      </c>
    </row>
    <row r="7" spans="1:104" ht="21" customHeight="1" x14ac:dyDescent="0.25">
      <c r="A7" s="127">
        <v>1.04</v>
      </c>
      <c r="B7" s="128">
        <v>1</v>
      </c>
      <c r="C7" s="128">
        <v>1</v>
      </c>
      <c r="D7" s="128">
        <v>1</v>
      </c>
      <c r="E7" s="128">
        <v>1</v>
      </c>
      <c r="F7" s="128">
        <v>1</v>
      </c>
      <c r="G7" s="128">
        <v>1</v>
      </c>
      <c r="H7" s="128">
        <v>1</v>
      </c>
      <c r="I7" s="128">
        <v>1</v>
      </c>
      <c r="J7" s="128">
        <v>1</v>
      </c>
      <c r="K7" s="128">
        <v>1</v>
      </c>
      <c r="L7" s="128">
        <v>1</v>
      </c>
      <c r="M7" s="128">
        <v>1</v>
      </c>
      <c r="N7" s="128">
        <v>1</v>
      </c>
      <c r="O7" s="128">
        <v>1</v>
      </c>
      <c r="P7" s="128">
        <v>1</v>
      </c>
      <c r="Q7" s="128">
        <v>1</v>
      </c>
      <c r="R7" s="128">
        <v>1</v>
      </c>
      <c r="S7" s="128">
        <v>1</v>
      </c>
      <c r="T7" s="128">
        <v>1</v>
      </c>
      <c r="U7" s="128">
        <v>1</v>
      </c>
      <c r="V7" s="128">
        <v>1</v>
      </c>
      <c r="W7" s="128">
        <v>1</v>
      </c>
      <c r="X7" s="128">
        <v>1</v>
      </c>
      <c r="Y7" s="128">
        <v>1</v>
      </c>
      <c r="Z7" s="128">
        <v>1</v>
      </c>
      <c r="AA7" s="128">
        <v>1</v>
      </c>
      <c r="AB7" s="128">
        <v>1</v>
      </c>
      <c r="AC7" s="128">
        <v>1</v>
      </c>
      <c r="AD7" s="128">
        <v>1</v>
      </c>
      <c r="AE7" s="128">
        <v>1</v>
      </c>
      <c r="AF7" s="128">
        <v>1</v>
      </c>
      <c r="AG7" s="128">
        <v>1</v>
      </c>
      <c r="AH7" s="128">
        <v>1</v>
      </c>
      <c r="AI7" s="128">
        <v>1</v>
      </c>
      <c r="AJ7" s="128">
        <v>1</v>
      </c>
      <c r="AK7" s="128">
        <v>1</v>
      </c>
      <c r="AL7" s="128">
        <v>1</v>
      </c>
      <c r="AM7" s="128">
        <v>1</v>
      </c>
      <c r="AN7" s="128">
        <v>1</v>
      </c>
      <c r="AO7" s="128">
        <v>1</v>
      </c>
      <c r="AP7" s="128">
        <v>1</v>
      </c>
      <c r="AQ7" s="128">
        <v>1</v>
      </c>
      <c r="AR7" s="128">
        <v>1</v>
      </c>
      <c r="AS7" s="128">
        <v>1</v>
      </c>
      <c r="AT7" s="128">
        <v>1</v>
      </c>
      <c r="AU7" s="128">
        <v>1</v>
      </c>
      <c r="AV7" s="128">
        <v>1</v>
      </c>
      <c r="AW7" s="128">
        <v>1</v>
      </c>
      <c r="AX7" s="128">
        <v>1</v>
      </c>
      <c r="AY7" s="128">
        <v>1</v>
      </c>
      <c r="AZ7" s="128">
        <v>1</v>
      </c>
      <c r="BA7" s="128">
        <v>1</v>
      </c>
      <c r="BB7" s="128">
        <v>1</v>
      </c>
      <c r="BC7" s="128">
        <v>1</v>
      </c>
      <c r="BD7" s="128">
        <v>1</v>
      </c>
      <c r="BE7" s="128">
        <v>1</v>
      </c>
      <c r="BF7" s="128">
        <v>1</v>
      </c>
      <c r="BG7" s="128">
        <v>1</v>
      </c>
      <c r="BH7" s="128">
        <v>1</v>
      </c>
      <c r="BI7" s="128">
        <v>1</v>
      </c>
      <c r="BJ7" s="128">
        <v>1</v>
      </c>
      <c r="BK7" s="128">
        <v>1</v>
      </c>
      <c r="BL7" s="128">
        <v>1</v>
      </c>
      <c r="BM7" s="128">
        <v>1</v>
      </c>
      <c r="BN7" s="128">
        <v>1</v>
      </c>
      <c r="BO7" s="128">
        <v>1</v>
      </c>
      <c r="BP7" s="128">
        <v>1</v>
      </c>
      <c r="BQ7" s="128">
        <v>1</v>
      </c>
      <c r="BR7" s="128">
        <v>1</v>
      </c>
      <c r="BS7" s="128">
        <v>1</v>
      </c>
      <c r="BT7" s="128">
        <v>1</v>
      </c>
      <c r="BU7" s="128">
        <v>1</v>
      </c>
      <c r="BV7" s="128">
        <v>1</v>
      </c>
      <c r="BW7" s="128">
        <v>1</v>
      </c>
      <c r="BX7" s="128">
        <v>1</v>
      </c>
      <c r="BY7" s="128">
        <v>1</v>
      </c>
      <c r="BZ7" s="128">
        <v>1</v>
      </c>
      <c r="CA7" s="128">
        <v>1</v>
      </c>
      <c r="CB7" s="128">
        <v>1</v>
      </c>
      <c r="CC7" s="128">
        <v>1</v>
      </c>
      <c r="CD7" s="128">
        <v>1</v>
      </c>
      <c r="CE7" s="128">
        <v>1</v>
      </c>
      <c r="CF7" s="128">
        <v>1</v>
      </c>
      <c r="CG7" s="128">
        <v>1</v>
      </c>
      <c r="CH7" s="128">
        <v>1</v>
      </c>
      <c r="CI7" s="128">
        <v>1</v>
      </c>
      <c r="CJ7" s="128">
        <v>1</v>
      </c>
      <c r="CK7" s="128">
        <v>1</v>
      </c>
      <c r="CL7" s="128">
        <v>1</v>
      </c>
      <c r="CM7" s="128">
        <v>1</v>
      </c>
      <c r="CN7" s="128">
        <v>1</v>
      </c>
      <c r="CO7" s="128">
        <v>1</v>
      </c>
      <c r="CP7" s="128">
        <v>1</v>
      </c>
      <c r="CQ7" s="128">
        <v>1</v>
      </c>
      <c r="CR7" s="128">
        <v>1</v>
      </c>
      <c r="CS7" s="128">
        <v>1</v>
      </c>
      <c r="CT7" s="128">
        <v>1</v>
      </c>
      <c r="CU7" s="128">
        <v>1</v>
      </c>
      <c r="CV7" s="128">
        <v>1</v>
      </c>
      <c r="CW7" s="128">
        <v>1</v>
      </c>
      <c r="CX7" s="128">
        <v>1</v>
      </c>
      <c r="CZ7" s="126">
        <f>SUMIF(MatrixF0[[1]:[2]],MatrixF0[[#This Row],[Столбец1]])/MatrixF0[[#This Row],[Столбец1]]</f>
        <v>0</v>
      </c>
    </row>
    <row r="8" spans="1:104" ht="21" customHeight="1" x14ac:dyDescent="0.25">
      <c r="A8" s="127">
        <v>1.05</v>
      </c>
      <c r="B8" s="128">
        <v>1</v>
      </c>
      <c r="C8" s="128">
        <v>1</v>
      </c>
      <c r="D8" s="128">
        <v>1</v>
      </c>
      <c r="E8" s="128">
        <v>1</v>
      </c>
      <c r="F8" s="128">
        <v>1</v>
      </c>
      <c r="G8" s="128">
        <v>1</v>
      </c>
      <c r="H8" s="128">
        <v>1</v>
      </c>
      <c r="I8" s="128">
        <v>1</v>
      </c>
      <c r="J8" s="128">
        <v>1</v>
      </c>
      <c r="K8" s="128">
        <v>1</v>
      </c>
      <c r="L8" s="128">
        <v>1</v>
      </c>
      <c r="M8" s="128">
        <v>1</v>
      </c>
      <c r="N8" s="128">
        <v>1</v>
      </c>
      <c r="O8" s="128">
        <v>1</v>
      </c>
      <c r="P8" s="128">
        <v>1</v>
      </c>
      <c r="Q8" s="128">
        <v>1</v>
      </c>
      <c r="R8" s="128">
        <v>1</v>
      </c>
      <c r="S8" s="128">
        <v>1</v>
      </c>
      <c r="T8" s="128">
        <v>1</v>
      </c>
      <c r="U8" s="128">
        <v>1</v>
      </c>
      <c r="V8" s="128">
        <v>1</v>
      </c>
      <c r="W8" s="128">
        <v>1</v>
      </c>
      <c r="X8" s="128">
        <v>1</v>
      </c>
      <c r="Y8" s="128">
        <v>1</v>
      </c>
      <c r="Z8" s="128">
        <v>1</v>
      </c>
      <c r="AA8" s="128">
        <v>1</v>
      </c>
      <c r="AB8" s="128">
        <v>1</v>
      </c>
      <c r="AC8" s="128">
        <v>1</v>
      </c>
      <c r="AD8" s="128">
        <v>1</v>
      </c>
      <c r="AE8" s="128">
        <v>1</v>
      </c>
      <c r="AF8" s="128">
        <v>1</v>
      </c>
      <c r="AG8" s="128">
        <v>1</v>
      </c>
      <c r="AH8" s="128">
        <v>1</v>
      </c>
      <c r="AI8" s="128">
        <v>1</v>
      </c>
      <c r="AJ8" s="128">
        <v>1</v>
      </c>
      <c r="AK8" s="128">
        <v>1</v>
      </c>
      <c r="AL8" s="128">
        <v>1</v>
      </c>
      <c r="AM8" s="128">
        <v>1</v>
      </c>
      <c r="AN8" s="128">
        <v>1</v>
      </c>
      <c r="AO8" s="128">
        <v>1</v>
      </c>
      <c r="AP8" s="128">
        <v>1</v>
      </c>
      <c r="AQ8" s="128">
        <v>1</v>
      </c>
      <c r="AR8" s="128">
        <v>1</v>
      </c>
      <c r="AS8" s="128">
        <v>1</v>
      </c>
      <c r="AT8" s="128">
        <v>1</v>
      </c>
      <c r="AU8" s="128">
        <v>1</v>
      </c>
      <c r="AV8" s="128">
        <v>1</v>
      </c>
      <c r="AW8" s="128">
        <v>1</v>
      </c>
      <c r="AX8" s="128">
        <v>1</v>
      </c>
      <c r="AY8" s="128">
        <v>1</v>
      </c>
      <c r="AZ8" s="128">
        <v>1</v>
      </c>
      <c r="BA8" s="128">
        <v>1</v>
      </c>
      <c r="BB8" s="128">
        <v>1</v>
      </c>
      <c r="BC8" s="128">
        <v>1</v>
      </c>
      <c r="BD8" s="128">
        <v>1</v>
      </c>
      <c r="BE8" s="128">
        <v>1</v>
      </c>
      <c r="BF8" s="128">
        <v>1</v>
      </c>
      <c r="BG8" s="128">
        <v>1</v>
      </c>
      <c r="BH8" s="128">
        <v>1</v>
      </c>
      <c r="BI8" s="128">
        <v>1</v>
      </c>
      <c r="BJ8" s="128">
        <v>1</v>
      </c>
      <c r="BK8" s="128">
        <v>1</v>
      </c>
      <c r="BL8" s="128">
        <v>1</v>
      </c>
      <c r="BM8" s="128">
        <v>1</v>
      </c>
      <c r="BN8" s="128">
        <v>1</v>
      </c>
      <c r="BO8" s="128">
        <v>1</v>
      </c>
      <c r="BP8" s="128">
        <v>1</v>
      </c>
      <c r="BQ8" s="128">
        <v>1</v>
      </c>
      <c r="BR8" s="128">
        <v>1</v>
      </c>
      <c r="BS8" s="128">
        <v>1</v>
      </c>
      <c r="BT8" s="128">
        <v>1</v>
      </c>
      <c r="BU8" s="128">
        <v>1</v>
      </c>
      <c r="BV8" s="128">
        <v>1</v>
      </c>
      <c r="BW8" s="128">
        <v>1</v>
      </c>
      <c r="BX8" s="128">
        <v>1</v>
      </c>
      <c r="BY8" s="128">
        <v>1</v>
      </c>
      <c r="BZ8" s="128">
        <v>1</v>
      </c>
      <c r="CA8" s="128">
        <v>1</v>
      </c>
      <c r="CB8" s="128">
        <v>1</v>
      </c>
      <c r="CC8" s="128">
        <v>1</v>
      </c>
      <c r="CD8" s="128">
        <v>1</v>
      </c>
      <c r="CE8" s="128">
        <v>1</v>
      </c>
      <c r="CF8" s="128">
        <v>1</v>
      </c>
      <c r="CG8" s="128">
        <v>1</v>
      </c>
      <c r="CH8" s="128">
        <v>1</v>
      </c>
      <c r="CI8" s="128">
        <v>1</v>
      </c>
      <c r="CJ8" s="128">
        <v>1</v>
      </c>
      <c r="CK8" s="128">
        <v>1</v>
      </c>
      <c r="CL8" s="128">
        <v>1</v>
      </c>
      <c r="CM8" s="128">
        <v>1</v>
      </c>
      <c r="CN8" s="128">
        <v>1</v>
      </c>
      <c r="CO8" s="128">
        <v>1</v>
      </c>
      <c r="CP8" s="128">
        <v>1</v>
      </c>
      <c r="CQ8" s="128">
        <v>1</v>
      </c>
      <c r="CR8" s="128">
        <v>1</v>
      </c>
      <c r="CS8" s="128">
        <v>1</v>
      </c>
      <c r="CT8" s="128">
        <v>1</v>
      </c>
      <c r="CU8" s="128">
        <v>1</v>
      </c>
      <c r="CV8" s="128">
        <v>1</v>
      </c>
      <c r="CW8" s="128">
        <v>1</v>
      </c>
      <c r="CX8" s="128">
        <v>1</v>
      </c>
      <c r="CZ8" s="126">
        <f>SUMIF(MatrixF0[[1]:[2]],MatrixF0[[#This Row],[Столбец1]])/MatrixF0[[#This Row],[Столбец1]]</f>
        <v>0</v>
      </c>
    </row>
    <row r="9" spans="1:104" ht="21" customHeight="1" x14ac:dyDescent="0.25">
      <c r="A9" s="127">
        <v>1.06</v>
      </c>
      <c r="B9" s="128">
        <v>1</v>
      </c>
      <c r="C9" s="128">
        <v>1</v>
      </c>
      <c r="D9" s="128">
        <v>1</v>
      </c>
      <c r="E9" s="128">
        <v>1</v>
      </c>
      <c r="F9" s="128">
        <v>1</v>
      </c>
      <c r="G9" s="128">
        <v>1</v>
      </c>
      <c r="H9" s="128">
        <v>1</v>
      </c>
      <c r="I9" s="128">
        <v>1</v>
      </c>
      <c r="J9" s="128">
        <v>1</v>
      </c>
      <c r="K9" s="128">
        <v>1</v>
      </c>
      <c r="L9" s="128">
        <v>1</v>
      </c>
      <c r="M9" s="128">
        <v>1</v>
      </c>
      <c r="N9" s="128">
        <v>1</v>
      </c>
      <c r="O9" s="128">
        <v>1</v>
      </c>
      <c r="P9" s="128">
        <v>1</v>
      </c>
      <c r="Q9" s="128">
        <v>1</v>
      </c>
      <c r="R9" s="128">
        <v>1</v>
      </c>
      <c r="S9" s="128">
        <v>1</v>
      </c>
      <c r="T9" s="128">
        <v>1</v>
      </c>
      <c r="U9" s="128">
        <v>1</v>
      </c>
      <c r="V9" s="128">
        <v>1</v>
      </c>
      <c r="W9" s="128">
        <v>1</v>
      </c>
      <c r="X9" s="128">
        <v>1</v>
      </c>
      <c r="Y9" s="128">
        <v>1</v>
      </c>
      <c r="Z9" s="128">
        <v>1</v>
      </c>
      <c r="AA9" s="128">
        <v>1</v>
      </c>
      <c r="AB9" s="128">
        <v>1</v>
      </c>
      <c r="AC9" s="128">
        <v>1</v>
      </c>
      <c r="AD9" s="128">
        <v>1</v>
      </c>
      <c r="AE9" s="128">
        <v>1</v>
      </c>
      <c r="AF9" s="128">
        <v>1</v>
      </c>
      <c r="AG9" s="128">
        <v>1</v>
      </c>
      <c r="AH9" s="128">
        <v>1</v>
      </c>
      <c r="AI9" s="128">
        <v>1</v>
      </c>
      <c r="AJ9" s="128">
        <v>1</v>
      </c>
      <c r="AK9" s="128">
        <v>1</v>
      </c>
      <c r="AL9" s="128">
        <v>1</v>
      </c>
      <c r="AM9" s="128">
        <v>1</v>
      </c>
      <c r="AN9" s="128">
        <v>1</v>
      </c>
      <c r="AO9" s="128">
        <v>1</v>
      </c>
      <c r="AP9" s="128">
        <v>1</v>
      </c>
      <c r="AQ9" s="128">
        <v>1</v>
      </c>
      <c r="AR9" s="128">
        <v>1</v>
      </c>
      <c r="AS9" s="128">
        <v>1</v>
      </c>
      <c r="AT9" s="128">
        <v>1</v>
      </c>
      <c r="AU9" s="128">
        <v>1</v>
      </c>
      <c r="AV9" s="128">
        <v>1</v>
      </c>
      <c r="AW9" s="128">
        <v>1</v>
      </c>
      <c r="AX9" s="128">
        <v>1</v>
      </c>
      <c r="AY9" s="128">
        <v>1</v>
      </c>
      <c r="AZ9" s="128">
        <v>1</v>
      </c>
      <c r="BA9" s="128">
        <v>1</v>
      </c>
      <c r="BB9" s="128">
        <v>1</v>
      </c>
      <c r="BC9" s="128">
        <v>1</v>
      </c>
      <c r="BD9" s="128">
        <v>1</v>
      </c>
      <c r="BE9" s="128">
        <v>1</v>
      </c>
      <c r="BF9" s="128">
        <v>1</v>
      </c>
      <c r="BG9" s="128">
        <v>1</v>
      </c>
      <c r="BH9" s="128">
        <v>1</v>
      </c>
      <c r="BI9" s="128">
        <v>1</v>
      </c>
      <c r="BJ9" s="128">
        <v>1</v>
      </c>
      <c r="BK9" s="128">
        <v>1</v>
      </c>
      <c r="BL9" s="128">
        <v>1</v>
      </c>
      <c r="BM9" s="128">
        <v>1</v>
      </c>
      <c r="BN9" s="128">
        <v>1</v>
      </c>
      <c r="BO9" s="128">
        <v>1</v>
      </c>
      <c r="BP9" s="128">
        <v>1</v>
      </c>
      <c r="BQ9" s="128">
        <v>1</v>
      </c>
      <c r="BR9" s="128">
        <v>1</v>
      </c>
      <c r="BS9" s="128">
        <v>1</v>
      </c>
      <c r="BT9" s="128">
        <v>1</v>
      </c>
      <c r="BU9" s="128">
        <v>1</v>
      </c>
      <c r="BV9" s="128">
        <v>1</v>
      </c>
      <c r="BW9" s="128">
        <v>1</v>
      </c>
      <c r="BX9" s="128">
        <v>1</v>
      </c>
      <c r="BY9" s="128">
        <v>1</v>
      </c>
      <c r="BZ9" s="128">
        <v>1</v>
      </c>
      <c r="CA9" s="128">
        <v>1</v>
      </c>
      <c r="CB9" s="128">
        <v>1</v>
      </c>
      <c r="CC9" s="128">
        <v>1</v>
      </c>
      <c r="CD9" s="128">
        <v>1</v>
      </c>
      <c r="CE9" s="128">
        <v>1</v>
      </c>
      <c r="CF9" s="128">
        <v>1</v>
      </c>
      <c r="CG9" s="128">
        <v>1</v>
      </c>
      <c r="CH9" s="128">
        <v>1</v>
      </c>
      <c r="CI9" s="128">
        <v>1</v>
      </c>
      <c r="CJ9" s="128">
        <v>1</v>
      </c>
      <c r="CK9" s="128">
        <v>1</v>
      </c>
      <c r="CL9" s="128">
        <v>1</v>
      </c>
      <c r="CM9" s="128">
        <v>1</v>
      </c>
      <c r="CN9" s="128">
        <v>1</v>
      </c>
      <c r="CO9" s="128">
        <v>1</v>
      </c>
      <c r="CP9" s="128">
        <v>1</v>
      </c>
      <c r="CQ9" s="128">
        <v>1</v>
      </c>
      <c r="CR9" s="128">
        <v>1</v>
      </c>
      <c r="CS9" s="128">
        <v>1</v>
      </c>
      <c r="CT9" s="128">
        <v>1</v>
      </c>
      <c r="CU9" s="128">
        <v>1</v>
      </c>
      <c r="CV9" s="128">
        <v>1</v>
      </c>
      <c r="CW9" s="128">
        <v>1</v>
      </c>
      <c r="CX9" s="128">
        <v>1</v>
      </c>
      <c r="CZ9" s="126">
        <f>SUMIF(MatrixF0[[1]:[2]],MatrixF0[[#This Row],[Столбец1]])/MatrixF0[[#This Row],[Столбец1]]</f>
        <v>0</v>
      </c>
    </row>
    <row r="10" spans="1:104" ht="21" customHeight="1" x14ac:dyDescent="0.25">
      <c r="A10" s="127">
        <v>1.07</v>
      </c>
      <c r="B10" s="128">
        <v>1</v>
      </c>
      <c r="C10" s="128">
        <v>1</v>
      </c>
      <c r="D10" s="128">
        <v>1</v>
      </c>
      <c r="E10" s="128">
        <v>1</v>
      </c>
      <c r="F10" s="128">
        <v>1</v>
      </c>
      <c r="G10" s="128">
        <v>1</v>
      </c>
      <c r="H10" s="128">
        <v>1</v>
      </c>
      <c r="I10" s="128">
        <v>1</v>
      </c>
      <c r="J10" s="128">
        <v>1</v>
      </c>
      <c r="K10" s="128">
        <v>1</v>
      </c>
      <c r="L10" s="128">
        <v>1</v>
      </c>
      <c r="M10" s="128">
        <v>1</v>
      </c>
      <c r="N10" s="128">
        <v>1</v>
      </c>
      <c r="O10" s="128">
        <v>1</v>
      </c>
      <c r="P10" s="128">
        <v>1</v>
      </c>
      <c r="Q10" s="128">
        <v>1</v>
      </c>
      <c r="R10" s="128">
        <v>1</v>
      </c>
      <c r="S10" s="128">
        <v>1</v>
      </c>
      <c r="T10" s="128">
        <v>1</v>
      </c>
      <c r="U10" s="128">
        <v>1</v>
      </c>
      <c r="V10" s="128">
        <v>1</v>
      </c>
      <c r="W10" s="128">
        <v>1</v>
      </c>
      <c r="X10" s="128">
        <v>1</v>
      </c>
      <c r="Y10" s="128">
        <v>1</v>
      </c>
      <c r="Z10" s="128">
        <v>1</v>
      </c>
      <c r="AA10" s="128">
        <v>1</v>
      </c>
      <c r="AB10" s="128">
        <v>1</v>
      </c>
      <c r="AC10" s="128">
        <v>1</v>
      </c>
      <c r="AD10" s="128">
        <v>1</v>
      </c>
      <c r="AE10" s="128">
        <v>1</v>
      </c>
      <c r="AF10" s="128">
        <v>1</v>
      </c>
      <c r="AG10" s="128">
        <v>1</v>
      </c>
      <c r="AH10" s="128">
        <v>1</v>
      </c>
      <c r="AI10" s="128">
        <v>1</v>
      </c>
      <c r="AJ10" s="128">
        <v>1</v>
      </c>
      <c r="AK10" s="128">
        <v>1</v>
      </c>
      <c r="AL10" s="128">
        <v>1</v>
      </c>
      <c r="AM10" s="128">
        <v>1</v>
      </c>
      <c r="AN10" s="128">
        <v>1</v>
      </c>
      <c r="AO10" s="128">
        <v>1</v>
      </c>
      <c r="AP10" s="128">
        <v>1</v>
      </c>
      <c r="AQ10" s="128">
        <v>1</v>
      </c>
      <c r="AR10" s="128">
        <v>1</v>
      </c>
      <c r="AS10" s="128">
        <v>1</v>
      </c>
      <c r="AT10" s="128">
        <v>1</v>
      </c>
      <c r="AU10" s="128">
        <v>1</v>
      </c>
      <c r="AV10" s="128">
        <v>1</v>
      </c>
      <c r="AW10" s="128">
        <v>1</v>
      </c>
      <c r="AX10" s="128">
        <v>1</v>
      </c>
      <c r="AY10" s="128">
        <v>1</v>
      </c>
      <c r="AZ10" s="128">
        <v>1</v>
      </c>
      <c r="BA10" s="128">
        <v>1</v>
      </c>
      <c r="BB10" s="128">
        <v>1</v>
      </c>
      <c r="BC10" s="128">
        <v>1</v>
      </c>
      <c r="BD10" s="128">
        <v>1</v>
      </c>
      <c r="BE10" s="128">
        <v>1</v>
      </c>
      <c r="BF10" s="128">
        <v>1</v>
      </c>
      <c r="BG10" s="128">
        <v>1</v>
      </c>
      <c r="BH10" s="128">
        <v>1</v>
      </c>
      <c r="BI10" s="128">
        <v>1</v>
      </c>
      <c r="BJ10" s="128">
        <v>1</v>
      </c>
      <c r="BK10" s="128">
        <v>1</v>
      </c>
      <c r="BL10" s="128">
        <v>1</v>
      </c>
      <c r="BM10" s="128">
        <v>1</v>
      </c>
      <c r="BN10" s="128">
        <v>1</v>
      </c>
      <c r="BO10" s="128">
        <v>1</v>
      </c>
      <c r="BP10" s="128">
        <v>1</v>
      </c>
      <c r="BQ10" s="128">
        <v>1</v>
      </c>
      <c r="BR10" s="128">
        <v>1</v>
      </c>
      <c r="BS10" s="128">
        <v>1</v>
      </c>
      <c r="BT10" s="128">
        <v>1</v>
      </c>
      <c r="BU10" s="128">
        <v>1</v>
      </c>
      <c r="BV10" s="128">
        <v>1</v>
      </c>
      <c r="BW10" s="128">
        <v>1</v>
      </c>
      <c r="BX10" s="128">
        <v>1</v>
      </c>
      <c r="BY10" s="128">
        <v>1</v>
      </c>
      <c r="BZ10" s="128">
        <v>1</v>
      </c>
      <c r="CA10" s="128">
        <v>1</v>
      </c>
      <c r="CB10" s="128">
        <v>1</v>
      </c>
      <c r="CC10" s="128">
        <v>1</v>
      </c>
      <c r="CD10" s="128">
        <v>1</v>
      </c>
      <c r="CE10" s="128">
        <v>1</v>
      </c>
      <c r="CF10" s="128">
        <v>1</v>
      </c>
      <c r="CG10" s="128">
        <v>1</v>
      </c>
      <c r="CH10" s="128">
        <v>1</v>
      </c>
      <c r="CI10" s="128">
        <v>1</v>
      </c>
      <c r="CJ10" s="128">
        <v>1</v>
      </c>
      <c r="CK10" s="128">
        <v>1</v>
      </c>
      <c r="CL10" s="128">
        <v>1</v>
      </c>
      <c r="CM10" s="128">
        <v>1</v>
      </c>
      <c r="CN10" s="128">
        <v>1</v>
      </c>
      <c r="CO10" s="128">
        <v>1</v>
      </c>
      <c r="CP10" s="128">
        <v>1</v>
      </c>
      <c r="CQ10" s="128">
        <v>1</v>
      </c>
      <c r="CR10" s="128">
        <v>1</v>
      </c>
      <c r="CS10" s="128">
        <v>1</v>
      </c>
      <c r="CT10" s="128">
        <v>1</v>
      </c>
      <c r="CU10" s="128">
        <v>1</v>
      </c>
      <c r="CV10" s="128">
        <v>1</v>
      </c>
      <c r="CW10" s="128">
        <v>1</v>
      </c>
      <c r="CX10" s="128">
        <v>1</v>
      </c>
      <c r="CZ10" s="126">
        <f>SUMIF(MatrixF0[[1]:[2]],MatrixF0[[#This Row],[Столбец1]])/MatrixF0[[#This Row],[Столбец1]]</f>
        <v>0</v>
      </c>
    </row>
    <row r="11" spans="1:104" ht="21" customHeight="1" x14ac:dyDescent="0.25">
      <c r="A11" s="127">
        <v>1.08</v>
      </c>
      <c r="B11" s="128">
        <v>1</v>
      </c>
      <c r="C11" s="128">
        <v>1</v>
      </c>
      <c r="D11" s="128">
        <v>1</v>
      </c>
      <c r="E11" s="128">
        <v>1</v>
      </c>
      <c r="F11" s="128">
        <v>1</v>
      </c>
      <c r="G11" s="128">
        <v>1</v>
      </c>
      <c r="H11" s="128">
        <v>1</v>
      </c>
      <c r="I11" s="128">
        <v>1</v>
      </c>
      <c r="J11" s="128">
        <v>1</v>
      </c>
      <c r="K11" s="128">
        <v>1</v>
      </c>
      <c r="L11" s="128">
        <v>1</v>
      </c>
      <c r="M11" s="128">
        <v>1</v>
      </c>
      <c r="N11" s="128">
        <v>1</v>
      </c>
      <c r="O11" s="128">
        <v>1</v>
      </c>
      <c r="P11" s="128">
        <v>1</v>
      </c>
      <c r="Q11" s="128">
        <v>1</v>
      </c>
      <c r="R11" s="128">
        <v>1</v>
      </c>
      <c r="S11" s="128">
        <v>1</v>
      </c>
      <c r="T11" s="128">
        <v>1</v>
      </c>
      <c r="U11" s="128">
        <v>1</v>
      </c>
      <c r="V11" s="128">
        <v>1</v>
      </c>
      <c r="W11" s="128">
        <v>1</v>
      </c>
      <c r="X11" s="128">
        <v>1</v>
      </c>
      <c r="Y11" s="128">
        <v>1</v>
      </c>
      <c r="Z11" s="128">
        <v>1</v>
      </c>
      <c r="AA11" s="128">
        <v>1</v>
      </c>
      <c r="AB11" s="128">
        <v>1</v>
      </c>
      <c r="AC11" s="128">
        <v>1</v>
      </c>
      <c r="AD11" s="128">
        <v>1</v>
      </c>
      <c r="AE11" s="128">
        <v>1</v>
      </c>
      <c r="AF11" s="128">
        <v>1</v>
      </c>
      <c r="AG11" s="128">
        <v>1</v>
      </c>
      <c r="AH11" s="128">
        <v>1</v>
      </c>
      <c r="AI11" s="128">
        <v>1</v>
      </c>
      <c r="AJ11" s="128">
        <v>1</v>
      </c>
      <c r="AK11" s="128">
        <v>1</v>
      </c>
      <c r="AL11" s="128">
        <v>1</v>
      </c>
      <c r="AM11" s="128">
        <v>1</v>
      </c>
      <c r="AN11" s="128">
        <v>1</v>
      </c>
      <c r="AO11" s="128">
        <v>1</v>
      </c>
      <c r="AP11" s="128">
        <v>1</v>
      </c>
      <c r="AQ11" s="128">
        <v>1</v>
      </c>
      <c r="AR11" s="128">
        <v>1</v>
      </c>
      <c r="AS11" s="128">
        <v>1</v>
      </c>
      <c r="AT11" s="128">
        <v>1</v>
      </c>
      <c r="AU11" s="128">
        <v>1</v>
      </c>
      <c r="AV11" s="128">
        <v>1</v>
      </c>
      <c r="AW11" s="128">
        <v>1</v>
      </c>
      <c r="AX11" s="128">
        <v>1</v>
      </c>
      <c r="AY11" s="128">
        <v>1</v>
      </c>
      <c r="AZ11" s="128">
        <v>1</v>
      </c>
      <c r="BA11" s="128">
        <v>1</v>
      </c>
      <c r="BB11" s="128">
        <v>1</v>
      </c>
      <c r="BC11" s="128">
        <v>1</v>
      </c>
      <c r="BD11" s="128">
        <v>1</v>
      </c>
      <c r="BE11" s="128">
        <v>1</v>
      </c>
      <c r="BF11" s="128">
        <v>1</v>
      </c>
      <c r="BG11" s="128">
        <v>1</v>
      </c>
      <c r="BH11" s="128">
        <v>1</v>
      </c>
      <c r="BI11" s="128">
        <v>1</v>
      </c>
      <c r="BJ11" s="128">
        <v>1</v>
      </c>
      <c r="BK11" s="128">
        <v>1</v>
      </c>
      <c r="BL11" s="128">
        <v>1</v>
      </c>
      <c r="BM11" s="128">
        <v>1</v>
      </c>
      <c r="BN11" s="128">
        <v>1</v>
      </c>
      <c r="BO11" s="128">
        <v>1</v>
      </c>
      <c r="BP11" s="128">
        <v>1</v>
      </c>
      <c r="BQ11" s="128">
        <v>1</v>
      </c>
      <c r="BR11" s="128">
        <v>1</v>
      </c>
      <c r="BS11" s="128">
        <v>1</v>
      </c>
      <c r="BT11" s="128">
        <v>1</v>
      </c>
      <c r="BU11" s="128">
        <v>1</v>
      </c>
      <c r="BV11" s="128">
        <v>1</v>
      </c>
      <c r="BW11" s="128">
        <v>1</v>
      </c>
      <c r="BX11" s="128">
        <v>1</v>
      </c>
      <c r="BY11" s="128">
        <v>1</v>
      </c>
      <c r="BZ11" s="128">
        <v>1</v>
      </c>
      <c r="CA11" s="128">
        <v>1</v>
      </c>
      <c r="CB11" s="128">
        <v>1</v>
      </c>
      <c r="CC11" s="128">
        <v>1</v>
      </c>
      <c r="CD11" s="128">
        <v>1</v>
      </c>
      <c r="CE11" s="128">
        <v>1</v>
      </c>
      <c r="CF11" s="128">
        <v>1</v>
      </c>
      <c r="CG11" s="128">
        <v>1</v>
      </c>
      <c r="CH11" s="128">
        <v>1</v>
      </c>
      <c r="CI11" s="128">
        <v>1</v>
      </c>
      <c r="CJ11" s="128">
        <v>1</v>
      </c>
      <c r="CK11" s="128">
        <v>1</v>
      </c>
      <c r="CL11" s="128">
        <v>1</v>
      </c>
      <c r="CM11" s="128">
        <v>1</v>
      </c>
      <c r="CN11" s="128">
        <v>1</v>
      </c>
      <c r="CO11" s="128">
        <v>1</v>
      </c>
      <c r="CP11" s="128">
        <v>1</v>
      </c>
      <c r="CQ11" s="128">
        <v>1</v>
      </c>
      <c r="CR11" s="128">
        <v>1</v>
      </c>
      <c r="CS11" s="128">
        <v>1</v>
      </c>
      <c r="CT11" s="128">
        <v>1</v>
      </c>
      <c r="CU11" s="128">
        <v>1</v>
      </c>
      <c r="CV11" s="128">
        <v>1</v>
      </c>
      <c r="CW11" s="128">
        <v>1</v>
      </c>
      <c r="CX11" s="128">
        <v>1</v>
      </c>
      <c r="CZ11" s="126">
        <f>SUMIF(MatrixF0[[1]:[2]],MatrixF0[[#This Row],[Столбец1]])/MatrixF0[[#This Row],[Столбец1]]</f>
        <v>0</v>
      </c>
    </row>
    <row r="12" spans="1:104" ht="21" customHeight="1" x14ac:dyDescent="0.25">
      <c r="A12" s="127">
        <v>1.0900000000000001</v>
      </c>
      <c r="B12" s="128">
        <v>1</v>
      </c>
      <c r="C12" s="128">
        <v>1</v>
      </c>
      <c r="D12" s="128">
        <v>1</v>
      </c>
      <c r="E12" s="128">
        <v>1</v>
      </c>
      <c r="F12" s="128">
        <v>1</v>
      </c>
      <c r="G12" s="128">
        <v>1</v>
      </c>
      <c r="H12" s="128">
        <v>1</v>
      </c>
      <c r="I12" s="128">
        <v>1</v>
      </c>
      <c r="J12" s="128">
        <v>1</v>
      </c>
      <c r="K12" s="128">
        <v>1</v>
      </c>
      <c r="L12" s="128">
        <v>1</v>
      </c>
      <c r="M12" s="128">
        <v>1</v>
      </c>
      <c r="N12" s="128">
        <v>1</v>
      </c>
      <c r="O12" s="128">
        <v>1</v>
      </c>
      <c r="P12" s="128">
        <v>1</v>
      </c>
      <c r="Q12" s="128">
        <v>1</v>
      </c>
      <c r="R12" s="128">
        <v>1</v>
      </c>
      <c r="S12" s="128">
        <v>1</v>
      </c>
      <c r="T12" s="128">
        <v>1</v>
      </c>
      <c r="U12" s="128">
        <v>1</v>
      </c>
      <c r="V12" s="128">
        <v>1</v>
      </c>
      <c r="W12" s="128">
        <v>1</v>
      </c>
      <c r="X12" s="128">
        <v>1</v>
      </c>
      <c r="Y12" s="128">
        <v>1</v>
      </c>
      <c r="Z12" s="128">
        <v>1</v>
      </c>
      <c r="AA12" s="128">
        <v>1</v>
      </c>
      <c r="AB12" s="128">
        <v>1</v>
      </c>
      <c r="AC12" s="128">
        <v>1</v>
      </c>
      <c r="AD12" s="128">
        <v>1</v>
      </c>
      <c r="AE12" s="128">
        <v>1</v>
      </c>
      <c r="AF12" s="128">
        <v>1</v>
      </c>
      <c r="AG12" s="128">
        <v>1</v>
      </c>
      <c r="AH12" s="128">
        <v>1</v>
      </c>
      <c r="AI12" s="128">
        <v>1</v>
      </c>
      <c r="AJ12" s="128">
        <v>1</v>
      </c>
      <c r="AK12" s="128">
        <v>1</v>
      </c>
      <c r="AL12" s="128">
        <v>1</v>
      </c>
      <c r="AM12" s="128">
        <v>1</v>
      </c>
      <c r="AN12" s="128">
        <v>1</v>
      </c>
      <c r="AO12" s="128">
        <v>1</v>
      </c>
      <c r="AP12" s="128">
        <v>1</v>
      </c>
      <c r="AQ12" s="128">
        <v>1</v>
      </c>
      <c r="AR12" s="128">
        <v>1</v>
      </c>
      <c r="AS12" s="128">
        <v>1</v>
      </c>
      <c r="AT12" s="128">
        <v>1</v>
      </c>
      <c r="AU12" s="128">
        <v>1</v>
      </c>
      <c r="AV12" s="128">
        <v>1</v>
      </c>
      <c r="AW12" s="128">
        <v>1</v>
      </c>
      <c r="AX12" s="128">
        <v>1</v>
      </c>
      <c r="AY12" s="128">
        <v>1</v>
      </c>
      <c r="AZ12" s="128">
        <v>1</v>
      </c>
      <c r="BA12" s="128">
        <v>1</v>
      </c>
      <c r="BB12" s="128">
        <v>1</v>
      </c>
      <c r="BC12" s="128">
        <v>1</v>
      </c>
      <c r="BD12" s="128">
        <v>1</v>
      </c>
      <c r="BE12" s="128">
        <v>1</v>
      </c>
      <c r="BF12" s="128">
        <v>1</v>
      </c>
      <c r="BG12" s="128">
        <v>1</v>
      </c>
      <c r="BH12" s="128">
        <v>1</v>
      </c>
      <c r="BI12" s="128">
        <v>1</v>
      </c>
      <c r="BJ12" s="128">
        <v>1</v>
      </c>
      <c r="BK12" s="128">
        <v>1</v>
      </c>
      <c r="BL12" s="128">
        <v>1</v>
      </c>
      <c r="BM12" s="128">
        <v>1</v>
      </c>
      <c r="BN12" s="128">
        <v>1</v>
      </c>
      <c r="BO12" s="128">
        <v>1</v>
      </c>
      <c r="BP12" s="128">
        <v>1</v>
      </c>
      <c r="BQ12" s="128">
        <v>1</v>
      </c>
      <c r="BR12" s="128">
        <v>1</v>
      </c>
      <c r="BS12" s="128">
        <v>1</v>
      </c>
      <c r="BT12" s="128">
        <v>1</v>
      </c>
      <c r="BU12" s="128">
        <v>1</v>
      </c>
      <c r="BV12" s="128">
        <v>1</v>
      </c>
      <c r="BW12" s="128">
        <v>1</v>
      </c>
      <c r="BX12" s="128">
        <v>1</v>
      </c>
      <c r="BY12" s="128">
        <v>1</v>
      </c>
      <c r="BZ12" s="128">
        <v>1</v>
      </c>
      <c r="CA12" s="128">
        <v>1</v>
      </c>
      <c r="CB12" s="128">
        <v>1</v>
      </c>
      <c r="CC12" s="128">
        <v>1</v>
      </c>
      <c r="CD12" s="128">
        <v>1</v>
      </c>
      <c r="CE12" s="128">
        <v>1</v>
      </c>
      <c r="CF12" s="128">
        <v>1</v>
      </c>
      <c r="CG12" s="128">
        <v>1</v>
      </c>
      <c r="CH12" s="128">
        <v>1</v>
      </c>
      <c r="CI12" s="128">
        <v>1</v>
      </c>
      <c r="CJ12" s="128">
        <v>1</v>
      </c>
      <c r="CK12" s="128">
        <v>1</v>
      </c>
      <c r="CL12" s="128">
        <v>1</v>
      </c>
      <c r="CM12" s="128">
        <v>1</v>
      </c>
      <c r="CN12" s="128">
        <v>1</v>
      </c>
      <c r="CO12" s="128">
        <v>1</v>
      </c>
      <c r="CP12" s="128">
        <v>1</v>
      </c>
      <c r="CQ12" s="128">
        <v>1</v>
      </c>
      <c r="CR12" s="128">
        <v>1</v>
      </c>
      <c r="CS12" s="128">
        <v>1</v>
      </c>
      <c r="CT12" s="128">
        <v>1</v>
      </c>
      <c r="CU12" s="128">
        <v>1</v>
      </c>
      <c r="CV12" s="128">
        <v>1</v>
      </c>
      <c r="CW12" s="128">
        <v>1</v>
      </c>
      <c r="CX12" s="128">
        <v>1</v>
      </c>
      <c r="CZ12" s="126">
        <f>SUMIF(MatrixF0[[1]:[2]],MatrixF0[[#This Row],[Столбец1]])/MatrixF0[[#This Row],[Столбец1]]</f>
        <v>0</v>
      </c>
    </row>
    <row r="13" spans="1:104" ht="21" customHeight="1" x14ac:dyDescent="0.25">
      <c r="A13" s="127">
        <v>1.1000000000000001</v>
      </c>
      <c r="B13" s="128">
        <v>1</v>
      </c>
      <c r="C13" s="128">
        <v>1</v>
      </c>
      <c r="D13" s="128">
        <v>1</v>
      </c>
      <c r="E13" s="128">
        <v>1</v>
      </c>
      <c r="F13" s="128">
        <v>1</v>
      </c>
      <c r="G13" s="128">
        <v>1</v>
      </c>
      <c r="H13" s="128">
        <v>1</v>
      </c>
      <c r="I13" s="128">
        <v>1</v>
      </c>
      <c r="J13" s="128">
        <v>1</v>
      </c>
      <c r="K13" s="128">
        <v>1</v>
      </c>
      <c r="L13" s="128">
        <v>1</v>
      </c>
      <c r="M13" s="128">
        <v>1</v>
      </c>
      <c r="N13" s="128">
        <v>1</v>
      </c>
      <c r="O13" s="128">
        <v>1</v>
      </c>
      <c r="P13" s="128">
        <v>1</v>
      </c>
      <c r="Q13" s="128">
        <v>1</v>
      </c>
      <c r="R13" s="128">
        <v>1</v>
      </c>
      <c r="S13" s="128">
        <v>1</v>
      </c>
      <c r="T13" s="128">
        <v>1</v>
      </c>
      <c r="U13" s="128">
        <v>1</v>
      </c>
      <c r="V13" s="128">
        <v>1</v>
      </c>
      <c r="W13" s="128">
        <v>1</v>
      </c>
      <c r="X13" s="128">
        <v>1</v>
      </c>
      <c r="Y13" s="128">
        <v>1</v>
      </c>
      <c r="Z13" s="128">
        <v>1</v>
      </c>
      <c r="AA13" s="128">
        <v>1</v>
      </c>
      <c r="AB13" s="128">
        <v>1</v>
      </c>
      <c r="AC13" s="128">
        <v>1</v>
      </c>
      <c r="AD13" s="128">
        <v>1</v>
      </c>
      <c r="AE13" s="128">
        <v>1</v>
      </c>
      <c r="AF13" s="128">
        <v>1</v>
      </c>
      <c r="AG13" s="128">
        <v>1</v>
      </c>
      <c r="AH13" s="128">
        <v>1</v>
      </c>
      <c r="AI13" s="128">
        <v>1</v>
      </c>
      <c r="AJ13" s="128">
        <v>1</v>
      </c>
      <c r="AK13" s="128">
        <v>1</v>
      </c>
      <c r="AL13" s="128">
        <v>1</v>
      </c>
      <c r="AM13" s="128">
        <v>1</v>
      </c>
      <c r="AN13" s="128">
        <v>1</v>
      </c>
      <c r="AO13" s="128">
        <v>1</v>
      </c>
      <c r="AP13" s="128">
        <v>1</v>
      </c>
      <c r="AQ13" s="128">
        <v>1</v>
      </c>
      <c r="AR13" s="128">
        <v>1</v>
      </c>
      <c r="AS13" s="128">
        <v>1</v>
      </c>
      <c r="AT13" s="128">
        <v>1</v>
      </c>
      <c r="AU13" s="128">
        <v>1</v>
      </c>
      <c r="AV13" s="128">
        <v>1</v>
      </c>
      <c r="AW13" s="128">
        <v>1</v>
      </c>
      <c r="AX13" s="128">
        <v>1</v>
      </c>
      <c r="AY13" s="128">
        <v>1</v>
      </c>
      <c r="AZ13" s="128">
        <v>1</v>
      </c>
      <c r="BA13" s="128">
        <v>1</v>
      </c>
      <c r="BB13" s="128">
        <v>1</v>
      </c>
      <c r="BC13" s="128">
        <v>1</v>
      </c>
      <c r="BD13" s="128">
        <v>1</v>
      </c>
      <c r="BE13" s="128">
        <v>1</v>
      </c>
      <c r="BF13" s="128">
        <v>1</v>
      </c>
      <c r="BG13" s="128">
        <v>1</v>
      </c>
      <c r="BH13" s="128">
        <v>1</v>
      </c>
      <c r="BI13" s="128">
        <v>1</v>
      </c>
      <c r="BJ13" s="128">
        <v>1</v>
      </c>
      <c r="BK13" s="128">
        <v>1</v>
      </c>
      <c r="BL13" s="128">
        <v>1</v>
      </c>
      <c r="BM13" s="128">
        <v>1</v>
      </c>
      <c r="BN13" s="128">
        <v>1</v>
      </c>
      <c r="BO13" s="128">
        <v>1</v>
      </c>
      <c r="BP13" s="128">
        <v>1</v>
      </c>
      <c r="BQ13" s="128">
        <v>1</v>
      </c>
      <c r="BR13" s="128">
        <v>1</v>
      </c>
      <c r="BS13" s="128">
        <v>1</v>
      </c>
      <c r="BT13" s="128">
        <v>1</v>
      </c>
      <c r="BU13" s="128">
        <v>1</v>
      </c>
      <c r="BV13" s="128">
        <v>1</v>
      </c>
      <c r="BW13" s="128">
        <v>1</v>
      </c>
      <c r="BX13" s="128">
        <v>1</v>
      </c>
      <c r="BY13" s="128">
        <v>1</v>
      </c>
      <c r="BZ13" s="128">
        <v>1</v>
      </c>
      <c r="CA13" s="128">
        <v>1</v>
      </c>
      <c r="CB13" s="128">
        <v>1</v>
      </c>
      <c r="CC13" s="128">
        <v>1</v>
      </c>
      <c r="CD13" s="128">
        <v>1</v>
      </c>
      <c r="CE13" s="128">
        <v>1</v>
      </c>
      <c r="CF13" s="128">
        <v>1</v>
      </c>
      <c r="CG13" s="128">
        <v>1</v>
      </c>
      <c r="CH13" s="128">
        <v>1</v>
      </c>
      <c r="CI13" s="128">
        <v>1</v>
      </c>
      <c r="CJ13" s="128">
        <v>1</v>
      </c>
      <c r="CK13" s="128">
        <v>1</v>
      </c>
      <c r="CL13" s="128">
        <v>1</v>
      </c>
      <c r="CM13" s="128">
        <v>1</v>
      </c>
      <c r="CN13" s="128">
        <v>1</v>
      </c>
      <c r="CO13" s="128">
        <v>1</v>
      </c>
      <c r="CP13" s="128">
        <v>1</v>
      </c>
      <c r="CQ13" s="128">
        <v>1</v>
      </c>
      <c r="CR13" s="128">
        <v>1</v>
      </c>
      <c r="CS13" s="128">
        <v>1</v>
      </c>
      <c r="CT13" s="128">
        <v>1</v>
      </c>
      <c r="CU13" s="128">
        <v>1</v>
      </c>
      <c r="CV13" s="128">
        <v>1</v>
      </c>
      <c r="CW13" s="128">
        <v>1</v>
      </c>
      <c r="CX13" s="128">
        <v>1</v>
      </c>
      <c r="CZ13" s="126">
        <f>SUMIF(MatrixF0[[1]:[2]],MatrixF0[[#This Row],[Столбец1]])/MatrixF0[[#This Row],[Столбец1]]</f>
        <v>0</v>
      </c>
    </row>
    <row r="14" spans="1:104" ht="21" customHeight="1" x14ac:dyDescent="0.25">
      <c r="A14" s="127">
        <v>1.1100000000000001</v>
      </c>
      <c r="B14" s="128">
        <v>1</v>
      </c>
      <c r="C14" s="128">
        <v>1</v>
      </c>
      <c r="D14" s="128">
        <v>1</v>
      </c>
      <c r="E14" s="128">
        <v>1</v>
      </c>
      <c r="F14" s="128">
        <v>1</v>
      </c>
      <c r="G14" s="128">
        <v>1</v>
      </c>
      <c r="H14" s="128">
        <v>1</v>
      </c>
      <c r="I14" s="128">
        <v>1</v>
      </c>
      <c r="J14" s="128">
        <v>1</v>
      </c>
      <c r="K14" s="128">
        <v>1</v>
      </c>
      <c r="L14" s="128">
        <v>1</v>
      </c>
      <c r="M14" s="128">
        <v>1</v>
      </c>
      <c r="N14" s="128">
        <v>1</v>
      </c>
      <c r="O14" s="128">
        <v>1</v>
      </c>
      <c r="P14" s="128">
        <v>1</v>
      </c>
      <c r="Q14" s="128">
        <v>1</v>
      </c>
      <c r="R14" s="128">
        <v>1</v>
      </c>
      <c r="S14" s="128">
        <v>1</v>
      </c>
      <c r="T14" s="128">
        <v>1</v>
      </c>
      <c r="U14" s="128">
        <v>1</v>
      </c>
      <c r="V14" s="128">
        <v>1</v>
      </c>
      <c r="W14" s="128">
        <v>1</v>
      </c>
      <c r="X14" s="128">
        <v>1</v>
      </c>
      <c r="Y14" s="128">
        <v>1</v>
      </c>
      <c r="Z14" s="128">
        <v>1</v>
      </c>
      <c r="AA14" s="128">
        <v>1</v>
      </c>
      <c r="AB14" s="128">
        <v>1</v>
      </c>
      <c r="AC14" s="128">
        <v>1</v>
      </c>
      <c r="AD14" s="128">
        <v>1</v>
      </c>
      <c r="AE14" s="128">
        <v>1</v>
      </c>
      <c r="AF14" s="128">
        <v>1</v>
      </c>
      <c r="AG14" s="128">
        <v>1</v>
      </c>
      <c r="AH14" s="128">
        <v>1</v>
      </c>
      <c r="AI14" s="128">
        <v>1</v>
      </c>
      <c r="AJ14" s="128">
        <v>1</v>
      </c>
      <c r="AK14" s="128">
        <v>1</v>
      </c>
      <c r="AL14" s="128">
        <v>1</v>
      </c>
      <c r="AM14" s="128">
        <v>1</v>
      </c>
      <c r="AN14" s="128">
        <v>1</v>
      </c>
      <c r="AO14" s="128">
        <v>1</v>
      </c>
      <c r="AP14" s="128">
        <v>1</v>
      </c>
      <c r="AQ14" s="128">
        <v>1</v>
      </c>
      <c r="AR14" s="128">
        <v>1</v>
      </c>
      <c r="AS14" s="128">
        <v>1</v>
      </c>
      <c r="AT14" s="128">
        <v>1</v>
      </c>
      <c r="AU14" s="128">
        <v>1</v>
      </c>
      <c r="AV14" s="128">
        <v>1</v>
      </c>
      <c r="AW14" s="128">
        <v>1</v>
      </c>
      <c r="AX14" s="128">
        <v>1</v>
      </c>
      <c r="AY14" s="128">
        <v>1</v>
      </c>
      <c r="AZ14" s="128">
        <v>1</v>
      </c>
      <c r="BA14" s="128">
        <v>1</v>
      </c>
      <c r="BB14" s="128">
        <v>1</v>
      </c>
      <c r="BC14" s="128">
        <v>1</v>
      </c>
      <c r="BD14" s="128">
        <v>1</v>
      </c>
      <c r="BE14" s="128">
        <v>1</v>
      </c>
      <c r="BF14" s="128">
        <v>1</v>
      </c>
      <c r="BG14" s="128">
        <v>1</v>
      </c>
      <c r="BH14" s="128">
        <v>1</v>
      </c>
      <c r="BI14" s="128">
        <v>1</v>
      </c>
      <c r="BJ14" s="128">
        <v>1</v>
      </c>
      <c r="BK14" s="128">
        <v>1</v>
      </c>
      <c r="BL14" s="128">
        <v>1</v>
      </c>
      <c r="BM14" s="128">
        <v>1</v>
      </c>
      <c r="BN14" s="128">
        <v>1</v>
      </c>
      <c r="BO14" s="128">
        <v>1</v>
      </c>
      <c r="BP14" s="128">
        <v>1</v>
      </c>
      <c r="BQ14" s="128">
        <v>1</v>
      </c>
      <c r="BR14" s="128">
        <v>1</v>
      </c>
      <c r="BS14" s="128">
        <v>1</v>
      </c>
      <c r="BT14" s="128">
        <v>1</v>
      </c>
      <c r="BU14" s="128">
        <v>1</v>
      </c>
      <c r="BV14" s="128">
        <v>1</v>
      </c>
      <c r="BW14" s="128">
        <v>1</v>
      </c>
      <c r="BX14" s="128">
        <v>1</v>
      </c>
      <c r="BY14" s="128">
        <v>1</v>
      </c>
      <c r="BZ14" s="128">
        <v>1</v>
      </c>
      <c r="CA14" s="128">
        <v>1</v>
      </c>
      <c r="CB14" s="128">
        <v>1</v>
      </c>
      <c r="CC14" s="128">
        <v>1</v>
      </c>
      <c r="CD14" s="128">
        <v>1</v>
      </c>
      <c r="CE14" s="128">
        <v>1</v>
      </c>
      <c r="CF14" s="128">
        <v>1</v>
      </c>
      <c r="CG14" s="128">
        <v>1</v>
      </c>
      <c r="CH14" s="128">
        <v>1</v>
      </c>
      <c r="CI14" s="128">
        <v>1</v>
      </c>
      <c r="CJ14" s="128">
        <v>1</v>
      </c>
      <c r="CK14" s="128">
        <v>1</v>
      </c>
      <c r="CL14" s="128">
        <v>1</v>
      </c>
      <c r="CM14" s="128">
        <v>1</v>
      </c>
      <c r="CN14" s="128">
        <v>1</v>
      </c>
      <c r="CO14" s="128">
        <v>1</v>
      </c>
      <c r="CP14" s="128">
        <v>1</v>
      </c>
      <c r="CQ14" s="128">
        <v>1</v>
      </c>
      <c r="CR14" s="128">
        <v>1</v>
      </c>
      <c r="CS14" s="128">
        <v>1</v>
      </c>
      <c r="CT14" s="128">
        <v>1</v>
      </c>
      <c r="CU14" s="128">
        <v>1</v>
      </c>
      <c r="CV14" s="128">
        <v>1</v>
      </c>
      <c r="CW14" s="128">
        <v>1</v>
      </c>
      <c r="CX14" s="128">
        <v>1</v>
      </c>
      <c r="CZ14" s="126">
        <f>SUMIF(MatrixF0[[1]:[2]],MatrixF0[[#This Row],[Столбец1]])/MatrixF0[[#This Row],[Столбец1]]</f>
        <v>0</v>
      </c>
    </row>
    <row r="15" spans="1:104" ht="21" customHeight="1" x14ac:dyDescent="0.25">
      <c r="A15" s="127">
        <v>1.1200000000000001</v>
      </c>
      <c r="B15" s="128">
        <v>1</v>
      </c>
      <c r="C15" s="128">
        <v>1</v>
      </c>
      <c r="D15" s="128">
        <v>1</v>
      </c>
      <c r="E15" s="128">
        <v>1</v>
      </c>
      <c r="F15" s="128">
        <v>1</v>
      </c>
      <c r="G15" s="128">
        <v>1</v>
      </c>
      <c r="H15" s="128">
        <v>1</v>
      </c>
      <c r="I15" s="128">
        <v>1</v>
      </c>
      <c r="J15" s="128">
        <v>1</v>
      </c>
      <c r="K15" s="128">
        <v>1</v>
      </c>
      <c r="L15" s="128">
        <v>1</v>
      </c>
      <c r="M15" s="128">
        <v>1</v>
      </c>
      <c r="N15" s="128">
        <v>1</v>
      </c>
      <c r="O15" s="128">
        <v>1</v>
      </c>
      <c r="P15" s="128">
        <v>1</v>
      </c>
      <c r="Q15" s="128">
        <v>1</v>
      </c>
      <c r="R15" s="128">
        <v>1</v>
      </c>
      <c r="S15" s="128">
        <v>1</v>
      </c>
      <c r="T15" s="128">
        <v>1</v>
      </c>
      <c r="U15" s="128">
        <v>1</v>
      </c>
      <c r="V15" s="128">
        <v>1</v>
      </c>
      <c r="W15" s="128">
        <v>1</v>
      </c>
      <c r="X15" s="128">
        <v>1</v>
      </c>
      <c r="Y15" s="128">
        <v>1</v>
      </c>
      <c r="Z15" s="128">
        <v>1</v>
      </c>
      <c r="AA15" s="128">
        <v>1</v>
      </c>
      <c r="AB15" s="128">
        <v>1</v>
      </c>
      <c r="AC15" s="128">
        <v>1</v>
      </c>
      <c r="AD15" s="128">
        <v>1</v>
      </c>
      <c r="AE15" s="128">
        <v>1</v>
      </c>
      <c r="AF15" s="128">
        <v>1</v>
      </c>
      <c r="AG15" s="128">
        <v>1</v>
      </c>
      <c r="AH15" s="128">
        <v>1</v>
      </c>
      <c r="AI15" s="128">
        <v>1</v>
      </c>
      <c r="AJ15" s="128">
        <v>1</v>
      </c>
      <c r="AK15" s="128">
        <v>1</v>
      </c>
      <c r="AL15" s="128">
        <v>1</v>
      </c>
      <c r="AM15" s="128">
        <v>1</v>
      </c>
      <c r="AN15" s="128">
        <v>1</v>
      </c>
      <c r="AO15" s="128">
        <v>1</v>
      </c>
      <c r="AP15" s="128">
        <v>1</v>
      </c>
      <c r="AQ15" s="128">
        <v>1</v>
      </c>
      <c r="AR15" s="128">
        <v>1</v>
      </c>
      <c r="AS15" s="128">
        <v>1</v>
      </c>
      <c r="AT15" s="128">
        <v>1</v>
      </c>
      <c r="AU15" s="128">
        <v>1</v>
      </c>
      <c r="AV15" s="128">
        <v>1</v>
      </c>
      <c r="AW15" s="128">
        <v>1</v>
      </c>
      <c r="AX15" s="128">
        <v>1</v>
      </c>
      <c r="AY15" s="128">
        <v>1</v>
      </c>
      <c r="AZ15" s="128">
        <v>1</v>
      </c>
      <c r="BA15" s="128">
        <v>1</v>
      </c>
      <c r="BB15" s="128">
        <v>1</v>
      </c>
      <c r="BC15" s="128">
        <v>1</v>
      </c>
      <c r="BD15" s="128">
        <v>1</v>
      </c>
      <c r="BE15" s="128">
        <v>1</v>
      </c>
      <c r="BF15" s="128">
        <v>1</v>
      </c>
      <c r="BG15" s="128">
        <v>1</v>
      </c>
      <c r="BH15" s="128">
        <v>1</v>
      </c>
      <c r="BI15" s="128">
        <v>1</v>
      </c>
      <c r="BJ15" s="128">
        <v>1</v>
      </c>
      <c r="BK15" s="128">
        <v>1</v>
      </c>
      <c r="BL15" s="128">
        <v>1</v>
      </c>
      <c r="BM15" s="128">
        <v>1</v>
      </c>
      <c r="BN15" s="128">
        <v>1</v>
      </c>
      <c r="BO15" s="128">
        <v>1</v>
      </c>
      <c r="BP15" s="128">
        <v>1</v>
      </c>
      <c r="BQ15" s="128">
        <v>1</v>
      </c>
      <c r="BR15" s="128">
        <v>1</v>
      </c>
      <c r="BS15" s="128">
        <v>1</v>
      </c>
      <c r="BT15" s="128">
        <v>1</v>
      </c>
      <c r="BU15" s="128">
        <v>1</v>
      </c>
      <c r="BV15" s="128">
        <v>1</v>
      </c>
      <c r="BW15" s="128">
        <v>1</v>
      </c>
      <c r="BX15" s="128">
        <v>1</v>
      </c>
      <c r="BY15" s="128">
        <v>1</v>
      </c>
      <c r="BZ15" s="128">
        <v>1</v>
      </c>
      <c r="CA15" s="128">
        <v>1</v>
      </c>
      <c r="CB15" s="128">
        <v>1</v>
      </c>
      <c r="CC15" s="128">
        <v>1</v>
      </c>
      <c r="CD15" s="128">
        <v>1</v>
      </c>
      <c r="CE15" s="128">
        <v>1</v>
      </c>
      <c r="CF15" s="128">
        <v>1</v>
      </c>
      <c r="CG15" s="128">
        <v>1</v>
      </c>
      <c r="CH15" s="128">
        <v>1</v>
      </c>
      <c r="CI15" s="128">
        <v>1</v>
      </c>
      <c r="CJ15" s="128">
        <v>1</v>
      </c>
      <c r="CK15" s="128">
        <v>1</v>
      </c>
      <c r="CL15" s="128">
        <v>1</v>
      </c>
      <c r="CM15" s="128">
        <v>1</v>
      </c>
      <c r="CN15" s="128">
        <v>1</v>
      </c>
      <c r="CO15" s="128">
        <v>1</v>
      </c>
      <c r="CP15" s="128">
        <v>1</v>
      </c>
      <c r="CQ15" s="128">
        <v>1</v>
      </c>
      <c r="CR15" s="128">
        <v>1</v>
      </c>
      <c r="CS15" s="128">
        <v>1</v>
      </c>
      <c r="CT15" s="128">
        <v>1</v>
      </c>
      <c r="CU15" s="128">
        <v>1</v>
      </c>
      <c r="CV15" s="128">
        <v>1</v>
      </c>
      <c r="CW15" s="128">
        <v>1</v>
      </c>
      <c r="CX15" s="128">
        <v>1</v>
      </c>
      <c r="CZ15" s="126">
        <f>SUMIF(MatrixF0[[1]:[2]],MatrixF0[[#This Row],[Столбец1]])/MatrixF0[[#This Row],[Столбец1]]</f>
        <v>0</v>
      </c>
    </row>
    <row r="16" spans="1:104" ht="21" customHeight="1" x14ac:dyDescent="0.25">
      <c r="A16" s="127">
        <v>1.1299999999999999</v>
      </c>
      <c r="B16" s="128">
        <v>1</v>
      </c>
      <c r="C16" s="128">
        <v>1</v>
      </c>
      <c r="D16" s="128">
        <v>1</v>
      </c>
      <c r="E16" s="128">
        <v>1</v>
      </c>
      <c r="F16" s="128">
        <v>1</v>
      </c>
      <c r="G16" s="128">
        <v>1</v>
      </c>
      <c r="H16" s="128">
        <v>1</v>
      </c>
      <c r="I16" s="128">
        <v>1</v>
      </c>
      <c r="J16" s="128">
        <v>1</v>
      </c>
      <c r="K16" s="128">
        <v>1</v>
      </c>
      <c r="L16" s="128">
        <v>1</v>
      </c>
      <c r="M16" s="128">
        <v>1</v>
      </c>
      <c r="N16" s="128">
        <v>1</v>
      </c>
      <c r="O16" s="128">
        <v>1</v>
      </c>
      <c r="P16" s="128">
        <v>1</v>
      </c>
      <c r="Q16" s="128">
        <v>1</v>
      </c>
      <c r="R16" s="128">
        <v>1</v>
      </c>
      <c r="S16" s="128">
        <v>1</v>
      </c>
      <c r="T16" s="128">
        <v>1</v>
      </c>
      <c r="U16" s="128">
        <v>1</v>
      </c>
      <c r="V16" s="128">
        <v>1</v>
      </c>
      <c r="W16" s="128">
        <v>1</v>
      </c>
      <c r="X16" s="128">
        <v>1</v>
      </c>
      <c r="Y16" s="128">
        <v>1</v>
      </c>
      <c r="Z16" s="128">
        <v>1</v>
      </c>
      <c r="AA16" s="128">
        <v>1</v>
      </c>
      <c r="AB16" s="128">
        <v>1</v>
      </c>
      <c r="AC16" s="128">
        <v>1</v>
      </c>
      <c r="AD16" s="128">
        <v>1</v>
      </c>
      <c r="AE16" s="128">
        <v>1</v>
      </c>
      <c r="AF16" s="128">
        <v>1</v>
      </c>
      <c r="AG16" s="128">
        <v>1</v>
      </c>
      <c r="AH16" s="128">
        <v>1</v>
      </c>
      <c r="AI16" s="128">
        <v>1</v>
      </c>
      <c r="AJ16" s="128">
        <v>1</v>
      </c>
      <c r="AK16" s="128">
        <v>1</v>
      </c>
      <c r="AL16" s="128">
        <v>1</v>
      </c>
      <c r="AM16" s="128">
        <v>1</v>
      </c>
      <c r="AN16" s="128">
        <v>1</v>
      </c>
      <c r="AO16" s="128">
        <v>1</v>
      </c>
      <c r="AP16" s="128">
        <v>1</v>
      </c>
      <c r="AQ16" s="128">
        <v>1</v>
      </c>
      <c r="AR16" s="128">
        <v>1</v>
      </c>
      <c r="AS16" s="128">
        <v>1</v>
      </c>
      <c r="AT16" s="128">
        <v>1</v>
      </c>
      <c r="AU16" s="128">
        <v>1</v>
      </c>
      <c r="AV16" s="128">
        <v>1</v>
      </c>
      <c r="AW16" s="128">
        <v>1</v>
      </c>
      <c r="AX16" s="128">
        <v>1</v>
      </c>
      <c r="AY16" s="128">
        <v>1</v>
      </c>
      <c r="AZ16" s="128">
        <v>1</v>
      </c>
      <c r="BA16" s="128">
        <v>1</v>
      </c>
      <c r="BB16" s="128">
        <v>1</v>
      </c>
      <c r="BC16" s="128">
        <v>1</v>
      </c>
      <c r="BD16" s="128">
        <v>1</v>
      </c>
      <c r="BE16" s="128">
        <v>1</v>
      </c>
      <c r="BF16" s="128">
        <v>1</v>
      </c>
      <c r="BG16" s="128">
        <v>1</v>
      </c>
      <c r="BH16" s="128">
        <v>1</v>
      </c>
      <c r="BI16" s="128">
        <v>1</v>
      </c>
      <c r="BJ16" s="128">
        <v>1</v>
      </c>
      <c r="BK16" s="128">
        <v>1</v>
      </c>
      <c r="BL16" s="128">
        <v>1</v>
      </c>
      <c r="BM16" s="128">
        <v>1</v>
      </c>
      <c r="BN16" s="128">
        <v>1</v>
      </c>
      <c r="BO16" s="128">
        <v>1</v>
      </c>
      <c r="BP16" s="128">
        <v>1</v>
      </c>
      <c r="BQ16" s="128">
        <v>1</v>
      </c>
      <c r="BR16" s="128">
        <v>1</v>
      </c>
      <c r="BS16" s="128">
        <v>1</v>
      </c>
      <c r="BT16" s="128">
        <v>1</v>
      </c>
      <c r="BU16" s="128">
        <v>1</v>
      </c>
      <c r="BV16" s="128">
        <v>1</v>
      </c>
      <c r="BW16" s="128">
        <v>1</v>
      </c>
      <c r="BX16" s="128">
        <v>1</v>
      </c>
      <c r="BY16" s="128">
        <v>1</v>
      </c>
      <c r="BZ16" s="128">
        <v>1</v>
      </c>
      <c r="CA16" s="128">
        <v>1</v>
      </c>
      <c r="CB16" s="128">
        <v>1</v>
      </c>
      <c r="CC16" s="128">
        <v>1</v>
      </c>
      <c r="CD16" s="128">
        <v>1</v>
      </c>
      <c r="CE16" s="128">
        <v>1</v>
      </c>
      <c r="CF16" s="128">
        <v>1</v>
      </c>
      <c r="CG16" s="128">
        <v>1</v>
      </c>
      <c r="CH16" s="128">
        <v>1</v>
      </c>
      <c r="CI16" s="128">
        <v>1</v>
      </c>
      <c r="CJ16" s="128">
        <v>1</v>
      </c>
      <c r="CK16" s="128">
        <v>1</v>
      </c>
      <c r="CL16" s="128">
        <v>1</v>
      </c>
      <c r="CM16" s="128">
        <v>1</v>
      </c>
      <c r="CN16" s="128">
        <v>1</v>
      </c>
      <c r="CO16" s="128">
        <v>1</v>
      </c>
      <c r="CP16" s="128">
        <v>1</v>
      </c>
      <c r="CQ16" s="128">
        <v>1</v>
      </c>
      <c r="CR16" s="128">
        <v>1</v>
      </c>
      <c r="CS16" s="128">
        <v>1</v>
      </c>
      <c r="CT16" s="128">
        <v>1</v>
      </c>
      <c r="CU16" s="128">
        <v>1</v>
      </c>
      <c r="CV16" s="128">
        <v>1</v>
      </c>
      <c r="CW16" s="128">
        <v>1</v>
      </c>
      <c r="CX16" s="128">
        <v>1</v>
      </c>
      <c r="CZ16" s="126">
        <f>SUMIF(MatrixF0[[1]:[2]],MatrixF0[[#This Row],[Столбец1]])/MatrixF0[[#This Row],[Столбец1]]</f>
        <v>0</v>
      </c>
    </row>
    <row r="17" spans="1:104" ht="21" customHeight="1" x14ac:dyDescent="0.25">
      <c r="A17" s="127">
        <v>1.1399999999999999</v>
      </c>
      <c r="B17" s="128">
        <v>1</v>
      </c>
      <c r="C17" s="128">
        <v>1</v>
      </c>
      <c r="D17" s="128">
        <v>1</v>
      </c>
      <c r="E17" s="128">
        <v>1</v>
      </c>
      <c r="F17" s="128">
        <v>1</v>
      </c>
      <c r="G17" s="128">
        <v>1</v>
      </c>
      <c r="H17" s="128">
        <v>1</v>
      </c>
      <c r="I17" s="128">
        <v>1</v>
      </c>
      <c r="J17" s="128">
        <v>1</v>
      </c>
      <c r="K17" s="128">
        <v>1</v>
      </c>
      <c r="L17" s="128">
        <v>1</v>
      </c>
      <c r="M17" s="128">
        <v>1</v>
      </c>
      <c r="N17" s="128">
        <v>1</v>
      </c>
      <c r="O17" s="128">
        <v>1</v>
      </c>
      <c r="P17" s="128">
        <v>1</v>
      </c>
      <c r="Q17" s="128">
        <v>1</v>
      </c>
      <c r="R17" s="128">
        <v>1</v>
      </c>
      <c r="S17" s="128">
        <v>1</v>
      </c>
      <c r="T17" s="128">
        <v>1</v>
      </c>
      <c r="U17" s="128">
        <v>1</v>
      </c>
      <c r="V17" s="128">
        <v>1</v>
      </c>
      <c r="W17" s="128">
        <v>1</v>
      </c>
      <c r="X17" s="128">
        <v>1</v>
      </c>
      <c r="Y17" s="128">
        <v>1</v>
      </c>
      <c r="Z17" s="128">
        <v>1</v>
      </c>
      <c r="AA17" s="128">
        <v>1</v>
      </c>
      <c r="AB17" s="128">
        <v>1</v>
      </c>
      <c r="AC17" s="128">
        <v>1</v>
      </c>
      <c r="AD17" s="128">
        <v>1</v>
      </c>
      <c r="AE17" s="128">
        <v>1</v>
      </c>
      <c r="AF17" s="128">
        <v>1</v>
      </c>
      <c r="AG17" s="128">
        <v>1</v>
      </c>
      <c r="AH17" s="128">
        <v>1</v>
      </c>
      <c r="AI17" s="128">
        <v>1</v>
      </c>
      <c r="AJ17" s="128">
        <v>1</v>
      </c>
      <c r="AK17" s="128">
        <v>1</v>
      </c>
      <c r="AL17" s="128">
        <v>1</v>
      </c>
      <c r="AM17" s="128">
        <v>1</v>
      </c>
      <c r="AN17" s="128">
        <v>1</v>
      </c>
      <c r="AO17" s="128">
        <v>1</v>
      </c>
      <c r="AP17" s="128">
        <v>1</v>
      </c>
      <c r="AQ17" s="128">
        <v>1</v>
      </c>
      <c r="AR17" s="128">
        <v>1</v>
      </c>
      <c r="AS17" s="128">
        <v>1</v>
      </c>
      <c r="AT17" s="128">
        <v>1</v>
      </c>
      <c r="AU17" s="128">
        <v>1</v>
      </c>
      <c r="AV17" s="128">
        <v>1</v>
      </c>
      <c r="AW17" s="128">
        <v>1</v>
      </c>
      <c r="AX17" s="128">
        <v>1</v>
      </c>
      <c r="AY17" s="128">
        <v>1</v>
      </c>
      <c r="AZ17" s="128">
        <v>1</v>
      </c>
      <c r="BA17" s="128">
        <v>1</v>
      </c>
      <c r="BB17" s="128">
        <v>1</v>
      </c>
      <c r="BC17" s="128">
        <v>1</v>
      </c>
      <c r="BD17" s="128">
        <v>1</v>
      </c>
      <c r="BE17" s="128">
        <v>1</v>
      </c>
      <c r="BF17" s="128">
        <v>1</v>
      </c>
      <c r="BG17" s="128">
        <v>1</v>
      </c>
      <c r="BH17" s="128">
        <v>1</v>
      </c>
      <c r="BI17" s="128">
        <v>1</v>
      </c>
      <c r="BJ17" s="128">
        <v>1</v>
      </c>
      <c r="BK17" s="128">
        <v>1</v>
      </c>
      <c r="BL17" s="128">
        <v>1</v>
      </c>
      <c r="BM17" s="128">
        <v>1</v>
      </c>
      <c r="BN17" s="128">
        <v>1</v>
      </c>
      <c r="BO17" s="128">
        <v>1</v>
      </c>
      <c r="BP17" s="128">
        <v>1</v>
      </c>
      <c r="BQ17" s="128">
        <v>1</v>
      </c>
      <c r="BR17" s="128">
        <v>1</v>
      </c>
      <c r="BS17" s="128">
        <v>1</v>
      </c>
      <c r="BT17" s="128">
        <v>1</v>
      </c>
      <c r="BU17" s="128">
        <v>1</v>
      </c>
      <c r="BV17" s="128">
        <v>1</v>
      </c>
      <c r="BW17" s="128">
        <v>1</v>
      </c>
      <c r="BX17" s="128">
        <v>1</v>
      </c>
      <c r="BY17" s="128">
        <v>1</v>
      </c>
      <c r="BZ17" s="128">
        <v>1</v>
      </c>
      <c r="CA17" s="128">
        <v>1</v>
      </c>
      <c r="CB17" s="128">
        <v>1</v>
      </c>
      <c r="CC17" s="128">
        <v>1</v>
      </c>
      <c r="CD17" s="128">
        <v>1</v>
      </c>
      <c r="CE17" s="128">
        <v>1</v>
      </c>
      <c r="CF17" s="128">
        <v>1</v>
      </c>
      <c r="CG17" s="128">
        <v>1</v>
      </c>
      <c r="CH17" s="128">
        <v>1</v>
      </c>
      <c r="CI17" s="128">
        <v>1</v>
      </c>
      <c r="CJ17" s="128">
        <v>1</v>
      </c>
      <c r="CK17" s="128">
        <v>1</v>
      </c>
      <c r="CL17" s="128">
        <v>1</v>
      </c>
      <c r="CM17" s="128">
        <v>1</v>
      </c>
      <c r="CN17" s="128">
        <v>1</v>
      </c>
      <c r="CO17" s="128">
        <v>1</v>
      </c>
      <c r="CP17" s="128">
        <v>1</v>
      </c>
      <c r="CQ17" s="128">
        <v>1</v>
      </c>
      <c r="CR17" s="128">
        <v>1</v>
      </c>
      <c r="CS17" s="128">
        <v>1</v>
      </c>
      <c r="CT17" s="128">
        <v>1</v>
      </c>
      <c r="CU17" s="128">
        <v>1</v>
      </c>
      <c r="CV17" s="128">
        <v>1</v>
      </c>
      <c r="CW17" s="128">
        <v>1</v>
      </c>
      <c r="CX17" s="128">
        <v>1</v>
      </c>
      <c r="CZ17" s="126">
        <f>SUMIF(MatrixF0[[1]:[2]],MatrixF0[[#This Row],[Столбец1]])/MatrixF0[[#This Row],[Столбец1]]</f>
        <v>0</v>
      </c>
    </row>
    <row r="18" spans="1:104" ht="21" customHeight="1" x14ac:dyDescent="0.25">
      <c r="A18" s="127">
        <v>1.1499999999999999</v>
      </c>
      <c r="B18" s="128">
        <v>1</v>
      </c>
      <c r="C18" s="128">
        <v>1</v>
      </c>
      <c r="D18" s="128">
        <v>1</v>
      </c>
      <c r="E18" s="128">
        <v>1</v>
      </c>
      <c r="F18" s="128">
        <v>1</v>
      </c>
      <c r="G18" s="128">
        <v>1</v>
      </c>
      <c r="H18" s="128">
        <v>1</v>
      </c>
      <c r="I18" s="128">
        <v>1</v>
      </c>
      <c r="J18" s="128">
        <v>1</v>
      </c>
      <c r="K18" s="128">
        <v>1</v>
      </c>
      <c r="L18" s="128">
        <v>1</v>
      </c>
      <c r="M18" s="128">
        <v>1</v>
      </c>
      <c r="N18" s="128">
        <v>1</v>
      </c>
      <c r="O18" s="128">
        <v>1</v>
      </c>
      <c r="P18" s="128">
        <v>1</v>
      </c>
      <c r="Q18" s="128">
        <v>1</v>
      </c>
      <c r="R18" s="128">
        <v>1</v>
      </c>
      <c r="S18" s="128">
        <v>1</v>
      </c>
      <c r="T18" s="128">
        <v>1</v>
      </c>
      <c r="U18" s="128">
        <v>1</v>
      </c>
      <c r="V18" s="128">
        <v>1</v>
      </c>
      <c r="W18" s="128">
        <v>1</v>
      </c>
      <c r="X18" s="128">
        <v>1</v>
      </c>
      <c r="Y18" s="128">
        <v>1</v>
      </c>
      <c r="Z18" s="128">
        <v>1</v>
      </c>
      <c r="AA18" s="128">
        <v>1</v>
      </c>
      <c r="AB18" s="128">
        <v>1</v>
      </c>
      <c r="AC18" s="128">
        <v>1</v>
      </c>
      <c r="AD18" s="128">
        <v>1</v>
      </c>
      <c r="AE18" s="128">
        <v>1</v>
      </c>
      <c r="AF18" s="128">
        <v>1</v>
      </c>
      <c r="AG18" s="128">
        <v>1</v>
      </c>
      <c r="AH18" s="128">
        <v>1</v>
      </c>
      <c r="AI18" s="128">
        <v>1</v>
      </c>
      <c r="AJ18" s="128">
        <v>1</v>
      </c>
      <c r="AK18" s="128">
        <v>1</v>
      </c>
      <c r="AL18" s="128">
        <v>1</v>
      </c>
      <c r="AM18" s="128">
        <v>1</v>
      </c>
      <c r="AN18" s="128">
        <v>1</v>
      </c>
      <c r="AO18" s="128">
        <v>1</v>
      </c>
      <c r="AP18" s="128">
        <v>1</v>
      </c>
      <c r="AQ18" s="128">
        <v>1</v>
      </c>
      <c r="AR18" s="128">
        <v>1</v>
      </c>
      <c r="AS18" s="128">
        <v>1</v>
      </c>
      <c r="AT18" s="128">
        <v>1</v>
      </c>
      <c r="AU18" s="128">
        <v>1</v>
      </c>
      <c r="AV18" s="128">
        <v>1</v>
      </c>
      <c r="AW18" s="128">
        <v>1</v>
      </c>
      <c r="AX18" s="128">
        <v>1</v>
      </c>
      <c r="AY18" s="128">
        <v>1</v>
      </c>
      <c r="AZ18" s="128">
        <v>1</v>
      </c>
      <c r="BA18" s="128">
        <v>1</v>
      </c>
      <c r="BB18" s="128">
        <v>1</v>
      </c>
      <c r="BC18" s="128">
        <v>1</v>
      </c>
      <c r="BD18" s="128">
        <v>1</v>
      </c>
      <c r="BE18" s="128">
        <v>1</v>
      </c>
      <c r="BF18" s="128">
        <v>1</v>
      </c>
      <c r="BG18" s="128">
        <v>1</v>
      </c>
      <c r="BH18" s="128">
        <v>1</v>
      </c>
      <c r="BI18" s="128">
        <v>1</v>
      </c>
      <c r="BJ18" s="128">
        <v>1</v>
      </c>
      <c r="BK18" s="128">
        <v>1</v>
      </c>
      <c r="BL18" s="128">
        <v>1</v>
      </c>
      <c r="BM18" s="128">
        <v>1</v>
      </c>
      <c r="BN18" s="128">
        <v>1</v>
      </c>
      <c r="BO18" s="128">
        <v>1</v>
      </c>
      <c r="BP18" s="128">
        <v>1</v>
      </c>
      <c r="BQ18" s="128">
        <v>1</v>
      </c>
      <c r="BR18" s="128">
        <v>1</v>
      </c>
      <c r="BS18" s="128">
        <v>1</v>
      </c>
      <c r="BT18" s="128">
        <v>1</v>
      </c>
      <c r="BU18" s="128">
        <v>1</v>
      </c>
      <c r="BV18" s="128">
        <v>1</v>
      </c>
      <c r="BW18" s="128">
        <v>1</v>
      </c>
      <c r="BX18" s="128">
        <v>1</v>
      </c>
      <c r="BY18" s="128">
        <v>1</v>
      </c>
      <c r="BZ18" s="128">
        <v>1</v>
      </c>
      <c r="CA18" s="128">
        <v>1</v>
      </c>
      <c r="CB18" s="128">
        <v>1</v>
      </c>
      <c r="CC18" s="128">
        <v>1</v>
      </c>
      <c r="CD18" s="128">
        <v>1</v>
      </c>
      <c r="CE18" s="128">
        <v>1</v>
      </c>
      <c r="CF18" s="128">
        <v>1</v>
      </c>
      <c r="CG18" s="128">
        <v>1</v>
      </c>
      <c r="CH18" s="128">
        <v>1</v>
      </c>
      <c r="CI18" s="128">
        <v>1</v>
      </c>
      <c r="CJ18" s="128">
        <v>1</v>
      </c>
      <c r="CK18" s="128">
        <v>1</v>
      </c>
      <c r="CL18" s="128">
        <v>1</v>
      </c>
      <c r="CM18" s="128">
        <v>1</v>
      </c>
      <c r="CN18" s="128">
        <v>1</v>
      </c>
      <c r="CO18" s="128">
        <v>1</v>
      </c>
      <c r="CP18" s="128">
        <v>1</v>
      </c>
      <c r="CQ18" s="128">
        <v>1</v>
      </c>
      <c r="CR18" s="128">
        <v>1</v>
      </c>
      <c r="CS18" s="128">
        <v>1</v>
      </c>
      <c r="CT18" s="128">
        <v>1</v>
      </c>
      <c r="CU18" s="128">
        <v>1</v>
      </c>
      <c r="CV18" s="128">
        <v>1</v>
      </c>
      <c r="CW18" s="128">
        <v>1</v>
      </c>
      <c r="CX18" s="128">
        <v>1</v>
      </c>
      <c r="CZ18" s="126">
        <f>SUMIF(MatrixF0[[1]:[2]],MatrixF0[[#This Row],[Столбец1]])/MatrixF0[[#This Row],[Столбец1]]</f>
        <v>0</v>
      </c>
    </row>
    <row r="19" spans="1:104" ht="21" customHeight="1" x14ac:dyDescent="0.25">
      <c r="A19" s="127">
        <v>1.1599999999999999</v>
      </c>
      <c r="B19" s="128">
        <v>1</v>
      </c>
      <c r="C19" s="128">
        <v>1</v>
      </c>
      <c r="D19" s="128">
        <v>1</v>
      </c>
      <c r="E19" s="128">
        <v>1</v>
      </c>
      <c r="F19" s="128">
        <v>1</v>
      </c>
      <c r="G19" s="128">
        <v>1</v>
      </c>
      <c r="H19" s="128">
        <v>1</v>
      </c>
      <c r="I19" s="128">
        <v>1</v>
      </c>
      <c r="J19" s="128">
        <v>1</v>
      </c>
      <c r="K19" s="128">
        <v>1</v>
      </c>
      <c r="L19" s="128">
        <v>1</v>
      </c>
      <c r="M19" s="128">
        <v>1</v>
      </c>
      <c r="N19" s="128">
        <v>1</v>
      </c>
      <c r="O19" s="128">
        <v>1</v>
      </c>
      <c r="P19" s="128">
        <v>1</v>
      </c>
      <c r="Q19" s="128">
        <v>1</v>
      </c>
      <c r="R19" s="128">
        <v>1</v>
      </c>
      <c r="S19" s="128">
        <v>1</v>
      </c>
      <c r="T19" s="128">
        <v>1</v>
      </c>
      <c r="U19" s="128">
        <v>1</v>
      </c>
      <c r="V19" s="128">
        <v>1</v>
      </c>
      <c r="W19" s="128">
        <v>1</v>
      </c>
      <c r="X19" s="128">
        <v>1</v>
      </c>
      <c r="Y19" s="128">
        <v>1</v>
      </c>
      <c r="Z19" s="128">
        <v>1</v>
      </c>
      <c r="AA19" s="128">
        <v>1</v>
      </c>
      <c r="AB19" s="128">
        <v>1</v>
      </c>
      <c r="AC19" s="128">
        <v>1</v>
      </c>
      <c r="AD19" s="128">
        <v>1</v>
      </c>
      <c r="AE19" s="128">
        <v>1</v>
      </c>
      <c r="AF19" s="128">
        <v>1</v>
      </c>
      <c r="AG19" s="128">
        <v>1</v>
      </c>
      <c r="AH19" s="128">
        <v>1</v>
      </c>
      <c r="AI19" s="128">
        <v>1</v>
      </c>
      <c r="AJ19" s="128">
        <v>1</v>
      </c>
      <c r="AK19" s="128">
        <v>1</v>
      </c>
      <c r="AL19" s="128">
        <v>1</v>
      </c>
      <c r="AM19" s="128">
        <v>1</v>
      </c>
      <c r="AN19" s="128">
        <v>1</v>
      </c>
      <c r="AO19" s="128">
        <v>1</v>
      </c>
      <c r="AP19" s="128">
        <v>1</v>
      </c>
      <c r="AQ19" s="128">
        <v>1</v>
      </c>
      <c r="AR19" s="128">
        <v>1</v>
      </c>
      <c r="AS19" s="128">
        <v>1</v>
      </c>
      <c r="AT19" s="128">
        <v>1</v>
      </c>
      <c r="AU19" s="128">
        <v>1</v>
      </c>
      <c r="AV19" s="128">
        <v>1</v>
      </c>
      <c r="AW19" s="128">
        <v>1</v>
      </c>
      <c r="AX19" s="128">
        <v>1</v>
      </c>
      <c r="AY19" s="128">
        <v>1</v>
      </c>
      <c r="AZ19" s="128">
        <v>1</v>
      </c>
      <c r="BA19" s="128">
        <v>1</v>
      </c>
      <c r="BB19" s="128">
        <v>1</v>
      </c>
      <c r="BC19" s="128">
        <v>1</v>
      </c>
      <c r="BD19" s="128">
        <v>1</v>
      </c>
      <c r="BE19" s="128">
        <v>1</v>
      </c>
      <c r="BF19" s="128">
        <v>1</v>
      </c>
      <c r="BG19" s="128">
        <v>1</v>
      </c>
      <c r="BH19" s="128">
        <v>1</v>
      </c>
      <c r="BI19" s="128">
        <v>1</v>
      </c>
      <c r="BJ19" s="128">
        <v>1</v>
      </c>
      <c r="BK19" s="128">
        <v>1</v>
      </c>
      <c r="BL19" s="128">
        <v>1</v>
      </c>
      <c r="BM19" s="128">
        <v>1</v>
      </c>
      <c r="BN19" s="128">
        <v>1</v>
      </c>
      <c r="BO19" s="128">
        <v>1</v>
      </c>
      <c r="BP19" s="128">
        <v>1</v>
      </c>
      <c r="BQ19" s="128">
        <v>1</v>
      </c>
      <c r="BR19" s="128">
        <v>1</v>
      </c>
      <c r="BS19" s="128">
        <v>1</v>
      </c>
      <c r="BT19" s="128">
        <v>1</v>
      </c>
      <c r="BU19" s="128">
        <v>1</v>
      </c>
      <c r="BV19" s="128">
        <v>1</v>
      </c>
      <c r="BW19" s="128">
        <v>1</v>
      </c>
      <c r="BX19" s="128">
        <v>1</v>
      </c>
      <c r="BY19" s="128">
        <v>1</v>
      </c>
      <c r="BZ19" s="128">
        <v>1</v>
      </c>
      <c r="CA19" s="128">
        <v>1</v>
      </c>
      <c r="CB19" s="128">
        <v>1</v>
      </c>
      <c r="CC19" s="128">
        <v>1</v>
      </c>
      <c r="CD19" s="128">
        <v>1</v>
      </c>
      <c r="CE19" s="128">
        <v>1</v>
      </c>
      <c r="CF19" s="128">
        <v>1</v>
      </c>
      <c r="CG19" s="128">
        <v>1</v>
      </c>
      <c r="CH19" s="128">
        <v>1</v>
      </c>
      <c r="CI19" s="128">
        <v>1</v>
      </c>
      <c r="CJ19" s="128">
        <v>1</v>
      </c>
      <c r="CK19" s="128">
        <v>1</v>
      </c>
      <c r="CL19" s="128">
        <v>1</v>
      </c>
      <c r="CM19" s="128">
        <v>1</v>
      </c>
      <c r="CN19" s="128">
        <v>1</v>
      </c>
      <c r="CO19" s="128">
        <v>1</v>
      </c>
      <c r="CP19" s="128">
        <v>1</v>
      </c>
      <c r="CQ19" s="128">
        <v>1</v>
      </c>
      <c r="CR19" s="128">
        <v>1</v>
      </c>
      <c r="CS19" s="128">
        <v>1</v>
      </c>
      <c r="CT19" s="128">
        <v>1</v>
      </c>
      <c r="CU19" s="128">
        <v>1</v>
      </c>
      <c r="CV19" s="128">
        <v>1</v>
      </c>
      <c r="CW19" s="128">
        <v>1</v>
      </c>
      <c r="CX19" s="128">
        <v>1</v>
      </c>
      <c r="CZ19" s="126">
        <f>SUMIF(MatrixF0[[1]:[2]],MatrixF0[[#This Row],[Столбец1]])/MatrixF0[[#This Row],[Столбец1]]</f>
        <v>0</v>
      </c>
    </row>
    <row r="20" spans="1:104" ht="21" customHeight="1" x14ac:dyDescent="0.25">
      <c r="A20" s="127">
        <v>1.17</v>
      </c>
      <c r="B20" s="128">
        <v>1</v>
      </c>
      <c r="C20" s="128">
        <v>1</v>
      </c>
      <c r="D20" s="128">
        <v>1</v>
      </c>
      <c r="E20" s="128">
        <v>1</v>
      </c>
      <c r="F20" s="128">
        <v>1</v>
      </c>
      <c r="G20" s="128">
        <v>1</v>
      </c>
      <c r="H20" s="128">
        <v>1</v>
      </c>
      <c r="I20" s="128">
        <v>1</v>
      </c>
      <c r="J20" s="128">
        <v>1</v>
      </c>
      <c r="K20" s="128">
        <v>1</v>
      </c>
      <c r="L20" s="128">
        <v>1</v>
      </c>
      <c r="M20" s="128">
        <v>1</v>
      </c>
      <c r="N20" s="128">
        <v>1</v>
      </c>
      <c r="O20" s="128">
        <v>1</v>
      </c>
      <c r="P20" s="128">
        <v>1</v>
      </c>
      <c r="Q20" s="128">
        <v>1</v>
      </c>
      <c r="R20" s="128">
        <v>1</v>
      </c>
      <c r="S20" s="128">
        <v>1</v>
      </c>
      <c r="T20" s="128">
        <v>1</v>
      </c>
      <c r="U20" s="128">
        <v>1</v>
      </c>
      <c r="V20" s="128">
        <v>1</v>
      </c>
      <c r="W20" s="128">
        <v>1</v>
      </c>
      <c r="X20" s="128">
        <v>1</v>
      </c>
      <c r="Y20" s="128">
        <v>1</v>
      </c>
      <c r="Z20" s="128">
        <v>1</v>
      </c>
      <c r="AA20" s="128">
        <v>1</v>
      </c>
      <c r="AB20" s="128">
        <v>1</v>
      </c>
      <c r="AC20" s="128">
        <v>1</v>
      </c>
      <c r="AD20" s="128">
        <v>1</v>
      </c>
      <c r="AE20" s="128">
        <v>1</v>
      </c>
      <c r="AF20" s="128">
        <v>1</v>
      </c>
      <c r="AG20" s="128">
        <v>1</v>
      </c>
      <c r="AH20" s="128">
        <v>1</v>
      </c>
      <c r="AI20" s="128">
        <v>1</v>
      </c>
      <c r="AJ20" s="128">
        <v>1</v>
      </c>
      <c r="AK20" s="128">
        <v>1</v>
      </c>
      <c r="AL20" s="128">
        <v>1</v>
      </c>
      <c r="AM20" s="128">
        <v>1</v>
      </c>
      <c r="AN20" s="128">
        <v>1</v>
      </c>
      <c r="AO20" s="128">
        <v>1</v>
      </c>
      <c r="AP20" s="128">
        <v>1</v>
      </c>
      <c r="AQ20" s="128">
        <v>1</v>
      </c>
      <c r="AR20" s="128">
        <v>1</v>
      </c>
      <c r="AS20" s="128">
        <v>1</v>
      </c>
      <c r="AT20" s="128">
        <v>1</v>
      </c>
      <c r="AU20" s="128">
        <v>1</v>
      </c>
      <c r="AV20" s="128">
        <v>1</v>
      </c>
      <c r="AW20" s="128">
        <v>1</v>
      </c>
      <c r="AX20" s="128">
        <v>1</v>
      </c>
      <c r="AY20" s="128">
        <v>1</v>
      </c>
      <c r="AZ20" s="128">
        <v>1</v>
      </c>
      <c r="BA20" s="128">
        <v>1</v>
      </c>
      <c r="BB20" s="128">
        <v>1</v>
      </c>
      <c r="BC20" s="128">
        <v>1</v>
      </c>
      <c r="BD20" s="128">
        <v>1</v>
      </c>
      <c r="BE20" s="128">
        <v>1</v>
      </c>
      <c r="BF20" s="128">
        <v>1</v>
      </c>
      <c r="BG20" s="128">
        <v>1</v>
      </c>
      <c r="BH20" s="128">
        <v>1</v>
      </c>
      <c r="BI20" s="128">
        <v>1</v>
      </c>
      <c r="BJ20" s="128">
        <v>1</v>
      </c>
      <c r="BK20" s="128">
        <v>1</v>
      </c>
      <c r="BL20" s="128">
        <v>1</v>
      </c>
      <c r="BM20" s="128">
        <v>1</v>
      </c>
      <c r="BN20" s="128">
        <v>1</v>
      </c>
      <c r="BO20" s="128">
        <v>1</v>
      </c>
      <c r="BP20" s="128">
        <v>1</v>
      </c>
      <c r="BQ20" s="128">
        <v>1</v>
      </c>
      <c r="BR20" s="128">
        <v>1</v>
      </c>
      <c r="BS20" s="128">
        <v>1</v>
      </c>
      <c r="BT20" s="128">
        <v>1</v>
      </c>
      <c r="BU20" s="128">
        <v>1</v>
      </c>
      <c r="BV20" s="128">
        <v>1</v>
      </c>
      <c r="BW20" s="128">
        <v>1</v>
      </c>
      <c r="BX20" s="128">
        <v>1</v>
      </c>
      <c r="BY20" s="128">
        <v>1</v>
      </c>
      <c r="BZ20" s="128">
        <v>1</v>
      </c>
      <c r="CA20" s="128">
        <v>1</v>
      </c>
      <c r="CB20" s="128">
        <v>1</v>
      </c>
      <c r="CC20" s="128">
        <v>1</v>
      </c>
      <c r="CD20" s="128">
        <v>1</v>
      </c>
      <c r="CE20" s="128">
        <v>1</v>
      </c>
      <c r="CF20" s="128">
        <v>1</v>
      </c>
      <c r="CG20" s="128">
        <v>1</v>
      </c>
      <c r="CH20" s="128">
        <v>1</v>
      </c>
      <c r="CI20" s="128">
        <v>1</v>
      </c>
      <c r="CJ20" s="128">
        <v>1</v>
      </c>
      <c r="CK20" s="128">
        <v>1</v>
      </c>
      <c r="CL20" s="128">
        <v>1</v>
      </c>
      <c r="CM20" s="128">
        <v>1</v>
      </c>
      <c r="CN20" s="128">
        <v>1</v>
      </c>
      <c r="CO20" s="128">
        <v>1</v>
      </c>
      <c r="CP20" s="128">
        <v>1</v>
      </c>
      <c r="CQ20" s="128">
        <v>1</v>
      </c>
      <c r="CR20" s="128">
        <v>1</v>
      </c>
      <c r="CS20" s="128">
        <v>1</v>
      </c>
      <c r="CT20" s="128">
        <v>1</v>
      </c>
      <c r="CU20" s="128">
        <v>1</v>
      </c>
      <c r="CV20" s="128">
        <v>1</v>
      </c>
      <c r="CW20" s="128">
        <v>1</v>
      </c>
      <c r="CX20" s="128">
        <v>1</v>
      </c>
      <c r="CZ20" s="126">
        <f>SUMIF(MatrixF0[[1]:[2]],MatrixF0[[#This Row],[Столбец1]])/MatrixF0[[#This Row],[Столбец1]]</f>
        <v>0</v>
      </c>
    </row>
    <row r="21" spans="1:104" ht="21" customHeight="1" x14ac:dyDescent="0.25">
      <c r="A21" s="127">
        <v>1.18</v>
      </c>
      <c r="B21" s="128">
        <v>1</v>
      </c>
      <c r="C21" s="128">
        <v>1</v>
      </c>
      <c r="D21" s="128">
        <v>1</v>
      </c>
      <c r="E21" s="128">
        <v>1</v>
      </c>
      <c r="F21" s="128">
        <v>1</v>
      </c>
      <c r="G21" s="128">
        <v>1</v>
      </c>
      <c r="H21" s="128">
        <v>1</v>
      </c>
      <c r="I21" s="128">
        <v>1</v>
      </c>
      <c r="J21" s="128">
        <v>1</v>
      </c>
      <c r="K21" s="128">
        <v>1</v>
      </c>
      <c r="L21" s="128">
        <v>1</v>
      </c>
      <c r="M21" s="128">
        <v>1</v>
      </c>
      <c r="N21" s="128">
        <v>1</v>
      </c>
      <c r="O21" s="128">
        <v>1</v>
      </c>
      <c r="P21" s="128">
        <v>1</v>
      </c>
      <c r="Q21" s="128">
        <v>1</v>
      </c>
      <c r="R21" s="128">
        <v>1</v>
      </c>
      <c r="S21" s="128">
        <v>1</v>
      </c>
      <c r="T21" s="128">
        <v>1</v>
      </c>
      <c r="U21" s="128">
        <v>1</v>
      </c>
      <c r="V21" s="128">
        <v>1</v>
      </c>
      <c r="W21" s="128">
        <v>1</v>
      </c>
      <c r="X21" s="128">
        <v>1</v>
      </c>
      <c r="Y21" s="128">
        <v>1</v>
      </c>
      <c r="Z21" s="128">
        <v>1</v>
      </c>
      <c r="AA21" s="128">
        <v>1</v>
      </c>
      <c r="AB21" s="128">
        <v>1</v>
      </c>
      <c r="AC21" s="128">
        <v>1</v>
      </c>
      <c r="AD21" s="128">
        <v>1</v>
      </c>
      <c r="AE21" s="128">
        <v>1</v>
      </c>
      <c r="AF21" s="128">
        <v>1</v>
      </c>
      <c r="AG21" s="128">
        <v>1</v>
      </c>
      <c r="AH21" s="128">
        <v>1</v>
      </c>
      <c r="AI21" s="128">
        <v>1</v>
      </c>
      <c r="AJ21" s="128">
        <v>1</v>
      </c>
      <c r="AK21" s="128">
        <v>1</v>
      </c>
      <c r="AL21" s="128">
        <v>1</v>
      </c>
      <c r="AM21" s="128">
        <v>1</v>
      </c>
      <c r="AN21" s="128">
        <v>1</v>
      </c>
      <c r="AO21" s="128">
        <v>1</v>
      </c>
      <c r="AP21" s="128">
        <v>1</v>
      </c>
      <c r="AQ21" s="128">
        <v>1</v>
      </c>
      <c r="AR21" s="128">
        <v>1</v>
      </c>
      <c r="AS21" s="128">
        <v>1</v>
      </c>
      <c r="AT21" s="128">
        <v>1</v>
      </c>
      <c r="AU21" s="128">
        <v>1</v>
      </c>
      <c r="AV21" s="128">
        <v>1</v>
      </c>
      <c r="AW21" s="128">
        <v>1</v>
      </c>
      <c r="AX21" s="128">
        <v>1</v>
      </c>
      <c r="AY21" s="128">
        <v>1</v>
      </c>
      <c r="AZ21" s="128">
        <v>1</v>
      </c>
      <c r="BA21" s="128">
        <v>1</v>
      </c>
      <c r="BB21" s="128">
        <v>1</v>
      </c>
      <c r="BC21" s="128">
        <v>1</v>
      </c>
      <c r="BD21" s="128">
        <v>1</v>
      </c>
      <c r="BE21" s="128">
        <v>1</v>
      </c>
      <c r="BF21" s="128">
        <v>1</v>
      </c>
      <c r="BG21" s="128">
        <v>1</v>
      </c>
      <c r="BH21" s="128">
        <v>1</v>
      </c>
      <c r="BI21" s="128">
        <v>1</v>
      </c>
      <c r="BJ21" s="128">
        <v>1</v>
      </c>
      <c r="BK21" s="128">
        <v>1</v>
      </c>
      <c r="BL21" s="128">
        <v>1</v>
      </c>
      <c r="BM21" s="128">
        <v>1</v>
      </c>
      <c r="BN21" s="128">
        <v>1</v>
      </c>
      <c r="BO21" s="128">
        <v>1</v>
      </c>
      <c r="BP21" s="128">
        <v>1</v>
      </c>
      <c r="BQ21" s="128">
        <v>1</v>
      </c>
      <c r="BR21" s="128">
        <v>1</v>
      </c>
      <c r="BS21" s="128">
        <v>1</v>
      </c>
      <c r="BT21" s="128">
        <v>1</v>
      </c>
      <c r="BU21" s="128">
        <v>1</v>
      </c>
      <c r="BV21" s="128">
        <v>1</v>
      </c>
      <c r="BW21" s="128">
        <v>1</v>
      </c>
      <c r="BX21" s="128">
        <v>1</v>
      </c>
      <c r="BY21" s="128">
        <v>1</v>
      </c>
      <c r="BZ21" s="128">
        <v>1</v>
      </c>
      <c r="CA21" s="128">
        <v>1</v>
      </c>
      <c r="CB21" s="128">
        <v>1</v>
      </c>
      <c r="CC21" s="128">
        <v>1</v>
      </c>
      <c r="CD21" s="128">
        <v>1</v>
      </c>
      <c r="CE21" s="128">
        <v>1</v>
      </c>
      <c r="CF21" s="128">
        <v>1</v>
      </c>
      <c r="CG21" s="128">
        <v>1</v>
      </c>
      <c r="CH21" s="128">
        <v>1</v>
      </c>
      <c r="CI21" s="128">
        <v>1</v>
      </c>
      <c r="CJ21" s="128">
        <v>1</v>
      </c>
      <c r="CK21" s="128">
        <v>1</v>
      </c>
      <c r="CL21" s="128">
        <v>1</v>
      </c>
      <c r="CM21" s="128">
        <v>1</v>
      </c>
      <c r="CN21" s="128">
        <v>1</v>
      </c>
      <c r="CO21" s="128">
        <v>1</v>
      </c>
      <c r="CP21" s="128">
        <v>1</v>
      </c>
      <c r="CQ21" s="128">
        <v>1</v>
      </c>
      <c r="CR21" s="128">
        <v>1</v>
      </c>
      <c r="CS21" s="128">
        <v>1</v>
      </c>
      <c r="CT21" s="128">
        <v>1</v>
      </c>
      <c r="CU21" s="128">
        <v>1</v>
      </c>
      <c r="CV21" s="128">
        <v>1</v>
      </c>
      <c r="CW21" s="128">
        <v>1</v>
      </c>
      <c r="CX21" s="128">
        <v>1</v>
      </c>
      <c r="CZ21" s="126">
        <f>SUMIF(MatrixF0[[1]:[2]],MatrixF0[[#This Row],[Столбец1]])/MatrixF0[[#This Row],[Столбец1]]</f>
        <v>0</v>
      </c>
    </row>
    <row r="22" spans="1:104" ht="21" customHeight="1" x14ac:dyDescent="0.25">
      <c r="A22" s="127">
        <v>1.19</v>
      </c>
      <c r="B22" s="128">
        <v>1</v>
      </c>
      <c r="C22" s="128">
        <v>1</v>
      </c>
      <c r="D22" s="128">
        <v>1</v>
      </c>
      <c r="E22" s="128">
        <v>1</v>
      </c>
      <c r="F22" s="128">
        <v>1</v>
      </c>
      <c r="G22" s="128">
        <v>1</v>
      </c>
      <c r="H22" s="128">
        <v>1</v>
      </c>
      <c r="I22" s="128">
        <v>1</v>
      </c>
      <c r="J22" s="128">
        <v>1</v>
      </c>
      <c r="K22" s="128">
        <v>1</v>
      </c>
      <c r="L22" s="128">
        <v>1</v>
      </c>
      <c r="M22" s="128">
        <v>1</v>
      </c>
      <c r="N22" s="128">
        <v>1</v>
      </c>
      <c r="O22" s="128">
        <v>1</v>
      </c>
      <c r="P22" s="128">
        <v>1</v>
      </c>
      <c r="Q22" s="128">
        <v>1</v>
      </c>
      <c r="R22" s="128">
        <v>1</v>
      </c>
      <c r="S22" s="128">
        <v>1</v>
      </c>
      <c r="T22" s="128">
        <v>1</v>
      </c>
      <c r="U22" s="128">
        <v>1</v>
      </c>
      <c r="V22" s="128">
        <v>1</v>
      </c>
      <c r="W22" s="128">
        <v>1</v>
      </c>
      <c r="X22" s="128">
        <v>1</v>
      </c>
      <c r="Y22" s="128">
        <v>1</v>
      </c>
      <c r="Z22" s="128">
        <v>1</v>
      </c>
      <c r="AA22" s="128">
        <v>1</v>
      </c>
      <c r="AB22" s="128">
        <v>1</v>
      </c>
      <c r="AC22" s="128">
        <v>1</v>
      </c>
      <c r="AD22" s="128">
        <v>1</v>
      </c>
      <c r="AE22" s="128">
        <v>1</v>
      </c>
      <c r="AF22" s="128">
        <v>1</v>
      </c>
      <c r="AG22" s="128">
        <v>1</v>
      </c>
      <c r="AH22" s="128">
        <v>1</v>
      </c>
      <c r="AI22" s="128">
        <v>1</v>
      </c>
      <c r="AJ22" s="128">
        <v>1</v>
      </c>
      <c r="AK22" s="128">
        <v>1</v>
      </c>
      <c r="AL22" s="128">
        <v>1</v>
      </c>
      <c r="AM22" s="128">
        <v>1</v>
      </c>
      <c r="AN22" s="128">
        <v>1</v>
      </c>
      <c r="AO22" s="128">
        <v>1</v>
      </c>
      <c r="AP22" s="128">
        <v>1</v>
      </c>
      <c r="AQ22" s="128">
        <v>1</v>
      </c>
      <c r="AR22" s="128">
        <v>1</v>
      </c>
      <c r="AS22" s="128">
        <v>1</v>
      </c>
      <c r="AT22" s="128">
        <v>1</v>
      </c>
      <c r="AU22" s="128">
        <v>1</v>
      </c>
      <c r="AV22" s="128">
        <v>1</v>
      </c>
      <c r="AW22" s="128">
        <v>1</v>
      </c>
      <c r="AX22" s="128">
        <v>1</v>
      </c>
      <c r="AY22" s="128">
        <v>1</v>
      </c>
      <c r="AZ22" s="128">
        <v>1</v>
      </c>
      <c r="BA22" s="128">
        <v>1</v>
      </c>
      <c r="BB22" s="128">
        <v>1</v>
      </c>
      <c r="BC22" s="128">
        <v>1</v>
      </c>
      <c r="BD22" s="128">
        <v>1</v>
      </c>
      <c r="BE22" s="128">
        <v>1</v>
      </c>
      <c r="BF22" s="128">
        <v>1</v>
      </c>
      <c r="BG22" s="128">
        <v>1</v>
      </c>
      <c r="BH22" s="128">
        <v>1</v>
      </c>
      <c r="BI22" s="128">
        <v>1</v>
      </c>
      <c r="BJ22" s="128">
        <v>1</v>
      </c>
      <c r="BK22" s="128">
        <v>1</v>
      </c>
      <c r="BL22" s="128">
        <v>1</v>
      </c>
      <c r="BM22" s="128">
        <v>1</v>
      </c>
      <c r="BN22" s="128">
        <v>1</v>
      </c>
      <c r="BO22" s="128">
        <v>1</v>
      </c>
      <c r="BP22" s="128">
        <v>1</v>
      </c>
      <c r="BQ22" s="128">
        <v>1</v>
      </c>
      <c r="BR22" s="128">
        <v>1</v>
      </c>
      <c r="BS22" s="128">
        <v>1</v>
      </c>
      <c r="BT22" s="128">
        <v>1</v>
      </c>
      <c r="BU22" s="128">
        <v>1</v>
      </c>
      <c r="BV22" s="128">
        <v>1</v>
      </c>
      <c r="BW22" s="128">
        <v>1</v>
      </c>
      <c r="BX22" s="128">
        <v>1</v>
      </c>
      <c r="BY22" s="128">
        <v>1</v>
      </c>
      <c r="BZ22" s="128">
        <v>1</v>
      </c>
      <c r="CA22" s="128">
        <v>1</v>
      </c>
      <c r="CB22" s="128">
        <v>1</v>
      </c>
      <c r="CC22" s="128">
        <v>1</v>
      </c>
      <c r="CD22" s="128">
        <v>1</v>
      </c>
      <c r="CE22" s="128">
        <v>1</v>
      </c>
      <c r="CF22" s="128">
        <v>1</v>
      </c>
      <c r="CG22" s="128">
        <v>1</v>
      </c>
      <c r="CH22" s="128">
        <v>1</v>
      </c>
      <c r="CI22" s="128">
        <v>1</v>
      </c>
      <c r="CJ22" s="128">
        <v>1</v>
      </c>
      <c r="CK22" s="128">
        <v>1</v>
      </c>
      <c r="CL22" s="128">
        <v>1</v>
      </c>
      <c r="CM22" s="128">
        <v>1</v>
      </c>
      <c r="CN22" s="128">
        <v>1</v>
      </c>
      <c r="CO22" s="128">
        <v>1</v>
      </c>
      <c r="CP22" s="128">
        <v>1</v>
      </c>
      <c r="CQ22" s="128">
        <v>1</v>
      </c>
      <c r="CR22" s="128">
        <v>1</v>
      </c>
      <c r="CS22" s="128">
        <v>1</v>
      </c>
      <c r="CT22" s="128">
        <v>1</v>
      </c>
      <c r="CU22" s="128">
        <v>1</v>
      </c>
      <c r="CV22" s="128">
        <v>1</v>
      </c>
      <c r="CW22" s="128">
        <v>1</v>
      </c>
      <c r="CX22" s="128">
        <v>1</v>
      </c>
      <c r="CZ22" s="126">
        <f>SUMIF(MatrixF0[[1]:[2]],MatrixF0[[#This Row],[Столбец1]])/MatrixF0[[#This Row],[Столбец1]]</f>
        <v>0</v>
      </c>
    </row>
    <row r="23" spans="1:104" ht="21" customHeight="1" x14ac:dyDescent="0.25">
      <c r="A23" s="127">
        <v>1.2</v>
      </c>
      <c r="B23" s="128">
        <v>1</v>
      </c>
      <c r="C23" s="128">
        <v>1</v>
      </c>
      <c r="D23" s="128">
        <v>1</v>
      </c>
      <c r="E23" s="128">
        <v>1</v>
      </c>
      <c r="F23" s="128">
        <v>1</v>
      </c>
      <c r="G23" s="128">
        <v>1</v>
      </c>
      <c r="H23" s="128">
        <v>1</v>
      </c>
      <c r="I23" s="128">
        <v>1</v>
      </c>
      <c r="J23" s="128">
        <v>1</v>
      </c>
      <c r="K23" s="128">
        <v>1</v>
      </c>
      <c r="L23" s="128">
        <v>1</v>
      </c>
      <c r="M23" s="128">
        <v>1</v>
      </c>
      <c r="N23" s="128">
        <v>1</v>
      </c>
      <c r="O23" s="128">
        <v>1</v>
      </c>
      <c r="P23" s="128">
        <v>1</v>
      </c>
      <c r="Q23" s="128">
        <v>1</v>
      </c>
      <c r="R23" s="128">
        <v>1</v>
      </c>
      <c r="S23" s="128">
        <v>1</v>
      </c>
      <c r="T23" s="128">
        <v>1</v>
      </c>
      <c r="U23" s="128">
        <v>1</v>
      </c>
      <c r="V23" s="128">
        <v>1</v>
      </c>
      <c r="W23" s="128">
        <v>1</v>
      </c>
      <c r="X23" s="128">
        <v>1</v>
      </c>
      <c r="Y23" s="128">
        <v>1</v>
      </c>
      <c r="Z23" s="128">
        <v>1</v>
      </c>
      <c r="AA23" s="128">
        <v>1</v>
      </c>
      <c r="AB23" s="128">
        <v>1</v>
      </c>
      <c r="AC23" s="128">
        <v>1</v>
      </c>
      <c r="AD23" s="128">
        <v>1</v>
      </c>
      <c r="AE23" s="128">
        <v>1</v>
      </c>
      <c r="AF23" s="128">
        <v>1</v>
      </c>
      <c r="AG23" s="128">
        <v>1</v>
      </c>
      <c r="AH23" s="128">
        <v>1</v>
      </c>
      <c r="AI23" s="128">
        <v>1</v>
      </c>
      <c r="AJ23" s="128">
        <v>1</v>
      </c>
      <c r="AK23" s="128">
        <v>1</v>
      </c>
      <c r="AL23" s="128">
        <v>1</v>
      </c>
      <c r="AM23" s="128">
        <v>1</v>
      </c>
      <c r="AN23" s="128">
        <v>1</v>
      </c>
      <c r="AO23" s="128">
        <v>1</v>
      </c>
      <c r="AP23" s="128">
        <v>1</v>
      </c>
      <c r="AQ23" s="128">
        <v>1</v>
      </c>
      <c r="AR23" s="128">
        <v>1</v>
      </c>
      <c r="AS23" s="128">
        <v>1</v>
      </c>
      <c r="AT23" s="128">
        <v>1</v>
      </c>
      <c r="AU23" s="128">
        <v>1</v>
      </c>
      <c r="AV23" s="128">
        <v>1</v>
      </c>
      <c r="AW23" s="128">
        <v>1</v>
      </c>
      <c r="AX23" s="128">
        <v>1</v>
      </c>
      <c r="AY23" s="128">
        <v>1</v>
      </c>
      <c r="AZ23" s="128">
        <v>1</v>
      </c>
      <c r="BA23" s="128">
        <v>1</v>
      </c>
      <c r="BB23" s="128">
        <v>1</v>
      </c>
      <c r="BC23" s="128">
        <v>1</v>
      </c>
      <c r="BD23" s="128">
        <v>1</v>
      </c>
      <c r="BE23" s="128">
        <v>1</v>
      </c>
      <c r="BF23" s="128">
        <v>1</v>
      </c>
      <c r="BG23" s="128">
        <v>1</v>
      </c>
      <c r="BH23" s="128">
        <v>1</v>
      </c>
      <c r="BI23" s="128">
        <v>1</v>
      </c>
      <c r="BJ23" s="128">
        <v>1</v>
      </c>
      <c r="BK23" s="128">
        <v>1</v>
      </c>
      <c r="BL23" s="128">
        <v>1</v>
      </c>
      <c r="BM23" s="128">
        <v>1</v>
      </c>
      <c r="BN23" s="128">
        <v>1</v>
      </c>
      <c r="BO23" s="128">
        <v>1</v>
      </c>
      <c r="BP23" s="128">
        <v>1</v>
      </c>
      <c r="BQ23" s="128">
        <v>1</v>
      </c>
      <c r="BR23" s="128">
        <v>1</v>
      </c>
      <c r="BS23" s="128">
        <v>1</v>
      </c>
      <c r="BT23" s="128">
        <v>1</v>
      </c>
      <c r="BU23" s="128">
        <v>1</v>
      </c>
      <c r="BV23" s="128">
        <v>1</v>
      </c>
      <c r="BW23" s="128">
        <v>1</v>
      </c>
      <c r="BX23" s="128">
        <v>1</v>
      </c>
      <c r="BY23" s="128">
        <v>1</v>
      </c>
      <c r="BZ23" s="128">
        <v>1</v>
      </c>
      <c r="CA23" s="128">
        <v>1</v>
      </c>
      <c r="CB23" s="128">
        <v>1</v>
      </c>
      <c r="CC23" s="128">
        <v>1</v>
      </c>
      <c r="CD23" s="128">
        <v>1</v>
      </c>
      <c r="CE23" s="128">
        <v>1</v>
      </c>
      <c r="CF23" s="128">
        <v>1</v>
      </c>
      <c r="CG23" s="128">
        <v>1</v>
      </c>
      <c r="CH23" s="128">
        <v>1</v>
      </c>
      <c r="CI23" s="128">
        <v>1</v>
      </c>
      <c r="CJ23" s="128">
        <v>1</v>
      </c>
      <c r="CK23" s="128">
        <v>1</v>
      </c>
      <c r="CL23" s="128">
        <v>1</v>
      </c>
      <c r="CM23" s="128">
        <v>1</v>
      </c>
      <c r="CN23" s="128">
        <v>1</v>
      </c>
      <c r="CO23" s="128">
        <v>1</v>
      </c>
      <c r="CP23" s="128">
        <v>1</v>
      </c>
      <c r="CQ23" s="128">
        <v>1</v>
      </c>
      <c r="CR23" s="128">
        <v>1</v>
      </c>
      <c r="CS23" s="128">
        <v>1</v>
      </c>
      <c r="CT23" s="128">
        <v>1</v>
      </c>
      <c r="CU23" s="128">
        <v>1</v>
      </c>
      <c r="CV23" s="128">
        <v>1</v>
      </c>
      <c r="CW23" s="128">
        <v>1</v>
      </c>
      <c r="CX23" s="128">
        <v>1</v>
      </c>
      <c r="CZ23" s="126">
        <f>SUMIF(MatrixF0[[1]:[2]],MatrixF0[[#This Row],[Столбец1]])/MatrixF0[[#This Row],[Столбец1]]</f>
        <v>0</v>
      </c>
    </row>
    <row r="24" spans="1:104" ht="21" customHeight="1" x14ac:dyDescent="0.25">
      <c r="A24" s="127">
        <v>1.21</v>
      </c>
      <c r="B24" s="128">
        <v>1</v>
      </c>
      <c r="C24" s="128">
        <v>1</v>
      </c>
      <c r="D24" s="128">
        <v>1</v>
      </c>
      <c r="E24" s="128">
        <v>1</v>
      </c>
      <c r="F24" s="128">
        <v>1</v>
      </c>
      <c r="G24" s="128">
        <v>1</v>
      </c>
      <c r="H24" s="128">
        <v>1</v>
      </c>
      <c r="I24" s="128">
        <v>1</v>
      </c>
      <c r="J24" s="128">
        <v>1</v>
      </c>
      <c r="K24" s="128">
        <v>1</v>
      </c>
      <c r="L24" s="128">
        <v>1</v>
      </c>
      <c r="M24" s="128">
        <v>1</v>
      </c>
      <c r="N24" s="128">
        <v>1</v>
      </c>
      <c r="O24" s="128">
        <v>1</v>
      </c>
      <c r="P24" s="128">
        <v>1</v>
      </c>
      <c r="Q24" s="128">
        <v>1</v>
      </c>
      <c r="R24" s="128">
        <v>1</v>
      </c>
      <c r="S24" s="128">
        <v>1</v>
      </c>
      <c r="T24" s="128">
        <v>1</v>
      </c>
      <c r="U24" s="128">
        <v>1</v>
      </c>
      <c r="V24" s="128">
        <v>1</v>
      </c>
      <c r="W24" s="128">
        <v>1</v>
      </c>
      <c r="X24" s="128">
        <v>1</v>
      </c>
      <c r="Y24" s="128">
        <v>1</v>
      </c>
      <c r="Z24" s="128">
        <v>1</v>
      </c>
      <c r="AA24" s="128">
        <v>1</v>
      </c>
      <c r="AB24" s="128">
        <v>1</v>
      </c>
      <c r="AC24" s="128">
        <v>1</v>
      </c>
      <c r="AD24" s="128">
        <v>1</v>
      </c>
      <c r="AE24" s="128">
        <v>1</v>
      </c>
      <c r="AF24" s="128">
        <v>1</v>
      </c>
      <c r="AG24" s="128">
        <v>1</v>
      </c>
      <c r="AH24" s="128">
        <v>1</v>
      </c>
      <c r="AI24" s="128">
        <v>1</v>
      </c>
      <c r="AJ24" s="128">
        <v>1</v>
      </c>
      <c r="AK24" s="128">
        <v>1</v>
      </c>
      <c r="AL24" s="128">
        <v>1</v>
      </c>
      <c r="AM24" s="128">
        <v>1</v>
      </c>
      <c r="AN24" s="128">
        <v>1</v>
      </c>
      <c r="AO24" s="128">
        <v>1</v>
      </c>
      <c r="AP24" s="128">
        <v>1</v>
      </c>
      <c r="AQ24" s="128">
        <v>1</v>
      </c>
      <c r="AR24" s="128">
        <v>1</v>
      </c>
      <c r="AS24" s="128">
        <v>1</v>
      </c>
      <c r="AT24" s="128">
        <v>1</v>
      </c>
      <c r="AU24" s="128">
        <v>1</v>
      </c>
      <c r="AV24" s="128">
        <v>1</v>
      </c>
      <c r="AW24" s="128">
        <v>1</v>
      </c>
      <c r="AX24" s="128">
        <v>1</v>
      </c>
      <c r="AY24" s="128">
        <v>1</v>
      </c>
      <c r="AZ24" s="128">
        <v>1</v>
      </c>
      <c r="BA24" s="128">
        <v>1</v>
      </c>
      <c r="BB24" s="128">
        <v>1</v>
      </c>
      <c r="BC24" s="128">
        <v>1</v>
      </c>
      <c r="BD24" s="128">
        <v>1</v>
      </c>
      <c r="BE24" s="128">
        <v>1</v>
      </c>
      <c r="BF24" s="128">
        <v>1</v>
      </c>
      <c r="BG24" s="128">
        <v>1</v>
      </c>
      <c r="BH24" s="128">
        <v>1</v>
      </c>
      <c r="BI24" s="128">
        <v>1</v>
      </c>
      <c r="BJ24" s="128">
        <v>1</v>
      </c>
      <c r="BK24" s="128">
        <v>1</v>
      </c>
      <c r="BL24" s="128">
        <v>1</v>
      </c>
      <c r="BM24" s="128">
        <v>1</v>
      </c>
      <c r="BN24" s="128">
        <v>1</v>
      </c>
      <c r="BO24" s="128">
        <v>1</v>
      </c>
      <c r="BP24" s="128">
        <v>1</v>
      </c>
      <c r="BQ24" s="128">
        <v>1</v>
      </c>
      <c r="BR24" s="128">
        <v>1</v>
      </c>
      <c r="BS24" s="128">
        <v>1</v>
      </c>
      <c r="BT24" s="128">
        <v>1</v>
      </c>
      <c r="BU24" s="128">
        <v>1</v>
      </c>
      <c r="BV24" s="128">
        <v>1</v>
      </c>
      <c r="BW24" s="128">
        <v>1</v>
      </c>
      <c r="BX24" s="128">
        <v>1</v>
      </c>
      <c r="BY24" s="128">
        <v>1</v>
      </c>
      <c r="BZ24" s="128">
        <v>1</v>
      </c>
      <c r="CA24" s="128">
        <v>1</v>
      </c>
      <c r="CB24" s="128">
        <v>1</v>
      </c>
      <c r="CC24" s="128">
        <v>1</v>
      </c>
      <c r="CD24" s="128">
        <v>1</v>
      </c>
      <c r="CE24" s="128">
        <v>1</v>
      </c>
      <c r="CF24" s="128">
        <v>1</v>
      </c>
      <c r="CG24" s="128">
        <v>1</v>
      </c>
      <c r="CH24" s="128">
        <v>1</v>
      </c>
      <c r="CI24" s="128">
        <v>1</v>
      </c>
      <c r="CJ24" s="128">
        <v>1</v>
      </c>
      <c r="CK24" s="128">
        <v>1</v>
      </c>
      <c r="CL24" s="128">
        <v>1</v>
      </c>
      <c r="CM24" s="128">
        <v>1</v>
      </c>
      <c r="CN24" s="128">
        <v>1</v>
      </c>
      <c r="CO24" s="128">
        <v>1</v>
      </c>
      <c r="CP24" s="128">
        <v>1</v>
      </c>
      <c r="CQ24" s="128">
        <v>1</v>
      </c>
      <c r="CR24" s="128">
        <v>1</v>
      </c>
      <c r="CS24" s="128">
        <v>1</v>
      </c>
      <c r="CT24" s="128">
        <v>1</v>
      </c>
      <c r="CU24" s="128">
        <v>1</v>
      </c>
      <c r="CV24" s="128">
        <v>1</v>
      </c>
      <c r="CW24" s="128">
        <v>1</v>
      </c>
      <c r="CX24" s="128">
        <v>1</v>
      </c>
      <c r="CZ24" s="126">
        <f>SUMIF(MatrixF0[[1]:[2]],MatrixF0[[#This Row],[Столбец1]])/MatrixF0[[#This Row],[Столбец1]]</f>
        <v>0</v>
      </c>
    </row>
    <row r="25" spans="1:104" ht="21" customHeight="1" x14ac:dyDescent="0.25">
      <c r="A25" s="127">
        <v>1.22</v>
      </c>
      <c r="B25" s="128">
        <v>1</v>
      </c>
      <c r="C25" s="128">
        <v>1</v>
      </c>
      <c r="D25" s="128">
        <v>1</v>
      </c>
      <c r="E25" s="128">
        <v>1</v>
      </c>
      <c r="F25" s="128">
        <v>1</v>
      </c>
      <c r="G25" s="128">
        <v>1</v>
      </c>
      <c r="H25" s="128">
        <v>1</v>
      </c>
      <c r="I25" s="128">
        <v>1</v>
      </c>
      <c r="J25" s="128">
        <v>1</v>
      </c>
      <c r="K25" s="128">
        <v>1</v>
      </c>
      <c r="L25" s="128">
        <v>1</v>
      </c>
      <c r="M25" s="128">
        <v>1</v>
      </c>
      <c r="N25" s="128">
        <v>1</v>
      </c>
      <c r="O25" s="128">
        <v>1</v>
      </c>
      <c r="P25" s="128">
        <v>1</v>
      </c>
      <c r="Q25" s="128">
        <v>1</v>
      </c>
      <c r="R25" s="128">
        <v>1</v>
      </c>
      <c r="S25" s="128">
        <v>1</v>
      </c>
      <c r="T25" s="128">
        <v>1</v>
      </c>
      <c r="U25" s="128">
        <v>1</v>
      </c>
      <c r="V25" s="128">
        <v>1</v>
      </c>
      <c r="W25" s="128">
        <v>1</v>
      </c>
      <c r="X25" s="128">
        <v>1</v>
      </c>
      <c r="Y25" s="128">
        <v>1</v>
      </c>
      <c r="Z25" s="128">
        <v>1</v>
      </c>
      <c r="AA25" s="128">
        <v>1</v>
      </c>
      <c r="AB25" s="128">
        <v>1</v>
      </c>
      <c r="AC25" s="128">
        <v>1</v>
      </c>
      <c r="AD25" s="128">
        <v>1</v>
      </c>
      <c r="AE25" s="128">
        <v>1</v>
      </c>
      <c r="AF25" s="128">
        <v>1</v>
      </c>
      <c r="AG25" s="128">
        <v>1</v>
      </c>
      <c r="AH25" s="128">
        <v>1</v>
      </c>
      <c r="AI25" s="128">
        <v>1</v>
      </c>
      <c r="AJ25" s="128">
        <v>1</v>
      </c>
      <c r="AK25" s="128">
        <v>1</v>
      </c>
      <c r="AL25" s="128">
        <v>1</v>
      </c>
      <c r="AM25" s="128">
        <v>1</v>
      </c>
      <c r="AN25" s="128">
        <v>1</v>
      </c>
      <c r="AO25" s="128">
        <v>1</v>
      </c>
      <c r="AP25" s="128">
        <v>1</v>
      </c>
      <c r="AQ25" s="128">
        <v>1</v>
      </c>
      <c r="AR25" s="128">
        <v>1</v>
      </c>
      <c r="AS25" s="128">
        <v>1</v>
      </c>
      <c r="AT25" s="128">
        <v>1</v>
      </c>
      <c r="AU25" s="128">
        <v>1</v>
      </c>
      <c r="AV25" s="128">
        <v>1</v>
      </c>
      <c r="AW25" s="128">
        <v>1</v>
      </c>
      <c r="AX25" s="128">
        <v>1</v>
      </c>
      <c r="AY25" s="128">
        <v>1</v>
      </c>
      <c r="AZ25" s="128">
        <v>1</v>
      </c>
      <c r="BA25" s="128">
        <v>1</v>
      </c>
      <c r="BB25" s="128">
        <v>1</v>
      </c>
      <c r="BC25" s="128">
        <v>1</v>
      </c>
      <c r="BD25" s="128">
        <v>1</v>
      </c>
      <c r="BE25" s="128">
        <v>1</v>
      </c>
      <c r="BF25" s="128">
        <v>1</v>
      </c>
      <c r="BG25" s="128">
        <v>1</v>
      </c>
      <c r="BH25" s="128">
        <v>1</v>
      </c>
      <c r="BI25" s="128">
        <v>1</v>
      </c>
      <c r="BJ25" s="128">
        <v>1</v>
      </c>
      <c r="BK25" s="128">
        <v>1</v>
      </c>
      <c r="BL25" s="128">
        <v>1</v>
      </c>
      <c r="BM25" s="128">
        <v>1</v>
      </c>
      <c r="BN25" s="128">
        <v>1</v>
      </c>
      <c r="BO25" s="128">
        <v>1</v>
      </c>
      <c r="BP25" s="128">
        <v>1</v>
      </c>
      <c r="BQ25" s="128">
        <v>1</v>
      </c>
      <c r="BR25" s="128">
        <v>1</v>
      </c>
      <c r="BS25" s="128">
        <v>1</v>
      </c>
      <c r="BT25" s="128">
        <v>1</v>
      </c>
      <c r="BU25" s="128">
        <v>1</v>
      </c>
      <c r="BV25" s="128">
        <v>1</v>
      </c>
      <c r="BW25" s="128">
        <v>1</v>
      </c>
      <c r="BX25" s="128">
        <v>1</v>
      </c>
      <c r="BY25" s="128">
        <v>1</v>
      </c>
      <c r="BZ25" s="128">
        <v>1</v>
      </c>
      <c r="CA25" s="128">
        <v>1</v>
      </c>
      <c r="CB25" s="128">
        <v>1</v>
      </c>
      <c r="CC25" s="128">
        <v>1</v>
      </c>
      <c r="CD25" s="128">
        <v>1</v>
      </c>
      <c r="CE25" s="128">
        <v>1</v>
      </c>
      <c r="CF25" s="128">
        <v>1</v>
      </c>
      <c r="CG25" s="128">
        <v>1</v>
      </c>
      <c r="CH25" s="128">
        <v>1</v>
      </c>
      <c r="CI25" s="128">
        <v>1</v>
      </c>
      <c r="CJ25" s="128">
        <v>1</v>
      </c>
      <c r="CK25" s="128">
        <v>1</v>
      </c>
      <c r="CL25" s="128">
        <v>1</v>
      </c>
      <c r="CM25" s="128">
        <v>1</v>
      </c>
      <c r="CN25" s="128">
        <v>1</v>
      </c>
      <c r="CO25" s="128">
        <v>1</v>
      </c>
      <c r="CP25" s="128">
        <v>1</v>
      </c>
      <c r="CQ25" s="128">
        <v>1</v>
      </c>
      <c r="CR25" s="128">
        <v>1</v>
      </c>
      <c r="CS25" s="128">
        <v>1</v>
      </c>
      <c r="CT25" s="128">
        <v>1</v>
      </c>
      <c r="CU25" s="128">
        <v>1</v>
      </c>
      <c r="CV25" s="128">
        <v>1</v>
      </c>
      <c r="CW25" s="128">
        <v>1</v>
      </c>
      <c r="CX25" s="128">
        <v>1</v>
      </c>
      <c r="CZ25" s="126">
        <f>SUMIF(MatrixF0[[1]:[2]],MatrixF0[[#This Row],[Столбец1]])/MatrixF0[[#This Row],[Столбец1]]</f>
        <v>0</v>
      </c>
    </row>
    <row r="26" spans="1:104" ht="21" customHeight="1" x14ac:dyDescent="0.25">
      <c r="A26" s="127">
        <v>1.23</v>
      </c>
      <c r="B26" s="128">
        <v>1</v>
      </c>
      <c r="C26" s="128">
        <v>1</v>
      </c>
      <c r="D26" s="128">
        <v>1</v>
      </c>
      <c r="E26" s="128">
        <v>1</v>
      </c>
      <c r="F26" s="128">
        <v>1</v>
      </c>
      <c r="G26" s="128">
        <v>1</v>
      </c>
      <c r="H26" s="128">
        <v>1</v>
      </c>
      <c r="I26" s="128">
        <v>1</v>
      </c>
      <c r="J26" s="128">
        <v>1</v>
      </c>
      <c r="K26" s="128">
        <v>1</v>
      </c>
      <c r="L26" s="128">
        <v>1</v>
      </c>
      <c r="M26" s="128">
        <v>1</v>
      </c>
      <c r="N26" s="128">
        <v>1</v>
      </c>
      <c r="O26" s="128">
        <v>1</v>
      </c>
      <c r="P26" s="128">
        <v>1</v>
      </c>
      <c r="Q26" s="128">
        <v>1</v>
      </c>
      <c r="R26" s="128">
        <v>1</v>
      </c>
      <c r="S26" s="128">
        <v>1</v>
      </c>
      <c r="T26" s="128">
        <v>1</v>
      </c>
      <c r="U26" s="128">
        <v>1</v>
      </c>
      <c r="V26" s="128">
        <v>1</v>
      </c>
      <c r="W26" s="128">
        <v>1</v>
      </c>
      <c r="X26" s="128">
        <v>1</v>
      </c>
      <c r="Y26" s="128">
        <v>1</v>
      </c>
      <c r="Z26" s="128">
        <v>1</v>
      </c>
      <c r="AA26" s="128">
        <v>1</v>
      </c>
      <c r="AB26" s="128">
        <v>1</v>
      </c>
      <c r="AC26" s="128">
        <v>1</v>
      </c>
      <c r="AD26" s="128">
        <v>1</v>
      </c>
      <c r="AE26" s="128">
        <v>1</v>
      </c>
      <c r="AF26" s="128">
        <v>1</v>
      </c>
      <c r="AG26" s="128">
        <v>1</v>
      </c>
      <c r="AH26" s="128">
        <v>1</v>
      </c>
      <c r="AI26" s="128">
        <v>1</v>
      </c>
      <c r="AJ26" s="128">
        <v>1</v>
      </c>
      <c r="AK26" s="128">
        <v>1</v>
      </c>
      <c r="AL26" s="128">
        <v>1</v>
      </c>
      <c r="AM26" s="128">
        <v>1</v>
      </c>
      <c r="AN26" s="128">
        <v>1</v>
      </c>
      <c r="AO26" s="128">
        <v>1</v>
      </c>
      <c r="AP26" s="128">
        <v>1</v>
      </c>
      <c r="AQ26" s="128">
        <v>1</v>
      </c>
      <c r="AR26" s="128">
        <v>1</v>
      </c>
      <c r="AS26" s="128">
        <v>1</v>
      </c>
      <c r="AT26" s="128">
        <v>1</v>
      </c>
      <c r="AU26" s="128">
        <v>1</v>
      </c>
      <c r="AV26" s="128">
        <v>1</v>
      </c>
      <c r="AW26" s="128">
        <v>1</v>
      </c>
      <c r="AX26" s="128">
        <v>1</v>
      </c>
      <c r="AY26" s="128">
        <v>1</v>
      </c>
      <c r="AZ26" s="128">
        <v>1</v>
      </c>
      <c r="BA26" s="128">
        <v>1</v>
      </c>
      <c r="BB26" s="128">
        <v>1</v>
      </c>
      <c r="BC26" s="128">
        <v>1</v>
      </c>
      <c r="BD26" s="128">
        <v>1</v>
      </c>
      <c r="BE26" s="128">
        <v>1</v>
      </c>
      <c r="BF26" s="128">
        <v>1</v>
      </c>
      <c r="BG26" s="128">
        <v>1</v>
      </c>
      <c r="BH26" s="128">
        <v>1</v>
      </c>
      <c r="BI26" s="128">
        <v>1</v>
      </c>
      <c r="BJ26" s="128">
        <v>1</v>
      </c>
      <c r="BK26" s="128">
        <v>1</v>
      </c>
      <c r="BL26" s="128">
        <v>1</v>
      </c>
      <c r="BM26" s="128">
        <v>1</v>
      </c>
      <c r="BN26" s="128">
        <v>1</v>
      </c>
      <c r="BO26" s="128">
        <v>1</v>
      </c>
      <c r="BP26" s="128">
        <v>1</v>
      </c>
      <c r="BQ26" s="128">
        <v>1</v>
      </c>
      <c r="BR26" s="128">
        <v>1</v>
      </c>
      <c r="BS26" s="128">
        <v>1</v>
      </c>
      <c r="BT26" s="128">
        <v>1</v>
      </c>
      <c r="BU26" s="128">
        <v>1</v>
      </c>
      <c r="BV26" s="128">
        <v>1</v>
      </c>
      <c r="BW26" s="128">
        <v>1</v>
      </c>
      <c r="BX26" s="128">
        <v>1</v>
      </c>
      <c r="BY26" s="128">
        <v>1</v>
      </c>
      <c r="BZ26" s="128">
        <v>1</v>
      </c>
      <c r="CA26" s="128">
        <v>1</v>
      </c>
      <c r="CB26" s="128">
        <v>1</v>
      </c>
      <c r="CC26" s="128">
        <v>1</v>
      </c>
      <c r="CD26" s="128">
        <v>1</v>
      </c>
      <c r="CE26" s="128">
        <v>1</v>
      </c>
      <c r="CF26" s="128">
        <v>1</v>
      </c>
      <c r="CG26" s="128">
        <v>1</v>
      </c>
      <c r="CH26" s="128">
        <v>1</v>
      </c>
      <c r="CI26" s="128">
        <v>1</v>
      </c>
      <c r="CJ26" s="128">
        <v>1</v>
      </c>
      <c r="CK26" s="128">
        <v>1</v>
      </c>
      <c r="CL26" s="128">
        <v>1</v>
      </c>
      <c r="CM26" s="128">
        <v>1</v>
      </c>
      <c r="CN26" s="128">
        <v>1</v>
      </c>
      <c r="CO26" s="128">
        <v>1</v>
      </c>
      <c r="CP26" s="128">
        <v>1</v>
      </c>
      <c r="CQ26" s="128">
        <v>1</v>
      </c>
      <c r="CR26" s="128">
        <v>1</v>
      </c>
      <c r="CS26" s="128">
        <v>1</v>
      </c>
      <c r="CT26" s="128">
        <v>1</v>
      </c>
      <c r="CU26" s="128">
        <v>1</v>
      </c>
      <c r="CV26" s="128">
        <v>1</v>
      </c>
      <c r="CW26" s="128">
        <v>1</v>
      </c>
      <c r="CX26" s="128">
        <v>1</v>
      </c>
      <c r="CZ26" s="126">
        <f>SUMIF(MatrixF0[[1]:[2]],MatrixF0[[#This Row],[Столбец1]])/MatrixF0[[#This Row],[Столбец1]]</f>
        <v>0</v>
      </c>
    </row>
    <row r="27" spans="1:104" ht="21" customHeight="1" x14ac:dyDescent="0.25">
      <c r="A27" s="127">
        <v>1.24</v>
      </c>
      <c r="B27" s="128">
        <v>1</v>
      </c>
      <c r="C27" s="128">
        <v>1</v>
      </c>
      <c r="D27" s="128">
        <v>1</v>
      </c>
      <c r="E27" s="128">
        <v>1</v>
      </c>
      <c r="F27" s="128">
        <v>1</v>
      </c>
      <c r="G27" s="128">
        <v>1</v>
      </c>
      <c r="H27" s="128">
        <v>1</v>
      </c>
      <c r="I27" s="128">
        <v>1</v>
      </c>
      <c r="J27" s="128">
        <v>1</v>
      </c>
      <c r="K27" s="128">
        <v>1</v>
      </c>
      <c r="L27" s="128">
        <v>1</v>
      </c>
      <c r="M27" s="128">
        <v>1</v>
      </c>
      <c r="N27" s="128">
        <v>1</v>
      </c>
      <c r="O27" s="128">
        <v>1</v>
      </c>
      <c r="P27" s="128">
        <v>1</v>
      </c>
      <c r="Q27" s="128">
        <v>1</v>
      </c>
      <c r="R27" s="128">
        <v>1</v>
      </c>
      <c r="S27" s="128">
        <v>1</v>
      </c>
      <c r="T27" s="128">
        <v>1</v>
      </c>
      <c r="U27" s="128">
        <v>1</v>
      </c>
      <c r="V27" s="128">
        <v>1</v>
      </c>
      <c r="W27" s="128">
        <v>1</v>
      </c>
      <c r="X27" s="128">
        <v>1</v>
      </c>
      <c r="Y27" s="128">
        <v>1</v>
      </c>
      <c r="Z27" s="128">
        <v>1</v>
      </c>
      <c r="AA27" s="128">
        <v>1</v>
      </c>
      <c r="AB27" s="128">
        <v>1</v>
      </c>
      <c r="AC27" s="128">
        <v>1</v>
      </c>
      <c r="AD27" s="128">
        <v>1</v>
      </c>
      <c r="AE27" s="128">
        <v>1</v>
      </c>
      <c r="AF27" s="128">
        <v>1</v>
      </c>
      <c r="AG27" s="128">
        <v>1</v>
      </c>
      <c r="AH27" s="128">
        <v>1</v>
      </c>
      <c r="AI27" s="128">
        <v>1</v>
      </c>
      <c r="AJ27" s="128">
        <v>1</v>
      </c>
      <c r="AK27" s="128">
        <v>1</v>
      </c>
      <c r="AL27" s="128">
        <v>1</v>
      </c>
      <c r="AM27" s="128">
        <v>1</v>
      </c>
      <c r="AN27" s="128">
        <v>1</v>
      </c>
      <c r="AO27" s="128">
        <v>1</v>
      </c>
      <c r="AP27" s="128">
        <v>1</v>
      </c>
      <c r="AQ27" s="128">
        <v>1</v>
      </c>
      <c r="AR27" s="128">
        <v>1</v>
      </c>
      <c r="AS27" s="128">
        <v>1</v>
      </c>
      <c r="AT27" s="128">
        <v>1</v>
      </c>
      <c r="AU27" s="128">
        <v>1</v>
      </c>
      <c r="AV27" s="128">
        <v>1</v>
      </c>
      <c r="AW27" s="128">
        <v>1</v>
      </c>
      <c r="AX27" s="128">
        <v>1</v>
      </c>
      <c r="AY27" s="128">
        <v>1</v>
      </c>
      <c r="AZ27" s="128">
        <v>1</v>
      </c>
      <c r="BA27" s="128">
        <v>1</v>
      </c>
      <c r="BB27" s="128">
        <v>1</v>
      </c>
      <c r="BC27" s="128">
        <v>1</v>
      </c>
      <c r="BD27" s="128">
        <v>1</v>
      </c>
      <c r="BE27" s="128">
        <v>1</v>
      </c>
      <c r="BF27" s="128">
        <v>1</v>
      </c>
      <c r="BG27" s="128">
        <v>1</v>
      </c>
      <c r="BH27" s="128">
        <v>1</v>
      </c>
      <c r="BI27" s="128">
        <v>1</v>
      </c>
      <c r="BJ27" s="128">
        <v>1</v>
      </c>
      <c r="BK27" s="128">
        <v>1</v>
      </c>
      <c r="BL27" s="128">
        <v>1</v>
      </c>
      <c r="BM27" s="128">
        <v>1</v>
      </c>
      <c r="BN27" s="128">
        <v>1</v>
      </c>
      <c r="BO27" s="128">
        <v>1</v>
      </c>
      <c r="BP27" s="128">
        <v>1</v>
      </c>
      <c r="BQ27" s="128">
        <v>1</v>
      </c>
      <c r="BR27" s="128">
        <v>1</v>
      </c>
      <c r="BS27" s="128">
        <v>1</v>
      </c>
      <c r="BT27" s="128">
        <v>1</v>
      </c>
      <c r="BU27" s="128">
        <v>1</v>
      </c>
      <c r="BV27" s="128">
        <v>1</v>
      </c>
      <c r="BW27" s="128">
        <v>1</v>
      </c>
      <c r="BX27" s="128">
        <v>1</v>
      </c>
      <c r="BY27" s="128">
        <v>1</v>
      </c>
      <c r="BZ27" s="128">
        <v>1</v>
      </c>
      <c r="CA27" s="128">
        <v>1</v>
      </c>
      <c r="CB27" s="128">
        <v>1</v>
      </c>
      <c r="CC27" s="128">
        <v>1</v>
      </c>
      <c r="CD27" s="128">
        <v>1</v>
      </c>
      <c r="CE27" s="128">
        <v>1</v>
      </c>
      <c r="CF27" s="128">
        <v>1</v>
      </c>
      <c r="CG27" s="128">
        <v>1</v>
      </c>
      <c r="CH27" s="128">
        <v>1</v>
      </c>
      <c r="CI27" s="128">
        <v>1</v>
      </c>
      <c r="CJ27" s="128">
        <v>1</v>
      </c>
      <c r="CK27" s="128">
        <v>1</v>
      </c>
      <c r="CL27" s="128">
        <v>1</v>
      </c>
      <c r="CM27" s="128">
        <v>1</v>
      </c>
      <c r="CN27" s="128">
        <v>1</v>
      </c>
      <c r="CO27" s="128">
        <v>1</v>
      </c>
      <c r="CP27" s="128">
        <v>1</v>
      </c>
      <c r="CQ27" s="128">
        <v>1</v>
      </c>
      <c r="CR27" s="128">
        <v>1</v>
      </c>
      <c r="CS27" s="128">
        <v>1</v>
      </c>
      <c r="CT27" s="128">
        <v>1</v>
      </c>
      <c r="CU27" s="128">
        <v>1</v>
      </c>
      <c r="CV27" s="128">
        <v>1</v>
      </c>
      <c r="CW27" s="128">
        <v>1</v>
      </c>
      <c r="CX27" s="128">
        <v>1</v>
      </c>
      <c r="CZ27" s="126">
        <f>SUMIF(MatrixF0[[1]:[2]],MatrixF0[[#This Row],[Столбец1]])/MatrixF0[[#This Row],[Столбец1]]</f>
        <v>0</v>
      </c>
    </row>
    <row r="28" spans="1:104" ht="21" customHeight="1" x14ac:dyDescent="0.25">
      <c r="A28" s="127">
        <v>1.25</v>
      </c>
      <c r="B28" s="128">
        <v>1</v>
      </c>
      <c r="C28" s="128">
        <v>1</v>
      </c>
      <c r="D28" s="128">
        <v>1</v>
      </c>
      <c r="E28" s="128">
        <v>1</v>
      </c>
      <c r="F28" s="128">
        <v>1</v>
      </c>
      <c r="G28" s="128">
        <v>1</v>
      </c>
      <c r="H28" s="128">
        <v>1</v>
      </c>
      <c r="I28" s="128">
        <v>1</v>
      </c>
      <c r="J28" s="128">
        <v>1</v>
      </c>
      <c r="K28" s="128">
        <v>1</v>
      </c>
      <c r="L28" s="128">
        <v>1</v>
      </c>
      <c r="M28" s="128">
        <v>1</v>
      </c>
      <c r="N28" s="128">
        <v>1</v>
      </c>
      <c r="O28" s="128">
        <v>1</v>
      </c>
      <c r="P28" s="128">
        <v>1</v>
      </c>
      <c r="Q28" s="128">
        <v>1</v>
      </c>
      <c r="R28" s="128">
        <v>1</v>
      </c>
      <c r="S28" s="128">
        <v>1</v>
      </c>
      <c r="T28" s="128">
        <v>1</v>
      </c>
      <c r="U28" s="128">
        <v>1</v>
      </c>
      <c r="V28" s="128">
        <v>1</v>
      </c>
      <c r="W28" s="128">
        <v>1</v>
      </c>
      <c r="X28" s="128">
        <v>1</v>
      </c>
      <c r="Y28" s="128">
        <v>1</v>
      </c>
      <c r="Z28" s="128">
        <v>1</v>
      </c>
      <c r="AA28" s="128">
        <v>1</v>
      </c>
      <c r="AB28" s="128">
        <v>1</v>
      </c>
      <c r="AC28" s="128">
        <v>1</v>
      </c>
      <c r="AD28" s="128">
        <v>1</v>
      </c>
      <c r="AE28" s="128">
        <v>1</v>
      </c>
      <c r="AF28" s="128">
        <v>1</v>
      </c>
      <c r="AG28" s="128">
        <v>1</v>
      </c>
      <c r="AH28" s="128">
        <v>1</v>
      </c>
      <c r="AI28" s="128">
        <v>1</v>
      </c>
      <c r="AJ28" s="128">
        <v>1</v>
      </c>
      <c r="AK28" s="128">
        <v>1</v>
      </c>
      <c r="AL28" s="128">
        <v>1</v>
      </c>
      <c r="AM28" s="128">
        <v>1</v>
      </c>
      <c r="AN28" s="128">
        <v>1</v>
      </c>
      <c r="AO28" s="128">
        <v>1</v>
      </c>
      <c r="AP28" s="128">
        <v>1</v>
      </c>
      <c r="AQ28" s="128">
        <v>1</v>
      </c>
      <c r="AR28" s="128">
        <v>1</v>
      </c>
      <c r="AS28" s="128">
        <v>1</v>
      </c>
      <c r="AT28" s="128">
        <v>1</v>
      </c>
      <c r="AU28" s="128">
        <v>1</v>
      </c>
      <c r="AV28" s="128">
        <v>1</v>
      </c>
      <c r="AW28" s="128">
        <v>1</v>
      </c>
      <c r="AX28" s="128">
        <v>1</v>
      </c>
      <c r="AY28" s="128">
        <v>1</v>
      </c>
      <c r="AZ28" s="128">
        <v>1</v>
      </c>
      <c r="BA28" s="128">
        <v>1</v>
      </c>
      <c r="BB28" s="128">
        <v>1</v>
      </c>
      <c r="BC28" s="128">
        <v>1</v>
      </c>
      <c r="BD28" s="128">
        <v>1</v>
      </c>
      <c r="BE28" s="128">
        <v>1</v>
      </c>
      <c r="BF28" s="128">
        <v>1</v>
      </c>
      <c r="BG28" s="128">
        <v>1</v>
      </c>
      <c r="BH28" s="128">
        <v>1</v>
      </c>
      <c r="BI28" s="128">
        <v>1</v>
      </c>
      <c r="BJ28" s="128">
        <v>1</v>
      </c>
      <c r="BK28" s="128">
        <v>1</v>
      </c>
      <c r="BL28" s="128">
        <v>1</v>
      </c>
      <c r="BM28" s="128">
        <v>1</v>
      </c>
      <c r="BN28" s="128">
        <v>1</v>
      </c>
      <c r="BO28" s="128">
        <v>1</v>
      </c>
      <c r="BP28" s="128">
        <v>1</v>
      </c>
      <c r="BQ28" s="128">
        <v>1</v>
      </c>
      <c r="BR28" s="128">
        <v>1</v>
      </c>
      <c r="BS28" s="128">
        <v>1</v>
      </c>
      <c r="BT28" s="128">
        <v>1</v>
      </c>
      <c r="BU28" s="128">
        <v>1</v>
      </c>
      <c r="BV28" s="128">
        <v>1</v>
      </c>
      <c r="BW28" s="128">
        <v>1</v>
      </c>
      <c r="BX28" s="128">
        <v>1</v>
      </c>
      <c r="BY28" s="128">
        <v>1</v>
      </c>
      <c r="BZ28" s="128">
        <v>1</v>
      </c>
      <c r="CA28" s="128">
        <v>1</v>
      </c>
      <c r="CB28" s="128">
        <v>1</v>
      </c>
      <c r="CC28" s="128">
        <v>1</v>
      </c>
      <c r="CD28" s="128">
        <v>1</v>
      </c>
      <c r="CE28" s="128">
        <v>1</v>
      </c>
      <c r="CF28" s="128">
        <v>1</v>
      </c>
      <c r="CG28" s="128">
        <v>1</v>
      </c>
      <c r="CH28" s="128">
        <v>1</v>
      </c>
      <c r="CI28" s="128">
        <v>1</v>
      </c>
      <c r="CJ28" s="128">
        <v>1</v>
      </c>
      <c r="CK28" s="128">
        <v>1</v>
      </c>
      <c r="CL28" s="128">
        <v>1</v>
      </c>
      <c r="CM28" s="128">
        <v>1</v>
      </c>
      <c r="CN28" s="128">
        <v>1</v>
      </c>
      <c r="CO28" s="128">
        <v>1</v>
      </c>
      <c r="CP28" s="128">
        <v>1</v>
      </c>
      <c r="CQ28" s="128">
        <v>1</v>
      </c>
      <c r="CR28" s="128">
        <v>1</v>
      </c>
      <c r="CS28" s="128">
        <v>1</v>
      </c>
      <c r="CT28" s="128">
        <v>1</v>
      </c>
      <c r="CU28" s="128">
        <v>1</v>
      </c>
      <c r="CV28" s="128">
        <v>1</v>
      </c>
      <c r="CW28" s="128">
        <v>1</v>
      </c>
      <c r="CX28" s="128">
        <v>1</v>
      </c>
      <c r="CZ28" s="126">
        <f>SUMIF(MatrixF0[[1]:[2]],MatrixF0[[#This Row],[Столбец1]])/MatrixF0[[#This Row],[Столбец1]]</f>
        <v>0</v>
      </c>
    </row>
    <row r="29" spans="1:104" ht="21" customHeight="1" x14ac:dyDescent="0.25">
      <c r="A29" s="127">
        <v>1.26</v>
      </c>
      <c r="B29" s="128">
        <v>1</v>
      </c>
      <c r="C29" s="128">
        <v>1</v>
      </c>
      <c r="D29" s="128">
        <v>1</v>
      </c>
      <c r="E29" s="128">
        <v>1</v>
      </c>
      <c r="F29" s="128">
        <v>1</v>
      </c>
      <c r="G29" s="128">
        <v>1</v>
      </c>
      <c r="H29" s="128">
        <v>1</v>
      </c>
      <c r="I29" s="128">
        <v>1</v>
      </c>
      <c r="J29" s="128">
        <v>1</v>
      </c>
      <c r="K29" s="128">
        <v>1</v>
      </c>
      <c r="L29" s="128">
        <v>1</v>
      </c>
      <c r="M29" s="128">
        <v>1</v>
      </c>
      <c r="N29" s="128">
        <v>1</v>
      </c>
      <c r="O29" s="128">
        <v>1</v>
      </c>
      <c r="P29" s="128">
        <v>1</v>
      </c>
      <c r="Q29" s="128">
        <v>1</v>
      </c>
      <c r="R29" s="128">
        <v>1</v>
      </c>
      <c r="S29" s="128">
        <v>1</v>
      </c>
      <c r="T29" s="128">
        <v>1</v>
      </c>
      <c r="U29" s="128">
        <v>1</v>
      </c>
      <c r="V29" s="128">
        <v>1</v>
      </c>
      <c r="W29" s="128">
        <v>1</v>
      </c>
      <c r="X29" s="128">
        <v>1</v>
      </c>
      <c r="Y29" s="128">
        <v>1</v>
      </c>
      <c r="Z29" s="128">
        <v>1</v>
      </c>
      <c r="AA29" s="128">
        <v>1</v>
      </c>
      <c r="AB29" s="128">
        <v>1</v>
      </c>
      <c r="AC29" s="128">
        <v>1</v>
      </c>
      <c r="AD29" s="128">
        <v>1</v>
      </c>
      <c r="AE29" s="128">
        <v>1</v>
      </c>
      <c r="AF29" s="128">
        <v>1</v>
      </c>
      <c r="AG29" s="128">
        <v>1</v>
      </c>
      <c r="AH29" s="128">
        <v>1</v>
      </c>
      <c r="AI29" s="128">
        <v>1</v>
      </c>
      <c r="AJ29" s="128">
        <v>1</v>
      </c>
      <c r="AK29" s="128">
        <v>1</v>
      </c>
      <c r="AL29" s="128">
        <v>1</v>
      </c>
      <c r="AM29" s="128">
        <v>1</v>
      </c>
      <c r="AN29" s="128">
        <v>1</v>
      </c>
      <c r="AO29" s="128">
        <v>1</v>
      </c>
      <c r="AP29" s="128">
        <v>1</v>
      </c>
      <c r="AQ29" s="128">
        <v>1</v>
      </c>
      <c r="AR29" s="128">
        <v>1</v>
      </c>
      <c r="AS29" s="128">
        <v>1</v>
      </c>
      <c r="AT29" s="128">
        <v>1</v>
      </c>
      <c r="AU29" s="128">
        <v>1</v>
      </c>
      <c r="AV29" s="128">
        <v>1</v>
      </c>
      <c r="AW29" s="128">
        <v>1</v>
      </c>
      <c r="AX29" s="128">
        <v>1</v>
      </c>
      <c r="AY29" s="128">
        <v>1</v>
      </c>
      <c r="AZ29" s="128">
        <v>1</v>
      </c>
      <c r="BA29" s="128">
        <v>1</v>
      </c>
      <c r="BB29" s="128">
        <v>1</v>
      </c>
      <c r="BC29" s="128">
        <v>1</v>
      </c>
      <c r="BD29" s="128">
        <v>1</v>
      </c>
      <c r="BE29" s="128">
        <v>1</v>
      </c>
      <c r="BF29" s="128">
        <v>1</v>
      </c>
      <c r="BG29" s="128">
        <v>1</v>
      </c>
      <c r="BH29" s="128">
        <v>1</v>
      </c>
      <c r="BI29" s="128">
        <v>1</v>
      </c>
      <c r="BJ29" s="128">
        <v>1</v>
      </c>
      <c r="BK29" s="128">
        <v>1</v>
      </c>
      <c r="BL29" s="128">
        <v>1</v>
      </c>
      <c r="BM29" s="128">
        <v>1</v>
      </c>
      <c r="BN29" s="128">
        <v>1</v>
      </c>
      <c r="BO29" s="128">
        <v>1</v>
      </c>
      <c r="BP29" s="128">
        <v>1</v>
      </c>
      <c r="BQ29" s="128">
        <v>1</v>
      </c>
      <c r="BR29" s="128">
        <v>1</v>
      </c>
      <c r="BS29" s="128">
        <v>1</v>
      </c>
      <c r="BT29" s="128">
        <v>1</v>
      </c>
      <c r="BU29" s="128">
        <v>1</v>
      </c>
      <c r="BV29" s="128">
        <v>1</v>
      </c>
      <c r="BW29" s="128">
        <v>1</v>
      </c>
      <c r="BX29" s="128">
        <v>1</v>
      </c>
      <c r="BY29" s="128">
        <v>1</v>
      </c>
      <c r="BZ29" s="128">
        <v>1</v>
      </c>
      <c r="CA29" s="128">
        <v>1</v>
      </c>
      <c r="CB29" s="128">
        <v>1</v>
      </c>
      <c r="CC29" s="128">
        <v>1</v>
      </c>
      <c r="CD29" s="128">
        <v>1</v>
      </c>
      <c r="CE29" s="128">
        <v>1</v>
      </c>
      <c r="CF29" s="128">
        <v>1</v>
      </c>
      <c r="CG29" s="128">
        <v>1</v>
      </c>
      <c r="CH29" s="128">
        <v>1</v>
      </c>
      <c r="CI29" s="128">
        <v>1</v>
      </c>
      <c r="CJ29" s="128">
        <v>1</v>
      </c>
      <c r="CK29" s="128">
        <v>1</v>
      </c>
      <c r="CL29" s="128">
        <v>1</v>
      </c>
      <c r="CM29" s="128">
        <v>1</v>
      </c>
      <c r="CN29" s="128">
        <v>1</v>
      </c>
      <c r="CO29" s="128">
        <v>1</v>
      </c>
      <c r="CP29" s="128">
        <v>1</v>
      </c>
      <c r="CQ29" s="128">
        <v>1</v>
      </c>
      <c r="CR29" s="128">
        <v>1</v>
      </c>
      <c r="CS29" s="128">
        <v>1</v>
      </c>
      <c r="CT29" s="128">
        <v>1</v>
      </c>
      <c r="CU29" s="128">
        <v>1</v>
      </c>
      <c r="CV29" s="128">
        <v>1</v>
      </c>
      <c r="CW29" s="128">
        <v>1</v>
      </c>
      <c r="CX29" s="128">
        <v>1</v>
      </c>
      <c r="CZ29" s="126">
        <f>SUMIF(MatrixF0[[1]:[2]],MatrixF0[[#This Row],[Столбец1]])/MatrixF0[[#This Row],[Столбец1]]</f>
        <v>0</v>
      </c>
    </row>
    <row r="30" spans="1:104" ht="21" customHeight="1" x14ac:dyDescent="0.25">
      <c r="A30" s="127">
        <v>1.27</v>
      </c>
      <c r="B30" s="128">
        <v>1</v>
      </c>
      <c r="C30" s="128">
        <v>1</v>
      </c>
      <c r="D30" s="128">
        <v>1</v>
      </c>
      <c r="E30" s="128">
        <v>1</v>
      </c>
      <c r="F30" s="128">
        <v>1</v>
      </c>
      <c r="G30" s="128">
        <v>1</v>
      </c>
      <c r="H30" s="128">
        <v>1</v>
      </c>
      <c r="I30" s="128">
        <v>1</v>
      </c>
      <c r="J30" s="128">
        <v>1</v>
      </c>
      <c r="K30" s="128">
        <v>1</v>
      </c>
      <c r="L30" s="128">
        <v>1</v>
      </c>
      <c r="M30" s="128">
        <v>1</v>
      </c>
      <c r="N30" s="128">
        <v>1</v>
      </c>
      <c r="O30" s="128">
        <v>1</v>
      </c>
      <c r="P30" s="128">
        <v>1</v>
      </c>
      <c r="Q30" s="128">
        <v>1</v>
      </c>
      <c r="R30" s="128">
        <v>1</v>
      </c>
      <c r="S30" s="128">
        <v>1</v>
      </c>
      <c r="T30" s="128">
        <v>1</v>
      </c>
      <c r="U30" s="128">
        <v>1</v>
      </c>
      <c r="V30" s="128">
        <v>1</v>
      </c>
      <c r="W30" s="128">
        <v>1</v>
      </c>
      <c r="X30" s="128">
        <v>1</v>
      </c>
      <c r="Y30" s="128">
        <v>1</v>
      </c>
      <c r="Z30" s="128">
        <v>1</v>
      </c>
      <c r="AA30" s="128">
        <v>1</v>
      </c>
      <c r="AB30" s="128">
        <v>1</v>
      </c>
      <c r="AC30" s="128">
        <v>1</v>
      </c>
      <c r="AD30" s="128">
        <v>1</v>
      </c>
      <c r="AE30" s="128">
        <v>1</v>
      </c>
      <c r="AF30" s="128">
        <v>1</v>
      </c>
      <c r="AG30" s="128">
        <v>1</v>
      </c>
      <c r="AH30" s="128">
        <v>1</v>
      </c>
      <c r="AI30" s="128">
        <v>1</v>
      </c>
      <c r="AJ30" s="128">
        <v>1</v>
      </c>
      <c r="AK30" s="128">
        <v>1</v>
      </c>
      <c r="AL30" s="128">
        <v>1</v>
      </c>
      <c r="AM30" s="128">
        <v>1</v>
      </c>
      <c r="AN30" s="128">
        <v>1</v>
      </c>
      <c r="AO30" s="128">
        <v>1</v>
      </c>
      <c r="AP30" s="128">
        <v>1</v>
      </c>
      <c r="AQ30" s="128">
        <v>1</v>
      </c>
      <c r="AR30" s="128">
        <v>1</v>
      </c>
      <c r="AS30" s="128">
        <v>1</v>
      </c>
      <c r="AT30" s="128">
        <v>1</v>
      </c>
      <c r="AU30" s="128">
        <v>1</v>
      </c>
      <c r="AV30" s="128">
        <v>1</v>
      </c>
      <c r="AW30" s="128">
        <v>1</v>
      </c>
      <c r="AX30" s="128">
        <v>1</v>
      </c>
      <c r="AY30" s="128">
        <v>1</v>
      </c>
      <c r="AZ30" s="128">
        <v>1</v>
      </c>
      <c r="BA30" s="128">
        <v>1</v>
      </c>
      <c r="BB30" s="128">
        <v>1</v>
      </c>
      <c r="BC30" s="128">
        <v>1</v>
      </c>
      <c r="BD30" s="128">
        <v>1</v>
      </c>
      <c r="BE30" s="128">
        <v>1</v>
      </c>
      <c r="BF30" s="128">
        <v>1</v>
      </c>
      <c r="BG30" s="128">
        <v>1</v>
      </c>
      <c r="BH30" s="128">
        <v>1</v>
      </c>
      <c r="BI30" s="128">
        <v>1</v>
      </c>
      <c r="BJ30" s="128">
        <v>1</v>
      </c>
      <c r="BK30" s="128">
        <v>1</v>
      </c>
      <c r="BL30" s="128">
        <v>1</v>
      </c>
      <c r="BM30" s="128">
        <v>1</v>
      </c>
      <c r="BN30" s="128">
        <v>1</v>
      </c>
      <c r="BO30" s="128">
        <v>1</v>
      </c>
      <c r="BP30" s="128">
        <v>1</v>
      </c>
      <c r="BQ30" s="128">
        <v>1</v>
      </c>
      <c r="BR30" s="128">
        <v>1</v>
      </c>
      <c r="BS30" s="128">
        <v>1</v>
      </c>
      <c r="BT30" s="128">
        <v>1</v>
      </c>
      <c r="BU30" s="128">
        <v>1</v>
      </c>
      <c r="BV30" s="128">
        <v>1</v>
      </c>
      <c r="BW30" s="128">
        <v>1</v>
      </c>
      <c r="BX30" s="128">
        <v>1</v>
      </c>
      <c r="BY30" s="128">
        <v>1</v>
      </c>
      <c r="BZ30" s="128">
        <v>1</v>
      </c>
      <c r="CA30" s="128">
        <v>1</v>
      </c>
      <c r="CB30" s="128">
        <v>1</v>
      </c>
      <c r="CC30" s="128">
        <v>1</v>
      </c>
      <c r="CD30" s="128">
        <v>1</v>
      </c>
      <c r="CE30" s="128">
        <v>1</v>
      </c>
      <c r="CF30" s="128">
        <v>1</v>
      </c>
      <c r="CG30" s="128">
        <v>1</v>
      </c>
      <c r="CH30" s="128">
        <v>1</v>
      </c>
      <c r="CI30" s="128">
        <v>1</v>
      </c>
      <c r="CJ30" s="128">
        <v>1</v>
      </c>
      <c r="CK30" s="128">
        <v>1</v>
      </c>
      <c r="CL30" s="128">
        <v>1</v>
      </c>
      <c r="CM30" s="128">
        <v>1</v>
      </c>
      <c r="CN30" s="128">
        <v>1</v>
      </c>
      <c r="CO30" s="128">
        <v>1</v>
      </c>
      <c r="CP30" s="128">
        <v>1</v>
      </c>
      <c r="CQ30" s="128">
        <v>1</v>
      </c>
      <c r="CR30" s="128">
        <v>1</v>
      </c>
      <c r="CS30" s="128">
        <v>1</v>
      </c>
      <c r="CT30" s="128">
        <v>1</v>
      </c>
      <c r="CU30" s="128">
        <v>1</v>
      </c>
      <c r="CV30" s="128">
        <v>1</v>
      </c>
      <c r="CW30" s="128">
        <v>1</v>
      </c>
      <c r="CX30" s="128">
        <v>1</v>
      </c>
      <c r="CZ30" s="126">
        <f>SUMIF(MatrixF0[[1]:[2]],MatrixF0[[#This Row],[Столбец1]])/MatrixF0[[#This Row],[Столбец1]]</f>
        <v>0</v>
      </c>
    </row>
    <row r="31" spans="1:104" ht="21" customHeight="1" x14ac:dyDescent="0.25">
      <c r="A31" s="127">
        <v>1.28</v>
      </c>
      <c r="B31" s="128">
        <v>1</v>
      </c>
      <c r="C31" s="128">
        <v>1</v>
      </c>
      <c r="D31" s="128">
        <v>1</v>
      </c>
      <c r="E31" s="128">
        <v>1</v>
      </c>
      <c r="F31" s="128">
        <v>1</v>
      </c>
      <c r="G31" s="128">
        <v>1</v>
      </c>
      <c r="H31" s="128">
        <v>1</v>
      </c>
      <c r="I31" s="128">
        <v>1</v>
      </c>
      <c r="J31" s="128">
        <v>1</v>
      </c>
      <c r="K31" s="128">
        <v>1</v>
      </c>
      <c r="L31" s="128">
        <v>1</v>
      </c>
      <c r="M31" s="128">
        <v>1</v>
      </c>
      <c r="N31" s="128">
        <v>1</v>
      </c>
      <c r="O31" s="128">
        <v>1</v>
      </c>
      <c r="P31" s="128">
        <v>1</v>
      </c>
      <c r="Q31" s="128">
        <v>1</v>
      </c>
      <c r="R31" s="128">
        <v>1</v>
      </c>
      <c r="S31" s="128">
        <v>1</v>
      </c>
      <c r="T31" s="128">
        <v>1</v>
      </c>
      <c r="U31" s="128">
        <v>1</v>
      </c>
      <c r="V31" s="128">
        <v>1</v>
      </c>
      <c r="W31" s="128">
        <v>1</v>
      </c>
      <c r="X31" s="128">
        <v>1</v>
      </c>
      <c r="Y31" s="128">
        <v>1</v>
      </c>
      <c r="Z31" s="128">
        <v>1</v>
      </c>
      <c r="AA31" s="128">
        <v>1</v>
      </c>
      <c r="AB31" s="128">
        <v>1</v>
      </c>
      <c r="AC31" s="128">
        <v>1</v>
      </c>
      <c r="AD31" s="128">
        <v>1</v>
      </c>
      <c r="AE31" s="128">
        <v>1</v>
      </c>
      <c r="AF31" s="128">
        <v>1</v>
      </c>
      <c r="AG31" s="128">
        <v>1</v>
      </c>
      <c r="AH31" s="128">
        <v>1</v>
      </c>
      <c r="AI31" s="128">
        <v>1</v>
      </c>
      <c r="AJ31" s="128">
        <v>1</v>
      </c>
      <c r="AK31" s="128">
        <v>1</v>
      </c>
      <c r="AL31" s="128">
        <v>1</v>
      </c>
      <c r="AM31" s="128">
        <v>1</v>
      </c>
      <c r="AN31" s="128">
        <v>1</v>
      </c>
      <c r="AO31" s="128">
        <v>1</v>
      </c>
      <c r="AP31" s="128">
        <v>1</v>
      </c>
      <c r="AQ31" s="128">
        <v>1</v>
      </c>
      <c r="AR31" s="128">
        <v>1</v>
      </c>
      <c r="AS31" s="128">
        <v>1</v>
      </c>
      <c r="AT31" s="128">
        <v>1</v>
      </c>
      <c r="AU31" s="128">
        <v>1</v>
      </c>
      <c r="AV31" s="128">
        <v>1</v>
      </c>
      <c r="AW31" s="128">
        <v>1</v>
      </c>
      <c r="AX31" s="128">
        <v>1</v>
      </c>
      <c r="AY31" s="128">
        <v>1</v>
      </c>
      <c r="AZ31" s="128">
        <v>1</v>
      </c>
      <c r="BA31" s="128">
        <v>1</v>
      </c>
      <c r="BB31" s="128">
        <v>1</v>
      </c>
      <c r="BC31" s="128">
        <v>1</v>
      </c>
      <c r="BD31" s="128">
        <v>1</v>
      </c>
      <c r="BE31" s="128">
        <v>1</v>
      </c>
      <c r="BF31" s="128">
        <v>1</v>
      </c>
      <c r="BG31" s="128">
        <v>1</v>
      </c>
      <c r="BH31" s="128">
        <v>1</v>
      </c>
      <c r="BI31" s="128">
        <v>1</v>
      </c>
      <c r="BJ31" s="128">
        <v>1</v>
      </c>
      <c r="BK31" s="128">
        <v>1</v>
      </c>
      <c r="BL31" s="128">
        <v>1</v>
      </c>
      <c r="BM31" s="128">
        <v>1</v>
      </c>
      <c r="BN31" s="128">
        <v>1</v>
      </c>
      <c r="BO31" s="128">
        <v>1</v>
      </c>
      <c r="BP31" s="128">
        <v>1</v>
      </c>
      <c r="BQ31" s="128">
        <v>1</v>
      </c>
      <c r="BR31" s="128">
        <v>1</v>
      </c>
      <c r="BS31" s="128">
        <v>1</v>
      </c>
      <c r="BT31" s="128">
        <v>1</v>
      </c>
      <c r="BU31" s="128">
        <v>1</v>
      </c>
      <c r="BV31" s="128">
        <v>1</v>
      </c>
      <c r="BW31" s="128">
        <v>1</v>
      </c>
      <c r="BX31" s="128">
        <v>1</v>
      </c>
      <c r="BY31" s="128">
        <v>1</v>
      </c>
      <c r="BZ31" s="128">
        <v>1</v>
      </c>
      <c r="CA31" s="128">
        <v>1</v>
      </c>
      <c r="CB31" s="128">
        <v>1</v>
      </c>
      <c r="CC31" s="128">
        <v>1</v>
      </c>
      <c r="CD31" s="128">
        <v>1</v>
      </c>
      <c r="CE31" s="128">
        <v>1</v>
      </c>
      <c r="CF31" s="128">
        <v>1</v>
      </c>
      <c r="CG31" s="128">
        <v>1</v>
      </c>
      <c r="CH31" s="128">
        <v>1</v>
      </c>
      <c r="CI31" s="128">
        <v>1</v>
      </c>
      <c r="CJ31" s="128">
        <v>1</v>
      </c>
      <c r="CK31" s="128">
        <v>1</v>
      </c>
      <c r="CL31" s="128">
        <v>1</v>
      </c>
      <c r="CM31" s="128">
        <v>1</v>
      </c>
      <c r="CN31" s="128">
        <v>1</v>
      </c>
      <c r="CO31" s="128">
        <v>1</v>
      </c>
      <c r="CP31" s="128">
        <v>1</v>
      </c>
      <c r="CQ31" s="128">
        <v>1</v>
      </c>
      <c r="CR31" s="128">
        <v>1</v>
      </c>
      <c r="CS31" s="128">
        <v>1</v>
      </c>
      <c r="CT31" s="128">
        <v>1</v>
      </c>
      <c r="CU31" s="128">
        <v>1</v>
      </c>
      <c r="CV31" s="128">
        <v>1</v>
      </c>
      <c r="CW31" s="128">
        <v>1</v>
      </c>
      <c r="CX31" s="128">
        <v>1</v>
      </c>
      <c r="CZ31" s="126">
        <f>SUMIF(MatrixF0[[1]:[2]],MatrixF0[[#This Row],[Столбец1]])/MatrixF0[[#This Row],[Столбец1]]</f>
        <v>0</v>
      </c>
    </row>
    <row r="32" spans="1:104" ht="21" customHeight="1" x14ac:dyDescent="0.25">
      <c r="A32" s="127">
        <v>1.29</v>
      </c>
      <c r="B32" s="128">
        <v>1</v>
      </c>
      <c r="C32" s="128">
        <v>1</v>
      </c>
      <c r="D32" s="128">
        <v>1</v>
      </c>
      <c r="E32" s="128">
        <v>1</v>
      </c>
      <c r="F32" s="128">
        <v>1</v>
      </c>
      <c r="G32" s="128">
        <v>1</v>
      </c>
      <c r="H32" s="128">
        <v>1</v>
      </c>
      <c r="I32" s="128">
        <v>1</v>
      </c>
      <c r="J32" s="128">
        <v>1</v>
      </c>
      <c r="K32" s="128">
        <v>1</v>
      </c>
      <c r="L32" s="128">
        <v>1</v>
      </c>
      <c r="M32" s="128">
        <v>1</v>
      </c>
      <c r="N32" s="128">
        <v>1</v>
      </c>
      <c r="O32" s="128">
        <v>1</v>
      </c>
      <c r="P32" s="128">
        <v>1</v>
      </c>
      <c r="Q32" s="128">
        <v>1</v>
      </c>
      <c r="R32" s="128">
        <v>1</v>
      </c>
      <c r="S32" s="128">
        <v>1</v>
      </c>
      <c r="T32" s="128">
        <v>1</v>
      </c>
      <c r="U32" s="128">
        <v>1</v>
      </c>
      <c r="V32" s="128">
        <v>1</v>
      </c>
      <c r="W32" s="128">
        <v>1</v>
      </c>
      <c r="X32" s="128">
        <v>1</v>
      </c>
      <c r="Y32" s="128">
        <v>1</v>
      </c>
      <c r="Z32" s="128">
        <v>1</v>
      </c>
      <c r="AA32" s="128">
        <v>1</v>
      </c>
      <c r="AB32" s="128">
        <v>1</v>
      </c>
      <c r="AC32" s="128">
        <v>1</v>
      </c>
      <c r="AD32" s="128">
        <v>1</v>
      </c>
      <c r="AE32" s="128">
        <v>1</v>
      </c>
      <c r="AF32" s="128">
        <v>1</v>
      </c>
      <c r="AG32" s="128">
        <v>1</v>
      </c>
      <c r="AH32" s="128">
        <v>1</v>
      </c>
      <c r="AI32" s="128">
        <v>1</v>
      </c>
      <c r="AJ32" s="128">
        <v>1</v>
      </c>
      <c r="AK32" s="128">
        <v>1</v>
      </c>
      <c r="AL32" s="128">
        <v>1</v>
      </c>
      <c r="AM32" s="128">
        <v>1</v>
      </c>
      <c r="AN32" s="128">
        <v>1</v>
      </c>
      <c r="AO32" s="128">
        <v>1</v>
      </c>
      <c r="AP32" s="128">
        <v>1</v>
      </c>
      <c r="AQ32" s="128">
        <v>1</v>
      </c>
      <c r="AR32" s="128">
        <v>1</v>
      </c>
      <c r="AS32" s="128">
        <v>1</v>
      </c>
      <c r="AT32" s="128">
        <v>1</v>
      </c>
      <c r="AU32" s="128">
        <v>1</v>
      </c>
      <c r="AV32" s="128">
        <v>1</v>
      </c>
      <c r="AW32" s="128">
        <v>1</v>
      </c>
      <c r="AX32" s="128">
        <v>1</v>
      </c>
      <c r="AY32" s="128">
        <v>1</v>
      </c>
      <c r="AZ32" s="128">
        <v>1</v>
      </c>
      <c r="BA32" s="128">
        <v>1</v>
      </c>
      <c r="BB32" s="128">
        <v>1</v>
      </c>
      <c r="BC32" s="128">
        <v>1</v>
      </c>
      <c r="BD32" s="128">
        <v>1</v>
      </c>
      <c r="BE32" s="128">
        <v>1</v>
      </c>
      <c r="BF32" s="128">
        <v>1</v>
      </c>
      <c r="BG32" s="128">
        <v>1</v>
      </c>
      <c r="BH32" s="128">
        <v>1</v>
      </c>
      <c r="BI32" s="128">
        <v>1</v>
      </c>
      <c r="BJ32" s="128">
        <v>1</v>
      </c>
      <c r="BK32" s="128">
        <v>1</v>
      </c>
      <c r="BL32" s="128">
        <v>1</v>
      </c>
      <c r="BM32" s="128">
        <v>1</v>
      </c>
      <c r="BN32" s="128">
        <v>1</v>
      </c>
      <c r="BO32" s="128">
        <v>1</v>
      </c>
      <c r="BP32" s="128">
        <v>1</v>
      </c>
      <c r="BQ32" s="128">
        <v>1</v>
      </c>
      <c r="BR32" s="128">
        <v>1</v>
      </c>
      <c r="BS32" s="128">
        <v>1</v>
      </c>
      <c r="BT32" s="128">
        <v>1</v>
      </c>
      <c r="BU32" s="128">
        <v>1</v>
      </c>
      <c r="BV32" s="128">
        <v>1</v>
      </c>
      <c r="BW32" s="128">
        <v>1</v>
      </c>
      <c r="BX32" s="128">
        <v>1</v>
      </c>
      <c r="BY32" s="128">
        <v>1</v>
      </c>
      <c r="BZ32" s="128">
        <v>1</v>
      </c>
      <c r="CA32" s="128">
        <v>1</v>
      </c>
      <c r="CB32" s="128">
        <v>1</v>
      </c>
      <c r="CC32" s="128">
        <v>1</v>
      </c>
      <c r="CD32" s="128">
        <v>1</v>
      </c>
      <c r="CE32" s="128">
        <v>1</v>
      </c>
      <c r="CF32" s="128">
        <v>1</v>
      </c>
      <c r="CG32" s="128">
        <v>1</v>
      </c>
      <c r="CH32" s="128">
        <v>1</v>
      </c>
      <c r="CI32" s="128">
        <v>1</v>
      </c>
      <c r="CJ32" s="128">
        <v>1</v>
      </c>
      <c r="CK32" s="128">
        <v>1</v>
      </c>
      <c r="CL32" s="128">
        <v>1</v>
      </c>
      <c r="CM32" s="128">
        <v>1</v>
      </c>
      <c r="CN32" s="128">
        <v>1</v>
      </c>
      <c r="CO32" s="128">
        <v>1</v>
      </c>
      <c r="CP32" s="128">
        <v>1</v>
      </c>
      <c r="CQ32" s="128">
        <v>1</v>
      </c>
      <c r="CR32" s="128">
        <v>1</v>
      </c>
      <c r="CS32" s="128">
        <v>1</v>
      </c>
      <c r="CT32" s="128">
        <v>1</v>
      </c>
      <c r="CU32" s="128">
        <v>1</v>
      </c>
      <c r="CV32" s="128">
        <v>1</v>
      </c>
      <c r="CW32" s="128">
        <v>1</v>
      </c>
      <c r="CX32" s="128">
        <v>1</v>
      </c>
      <c r="CZ32" s="126">
        <f>SUMIF(MatrixF0[[1]:[2]],MatrixF0[[#This Row],[Столбец1]])/MatrixF0[[#This Row],[Столбец1]]</f>
        <v>0</v>
      </c>
    </row>
    <row r="33" spans="1:104" ht="21" customHeight="1" x14ac:dyDescent="0.25">
      <c r="A33" s="127">
        <v>1.3</v>
      </c>
      <c r="B33" s="128">
        <v>1</v>
      </c>
      <c r="C33" s="128">
        <v>1</v>
      </c>
      <c r="D33" s="128">
        <v>1</v>
      </c>
      <c r="E33" s="128">
        <v>1</v>
      </c>
      <c r="F33" s="128">
        <v>1</v>
      </c>
      <c r="G33" s="128">
        <v>1</v>
      </c>
      <c r="H33" s="128">
        <v>1</v>
      </c>
      <c r="I33" s="128">
        <v>1</v>
      </c>
      <c r="J33" s="128">
        <v>1</v>
      </c>
      <c r="K33" s="128">
        <v>1</v>
      </c>
      <c r="L33" s="128">
        <v>1</v>
      </c>
      <c r="M33" s="128">
        <v>1</v>
      </c>
      <c r="N33" s="128">
        <v>1</v>
      </c>
      <c r="O33" s="128">
        <v>1</v>
      </c>
      <c r="P33" s="128">
        <v>1</v>
      </c>
      <c r="Q33" s="128">
        <v>1</v>
      </c>
      <c r="R33" s="128">
        <v>1</v>
      </c>
      <c r="S33" s="128">
        <v>1</v>
      </c>
      <c r="T33" s="128">
        <v>1</v>
      </c>
      <c r="U33" s="128">
        <v>1</v>
      </c>
      <c r="V33" s="128">
        <v>1</v>
      </c>
      <c r="W33" s="128">
        <v>1</v>
      </c>
      <c r="X33" s="128">
        <v>1</v>
      </c>
      <c r="Y33" s="128">
        <v>1</v>
      </c>
      <c r="Z33" s="128">
        <v>1</v>
      </c>
      <c r="AA33" s="128">
        <v>1</v>
      </c>
      <c r="AB33" s="128">
        <v>1</v>
      </c>
      <c r="AC33" s="128">
        <v>1</v>
      </c>
      <c r="AD33" s="128">
        <v>1</v>
      </c>
      <c r="AE33" s="128">
        <v>1</v>
      </c>
      <c r="AF33" s="128">
        <v>1</v>
      </c>
      <c r="AG33" s="128">
        <v>1</v>
      </c>
      <c r="AH33" s="128">
        <v>1</v>
      </c>
      <c r="AI33" s="128">
        <v>1</v>
      </c>
      <c r="AJ33" s="128">
        <v>1</v>
      </c>
      <c r="AK33" s="128">
        <v>1</v>
      </c>
      <c r="AL33" s="128">
        <v>1</v>
      </c>
      <c r="AM33" s="128">
        <v>1</v>
      </c>
      <c r="AN33" s="128">
        <v>1</v>
      </c>
      <c r="AO33" s="128">
        <v>1</v>
      </c>
      <c r="AP33" s="128">
        <v>1</v>
      </c>
      <c r="AQ33" s="128">
        <v>1</v>
      </c>
      <c r="AR33" s="128">
        <v>1</v>
      </c>
      <c r="AS33" s="128">
        <v>1</v>
      </c>
      <c r="AT33" s="128">
        <v>1</v>
      </c>
      <c r="AU33" s="128">
        <v>1</v>
      </c>
      <c r="AV33" s="128">
        <v>1</v>
      </c>
      <c r="AW33" s="128">
        <v>1</v>
      </c>
      <c r="AX33" s="128">
        <v>1</v>
      </c>
      <c r="AY33" s="128">
        <v>1</v>
      </c>
      <c r="AZ33" s="128">
        <v>1</v>
      </c>
      <c r="BA33" s="128">
        <v>1</v>
      </c>
      <c r="BB33" s="128">
        <v>1</v>
      </c>
      <c r="BC33" s="128">
        <v>1</v>
      </c>
      <c r="BD33" s="128">
        <v>1</v>
      </c>
      <c r="BE33" s="128">
        <v>1</v>
      </c>
      <c r="BF33" s="128">
        <v>1</v>
      </c>
      <c r="BG33" s="128">
        <v>1</v>
      </c>
      <c r="BH33" s="128">
        <v>1</v>
      </c>
      <c r="BI33" s="128">
        <v>1</v>
      </c>
      <c r="BJ33" s="128">
        <v>1</v>
      </c>
      <c r="BK33" s="128">
        <v>1</v>
      </c>
      <c r="BL33" s="128">
        <v>1</v>
      </c>
      <c r="BM33" s="128">
        <v>1</v>
      </c>
      <c r="BN33" s="128">
        <v>1</v>
      </c>
      <c r="BO33" s="128">
        <v>1</v>
      </c>
      <c r="BP33" s="128">
        <v>1</v>
      </c>
      <c r="BQ33" s="128">
        <v>1</v>
      </c>
      <c r="BR33" s="128">
        <v>1</v>
      </c>
      <c r="BS33" s="128">
        <v>1</v>
      </c>
      <c r="BT33" s="128">
        <v>1</v>
      </c>
      <c r="BU33" s="128">
        <v>1</v>
      </c>
      <c r="BV33" s="128">
        <v>1</v>
      </c>
      <c r="BW33" s="128">
        <v>1</v>
      </c>
      <c r="BX33" s="128">
        <v>1</v>
      </c>
      <c r="BY33" s="128">
        <v>1</v>
      </c>
      <c r="BZ33" s="128">
        <v>1</v>
      </c>
      <c r="CA33" s="128">
        <v>1</v>
      </c>
      <c r="CB33" s="128">
        <v>1</v>
      </c>
      <c r="CC33" s="128">
        <v>1</v>
      </c>
      <c r="CD33" s="128">
        <v>1</v>
      </c>
      <c r="CE33" s="128">
        <v>1</v>
      </c>
      <c r="CF33" s="128">
        <v>1</v>
      </c>
      <c r="CG33" s="128">
        <v>1</v>
      </c>
      <c r="CH33" s="128">
        <v>1</v>
      </c>
      <c r="CI33" s="128">
        <v>1</v>
      </c>
      <c r="CJ33" s="128">
        <v>1</v>
      </c>
      <c r="CK33" s="128">
        <v>1</v>
      </c>
      <c r="CL33" s="128">
        <v>1</v>
      </c>
      <c r="CM33" s="128">
        <v>1</v>
      </c>
      <c r="CN33" s="128">
        <v>1</v>
      </c>
      <c r="CO33" s="128">
        <v>1</v>
      </c>
      <c r="CP33" s="128">
        <v>1</v>
      </c>
      <c r="CQ33" s="128">
        <v>1</v>
      </c>
      <c r="CR33" s="128">
        <v>1</v>
      </c>
      <c r="CS33" s="128">
        <v>1</v>
      </c>
      <c r="CT33" s="128">
        <v>1</v>
      </c>
      <c r="CU33" s="128">
        <v>1</v>
      </c>
      <c r="CV33" s="128">
        <v>1</v>
      </c>
      <c r="CW33" s="128">
        <v>1</v>
      </c>
      <c r="CX33" s="128">
        <v>1</v>
      </c>
      <c r="CZ33" s="126">
        <f>SUMIF(MatrixF0[[1]:[2]],MatrixF0[[#This Row],[Столбец1]])/MatrixF0[[#This Row],[Столбец1]]</f>
        <v>0</v>
      </c>
    </row>
    <row r="34" spans="1:104" ht="21" customHeight="1" x14ac:dyDescent="0.25">
      <c r="A34" s="127">
        <v>1.31</v>
      </c>
      <c r="B34" s="128">
        <v>1</v>
      </c>
      <c r="C34" s="128">
        <v>1</v>
      </c>
      <c r="D34" s="128">
        <v>1</v>
      </c>
      <c r="E34" s="128">
        <v>1</v>
      </c>
      <c r="F34" s="128">
        <v>1</v>
      </c>
      <c r="G34" s="128">
        <v>1</v>
      </c>
      <c r="H34" s="128">
        <v>1</v>
      </c>
      <c r="I34" s="128">
        <v>1</v>
      </c>
      <c r="J34" s="128">
        <v>1</v>
      </c>
      <c r="K34" s="128">
        <v>1</v>
      </c>
      <c r="L34" s="128">
        <v>1</v>
      </c>
      <c r="M34" s="128">
        <v>1</v>
      </c>
      <c r="N34" s="128">
        <v>1</v>
      </c>
      <c r="O34" s="128">
        <v>1</v>
      </c>
      <c r="P34" s="128">
        <v>1</v>
      </c>
      <c r="Q34" s="128">
        <v>1</v>
      </c>
      <c r="R34" s="128">
        <v>1</v>
      </c>
      <c r="S34" s="128">
        <v>1</v>
      </c>
      <c r="T34" s="128">
        <v>1</v>
      </c>
      <c r="U34" s="128">
        <v>1</v>
      </c>
      <c r="V34" s="128">
        <v>1</v>
      </c>
      <c r="W34" s="128">
        <v>1</v>
      </c>
      <c r="X34" s="128">
        <v>1</v>
      </c>
      <c r="Y34" s="128">
        <v>1</v>
      </c>
      <c r="Z34" s="128">
        <v>1</v>
      </c>
      <c r="AA34" s="128">
        <v>1</v>
      </c>
      <c r="AB34" s="128">
        <v>1</v>
      </c>
      <c r="AC34" s="128">
        <v>1</v>
      </c>
      <c r="AD34" s="128">
        <v>1</v>
      </c>
      <c r="AE34" s="128">
        <v>1</v>
      </c>
      <c r="AF34" s="128">
        <v>1</v>
      </c>
      <c r="AG34" s="128">
        <v>1</v>
      </c>
      <c r="AH34" s="128">
        <v>1</v>
      </c>
      <c r="AI34" s="128">
        <v>1</v>
      </c>
      <c r="AJ34" s="128">
        <v>1</v>
      </c>
      <c r="AK34" s="128">
        <v>1</v>
      </c>
      <c r="AL34" s="128">
        <v>1</v>
      </c>
      <c r="AM34" s="128">
        <v>1</v>
      </c>
      <c r="AN34" s="128">
        <v>1</v>
      </c>
      <c r="AO34" s="128">
        <v>1</v>
      </c>
      <c r="AP34" s="128">
        <v>1</v>
      </c>
      <c r="AQ34" s="128">
        <v>1</v>
      </c>
      <c r="AR34" s="128">
        <v>1</v>
      </c>
      <c r="AS34" s="128">
        <v>1</v>
      </c>
      <c r="AT34" s="128">
        <v>1</v>
      </c>
      <c r="AU34" s="128">
        <v>1</v>
      </c>
      <c r="AV34" s="128">
        <v>1</v>
      </c>
      <c r="AW34" s="128">
        <v>1</v>
      </c>
      <c r="AX34" s="128">
        <v>1</v>
      </c>
      <c r="AY34" s="128">
        <v>1</v>
      </c>
      <c r="AZ34" s="128">
        <v>1</v>
      </c>
      <c r="BA34" s="128">
        <v>1</v>
      </c>
      <c r="BB34" s="128">
        <v>1</v>
      </c>
      <c r="BC34" s="128">
        <v>1</v>
      </c>
      <c r="BD34" s="128">
        <v>1</v>
      </c>
      <c r="BE34" s="128">
        <v>1</v>
      </c>
      <c r="BF34" s="128">
        <v>1</v>
      </c>
      <c r="BG34" s="128">
        <v>1</v>
      </c>
      <c r="BH34" s="128">
        <v>1</v>
      </c>
      <c r="BI34" s="128">
        <v>1</v>
      </c>
      <c r="BJ34" s="128">
        <v>1</v>
      </c>
      <c r="BK34" s="128">
        <v>1</v>
      </c>
      <c r="BL34" s="128">
        <v>1</v>
      </c>
      <c r="BM34" s="128">
        <v>1</v>
      </c>
      <c r="BN34" s="128">
        <v>1</v>
      </c>
      <c r="BO34" s="128">
        <v>1</v>
      </c>
      <c r="BP34" s="128">
        <v>1</v>
      </c>
      <c r="BQ34" s="128">
        <v>1</v>
      </c>
      <c r="BR34" s="128">
        <v>1</v>
      </c>
      <c r="BS34" s="128">
        <v>1</v>
      </c>
      <c r="BT34" s="128">
        <v>1</v>
      </c>
      <c r="BU34" s="128">
        <v>1</v>
      </c>
      <c r="BV34" s="128">
        <v>1</v>
      </c>
      <c r="BW34" s="128">
        <v>1</v>
      </c>
      <c r="BX34" s="128">
        <v>1</v>
      </c>
      <c r="BY34" s="128">
        <v>1</v>
      </c>
      <c r="BZ34" s="128">
        <v>1</v>
      </c>
      <c r="CA34" s="128">
        <v>1</v>
      </c>
      <c r="CB34" s="128">
        <v>1</v>
      </c>
      <c r="CC34" s="128">
        <v>1</v>
      </c>
      <c r="CD34" s="128">
        <v>1</v>
      </c>
      <c r="CE34" s="128">
        <v>1</v>
      </c>
      <c r="CF34" s="128">
        <v>1</v>
      </c>
      <c r="CG34" s="128">
        <v>1</v>
      </c>
      <c r="CH34" s="128">
        <v>1</v>
      </c>
      <c r="CI34" s="128">
        <v>1</v>
      </c>
      <c r="CJ34" s="128">
        <v>1</v>
      </c>
      <c r="CK34" s="128">
        <v>1</v>
      </c>
      <c r="CL34" s="128">
        <v>1</v>
      </c>
      <c r="CM34" s="128">
        <v>1</v>
      </c>
      <c r="CN34" s="128">
        <v>1</v>
      </c>
      <c r="CO34" s="128">
        <v>1</v>
      </c>
      <c r="CP34" s="128">
        <v>1</v>
      </c>
      <c r="CQ34" s="128">
        <v>1</v>
      </c>
      <c r="CR34" s="128">
        <v>1</v>
      </c>
      <c r="CS34" s="128">
        <v>1</v>
      </c>
      <c r="CT34" s="128">
        <v>1</v>
      </c>
      <c r="CU34" s="128">
        <v>1</v>
      </c>
      <c r="CV34" s="128">
        <v>1</v>
      </c>
      <c r="CW34" s="128">
        <v>1</v>
      </c>
      <c r="CX34" s="128">
        <v>1</v>
      </c>
      <c r="CZ34" s="126">
        <f>SUMIF(MatrixF0[[1]:[2]],MatrixF0[[#This Row],[Столбец1]])/MatrixF0[[#This Row],[Столбец1]]</f>
        <v>0</v>
      </c>
    </row>
    <row r="35" spans="1:104" ht="21" customHeight="1" x14ac:dyDescent="0.25">
      <c r="A35" s="127">
        <v>1.32</v>
      </c>
      <c r="B35" s="128">
        <v>1</v>
      </c>
      <c r="C35" s="128">
        <v>1</v>
      </c>
      <c r="D35" s="128">
        <v>1</v>
      </c>
      <c r="E35" s="128">
        <v>1</v>
      </c>
      <c r="F35" s="128">
        <v>1</v>
      </c>
      <c r="G35" s="128">
        <v>1</v>
      </c>
      <c r="H35" s="128">
        <v>1</v>
      </c>
      <c r="I35" s="128">
        <v>1</v>
      </c>
      <c r="J35" s="128">
        <v>1</v>
      </c>
      <c r="K35" s="128">
        <v>1</v>
      </c>
      <c r="L35" s="128">
        <v>1</v>
      </c>
      <c r="M35" s="128">
        <v>1</v>
      </c>
      <c r="N35" s="128">
        <v>1</v>
      </c>
      <c r="O35" s="128">
        <v>1</v>
      </c>
      <c r="P35" s="128">
        <v>1</v>
      </c>
      <c r="Q35" s="128">
        <v>1</v>
      </c>
      <c r="R35" s="128">
        <v>1</v>
      </c>
      <c r="S35" s="128">
        <v>1</v>
      </c>
      <c r="T35" s="128">
        <v>1</v>
      </c>
      <c r="U35" s="128">
        <v>1</v>
      </c>
      <c r="V35" s="128">
        <v>1</v>
      </c>
      <c r="W35" s="128">
        <v>1</v>
      </c>
      <c r="X35" s="128">
        <v>1</v>
      </c>
      <c r="Y35" s="128">
        <v>1</v>
      </c>
      <c r="Z35" s="128">
        <v>1</v>
      </c>
      <c r="AA35" s="128">
        <v>1</v>
      </c>
      <c r="AB35" s="128">
        <v>1</v>
      </c>
      <c r="AC35" s="128">
        <v>1</v>
      </c>
      <c r="AD35" s="128">
        <v>1</v>
      </c>
      <c r="AE35" s="128">
        <v>1</v>
      </c>
      <c r="AF35" s="128">
        <v>1</v>
      </c>
      <c r="AG35" s="128">
        <v>1</v>
      </c>
      <c r="AH35" s="128">
        <v>1</v>
      </c>
      <c r="AI35" s="128">
        <v>1</v>
      </c>
      <c r="AJ35" s="128">
        <v>1</v>
      </c>
      <c r="AK35" s="128">
        <v>1</v>
      </c>
      <c r="AL35" s="128">
        <v>1</v>
      </c>
      <c r="AM35" s="128">
        <v>1</v>
      </c>
      <c r="AN35" s="128">
        <v>1</v>
      </c>
      <c r="AO35" s="128">
        <v>1</v>
      </c>
      <c r="AP35" s="128">
        <v>1</v>
      </c>
      <c r="AQ35" s="128">
        <v>1</v>
      </c>
      <c r="AR35" s="128">
        <v>1</v>
      </c>
      <c r="AS35" s="128">
        <v>1</v>
      </c>
      <c r="AT35" s="128">
        <v>1</v>
      </c>
      <c r="AU35" s="128">
        <v>1</v>
      </c>
      <c r="AV35" s="128">
        <v>1</v>
      </c>
      <c r="AW35" s="128">
        <v>1</v>
      </c>
      <c r="AX35" s="128">
        <v>1</v>
      </c>
      <c r="AY35" s="128">
        <v>1</v>
      </c>
      <c r="AZ35" s="128">
        <v>1</v>
      </c>
      <c r="BA35" s="128">
        <v>1</v>
      </c>
      <c r="BB35" s="128">
        <v>1</v>
      </c>
      <c r="BC35" s="128">
        <v>1</v>
      </c>
      <c r="BD35" s="128">
        <v>1</v>
      </c>
      <c r="BE35" s="128">
        <v>1</v>
      </c>
      <c r="BF35" s="128">
        <v>1</v>
      </c>
      <c r="BG35" s="128">
        <v>1</v>
      </c>
      <c r="BH35" s="128">
        <v>1</v>
      </c>
      <c r="BI35" s="128">
        <v>1</v>
      </c>
      <c r="BJ35" s="128">
        <v>1</v>
      </c>
      <c r="BK35" s="128">
        <v>1</v>
      </c>
      <c r="BL35" s="128">
        <v>1</v>
      </c>
      <c r="BM35" s="128">
        <v>1</v>
      </c>
      <c r="BN35" s="128">
        <v>1</v>
      </c>
      <c r="BO35" s="128">
        <v>1</v>
      </c>
      <c r="BP35" s="128">
        <v>1</v>
      </c>
      <c r="BQ35" s="128">
        <v>1</v>
      </c>
      <c r="BR35" s="128">
        <v>1</v>
      </c>
      <c r="BS35" s="128">
        <v>1</v>
      </c>
      <c r="BT35" s="128">
        <v>1</v>
      </c>
      <c r="BU35" s="128">
        <v>1</v>
      </c>
      <c r="BV35" s="128">
        <v>1</v>
      </c>
      <c r="BW35" s="128">
        <v>1</v>
      </c>
      <c r="BX35" s="128">
        <v>1</v>
      </c>
      <c r="BY35" s="128">
        <v>1</v>
      </c>
      <c r="BZ35" s="128">
        <v>1</v>
      </c>
      <c r="CA35" s="128">
        <v>1</v>
      </c>
      <c r="CB35" s="128">
        <v>1</v>
      </c>
      <c r="CC35" s="128">
        <v>1</v>
      </c>
      <c r="CD35" s="128">
        <v>1</v>
      </c>
      <c r="CE35" s="128">
        <v>1</v>
      </c>
      <c r="CF35" s="128">
        <v>1</v>
      </c>
      <c r="CG35" s="128">
        <v>1</v>
      </c>
      <c r="CH35" s="128">
        <v>1</v>
      </c>
      <c r="CI35" s="128">
        <v>1</v>
      </c>
      <c r="CJ35" s="128">
        <v>1</v>
      </c>
      <c r="CK35" s="128">
        <v>1</v>
      </c>
      <c r="CL35" s="128">
        <v>1</v>
      </c>
      <c r="CM35" s="128">
        <v>1</v>
      </c>
      <c r="CN35" s="128">
        <v>1</v>
      </c>
      <c r="CO35" s="128">
        <v>1</v>
      </c>
      <c r="CP35" s="128">
        <v>1</v>
      </c>
      <c r="CQ35" s="128">
        <v>1</v>
      </c>
      <c r="CR35" s="128">
        <v>1</v>
      </c>
      <c r="CS35" s="128">
        <v>1</v>
      </c>
      <c r="CT35" s="128">
        <v>1</v>
      </c>
      <c r="CU35" s="128">
        <v>1</v>
      </c>
      <c r="CV35" s="128">
        <v>1</v>
      </c>
      <c r="CW35" s="128">
        <v>1</v>
      </c>
      <c r="CX35" s="128">
        <v>1</v>
      </c>
      <c r="CZ35" s="126">
        <f>SUMIF(MatrixF0[[1]:[2]],MatrixF0[[#This Row],[Столбец1]])/MatrixF0[[#This Row],[Столбец1]]</f>
        <v>0</v>
      </c>
    </row>
    <row r="36" spans="1:104" ht="21" customHeight="1" x14ac:dyDescent="0.25">
      <c r="A36" s="127">
        <v>1.33</v>
      </c>
      <c r="B36" s="128">
        <v>1</v>
      </c>
      <c r="C36" s="128">
        <v>1</v>
      </c>
      <c r="D36" s="128">
        <v>1</v>
      </c>
      <c r="E36" s="128">
        <v>1</v>
      </c>
      <c r="F36" s="128">
        <v>1</v>
      </c>
      <c r="G36" s="128">
        <v>1</v>
      </c>
      <c r="H36" s="128">
        <v>1</v>
      </c>
      <c r="I36" s="128">
        <v>1</v>
      </c>
      <c r="J36" s="128">
        <v>1</v>
      </c>
      <c r="K36" s="128">
        <v>1</v>
      </c>
      <c r="L36" s="128">
        <v>1</v>
      </c>
      <c r="M36" s="128">
        <v>1</v>
      </c>
      <c r="N36" s="128">
        <v>1</v>
      </c>
      <c r="O36" s="128">
        <v>1</v>
      </c>
      <c r="P36" s="128">
        <v>1</v>
      </c>
      <c r="Q36" s="128">
        <v>1</v>
      </c>
      <c r="R36" s="128">
        <v>1</v>
      </c>
      <c r="S36" s="128">
        <v>1</v>
      </c>
      <c r="T36" s="128">
        <v>1</v>
      </c>
      <c r="U36" s="128">
        <v>1</v>
      </c>
      <c r="V36" s="128">
        <v>1</v>
      </c>
      <c r="W36" s="128">
        <v>1</v>
      </c>
      <c r="X36" s="128">
        <v>1</v>
      </c>
      <c r="Y36" s="128">
        <v>1</v>
      </c>
      <c r="Z36" s="128">
        <v>1</v>
      </c>
      <c r="AA36" s="128">
        <v>1</v>
      </c>
      <c r="AB36" s="128">
        <v>1</v>
      </c>
      <c r="AC36" s="128">
        <v>1</v>
      </c>
      <c r="AD36" s="128">
        <v>1</v>
      </c>
      <c r="AE36" s="128">
        <v>1</v>
      </c>
      <c r="AF36" s="128">
        <v>1</v>
      </c>
      <c r="AG36" s="128">
        <v>1</v>
      </c>
      <c r="AH36" s="128">
        <v>1</v>
      </c>
      <c r="AI36" s="128">
        <v>1</v>
      </c>
      <c r="AJ36" s="128">
        <v>1</v>
      </c>
      <c r="AK36" s="128">
        <v>1</v>
      </c>
      <c r="AL36" s="128">
        <v>1</v>
      </c>
      <c r="AM36" s="128">
        <v>1</v>
      </c>
      <c r="AN36" s="128">
        <v>1</v>
      </c>
      <c r="AO36" s="128">
        <v>1</v>
      </c>
      <c r="AP36" s="128">
        <v>1</v>
      </c>
      <c r="AQ36" s="128">
        <v>1</v>
      </c>
      <c r="AR36" s="128">
        <v>1</v>
      </c>
      <c r="AS36" s="128">
        <v>1</v>
      </c>
      <c r="AT36" s="128">
        <v>1</v>
      </c>
      <c r="AU36" s="128">
        <v>1</v>
      </c>
      <c r="AV36" s="128">
        <v>1</v>
      </c>
      <c r="AW36" s="128">
        <v>1</v>
      </c>
      <c r="AX36" s="128">
        <v>1</v>
      </c>
      <c r="AY36" s="128">
        <v>1</v>
      </c>
      <c r="AZ36" s="128">
        <v>1</v>
      </c>
      <c r="BA36" s="128">
        <v>1</v>
      </c>
      <c r="BB36" s="128">
        <v>1</v>
      </c>
      <c r="BC36" s="128">
        <v>1</v>
      </c>
      <c r="BD36" s="128">
        <v>1</v>
      </c>
      <c r="BE36" s="128">
        <v>1</v>
      </c>
      <c r="BF36" s="128">
        <v>1</v>
      </c>
      <c r="BG36" s="128">
        <v>1</v>
      </c>
      <c r="BH36" s="128">
        <v>1</v>
      </c>
      <c r="BI36" s="128">
        <v>1</v>
      </c>
      <c r="BJ36" s="128">
        <v>1</v>
      </c>
      <c r="BK36" s="128">
        <v>1</v>
      </c>
      <c r="BL36" s="128">
        <v>1</v>
      </c>
      <c r="BM36" s="128">
        <v>1</v>
      </c>
      <c r="BN36" s="128">
        <v>1</v>
      </c>
      <c r="BO36" s="128">
        <v>1</v>
      </c>
      <c r="BP36" s="128">
        <v>1</v>
      </c>
      <c r="BQ36" s="128">
        <v>1</v>
      </c>
      <c r="BR36" s="128">
        <v>1</v>
      </c>
      <c r="BS36" s="128">
        <v>1</v>
      </c>
      <c r="BT36" s="128">
        <v>1</v>
      </c>
      <c r="BU36" s="128">
        <v>1</v>
      </c>
      <c r="BV36" s="128">
        <v>1</v>
      </c>
      <c r="BW36" s="128">
        <v>1</v>
      </c>
      <c r="BX36" s="128">
        <v>1</v>
      </c>
      <c r="BY36" s="128">
        <v>1</v>
      </c>
      <c r="BZ36" s="128">
        <v>1</v>
      </c>
      <c r="CA36" s="128">
        <v>1</v>
      </c>
      <c r="CB36" s="128">
        <v>1</v>
      </c>
      <c r="CC36" s="128">
        <v>1</v>
      </c>
      <c r="CD36" s="128">
        <v>1</v>
      </c>
      <c r="CE36" s="128">
        <v>1</v>
      </c>
      <c r="CF36" s="128">
        <v>1</v>
      </c>
      <c r="CG36" s="128">
        <v>1</v>
      </c>
      <c r="CH36" s="128">
        <v>1</v>
      </c>
      <c r="CI36" s="128">
        <v>1</v>
      </c>
      <c r="CJ36" s="128">
        <v>1</v>
      </c>
      <c r="CK36" s="128">
        <v>1</v>
      </c>
      <c r="CL36" s="128">
        <v>1</v>
      </c>
      <c r="CM36" s="128">
        <v>1</v>
      </c>
      <c r="CN36" s="128">
        <v>1</v>
      </c>
      <c r="CO36" s="128">
        <v>1</v>
      </c>
      <c r="CP36" s="128">
        <v>1</v>
      </c>
      <c r="CQ36" s="128">
        <v>1</v>
      </c>
      <c r="CR36" s="128">
        <v>1</v>
      </c>
      <c r="CS36" s="128">
        <v>1</v>
      </c>
      <c r="CT36" s="128">
        <v>1</v>
      </c>
      <c r="CU36" s="128">
        <v>1</v>
      </c>
      <c r="CV36" s="128">
        <v>1</v>
      </c>
      <c r="CW36" s="128">
        <v>1</v>
      </c>
      <c r="CX36" s="128">
        <v>1</v>
      </c>
      <c r="CZ36" s="126">
        <f>SUMIF(MatrixF0[[1]:[2]],MatrixF0[[#This Row],[Столбец1]])/MatrixF0[[#This Row],[Столбец1]]</f>
        <v>0</v>
      </c>
    </row>
    <row r="37" spans="1:104" ht="21" customHeight="1" x14ac:dyDescent="0.25">
      <c r="A37" s="127">
        <v>1.34</v>
      </c>
      <c r="B37" s="128">
        <v>1</v>
      </c>
      <c r="C37" s="128">
        <v>1</v>
      </c>
      <c r="D37" s="128">
        <v>1</v>
      </c>
      <c r="E37" s="128">
        <v>1</v>
      </c>
      <c r="F37" s="128">
        <v>1</v>
      </c>
      <c r="G37" s="128">
        <v>1</v>
      </c>
      <c r="H37" s="128">
        <v>1</v>
      </c>
      <c r="I37" s="128">
        <v>1</v>
      </c>
      <c r="J37" s="128">
        <v>1</v>
      </c>
      <c r="K37" s="128">
        <v>1</v>
      </c>
      <c r="L37" s="128">
        <v>1</v>
      </c>
      <c r="M37" s="128">
        <v>1</v>
      </c>
      <c r="N37" s="128">
        <v>1</v>
      </c>
      <c r="O37" s="128">
        <v>1</v>
      </c>
      <c r="P37" s="128">
        <v>1</v>
      </c>
      <c r="Q37" s="128">
        <v>1</v>
      </c>
      <c r="R37" s="128">
        <v>1</v>
      </c>
      <c r="S37" s="128">
        <v>1</v>
      </c>
      <c r="T37" s="128">
        <v>1</v>
      </c>
      <c r="U37" s="128">
        <v>1</v>
      </c>
      <c r="V37" s="128">
        <v>1</v>
      </c>
      <c r="W37" s="128">
        <v>1</v>
      </c>
      <c r="X37" s="128">
        <v>1</v>
      </c>
      <c r="Y37" s="128">
        <v>1</v>
      </c>
      <c r="Z37" s="128">
        <v>1</v>
      </c>
      <c r="AA37" s="128">
        <v>1</v>
      </c>
      <c r="AB37" s="128">
        <v>1</v>
      </c>
      <c r="AC37" s="128">
        <v>1</v>
      </c>
      <c r="AD37" s="128">
        <v>1</v>
      </c>
      <c r="AE37" s="128">
        <v>1</v>
      </c>
      <c r="AF37" s="128">
        <v>1</v>
      </c>
      <c r="AG37" s="128">
        <v>1</v>
      </c>
      <c r="AH37" s="128">
        <v>1</v>
      </c>
      <c r="AI37" s="128">
        <v>1</v>
      </c>
      <c r="AJ37" s="128">
        <v>1</v>
      </c>
      <c r="AK37" s="128">
        <v>1</v>
      </c>
      <c r="AL37" s="128">
        <v>1</v>
      </c>
      <c r="AM37" s="128">
        <v>1</v>
      </c>
      <c r="AN37" s="128">
        <v>1</v>
      </c>
      <c r="AO37" s="128">
        <v>1</v>
      </c>
      <c r="AP37" s="128">
        <v>1</v>
      </c>
      <c r="AQ37" s="128">
        <v>1</v>
      </c>
      <c r="AR37" s="128">
        <v>1</v>
      </c>
      <c r="AS37" s="128">
        <v>1</v>
      </c>
      <c r="AT37" s="128">
        <v>1</v>
      </c>
      <c r="AU37" s="128">
        <v>1</v>
      </c>
      <c r="AV37" s="128">
        <v>1</v>
      </c>
      <c r="AW37" s="128">
        <v>1</v>
      </c>
      <c r="AX37" s="128">
        <v>1</v>
      </c>
      <c r="AY37" s="128">
        <v>1</v>
      </c>
      <c r="AZ37" s="128">
        <v>1</v>
      </c>
      <c r="BA37" s="128">
        <v>1</v>
      </c>
      <c r="BB37" s="128">
        <v>1</v>
      </c>
      <c r="BC37" s="128">
        <v>1</v>
      </c>
      <c r="BD37" s="128">
        <v>1</v>
      </c>
      <c r="BE37" s="128">
        <v>1</v>
      </c>
      <c r="BF37" s="128">
        <v>1</v>
      </c>
      <c r="BG37" s="128">
        <v>1</v>
      </c>
      <c r="BH37" s="128">
        <v>1</v>
      </c>
      <c r="BI37" s="128">
        <v>1</v>
      </c>
      <c r="BJ37" s="128">
        <v>1</v>
      </c>
      <c r="BK37" s="128">
        <v>1</v>
      </c>
      <c r="BL37" s="128">
        <v>1</v>
      </c>
      <c r="BM37" s="128">
        <v>1</v>
      </c>
      <c r="BN37" s="128">
        <v>1</v>
      </c>
      <c r="BO37" s="128">
        <v>1</v>
      </c>
      <c r="BP37" s="128">
        <v>1</v>
      </c>
      <c r="BQ37" s="128">
        <v>1</v>
      </c>
      <c r="BR37" s="128">
        <v>1</v>
      </c>
      <c r="BS37" s="128">
        <v>1</v>
      </c>
      <c r="BT37" s="128">
        <v>1</v>
      </c>
      <c r="BU37" s="128">
        <v>1</v>
      </c>
      <c r="BV37" s="128">
        <v>1</v>
      </c>
      <c r="BW37" s="128">
        <v>1</v>
      </c>
      <c r="BX37" s="128">
        <v>1</v>
      </c>
      <c r="BY37" s="128">
        <v>1</v>
      </c>
      <c r="BZ37" s="128">
        <v>1</v>
      </c>
      <c r="CA37" s="128">
        <v>1</v>
      </c>
      <c r="CB37" s="128">
        <v>1</v>
      </c>
      <c r="CC37" s="128">
        <v>1</v>
      </c>
      <c r="CD37" s="128">
        <v>1</v>
      </c>
      <c r="CE37" s="128">
        <v>1</v>
      </c>
      <c r="CF37" s="128">
        <v>1</v>
      </c>
      <c r="CG37" s="128">
        <v>1</v>
      </c>
      <c r="CH37" s="128">
        <v>1</v>
      </c>
      <c r="CI37" s="128">
        <v>1</v>
      </c>
      <c r="CJ37" s="128">
        <v>1</v>
      </c>
      <c r="CK37" s="128">
        <v>1</v>
      </c>
      <c r="CL37" s="128">
        <v>1</v>
      </c>
      <c r="CM37" s="128">
        <v>1</v>
      </c>
      <c r="CN37" s="128">
        <v>1</v>
      </c>
      <c r="CO37" s="128">
        <v>1</v>
      </c>
      <c r="CP37" s="128">
        <v>1</v>
      </c>
      <c r="CQ37" s="128">
        <v>1</v>
      </c>
      <c r="CR37" s="128">
        <v>1</v>
      </c>
      <c r="CS37" s="128">
        <v>1</v>
      </c>
      <c r="CT37" s="128">
        <v>1</v>
      </c>
      <c r="CU37" s="128">
        <v>1</v>
      </c>
      <c r="CV37" s="128">
        <v>1</v>
      </c>
      <c r="CW37" s="128">
        <v>1</v>
      </c>
      <c r="CX37" s="128">
        <v>1</v>
      </c>
      <c r="CZ37" s="126">
        <f>SUMIF(MatrixF0[[1]:[2]],MatrixF0[[#This Row],[Столбец1]])/MatrixF0[[#This Row],[Столбец1]]</f>
        <v>0</v>
      </c>
    </row>
    <row r="38" spans="1:104" ht="21" customHeight="1" x14ac:dyDescent="0.25">
      <c r="A38" s="127">
        <v>1.35</v>
      </c>
      <c r="B38" s="128">
        <v>1</v>
      </c>
      <c r="C38" s="128">
        <v>1</v>
      </c>
      <c r="D38" s="128">
        <v>1</v>
      </c>
      <c r="E38" s="128">
        <v>1</v>
      </c>
      <c r="F38" s="128">
        <v>1</v>
      </c>
      <c r="G38" s="128">
        <v>1</v>
      </c>
      <c r="H38" s="128">
        <v>1</v>
      </c>
      <c r="I38" s="128">
        <v>1</v>
      </c>
      <c r="J38" s="128">
        <v>1</v>
      </c>
      <c r="K38" s="128">
        <v>1</v>
      </c>
      <c r="L38" s="128">
        <v>1</v>
      </c>
      <c r="M38" s="128">
        <v>1</v>
      </c>
      <c r="N38" s="128">
        <v>1</v>
      </c>
      <c r="O38" s="128">
        <v>1</v>
      </c>
      <c r="P38" s="128">
        <v>1</v>
      </c>
      <c r="Q38" s="128">
        <v>1</v>
      </c>
      <c r="R38" s="128">
        <v>1</v>
      </c>
      <c r="S38" s="128">
        <v>1</v>
      </c>
      <c r="T38" s="128">
        <v>1</v>
      </c>
      <c r="U38" s="128">
        <v>1</v>
      </c>
      <c r="V38" s="128">
        <v>1</v>
      </c>
      <c r="W38" s="128">
        <v>1</v>
      </c>
      <c r="X38" s="128">
        <v>1</v>
      </c>
      <c r="Y38" s="128">
        <v>1</v>
      </c>
      <c r="Z38" s="128">
        <v>1</v>
      </c>
      <c r="AA38" s="128">
        <v>1</v>
      </c>
      <c r="AB38" s="128">
        <v>1</v>
      </c>
      <c r="AC38" s="128">
        <v>1</v>
      </c>
      <c r="AD38" s="128">
        <v>1</v>
      </c>
      <c r="AE38" s="128">
        <v>1</v>
      </c>
      <c r="AF38" s="128">
        <v>1</v>
      </c>
      <c r="AG38" s="128">
        <v>1</v>
      </c>
      <c r="AH38" s="128">
        <v>1</v>
      </c>
      <c r="AI38" s="128">
        <v>1</v>
      </c>
      <c r="AJ38" s="128">
        <v>1</v>
      </c>
      <c r="AK38" s="128">
        <v>1</v>
      </c>
      <c r="AL38" s="128">
        <v>1</v>
      </c>
      <c r="AM38" s="128">
        <v>1</v>
      </c>
      <c r="AN38" s="128">
        <v>1</v>
      </c>
      <c r="AO38" s="128">
        <v>1</v>
      </c>
      <c r="AP38" s="128">
        <v>1</v>
      </c>
      <c r="AQ38" s="128">
        <v>1</v>
      </c>
      <c r="AR38" s="128">
        <v>1</v>
      </c>
      <c r="AS38" s="128">
        <v>1</v>
      </c>
      <c r="AT38" s="128">
        <v>1</v>
      </c>
      <c r="AU38" s="128">
        <v>1</v>
      </c>
      <c r="AV38" s="128">
        <v>1</v>
      </c>
      <c r="AW38" s="128">
        <v>1</v>
      </c>
      <c r="AX38" s="128">
        <v>1</v>
      </c>
      <c r="AY38" s="128">
        <v>1</v>
      </c>
      <c r="AZ38" s="128">
        <v>1</v>
      </c>
      <c r="BA38" s="128">
        <v>1</v>
      </c>
      <c r="BB38" s="128">
        <v>1</v>
      </c>
      <c r="BC38" s="128">
        <v>1</v>
      </c>
      <c r="BD38" s="128">
        <v>1</v>
      </c>
      <c r="BE38" s="128">
        <v>1</v>
      </c>
      <c r="BF38" s="128">
        <v>1</v>
      </c>
      <c r="BG38" s="128">
        <v>1</v>
      </c>
      <c r="BH38" s="128">
        <v>1</v>
      </c>
      <c r="BI38" s="128">
        <v>1</v>
      </c>
      <c r="BJ38" s="128">
        <v>1</v>
      </c>
      <c r="BK38" s="128">
        <v>1</v>
      </c>
      <c r="BL38" s="128">
        <v>1</v>
      </c>
      <c r="BM38" s="128">
        <v>1</v>
      </c>
      <c r="BN38" s="128">
        <v>1</v>
      </c>
      <c r="BO38" s="128">
        <v>1</v>
      </c>
      <c r="BP38" s="128">
        <v>1</v>
      </c>
      <c r="BQ38" s="128">
        <v>1</v>
      </c>
      <c r="BR38" s="128">
        <v>1</v>
      </c>
      <c r="BS38" s="128">
        <v>1</v>
      </c>
      <c r="BT38" s="128">
        <v>1</v>
      </c>
      <c r="BU38" s="128">
        <v>1</v>
      </c>
      <c r="BV38" s="128">
        <v>1</v>
      </c>
      <c r="BW38" s="128">
        <v>1</v>
      </c>
      <c r="BX38" s="128">
        <v>1</v>
      </c>
      <c r="BY38" s="128">
        <v>1</v>
      </c>
      <c r="BZ38" s="128">
        <v>1</v>
      </c>
      <c r="CA38" s="128">
        <v>1</v>
      </c>
      <c r="CB38" s="128">
        <v>1</v>
      </c>
      <c r="CC38" s="128">
        <v>1</v>
      </c>
      <c r="CD38" s="128">
        <v>1</v>
      </c>
      <c r="CE38" s="128">
        <v>1</v>
      </c>
      <c r="CF38" s="128">
        <v>1</v>
      </c>
      <c r="CG38" s="128">
        <v>1</v>
      </c>
      <c r="CH38" s="128">
        <v>1</v>
      </c>
      <c r="CI38" s="128">
        <v>1</v>
      </c>
      <c r="CJ38" s="128">
        <v>1</v>
      </c>
      <c r="CK38" s="128">
        <v>1</v>
      </c>
      <c r="CL38" s="128">
        <v>1</v>
      </c>
      <c r="CM38" s="128">
        <v>1</v>
      </c>
      <c r="CN38" s="128">
        <v>1</v>
      </c>
      <c r="CO38" s="128">
        <v>1</v>
      </c>
      <c r="CP38" s="128">
        <v>1</v>
      </c>
      <c r="CQ38" s="128">
        <v>1</v>
      </c>
      <c r="CR38" s="128">
        <v>1</v>
      </c>
      <c r="CS38" s="128">
        <v>1</v>
      </c>
      <c r="CT38" s="128">
        <v>1</v>
      </c>
      <c r="CU38" s="128">
        <v>1</v>
      </c>
      <c r="CV38" s="128">
        <v>1</v>
      </c>
      <c r="CW38" s="128">
        <v>1</v>
      </c>
      <c r="CX38" s="128">
        <v>1</v>
      </c>
      <c r="CZ38" s="126">
        <f>SUMIF(MatrixF0[[1]:[2]],MatrixF0[[#This Row],[Столбец1]])/MatrixF0[[#This Row],[Столбец1]]</f>
        <v>0</v>
      </c>
    </row>
    <row r="39" spans="1:104" ht="21" customHeight="1" x14ac:dyDescent="0.25">
      <c r="A39" s="127">
        <v>1.36</v>
      </c>
      <c r="B39" s="128">
        <v>1</v>
      </c>
      <c r="C39" s="128">
        <v>1</v>
      </c>
      <c r="D39" s="128">
        <v>1</v>
      </c>
      <c r="E39" s="128">
        <v>1</v>
      </c>
      <c r="F39" s="128">
        <v>1</v>
      </c>
      <c r="G39" s="128">
        <v>1</v>
      </c>
      <c r="H39" s="128">
        <v>1</v>
      </c>
      <c r="I39" s="128">
        <v>1</v>
      </c>
      <c r="J39" s="128">
        <v>1</v>
      </c>
      <c r="K39" s="128">
        <v>1</v>
      </c>
      <c r="L39" s="128">
        <v>1</v>
      </c>
      <c r="M39" s="128">
        <v>1</v>
      </c>
      <c r="N39" s="128">
        <v>1</v>
      </c>
      <c r="O39" s="128">
        <v>1</v>
      </c>
      <c r="P39" s="128">
        <v>1</v>
      </c>
      <c r="Q39" s="128">
        <v>1</v>
      </c>
      <c r="R39" s="128">
        <v>1</v>
      </c>
      <c r="S39" s="128">
        <v>1</v>
      </c>
      <c r="T39" s="128">
        <v>1</v>
      </c>
      <c r="U39" s="128">
        <v>1</v>
      </c>
      <c r="V39" s="128">
        <v>1</v>
      </c>
      <c r="W39" s="128">
        <v>1</v>
      </c>
      <c r="X39" s="128">
        <v>1</v>
      </c>
      <c r="Y39" s="128">
        <v>1</v>
      </c>
      <c r="Z39" s="128">
        <v>1</v>
      </c>
      <c r="AA39" s="128">
        <v>1</v>
      </c>
      <c r="AB39" s="128">
        <v>1</v>
      </c>
      <c r="AC39" s="128">
        <v>1</v>
      </c>
      <c r="AD39" s="128">
        <v>1</v>
      </c>
      <c r="AE39" s="128">
        <v>1</v>
      </c>
      <c r="AF39" s="128">
        <v>1</v>
      </c>
      <c r="AG39" s="128">
        <v>1</v>
      </c>
      <c r="AH39" s="128">
        <v>1</v>
      </c>
      <c r="AI39" s="128">
        <v>1</v>
      </c>
      <c r="AJ39" s="128">
        <v>1</v>
      </c>
      <c r="AK39" s="128">
        <v>1</v>
      </c>
      <c r="AL39" s="128">
        <v>1</v>
      </c>
      <c r="AM39" s="128">
        <v>1</v>
      </c>
      <c r="AN39" s="128">
        <v>1</v>
      </c>
      <c r="AO39" s="128">
        <v>1</v>
      </c>
      <c r="AP39" s="128">
        <v>1</v>
      </c>
      <c r="AQ39" s="128">
        <v>1</v>
      </c>
      <c r="AR39" s="128">
        <v>1</v>
      </c>
      <c r="AS39" s="128">
        <v>1</v>
      </c>
      <c r="AT39" s="128">
        <v>1</v>
      </c>
      <c r="AU39" s="128">
        <v>1</v>
      </c>
      <c r="AV39" s="128">
        <v>1</v>
      </c>
      <c r="AW39" s="128">
        <v>1</v>
      </c>
      <c r="AX39" s="128">
        <v>1</v>
      </c>
      <c r="AY39" s="128">
        <v>1</v>
      </c>
      <c r="AZ39" s="128">
        <v>1</v>
      </c>
      <c r="BA39" s="128">
        <v>1</v>
      </c>
      <c r="BB39" s="128">
        <v>1</v>
      </c>
      <c r="BC39" s="128">
        <v>1</v>
      </c>
      <c r="BD39" s="128">
        <v>1</v>
      </c>
      <c r="BE39" s="128">
        <v>1</v>
      </c>
      <c r="BF39" s="128">
        <v>1</v>
      </c>
      <c r="BG39" s="128">
        <v>1</v>
      </c>
      <c r="BH39" s="128">
        <v>1</v>
      </c>
      <c r="BI39" s="128">
        <v>1</v>
      </c>
      <c r="BJ39" s="128">
        <v>1</v>
      </c>
      <c r="BK39" s="128">
        <v>1</v>
      </c>
      <c r="BL39" s="128">
        <v>1</v>
      </c>
      <c r="BM39" s="128">
        <v>1</v>
      </c>
      <c r="BN39" s="128">
        <v>1</v>
      </c>
      <c r="BO39" s="128">
        <v>1</v>
      </c>
      <c r="BP39" s="128">
        <v>1</v>
      </c>
      <c r="BQ39" s="128">
        <v>1</v>
      </c>
      <c r="BR39" s="128">
        <v>1</v>
      </c>
      <c r="BS39" s="128">
        <v>1</v>
      </c>
      <c r="BT39" s="128">
        <v>1</v>
      </c>
      <c r="BU39" s="128">
        <v>1</v>
      </c>
      <c r="BV39" s="128">
        <v>1</v>
      </c>
      <c r="BW39" s="128">
        <v>1</v>
      </c>
      <c r="BX39" s="128">
        <v>1</v>
      </c>
      <c r="BY39" s="128">
        <v>1</v>
      </c>
      <c r="BZ39" s="128">
        <v>1</v>
      </c>
      <c r="CA39" s="128">
        <v>1</v>
      </c>
      <c r="CB39" s="128">
        <v>1</v>
      </c>
      <c r="CC39" s="128">
        <v>1</v>
      </c>
      <c r="CD39" s="128">
        <v>1</v>
      </c>
      <c r="CE39" s="128">
        <v>1</v>
      </c>
      <c r="CF39" s="128">
        <v>1</v>
      </c>
      <c r="CG39" s="128">
        <v>1</v>
      </c>
      <c r="CH39" s="128">
        <v>1</v>
      </c>
      <c r="CI39" s="128">
        <v>1</v>
      </c>
      <c r="CJ39" s="128">
        <v>1</v>
      </c>
      <c r="CK39" s="128">
        <v>1</v>
      </c>
      <c r="CL39" s="128">
        <v>1</v>
      </c>
      <c r="CM39" s="128">
        <v>1</v>
      </c>
      <c r="CN39" s="128">
        <v>1</v>
      </c>
      <c r="CO39" s="128">
        <v>1</v>
      </c>
      <c r="CP39" s="128">
        <v>1</v>
      </c>
      <c r="CQ39" s="128">
        <v>1</v>
      </c>
      <c r="CR39" s="128">
        <v>1</v>
      </c>
      <c r="CS39" s="128">
        <v>1</v>
      </c>
      <c r="CT39" s="128">
        <v>1</v>
      </c>
      <c r="CU39" s="128">
        <v>1</v>
      </c>
      <c r="CV39" s="128">
        <v>1</v>
      </c>
      <c r="CW39" s="128">
        <v>1</v>
      </c>
      <c r="CX39" s="128">
        <v>1</v>
      </c>
      <c r="CZ39" s="126">
        <f>SUMIF(MatrixF0[[1]:[2]],MatrixF0[[#This Row],[Столбец1]])/MatrixF0[[#This Row],[Столбец1]]</f>
        <v>0</v>
      </c>
    </row>
    <row r="40" spans="1:104" ht="21" customHeight="1" x14ac:dyDescent="0.25">
      <c r="A40" s="127">
        <v>1.37</v>
      </c>
      <c r="B40" s="128">
        <v>1</v>
      </c>
      <c r="C40" s="128">
        <v>1</v>
      </c>
      <c r="D40" s="128">
        <v>1</v>
      </c>
      <c r="E40" s="128">
        <v>1</v>
      </c>
      <c r="F40" s="128">
        <v>1</v>
      </c>
      <c r="G40" s="128">
        <v>1</v>
      </c>
      <c r="H40" s="128">
        <v>1</v>
      </c>
      <c r="I40" s="128">
        <v>1</v>
      </c>
      <c r="J40" s="128">
        <v>1</v>
      </c>
      <c r="K40" s="128">
        <v>1</v>
      </c>
      <c r="L40" s="128">
        <v>1</v>
      </c>
      <c r="M40" s="128">
        <v>1</v>
      </c>
      <c r="N40" s="128">
        <v>1</v>
      </c>
      <c r="O40" s="128">
        <v>1</v>
      </c>
      <c r="P40" s="128">
        <v>1</v>
      </c>
      <c r="Q40" s="128">
        <v>1</v>
      </c>
      <c r="R40" s="128">
        <v>1</v>
      </c>
      <c r="S40" s="128">
        <v>1</v>
      </c>
      <c r="T40" s="128">
        <v>1</v>
      </c>
      <c r="U40" s="128">
        <v>1</v>
      </c>
      <c r="V40" s="128">
        <v>1</v>
      </c>
      <c r="W40" s="128">
        <v>1</v>
      </c>
      <c r="X40" s="128">
        <v>1</v>
      </c>
      <c r="Y40" s="128">
        <v>1</v>
      </c>
      <c r="Z40" s="128">
        <v>1</v>
      </c>
      <c r="AA40" s="128">
        <v>1</v>
      </c>
      <c r="AB40" s="128">
        <v>1</v>
      </c>
      <c r="AC40" s="128">
        <v>1</v>
      </c>
      <c r="AD40" s="128">
        <v>1</v>
      </c>
      <c r="AE40" s="128">
        <v>1</v>
      </c>
      <c r="AF40" s="128">
        <v>1</v>
      </c>
      <c r="AG40" s="128">
        <v>1</v>
      </c>
      <c r="AH40" s="128">
        <v>1</v>
      </c>
      <c r="AI40" s="128">
        <v>1</v>
      </c>
      <c r="AJ40" s="128">
        <v>1</v>
      </c>
      <c r="AK40" s="128">
        <v>1</v>
      </c>
      <c r="AL40" s="128">
        <v>1</v>
      </c>
      <c r="AM40" s="128">
        <v>1</v>
      </c>
      <c r="AN40" s="128">
        <v>1</v>
      </c>
      <c r="AO40" s="128">
        <v>1</v>
      </c>
      <c r="AP40" s="128">
        <v>1</v>
      </c>
      <c r="AQ40" s="128">
        <v>1</v>
      </c>
      <c r="AR40" s="128">
        <v>1</v>
      </c>
      <c r="AS40" s="128">
        <v>1</v>
      </c>
      <c r="AT40" s="128">
        <v>1</v>
      </c>
      <c r="AU40" s="128">
        <v>1</v>
      </c>
      <c r="AV40" s="128">
        <v>1</v>
      </c>
      <c r="AW40" s="128">
        <v>1</v>
      </c>
      <c r="AX40" s="128">
        <v>1</v>
      </c>
      <c r="AY40" s="128">
        <v>1</v>
      </c>
      <c r="AZ40" s="128">
        <v>1</v>
      </c>
      <c r="BA40" s="128">
        <v>1</v>
      </c>
      <c r="BB40" s="128">
        <v>1</v>
      </c>
      <c r="BC40" s="128">
        <v>1</v>
      </c>
      <c r="BD40" s="128">
        <v>1</v>
      </c>
      <c r="BE40" s="128">
        <v>1</v>
      </c>
      <c r="BF40" s="128">
        <v>1</v>
      </c>
      <c r="BG40" s="128">
        <v>1</v>
      </c>
      <c r="BH40" s="128">
        <v>1</v>
      </c>
      <c r="BI40" s="128">
        <v>1</v>
      </c>
      <c r="BJ40" s="128">
        <v>1</v>
      </c>
      <c r="BK40" s="128">
        <v>1</v>
      </c>
      <c r="BL40" s="128">
        <v>1</v>
      </c>
      <c r="BM40" s="128">
        <v>1</v>
      </c>
      <c r="BN40" s="128">
        <v>1</v>
      </c>
      <c r="BO40" s="128">
        <v>1</v>
      </c>
      <c r="BP40" s="128">
        <v>1</v>
      </c>
      <c r="BQ40" s="128">
        <v>1</v>
      </c>
      <c r="BR40" s="128">
        <v>1</v>
      </c>
      <c r="BS40" s="128">
        <v>1</v>
      </c>
      <c r="BT40" s="128">
        <v>1</v>
      </c>
      <c r="BU40" s="128">
        <v>1</v>
      </c>
      <c r="BV40" s="128">
        <v>1</v>
      </c>
      <c r="BW40" s="128">
        <v>1</v>
      </c>
      <c r="BX40" s="128">
        <v>1</v>
      </c>
      <c r="BY40" s="128">
        <v>1</v>
      </c>
      <c r="BZ40" s="128">
        <v>1</v>
      </c>
      <c r="CA40" s="128">
        <v>1</v>
      </c>
      <c r="CB40" s="128">
        <v>1</v>
      </c>
      <c r="CC40" s="128">
        <v>1</v>
      </c>
      <c r="CD40" s="128">
        <v>1</v>
      </c>
      <c r="CE40" s="128">
        <v>1</v>
      </c>
      <c r="CF40" s="128">
        <v>1</v>
      </c>
      <c r="CG40" s="128">
        <v>1</v>
      </c>
      <c r="CH40" s="128">
        <v>1</v>
      </c>
      <c r="CI40" s="128">
        <v>1</v>
      </c>
      <c r="CJ40" s="128">
        <v>1</v>
      </c>
      <c r="CK40" s="128">
        <v>1</v>
      </c>
      <c r="CL40" s="128">
        <v>1</v>
      </c>
      <c r="CM40" s="128">
        <v>1</v>
      </c>
      <c r="CN40" s="128">
        <v>1</v>
      </c>
      <c r="CO40" s="128">
        <v>1</v>
      </c>
      <c r="CP40" s="128">
        <v>1</v>
      </c>
      <c r="CQ40" s="128">
        <v>1</v>
      </c>
      <c r="CR40" s="128">
        <v>1</v>
      </c>
      <c r="CS40" s="128">
        <v>1</v>
      </c>
      <c r="CT40" s="128">
        <v>1</v>
      </c>
      <c r="CU40" s="128">
        <v>1</v>
      </c>
      <c r="CV40" s="128">
        <v>1</v>
      </c>
      <c r="CW40" s="128">
        <v>1</v>
      </c>
      <c r="CX40" s="128">
        <v>1</v>
      </c>
      <c r="CZ40" s="126">
        <f>SUMIF(MatrixF0[[1]:[2]],MatrixF0[[#This Row],[Столбец1]])/MatrixF0[[#This Row],[Столбец1]]</f>
        <v>0</v>
      </c>
    </row>
    <row r="41" spans="1:104" ht="21" customHeight="1" x14ac:dyDescent="0.25">
      <c r="A41" s="127">
        <v>1.38</v>
      </c>
      <c r="B41" s="128">
        <v>1</v>
      </c>
      <c r="C41" s="128">
        <v>1</v>
      </c>
      <c r="D41" s="128">
        <v>1</v>
      </c>
      <c r="E41" s="128">
        <v>1</v>
      </c>
      <c r="F41" s="128">
        <v>1</v>
      </c>
      <c r="G41" s="128">
        <v>1</v>
      </c>
      <c r="H41" s="128">
        <v>1</v>
      </c>
      <c r="I41" s="128">
        <v>1</v>
      </c>
      <c r="J41" s="128">
        <v>1</v>
      </c>
      <c r="K41" s="128">
        <v>1</v>
      </c>
      <c r="L41" s="128">
        <v>1</v>
      </c>
      <c r="M41" s="128">
        <v>1</v>
      </c>
      <c r="N41" s="128">
        <v>1</v>
      </c>
      <c r="O41" s="128">
        <v>1</v>
      </c>
      <c r="P41" s="128">
        <v>1</v>
      </c>
      <c r="Q41" s="128">
        <v>1</v>
      </c>
      <c r="R41" s="128">
        <v>1</v>
      </c>
      <c r="S41" s="128">
        <v>1</v>
      </c>
      <c r="T41" s="128">
        <v>1</v>
      </c>
      <c r="U41" s="128">
        <v>1</v>
      </c>
      <c r="V41" s="128">
        <v>1</v>
      </c>
      <c r="W41" s="128">
        <v>1</v>
      </c>
      <c r="X41" s="128">
        <v>1</v>
      </c>
      <c r="Y41" s="128">
        <v>1</v>
      </c>
      <c r="Z41" s="128">
        <v>1</v>
      </c>
      <c r="AA41" s="128">
        <v>1</v>
      </c>
      <c r="AB41" s="128">
        <v>1</v>
      </c>
      <c r="AC41" s="128">
        <v>1</v>
      </c>
      <c r="AD41" s="128">
        <v>1</v>
      </c>
      <c r="AE41" s="128">
        <v>1</v>
      </c>
      <c r="AF41" s="128">
        <v>1</v>
      </c>
      <c r="AG41" s="128">
        <v>1</v>
      </c>
      <c r="AH41" s="128">
        <v>1</v>
      </c>
      <c r="AI41" s="128">
        <v>1</v>
      </c>
      <c r="AJ41" s="128">
        <v>1</v>
      </c>
      <c r="AK41" s="128">
        <v>1</v>
      </c>
      <c r="AL41" s="128">
        <v>1</v>
      </c>
      <c r="AM41" s="128">
        <v>1</v>
      </c>
      <c r="AN41" s="128">
        <v>1</v>
      </c>
      <c r="AO41" s="128">
        <v>1</v>
      </c>
      <c r="AP41" s="128">
        <v>1</v>
      </c>
      <c r="AQ41" s="128">
        <v>1</v>
      </c>
      <c r="AR41" s="128">
        <v>1</v>
      </c>
      <c r="AS41" s="128">
        <v>1</v>
      </c>
      <c r="AT41" s="128">
        <v>1</v>
      </c>
      <c r="AU41" s="128">
        <v>1</v>
      </c>
      <c r="AV41" s="128">
        <v>1</v>
      </c>
      <c r="AW41" s="128">
        <v>1</v>
      </c>
      <c r="AX41" s="128">
        <v>1</v>
      </c>
      <c r="AY41" s="128">
        <v>1</v>
      </c>
      <c r="AZ41" s="128">
        <v>1</v>
      </c>
      <c r="BA41" s="128">
        <v>1</v>
      </c>
      <c r="BB41" s="128">
        <v>1</v>
      </c>
      <c r="BC41" s="128">
        <v>1</v>
      </c>
      <c r="BD41" s="128">
        <v>1</v>
      </c>
      <c r="BE41" s="128">
        <v>1</v>
      </c>
      <c r="BF41" s="128">
        <v>1</v>
      </c>
      <c r="BG41" s="128">
        <v>1</v>
      </c>
      <c r="BH41" s="128">
        <v>1</v>
      </c>
      <c r="BI41" s="128">
        <v>1</v>
      </c>
      <c r="BJ41" s="128">
        <v>1</v>
      </c>
      <c r="BK41" s="128">
        <v>1</v>
      </c>
      <c r="BL41" s="128">
        <v>1</v>
      </c>
      <c r="BM41" s="128">
        <v>1</v>
      </c>
      <c r="BN41" s="128">
        <v>1</v>
      </c>
      <c r="BO41" s="128">
        <v>1</v>
      </c>
      <c r="BP41" s="128">
        <v>1</v>
      </c>
      <c r="BQ41" s="128">
        <v>1</v>
      </c>
      <c r="BR41" s="128">
        <v>1</v>
      </c>
      <c r="BS41" s="128">
        <v>1</v>
      </c>
      <c r="BT41" s="128">
        <v>1</v>
      </c>
      <c r="BU41" s="128">
        <v>1</v>
      </c>
      <c r="BV41" s="128">
        <v>1</v>
      </c>
      <c r="BW41" s="128">
        <v>1</v>
      </c>
      <c r="BX41" s="128">
        <v>1</v>
      </c>
      <c r="BY41" s="128">
        <v>1</v>
      </c>
      <c r="BZ41" s="128">
        <v>1</v>
      </c>
      <c r="CA41" s="128">
        <v>1</v>
      </c>
      <c r="CB41" s="128">
        <v>1</v>
      </c>
      <c r="CC41" s="128">
        <v>1</v>
      </c>
      <c r="CD41" s="128">
        <v>1</v>
      </c>
      <c r="CE41" s="128">
        <v>1</v>
      </c>
      <c r="CF41" s="128">
        <v>1</v>
      </c>
      <c r="CG41" s="128">
        <v>1</v>
      </c>
      <c r="CH41" s="128">
        <v>1</v>
      </c>
      <c r="CI41" s="128">
        <v>1</v>
      </c>
      <c r="CJ41" s="128">
        <v>1</v>
      </c>
      <c r="CK41" s="128">
        <v>1</v>
      </c>
      <c r="CL41" s="128">
        <v>1</v>
      </c>
      <c r="CM41" s="128">
        <v>1</v>
      </c>
      <c r="CN41" s="128">
        <v>1</v>
      </c>
      <c r="CO41" s="128">
        <v>1</v>
      </c>
      <c r="CP41" s="128">
        <v>1</v>
      </c>
      <c r="CQ41" s="128">
        <v>1</v>
      </c>
      <c r="CR41" s="128">
        <v>1</v>
      </c>
      <c r="CS41" s="128">
        <v>1</v>
      </c>
      <c r="CT41" s="128">
        <v>1</v>
      </c>
      <c r="CU41" s="128">
        <v>1</v>
      </c>
      <c r="CV41" s="128">
        <v>1</v>
      </c>
      <c r="CW41" s="128">
        <v>1</v>
      </c>
      <c r="CX41" s="128">
        <v>1</v>
      </c>
      <c r="CZ41" s="126">
        <f>SUMIF(MatrixF0[[1]:[2]],MatrixF0[[#This Row],[Столбец1]])/MatrixF0[[#This Row],[Столбец1]]</f>
        <v>0</v>
      </c>
    </row>
    <row r="42" spans="1:104" ht="21" customHeight="1" x14ac:dyDescent="0.25">
      <c r="A42" s="127">
        <v>1.39</v>
      </c>
      <c r="B42" s="128">
        <v>1</v>
      </c>
      <c r="C42" s="128">
        <v>1</v>
      </c>
      <c r="D42" s="128">
        <v>1</v>
      </c>
      <c r="E42" s="128">
        <v>1</v>
      </c>
      <c r="F42" s="128">
        <v>1</v>
      </c>
      <c r="G42" s="128">
        <v>1</v>
      </c>
      <c r="H42" s="128">
        <v>1</v>
      </c>
      <c r="I42" s="128">
        <v>1</v>
      </c>
      <c r="J42" s="128">
        <v>1</v>
      </c>
      <c r="K42" s="128">
        <v>1</v>
      </c>
      <c r="L42" s="128">
        <v>1</v>
      </c>
      <c r="M42" s="128">
        <v>1</v>
      </c>
      <c r="N42" s="128">
        <v>1</v>
      </c>
      <c r="O42" s="128">
        <v>1</v>
      </c>
      <c r="P42" s="128">
        <v>1</v>
      </c>
      <c r="Q42" s="128">
        <v>1</v>
      </c>
      <c r="R42" s="128">
        <v>1</v>
      </c>
      <c r="S42" s="128">
        <v>1</v>
      </c>
      <c r="T42" s="128">
        <v>1</v>
      </c>
      <c r="U42" s="128">
        <v>1</v>
      </c>
      <c r="V42" s="128">
        <v>1</v>
      </c>
      <c r="W42" s="128">
        <v>1</v>
      </c>
      <c r="X42" s="128">
        <v>1</v>
      </c>
      <c r="Y42" s="128">
        <v>1</v>
      </c>
      <c r="Z42" s="128">
        <v>1</v>
      </c>
      <c r="AA42" s="128">
        <v>1</v>
      </c>
      <c r="AB42" s="128">
        <v>1</v>
      </c>
      <c r="AC42" s="128">
        <v>1</v>
      </c>
      <c r="AD42" s="128">
        <v>1</v>
      </c>
      <c r="AE42" s="128">
        <v>1</v>
      </c>
      <c r="AF42" s="128">
        <v>1</v>
      </c>
      <c r="AG42" s="128">
        <v>1</v>
      </c>
      <c r="AH42" s="128">
        <v>1</v>
      </c>
      <c r="AI42" s="128">
        <v>1</v>
      </c>
      <c r="AJ42" s="128">
        <v>1</v>
      </c>
      <c r="AK42" s="128">
        <v>1</v>
      </c>
      <c r="AL42" s="128">
        <v>1</v>
      </c>
      <c r="AM42" s="128">
        <v>1</v>
      </c>
      <c r="AN42" s="128">
        <v>1</v>
      </c>
      <c r="AO42" s="128">
        <v>1</v>
      </c>
      <c r="AP42" s="128">
        <v>1</v>
      </c>
      <c r="AQ42" s="128">
        <v>1</v>
      </c>
      <c r="AR42" s="128">
        <v>1</v>
      </c>
      <c r="AS42" s="128">
        <v>1</v>
      </c>
      <c r="AT42" s="128">
        <v>1</v>
      </c>
      <c r="AU42" s="128">
        <v>1</v>
      </c>
      <c r="AV42" s="128">
        <v>1</v>
      </c>
      <c r="AW42" s="128">
        <v>1</v>
      </c>
      <c r="AX42" s="128">
        <v>1</v>
      </c>
      <c r="AY42" s="128">
        <v>1</v>
      </c>
      <c r="AZ42" s="128">
        <v>1</v>
      </c>
      <c r="BA42" s="128">
        <v>1</v>
      </c>
      <c r="BB42" s="128">
        <v>1</v>
      </c>
      <c r="BC42" s="128">
        <v>1</v>
      </c>
      <c r="BD42" s="128">
        <v>1</v>
      </c>
      <c r="BE42" s="128">
        <v>1</v>
      </c>
      <c r="BF42" s="128">
        <v>1</v>
      </c>
      <c r="BG42" s="128">
        <v>1</v>
      </c>
      <c r="BH42" s="128">
        <v>1</v>
      </c>
      <c r="BI42" s="128">
        <v>1</v>
      </c>
      <c r="BJ42" s="128">
        <v>1</v>
      </c>
      <c r="BK42" s="128">
        <v>1</v>
      </c>
      <c r="BL42" s="128">
        <v>1</v>
      </c>
      <c r="BM42" s="128">
        <v>1</v>
      </c>
      <c r="BN42" s="128">
        <v>1</v>
      </c>
      <c r="BO42" s="128">
        <v>1</v>
      </c>
      <c r="BP42" s="128">
        <v>1</v>
      </c>
      <c r="BQ42" s="128">
        <v>1</v>
      </c>
      <c r="BR42" s="128">
        <v>1</v>
      </c>
      <c r="BS42" s="128">
        <v>1</v>
      </c>
      <c r="BT42" s="128">
        <v>1</v>
      </c>
      <c r="BU42" s="128">
        <v>1</v>
      </c>
      <c r="BV42" s="128">
        <v>1</v>
      </c>
      <c r="BW42" s="128">
        <v>1</v>
      </c>
      <c r="BX42" s="128">
        <v>1</v>
      </c>
      <c r="BY42" s="128">
        <v>1</v>
      </c>
      <c r="BZ42" s="128">
        <v>1</v>
      </c>
      <c r="CA42" s="128">
        <v>1</v>
      </c>
      <c r="CB42" s="128">
        <v>1</v>
      </c>
      <c r="CC42" s="128">
        <v>1</v>
      </c>
      <c r="CD42" s="128">
        <v>1</v>
      </c>
      <c r="CE42" s="128">
        <v>1</v>
      </c>
      <c r="CF42" s="128">
        <v>1</v>
      </c>
      <c r="CG42" s="128">
        <v>1</v>
      </c>
      <c r="CH42" s="128">
        <v>1</v>
      </c>
      <c r="CI42" s="128">
        <v>1</v>
      </c>
      <c r="CJ42" s="128">
        <v>1</v>
      </c>
      <c r="CK42" s="128">
        <v>1</v>
      </c>
      <c r="CL42" s="128">
        <v>1</v>
      </c>
      <c r="CM42" s="128">
        <v>1</v>
      </c>
      <c r="CN42" s="128">
        <v>1</v>
      </c>
      <c r="CO42" s="128">
        <v>1</v>
      </c>
      <c r="CP42" s="128">
        <v>1</v>
      </c>
      <c r="CQ42" s="128">
        <v>1</v>
      </c>
      <c r="CR42" s="128">
        <v>1</v>
      </c>
      <c r="CS42" s="128">
        <v>1</v>
      </c>
      <c r="CT42" s="128">
        <v>1</v>
      </c>
      <c r="CU42" s="128">
        <v>1</v>
      </c>
      <c r="CV42" s="128">
        <v>1</v>
      </c>
      <c r="CW42" s="128">
        <v>1</v>
      </c>
      <c r="CX42" s="128">
        <v>1</v>
      </c>
      <c r="CZ42" s="126">
        <f>SUMIF(MatrixF0[[1]:[2]],MatrixF0[[#This Row],[Столбец1]])/MatrixF0[[#This Row],[Столбец1]]</f>
        <v>0</v>
      </c>
    </row>
    <row r="43" spans="1:104" ht="21" customHeight="1" x14ac:dyDescent="0.25">
      <c r="A43" s="127">
        <v>1.4</v>
      </c>
      <c r="B43" s="128">
        <v>1</v>
      </c>
      <c r="C43" s="128">
        <v>1</v>
      </c>
      <c r="D43" s="128">
        <v>1</v>
      </c>
      <c r="E43" s="128">
        <v>1</v>
      </c>
      <c r="F43" s="128">
        <v>1</v>
      </c>
      <c r="G43" s="128">
        <v>1</v>
      </c>
      <c r="H43" s="128">
        <v>1</v>
      </c>
      <c r="I43" s="128">
        <v>1</v>
      </c>
      <c r="J43" s="128">
        <v>1</v>
      </c>
      <c r="K43" s="128">
        <v>1</v>
      </c>
      <c r="L43" s="128">
        <v>1</v>
      </c>
      <c r="M43" s="128">
        <v>1</v>
      </c>
      <c r="N43" s="128">
        <v>1</v>
      </c>
      <c r="O43" s="128">
        <v>1</v>
      </c>
      <c r="P43" s="128">
        <v>1</v>
      </c>
      <c r="Q43" s="128">
        <v>1</v>
      </c>
      <c r="R43" s="128">
        <v>1</v>
      </c>
      <c r="S43" s="128">
        <v>1</v>
      </c>
      <c r="T43" s="128">
        <v>1</v>
      </c>
      <c r="U43" s="128">
        <v>1</v>
      </c>
      <c r="V43" s="128">
        <v>1</v>
      </c>
      <c r="W43" s="128">
        <v>1</v>
      </c>
      <c r="X43" s="128">
        <v>1</v>
      </c>
      <c r="Y43" s="128">
        <v>1</v>
      </c>
      <c r="Z43" s="128">
        <v>1</v>
      </c>
      <c r="AA43" s="128">
        <v>1</v>
      </c>
      <c r="AB43" s="128">
        <v>1</v>
      </c>
      <c r="AC43" s="128">
        <v>1</v>
      </c>
      <c r="AD43" s="128">
        <v>1</v>
      </c>
      <c r="AE43" s="128">
        <v>1</v>
      </c>
      <c r="AF43" s="128">
        <v>1</v>
      </c>
      <c r="AG43" s="128">
        <v>1</v>
      </c>
      <c r="AH43" s="128">
        <v>1</v>
      </c>
      <c r="AI43" s="128">
        <v>1</v>
      </c>
      <c r="AJ43" s="128">
        <v>1</v>
      </c>
      <c r="AK43" s="128">
        <v>1</v>
      </c>
      <c r="AL43" s="128">
        <v>1</v>
      </c>
      <c r="AM43" s="128">
        <v>1</v>
      </c>
      <c r="AN43" s="128">
        <v>1</v>
      </c>
      <c r="AO43" s="128">
        <v>1</v>
      </c>
      <c r="AP43" s="128">
        <v>1</v>
      </c>
      <c r="AQ43" s="128">
        <v>1</v>
      </c>
      <c r="AR43" s="128">
        <v>1</v>
      </c>
      <c r="AS43" s="128">
        <v>1</v>
      </c>
      <c r="AT43" s="128">
        <v>1</v>
      </c>
      <c r="AU43" s="128">
        <v>1</v>
      </c>
      <c r="AV43" s="128">
        <v>1</v>
      </c>
      <c r="AW43" s="128">
        <v>1</v>
      </c>
      <c r="AX43" s="128">
        <v>1</v>
      </c>
      <c r="AY43" s="128">
        <v>1</v>
      </c>
      <c r="AZ43" s="128">
        <v>1</v>
      </c>
      <c r="BA43" s="128">
        <v>1</v>
      </c>
      <c r="BB43" s="128">
        <v>1</v>
      </c>
      <c r="BC43" s="128">
        <v>1</v>
      </c>
      <c r="BD43" s="128">
        <v>1</v>
      </c>
      <c r="BE43" s="128">
        <v>1</v>
      </c>
      <c r="BF43" s="128">
        <v>1</v>
      </c>
      <c r="BG43" s="128">
        <v>1</v>
      </c>
      <c r="BH43" s="128">
        <v>1</v>
      </c>
      <c r="BI43" s="128">
        <v>1</v>
      </c>
      <c r="BJ43" s="128">
        <v>1</v>
      </c>
      <c r="BK43" s="128">
        <v>1</v>
      </c>
      <c r="BL43" s="128">
        <v>1</v>
      </c>
      <c r="BM43" s="128">
        <v>1</v>
      </c>
      <c r="BN43" s="128">
        <v>1</v>
      </c>
      <c r="BO43" s="128">
        <v>1</v>
      </c>
      <c r="BP43" s="128">
        <v>1</v>
      </c>
      <c r="BQ43" s="128">
        <v>1</v>
      </c>
      <c r="BR43" s="128">
        <v>1</v>
      </c>
      <c r="BS43" s="128">
        <v>1</v>
      </c>
      <c r="BT43" s="128">
        <v>1</v>
      </c>
      <c r="BU43" s="128">
        <v>1</v>
      </c>
      <c r="BV43" s="128">
        <v>1</v>
      </c>
      <c r="BW43" s="128">
        <v>1</v>
      </c>
      <c r="BX43" s="128">
        <v>1</v>
      </c>
      <c r="BY43" s="128">
        <v>1</v>
      </c>
      <c r="BZ43" s="128">
        <v>1</v>
      </c>
      <c r="CA43" s="128">
        <v>1</v>
      </c>
      <c r="CB43" s="128">
        <v>1</v>
      </c>
      <c r="CC43" s="128">
        <v>1</v>
      </c>
      <c r="CD43" s="128">
        <v>1</v>
      </c>
      <c r="CE43" s="128">
        <v>1</v>
      </c>
      <c r="CF43" s="128">
        <v>1</v>
      </c>
      <c r="CG43" s="128">
        <v>1</v>
      </c>
      <c r="CH43" s="128">
        <v>1</v>
      </c>
      <c r="CI43" s="128">
        <v>1</v>
      </c>
      <c r="CJ43" s="128">
        <v>1</v>
      </c>
      <c r="CK43" s="128">
        <v>1</v>
      </c>
      <c r="CL43" s="128">
        <v>1</v>
      </c>
      <c r="CM43" s="128">
        <v>1</v>
      </c>
      <c r="CN43" s="128">
        <v>1</v>
      </c>
      <c r="CO43" s="128">
        <v>1</v>
      </c>
      <c r="CP43" s="128">
        <v>1</v>
      </c>
      <c r="CQ43" s="128">
        <v>1</v>
      </c>
      <c r="CR43" s="128">
        <v>1</v>
      </c>
      <c r="CS43" s="128">
        <v>1</v>
      </c>
      <c r="CT43" s="128">
        <v>1</v>
      </c>
      <c r="CU43" s="128">
        <v>1</v>
      </c>
      <c r="CV43" s="128">
        <v>1</v>
      </c>
      <c r="CW43" s="128">
        <v>1</v>
      </c>
      <c r="CX43" s="128">
        <v>1</v>
      </c>
      <c r="CZ43" s="126">
        <f>SUMIF(MatrixF0[[1]:[2]],MatrixF0[[#This Row],[Столбец1]])/MatrixF0[[#This Row],[Столбец1]]</f>
        <v>0</v>
      </c>
    </row>
    <row r="44" spans="1:104" ht="21" customHeight="1" x14ac:dyDescent="0.25">
      <c r="A44" s="127">
        <v>1.41</v>
      </c>
      <c r="B44" s="128">
        <v>1</v>
      </c>
      <c r="C44" s="128">
        <v>1</v>
      </c>
      <c r="D44" s="128">
        <v>1</v>
      </c>
      <c r="E44" s="128">
        <v>1</v>
      </c>
      <c r="F44" s="128">
        <v>1</v>
      </c>
      <c r="G44" s="128">
        <v>1</v>
      </c>
      <c r="H44" s="128">
        <v>1</v>
      </c>
      <c r="I44" s="128">
        <v>1</v>
      </c>
      <c r="J44" s="128">
        <v>1</v>
      </c>
      <c r="K44" s="128">
        <v>1</v>
      </c>
      <c r="L44" s="128">
        <v>1</v>
      </c>
      <c r="M44" s="128">
        <v>1</v>
      </c>
      <c r="N44" s="128">
        <v>1</v>
      </c>
      <c r="O44" s="128">
        <v>1</v>
      </c>
      <c r="P44" s="128">
        <v>1</v>
      </c>
      <c r="Q44" s="128">
        <v>1</v>
      </c>
      <c r="R44" s="128">
        <v>1</v>
      </c>
      <c r="S44" s="128">
        <v>1</v>
      </c>
      <c r="T44" s="128">
        <v>1</v>
      </c>
      <c r="U44" s="128">
        <v>1</v>
      </c>
      <c r="V44" s="128">
        <v>1</v>
      </c>
      <c r="W44" s="128">
        <v>1</v>
      </c>
      <c r="X44" s="128">
        <v>1</v>
      </c>
      <c r="Y44" s="128">
        <v>1</v>
      </c>
      <c r="Z44" s="128">
        <v>1</v>
      </c>
      <c r="AA44" s="128">
        <v>1</v>
      </c>
      <c r="AB44" s="128">
        <v>1</v>
      </c>
      <c r="AC44" s="128">
        <v>1</v>
      </c>
      <c r="AD44" s="128">
        <v>1</v>
      </c>
      <c r="AE44" s="128">
        <v>1</v>
      </c>
      <c r="AF44" s="128">
        <v>1</v>
      </c>
      <c r="AG44" s="128">
        <v>1</v>
      </c>
      <c r="AH44" s="128">
        <v>1</v>
      </c>
      <c r="AI44" s="128">
        <v>1</v>
      </c>
      <c r="AJ44" s="128">
        <v>1</v>
      </c>
      <c r="AK44" s="128">
        <v>1</v>
      </c>
      <c r="AL44" s="128">
        <v>1</v>
      </c>
      <c r="AM44" s="128">
        <v>1</v>
      </c>
      <c r="AN44" s="128">
        <v>1</v>
      </c>
      <c r="AO44" s="128">
        <v>1</v>
      </c>
      <c r="AP44" s="128">
        <v>1</v>
      </c>
      <c r="AQ44" s="128">
        <v>1</v>
      </c>
      <c r="AR44" s="128">
        <v>1</v>
      </c>
      <c r="AS44" s="128">
        <v>1</v>
      </c>
      <c r="AT44" s="128">
        <v>1</v>
      </c>
      <c r="AU44" s="128">
        <v>1</v>
      </c>
      <c r="AV44" s="128">
        <v>1</v>
      </c>
      <c r="AW44" s="128">
        <v>1</v>
      </c>
      <c r="AX44" s="128">
        <v>1</v>
      </c>
      <c r="AY44" s="128">
        <v>1</v>
      </c>
      <c r="AZ44" s="128">
        <v>1</v>
      </c>
      <c r="BA44" s="128">
        <v>1</v>
      </c>
      <c r="BB44" s="128">
        <v>1</v>
      </c>
      <c r="BC44" s="128">
        <v>1</v>
      </c>
      <c r="BD44" s="128">
        <v>1</v>
      </c>
      <c r="BE44" s="128">
        <v>1</v>
      </c>
      <c r="BF44" s="128">
        <v>1</v>
      </c>
      <c r="BG44" s="128">
        <v>1</v>
      </c>
      <c r="BH44" s="128">
        <v>1</v>
      </c>
      <c r="BI44" s="128">
        <v>1</v>
      </c>
      <c r="BJ44" s="128">
        <v>1</v>
      </c>
      <c r="BK44" s="128">
        <v>1</v>
      </c>
      <c r="BL44" s="128">
        <v>1</v>
      </c>
      <c r="BM44" s="128">
        <v>1</v>
      </c>
      <c r="BN44" s="128">
        <v>1</v>
      </c>
      <c r="BO44" s="128">
        <v>1</v>
      </c>
      <c r="BP44" s="128">
        <v>1</v>
      </c>
      <c r="BQ44" s="128">
        <v>1</v>
      </c>
      <c r="BR44" s="128">
        <v>1</v>
      </c>
      <c r="BS44" s="128">
        <v>1</v>
      </c>
      <c r="BT44" s="128">
        <v>1</v>
      </c>
      <c r="BU44" s="128">
        <v>1</v>
      </c>
      <c r="BV44" s="128">
        <v>1</v>
      </c>
      <c r="BW44" s="128">
        <v>1</v>
      </c>
      <c r="BX44" s="128">
        <v>1</v>
      </c>
      <c r="BY44" s="128">
        <v>1</v>
      </c>
      <c r="BZ44" s="128">
        <v>1</v>
      </c>
      <c r="CA44" s="128">
        <v>1</v>
      </c>
      <c r="CB44" s="128">
        <v>1</v>
      </c>
      <c r="CC44" s="128">
        <v>1</v>
      </c>
      <c r="CD44" s="128">
        <v>1</v>
      </c>
      <c r="CE44" s="128">
        <v>1</v>
      </c>
      <c r="CF44" s="128">
        <v>1</v>
      </c>
      <c r="CG44" s="128">
        <v>1</v>
      </c>
      <c r="CH44" s="128">
        <v>1</v>
      </c>
      <c r="CI44" s="128">
        <v>1</v>
      </c>
      <c r="CJ44" s="128">
        <v>1</v>
      </c>
      <c r="CK44" s="128">
        <v>1</v>
      </c>
      <c r="CL44" s="128">
        <v>1</v>
      </c>
      <c r="CM44" s="128">
        <v>1</v>
      </c>
      <c r="CN44" s="128">
        <v>1</v>
      </c>
      <c r="CO44" s="128">
        <v>1</v>
      </c>
      <c r="CP44" s="128">
        <v>1</v>
      </c>
      <c r="CQ44" s="128">
        <v>1</v>
      </c>
      <c r="CR44" s="128">
        <v>1</v>
      </c>
      <c r="CS44" s="128">
        <v>1</v>
      </c>
      <c r="CT44" s="128">
        <v>1</v>
      </c>
      <c r="CU44" s="128">
        <v>1</v>
      </c>
      <c r="CV44" s="128">
        <v>1</v>
      </c>
      <c r="CW44" s="128">
        <v>1</v>
      </c>
      <c r="CX44" s="128">
        <v>1</v>
      </c>
      <c r="CZ44" s="126">
        <f>SUMIF(MatrixF0[[1]:[2]],MatrixF0[[#This Row],[Столбец1]])/MatrixF0[[#This Row],[Столбец1]]</f>
        <v>0</v>
      </c>
    </row>
    <row r="45" spans="1:104" ht="21" customHeight="1" x14ac:dyDescent="0.25">
      <c r="A45" s="127">
        <v>1.42</v>
      </c>
      <c r="B45" s="128">
        <v>1</v>
      </c>
      <c r="C45" s="128">
        <v>1</v>
      </c>
      <c r="D45" s="128">
        <v>1</v>
      </c>
      <c r="E45" s="128">
        <v>1</v>
      </c>
      <c r="F45" s="128">
        <v>1</v>
      </c>
      <c r="G45" s="128">
        <v>1</v>
      </c>
      <c r="H45" s="128">
        <v>1</v>
      </c>
      <c r="I45" s="128">
        <v>1</v>
      </c>
      <c r="J45" s="128">
        <v>1</v>
      </c>
      <c r="K45" s="128">
        <v>1</v>
      </c>
      <c r="L45" s="128">
        <v>1</v>
      </c>
      <c r="M45" s="128">
        <v>1</v>
      </c>
      <c r="N45" s="128">
        <v>1</v>
      </c>
      <c r="O45" s="128">
        <v>1</v>
      </c>
      <c r="P45" s="128">
        <v>1</v>
      </c>
      <c r="Q45" s="128">
        <v>1</v>
      </c>
      <c r="R45" s="128">
        <v>1</v>
      </c>
      <c r="S45" s="128">
        <v>1</v>
      </c>
      <c r="T45" s="128">
        <v>1</v>
      </c>
      <c r="U45" s="128">
        <v>1</v>
      </c>
      <c r="V45" s="128">
        <v>1</v>
      </c>
      <c r="W45" s="128">
        <v>1</v>
      </c>
      <c r="X45" s="128">
        <v>1</v>
      </c>
      <c r="Y45" s="128">
        <v>1</v>
      </c>
      <c r="Z45" s="128">
        <v>1</v>
      </c>
      <c r="AA45" s="128">
        <v>1</v>
      </c>
      <c r="AB45" s="128">
        <v>1</v>
      </c>
      <c r="AC45" s="128">
        <v>1</v>
      </c>
      <c r="AD45" s="128">
        <v>1</v>
      </c>
      <c r="AE45" s="128">
        <v>1</v>
      </c>
      <c r="AF45" s="128">
        <v>1</v>
      </c>
      <c r="AG45" s="128">
        <v>1</v>
      </c>
      <c r="AH45" s="128">
        <v>1</v>
      </c>
      <c r="AI45" s="128">
        <v>1</v>
      </c>
      <c r="AJ45" s="128">
        <v>1</v>
      </c>
      <c r="AK45" s="128">
        <v>1</v>
      </c>
      <c r="AL45" s="128">
        <v>1</v>
      </c>
      <c r="AM45" s="128">
        <v>1</v>
      </c>
      <c r="AN45" s="128">
        <v>1</v>
      </c>
      <c r="AO45" s="128">
        <v>1</v>
      </c>
      <c r="AP45" s="128">
        <v>1</v>
      </c>
      <c r="AQ45" s="128">
        <v>1</v>
      </c>
      <c r="AR45" s="128">
        <v>1</v>
      </c>
      <c r="AS45" s="128">
        <v>1</v>
      </c>
      <c r="AT45" s="128">
        <v>1</v>
      </c>
      <c r="AU45" s="128">
        <v>1</v>
      </c>
      <c r="AV45" s="128">
        <v>1</v>
      </c>
      <c r="AW45" s="128">
        <v>1</v>
      </c>
      <c r="AX45" s="128">
        <v>1</v>
      </c>
      <c r="AY45" s="128">
        <v>1</v>
      </c>
      <c r="AZ45" s="128">
        <v>1</v>
      </c>
      <c r="BA45" s="128">
        <v>1</v>
      </c>
      <c r="BB45" s="128">
        <v>1</v>
      </c>
      <c r="BC45" s="128">
        <v>1</v>
      </c>
      <c r="BD45" s="128">
        <v>1</v>
      </c>
      <c r="BE45" s="128">
        <v>1</v>
      </c>
      <c r="BF45" s="128">
        <v>1</v>
      </c>
      <c r="BG45" s="128">
        <v>1</v>
      </c>
      <c r="BH45" s="128">
        <v>1</v>
      </c>
      <c r="BI45" s="128">
        <v>1</v>
      </c>
      <c r="BJ45" s="128">
        <v>1</v>
      </c>
      <c r="BK45" s="128">
        <v>1</v>
      </c>
      <c r="BL45" s="128">
        <v>1</v>
      </c>
      <c r="BM45" s="128">
        <v>1</v>
      </c>
      <c r="BN45" s="128">
        <v>1</v>
      </c>
      <c r="BO45" s="128">
        <v>1</v>
      </c>
      <c r="BP45" s="128">
        <v>1</v>
      </c>
      <c r="BQ45" s="128">
        <v>1</v>
      </c>
      <c r="BR45" s="128">
        <v>1</v>
      </c>
      <c r="BS45" s="128">
        <v>1</v>
      </c>
      <c r="BT45" s="128">
        <v>1</v>
      </c>
      <c r="BU45" s="128">
        <v>1</v>
      </c>
      <c r="BV45" s="128">
        <v>1</v>
      </c>
      <c r="BW45" s="128">
        <v>1</v>
      </c>
      <c r="BX45" s="128">
        <v>1</v>
      </c>
      <c r="BY45" s="128">
        <v>1</v>
      </c>
      <c r="BZ45" s="128">
        <v>1</v>
      </c>
      <c r="CA45" s="128">
        <v>1</v>
      </c>
      <c r="CB45" s="128">
        <v>1</v>
      </c>
      <c r="CC45" s="128">
        <v>1</v>
      </c>
      <c r="CD45" s="128">
        <v>1</v>
      </c>
      <c r="CE45" s="128">
        <v>1</v>
      </c>
      <c r="CF45" s="128">
        <v>1</v>
      </c>
      <c r="CG45" s="128">
        <v>1</v>
      </c>
      <c r="CH45" s="128">
        <v>1</v>
      </c>
      <c r="CI45" s="128">
        <v>1</v>
      </c>
      <c r="CJ45" s="128">
        <v>1</v>
      </c>
      <c r="CK45" s="128">
        <v>1</v>
      </c>
      <c r="CL45" s="128">
        <v>1</v>
      </c>
      <c r="CM45" s="128">
        <v>1</v>
      </c>
      <c r="CN45" s="128">
        <v>1</v>
      </c>
      <c r="CO45" s="128">
        <v>1</v>
      </c>
      <c r="CP45" s="128">
        <v>1</v>
      </c>
      <c r="CQ45" s="128">
        <v>1</v>
      </c>
      <c r="CR45" s="128">
        <v>1</v>
      </c>
      <c r="CS45" s="128">
        <v>1</v>
      </c>
      <c r="CT45" s="128">
        <v>1</v>
      </c>
      <c r="CU45" s="128">
        <v>1</v>
      </c>
      <c r="CV45" s="128">
        <v>1</v>
      </c>
      <c r="CW45" s="128">
        <v>1</v>
      </c>
      <c r="CX45" s="128">
        <v>1</v>
      </c>
      <c r="CZ45" s="126">
        <f>SUMIF(MatrixF0[[1]:[2]],MatrixF0[[#This Row],[Столбец1]])/MatrixF0[[#This Row],[Столбец1]]</f>
        <v>0</v>
      </c>
    </row>
    <row r="46" spans="1:104" ht="21" customHeight="1" x14ac:dyDescent="0.25">
      <c r="A46" s="127">
        <v>1.43</v>
      </c>
      <c r="B46" s="128">
        <v>1</v>
      </c>
      <c r="C46" s="128">
        <v>1</v>
      </c>
      <c r="D46" s="128">
        <v>1</v>
      </c>
      <c r="E46" s="128">
        <v>1</v>
      </c>
      <c r="F46" s="128">
        <v>1</v>
      </c>
      <c r="G46" s="128">
        <v>1</v>
      </c>
      <c r="H46" s="128">
        <v>1</v>
      </c>
      <c r="I46" s="128">
        <v>1</v>
      </c>
      <c r="J46" s="128">
        <v>1</v>
      </c>
      <c r="K46" s="128">
        <v>1</v>
      </c>
      <c r="L46" s="128">
        <v>1</v>
      </c>
      <c r="M46" s="128">
        <v>1</v>
      </c>
      <c r="N46" s="128">
        <v>1</v>
      </c>
      <c r="O46" s="128">
        <v>1</v>
      </c>
      <c r="P46" s="128">
        <v>1</v>
      </c>
      <c r="Q46" s="128">
        <v>1</v>
      </c>
      <c r="R46" s="128">
        <v>1</v>
      </c>
      <c r="S46" s="128">
        <v>1</v>
      </c>
      <c r="T46" s="128">
        <v>1</v>
      </c>
      <c r="U46" s="128">
        <v>1</v>
      </c>
      <c r="V46" s="128">
        <v>1</v>
      </c>
      <c r="W46" s="128">
        <v>1</v>
      </c>
      <c r="X46" s="128">
        <v>1</v>
      </c>
      <c r="Y46" s="128">
        <v>1</v>
      </c>
      <c r="Z46" s="128">
        <v>1</v>
      </c>
      <c r="AA46" s="128">
        <v>1</v>
      </c>
      <c r="AB46" s="128">
        <v>1</v>
      </c>
      <c r="AC46" s="128">
        <v>1</v>
      </c>
      <c r="AD46" s="128">
        <v>1</v>
      </c>
      <c r="AE46" s="128">
        <v>1</v>
      </c>
      <c r="AF46" s="128">
        <v>1</v>
      </c>
      <c r="AG46" s="128">
        <v>1</v>
      </c>
      <c r="AH46" s="128">
        <v>1</v>
      </c>
      <c r="AI46" s="128">
        <v>1</v>
      </c>
      <c r="AJ46" s="128">
        <v>1</v>
      </c>
      <c r="AK46" s="128">
        <v>1</v>
      </c>
      <c r="AL46" s="128">
        <v>1</v>
      </c>
      <c r="AM46" s="128">
        <v>1</v>
      </c>
      <c r="AN46" s="128">
        <v>1</v>
      </c>
      <c r="AO46" s="128">
        <v>1</v>
      </c>
      <c r="AP46" s="128">
        <v>1</v>
      </c>
      <c r="AQ46" s="128">
        <v>1</v>
      </c>
      <c r="AR46" s="128">
        <v>1</v>
      </c>
      <c r="AS46" s="128">
        <v>1</v>
      </c>
      <c r="AT46" s="128">
        <v>1</v>
      </c>
      <c r="AU46" s="128">
        <v>1</v>
      </c>
      <c r="AV46" s="128">
        <v>1</v>
      </c>
      <c r="AW46" s="128">
        <v>1</v>
      </c>
      <c r="AX46" s="128">
        <v>1</v>
      </c>
      <c r="AY46" s="128">
        <v>1</v>
      </c>
      <c r="AZ46" s="128">
        <v>1</v>
      </c>
      <c r="BA46" s="128">
        <v>1</v>
      </c>
      <c r="BB46" s="128">
        <v>1</v>
      </c>
      <c r="BC46" s="128">
        <v>1</v>
      </c>
      <c r="BD46" s="128">
        <v>1</v>
      </c>
      <c r="BE46" s="128">
        <v>1</v>
      </c>
      <c r="BF46" s="128">
        <v>1</v>
      </c>
      <c r="BG46" s="128">
        <v>1</v>
      </c>
      <c r="BH46" s="128">
        <v>1</v>
      </c>
      <c r="BI46" s="128">
        <v>1</v>
      </c>
      <c r="BJ46" s="128">
        <v>1</v>
      </c>
      <c r="BK46" s="128">
        <v>1</v>
      </c>
      <c r="BL46" s="128">
        <v>1</v>
      </c>
      <c r="BM46" s="128">
        <v>1</v>
      </c>
      <c r="BN46" s="128">
        <v>1</v>
      </c>
      <c r="BO46" s="128">
        <v>1</v>
      </c>
      <c r="BP46" s="128">
        <v>1</v>
      </c>
      <c r="BQ46" s="128">
        <v>1</v>
      </c>
      <c r="BR46" s="128">
        <v>1</v>
      </c>
      <c r="BS46" s="128">
        <v>1</v>
      </c>
      <c r="BT46" s="128">
        <v>1</v>
      </c>
      <c r="BU46" s="128">
        <v>1</v>
      </c>
      <c r="BV46" s="128">
        <v>1</v>
      </c>
      <c r="BW46" s="128">
        <v>1</v>
      </c>
      <c r="BX46" s="128">
        <v>1</v>
      </c>
      <c r="BY46" s="128">
        <v>1</v>
      </c>
      <c r="BZ46" s="128">
        <v>1</v>
      </c>
      <c r="CA46" s="128">
        <v>1</v>
      </c>
      <c r="CB46" s="128">
        <v>1</v>
      </c>
      <c r="CC46" s="128">
        <v>1</v>
      </c>
      <c r="CD46" s="128">
        <v>1</v>
      </c>
      <c r="CE46" s="128">
        <v>1</v>
      </c>
      <c r="CF46" s="128">
        <v>1</v>
      </c>
      <c r="CG46" s="128">
        <v>1</v>
      </c>
      <c r="CH46" s="128">
        <v>1</v>
      </c>
      <c r="CI46" s="128">
        <v>1</v>
      </c>
      <c r="CJ46" s="128">
        <v>1</v>
      </c>
      <c r="CK46" s="128">
        <v>1</v>
      </c>
      <c r="CL46" s="128">
        <v>1</v>
      </c>
      <c r="CM46" s="128">
        <v>1</v>
      </c>
      <c r="CN46" s="128">
        <v>1</v>
      </c>
      <c r="CO46" s="128">
        <v>1</v>
      </c>
      <c r="CP46" s="128">
        <v>1</v>
      </c>
      <c r="CQ46" s="128">
        <v>1</v>
      </c>
      <c r="CR46" s="128">
        <v>1</v>
      </c>
      <c r="CS46" s="128">
        <v>1</v>
      </c>
      <c r="CT46" s="128">
        <v>1</v>
      </c>
      <c r="CU46" s="128">
        <v>1</v>
      </c>
      <c r="CV46" s="128">
        <v>1</v>
      </c>
      <c r="CW46" s="128">
        <v>1</v>
      </c>
      <c r="CX46" s="128">
        <v>1</v>
      </c>
      <c r="CZ46" s="126">
        <f>SUMIF(MatrixF0[[1]:[2]],MatrixF0[[#This Row],[Столбец1]])/MatrixF0[[#This Row],[Столбец1]]</f>
        <v>0</v>
      </c>
    </row>
    <row r="47" spans="1:104" ht="21" customHeight="1" x14ac:dyDescent="0.25">
      <c r="A47" s="127">
        <v>1.44</v>
      </c>
      <c r="B47" s="128">
        <v>1</v>
      </c>
      <c r="C47" s="128">
        <v>1</v>
      </c>
      <c r="D47" s="128">
        <v>1</v>
      </c>
      <c r="E47" s="128">
        <v>1</v>
      </c>
      <c r="F47" s="128">
        <v>1</v>
      </c>
      <c r="G47" s="128">
        <v>1</v>
      </c>
      <c r="H47" s="128">
        <v>1</v>
      </c>
      <c r="I47" s="128">
        <v>1</v>
      </c>
      <c r="J47" s="128">
        <v>1</v>
      </c>
      <c r="K47" s="128">
        <v>1</v>
      </c>
      <c r="L47" s="128">
        <v>1</v>
      </c>
      <c r="M47" s="128">
        <v>1</v>
      </c>
      <c r="N47" s="128">
        <v>1</v>
      </c>
      <c r="O47" s="128">
        <v>1</v>
      </c>
      <c r="P47" s="128">
        <v>1</v>
      </c>
      <c r="Q47" s="128">
        <v>1</v>
      </c>
      <c r="R47" s="128">
        <v>1</v>
      </c>
      <c r="S47" s="128">
        <v>1</v>
      </c>
      <c r="T47" s="128">
        <v>1</v>
      </c>
      <c r="U47" s="128">
        <v>1</v>
      </c>
      <c r="V47" s="128">
        <v>1</v>
      </c>
      <c r="W47" s="128">
        <v>1</v>
      </c>
      <c r="X47" s="128">
        <v>1</v>
      </c>
      <c r="Y47" s="128">
        <v>1</v>
      </c>
      <c r="Z47" s="128">
        <v>1</v>
      </c>
      <c r="AA47" s="128">
        <v>1</v>
      </c>
      <c r="AB47" s="128">
        <v>1</v>
      </c>
      <c r="AC47" s="128">
        <v>1</v>
      </c>
      <c r="AD47" s="128">
        <v>1</v>
      </c>
      <c r="AE47" s="128">
        <v>1</v>
      </c>
      <c r="AF47" s="128">
        <v>1</v>
      </c>
      <c r="AG47" s="128">
        <v>1</v>
      </c>
      <c r="AH47" s="128">
        <v>1</v>
      </c>
      <c r="AI47" s="128">
        <v>1</v>
      </c>
      <c r="AJ47" s="128">
        <v>1</v>
      </c>
      <c r="AK47" s="128">
        <v>1</v>
      </c>
      <c r="AL47" s="128">
        <v>1</v>
      </c>
      <c r="AM47" s="128">
        <v>1</v>
      </c>
      <c r="AN47" s="128">
        <v>1</v>
      </c>
      <c r="AO47" s="128">
        <v>1</v>
      </c>
      <c r="AP47" s="128">
        <v>1</v>
      </c>
      <c r="AQ47" s="128">
        <v>1</v>
      </c>
      <c r="AR47" s="128">
        <v>1</v>
      </c>
      <c r="AS47" s="128">
        <v>1</v>
      </c>
      <c r="AT47" s="128">
        <v>1</v>
      </c>
      <c r="AU47" s="128">
        <v>1</v>
      </c>
      <c r="AV47" s="128">
        <v>1</v>
      </c>
      <c r="AW47" s="128">
        <v>1</v>
      </c>
      <c r="AX47" s="128">
        <v>1</v>
      </c>
      <c r="AY47" s="128">
        <v>1</v>
      </c>
      <c r="AZ47" s="128">
        <v>1</v>
      </c>
      <c r="BA47" s="128">
        <v>1</v>
      </c>
      <c r="BB47" s="128">
        <v>1</v>
      </c>
      <c r="BC47" s="128">
        <v>1</v>
      </c>
      <c r="BD47" s="128">
        <v>1</v>
      </c>
      <c r="BE47" s="128">
        <v>1</v>
      </c>
      <c r="BF47" s="128">
        <v>1</v>
      </c>
      <c r="BG47" s="128">
        <v>1</v>
      </c>
      <c r="BH47" s="128">
        <v>1</v>
      </c>
      <c r="BI47" s="128">
        <v>1</v>
      </c>
      <c r="BJ47" s="128">
        <v>1</v>
      </c>
      <c r="BK47" s="128">
        <v>1</v>
      </c>
      <c r="BL47" s="128">
        <v>1</v>
      </c>
      <c r="BM47" s="128">
        <v>1</v>
      </c>
      <c r="BN47" s="128">
        <v>1</v>
      </c>
      <c r="BO47" s="128">
        <v>1</v>
      </c>
      <c r="BP47" s="128">
        <v>1</v>
      </c>
      <c r="BQ47" s="128">
        <v>1</v>
      </c>
      <c r="BR47" s="128">
        <v>1</v>
      </c>
      <c r="BS47" s="128">
        <v>1</v>
      </c>
      <c r="BT47" s="128">
        <v>1</v>
      </c>
      <c r="BU47" s="128">
        <v>1</v>
      </c>
      <c r="BV47" s="128">
        <v>1</v>
      </c>
      <c r="BW47" s="128">
        <v>1</v>
      </c>
      <c r="BX47" s="128">
        <v>1</v>
      </c>
      <c r="BY47" s="128">
        <v>1</v>
      </c>
      <c r="BZ47" s="128">
        <v>1</v>
      </c>
      <c r="CA47" s="128">
        <v>1</v>
      </c>
      <c r="CB47" s="128">
        <v>1</v>
      </c>
      <c r="CC47" s="128">
        <v>1</v>
      </c>
      <c r="CD47" s="128">
        <v>1</v>
      </c>
      <c r="CE47" s="128">
        <v>1</v>
      </c>
      <c r="CF47" s="128">
        <v>1</v>
      </c>
      <c r="CG47" s="128">
        <v>1</v>
      </c>
      <c r="CH47" s="128">
        <v>1</v>
      </c>
      <c r="CI47" s="128">
        <v>1</v>
      </c>
      <c r="CJ47" s="128">
        <v>1</v>
      </c>
      <c r="CK47" s="128">
        <v>1</v>
      </c>
      <c r="CL47" s="128">
        <v>1</v>
      </c>
      <c r="CM47" s="128">
        <v>1</v>
      </c>
      <c r="CN47" s="128">
        <v>1</v>
      </c>
      <c r="CO47" s="128">
        <v>1</v>
      </c>
      <c r="CP47" s="128">
        <v>1</v>
      </c>
      <c r="CQ47" s="128">
        <v>1</v>
      </c>
      <c r="CR47" s="128">
        <v>1</v>
      </c>
      <c r="CS47" s="128">
        <v>1</v>
      </c>
      <c r="CT47" s="128">
        <v>1</v>
      </c>
      <c r="CU47" s="128">
        <v>1</v>
      </c>
      <c r="CV47" s="128">
        <v>1</v>
      </c>
      <c r="CW47" s="128">
        <v>1</v>
      </c>
      <c r="CX47" s="128">
        <v>1</v>
      </c>
      <c r="CZ47" s="126">
        <f>SUMIF(MatrixF0[[1]:[2]],MatrixF0[[#This Row],[Столбец1]])/MatrixF0[[#This Row],[Столбец1]]</f>
        <v>0</v>
      </c>
    </row>
    <row r="48" spans="1:104" ht="21" customHeight="1" x14ac:dyDescent="0.25">
      <c r="A48" s="127">
        <v>1.45</v>
      </c>
      <c r="B48" s="128">
        <v>1</v>
      </c>
      <c r="C48" s="128">
        <v>1</v>
      </c>
      <c r="D48" s="128">
        <v>1</v>
      </c>
      <c r="E48" s="128">
        <v>1</v>
      </c>
      <c r="F48" s="128">
        <v>1</v>
      </c>
      <c r="G48" s="128">
        <v>1</v>
      </c>
      <c r="H48" s="128">
        <v>1</v>
      </c>
      <c r="I48" s="128">
        <v>1</v>
      </c>
      <c r="J48" s="128">
        <v>1</v>
      </c>
      <c r="K48" s="128">
        <v>1</v>
      </c>
      <c r="L48" s="128">
        <v>1</v>
      </c>
      <c r="M48" s="128">
        <v>1</v>
      </c>
      <c r="N48" s="128">
        <v>1</v>
      </c>
      <c r="O48" s="128">
        <v>1</v>
      </c>
      <c r="P48" s="128">
        <v>1</v>
      </c>
      <c r="Q48" s="128">
        <v>1</v>
      </c>
      <c r="R48" s="128">
        <v>1</v>
      </c>
      <c r="S48" s="128">
        <v>1</v>
      </c>
      <c r="T48" s="128">
        <v>1</v>
      </c>
      <c r="U48" s="128">
        <v>1</v>
      </c>
      <c r="V48" s="128">
        <v>1</v>
      </c>
      <c r="W48" s="128">
        <v>1</v>
      </c>
      <c r="X48" s="128">
        <v>1</v>
      </c>
      <c r="Y48" s="128">
        <v>1</v>
      </c>
      <c r="Z48" s="128">
        <v>1</v>
      </c>
      <c r="AA48" s="128">
        <v>1</v>
      </c>
      <c r="AB48" s="128">
        <v>1</v>
      </c>
      <c r="AC48" s="128">
        <v>1</v>
      </c>
      <c r="AD48" s="128">
        <v>1</v>
      </c>
      <c r="AE48" s="128">
        <v>1</v>
      </c>
      <c r="AF48" s="128">
        <v>1</v>
      </c>
      <c r="AG48" s="128">
        <v>1</v>
      </c>
      <c r="AH48" s="128">
        <v>1</v>
      </c>
      <c r="AI48" s="128">
        <v>1</v>
      </c>
      <c r="AJ48" s="128">
        <v>1</v>
      </c>
      <c r="AK48" s="128">
        <v>1</v>
      </c>
      <c r="AL48" s="128">
        <v>1</v>
      </c>
      <c r="AM48" s="128">
        <v>1</v>
      </c>
      <c r="AN48" s="128">
        <v>1</v>
      </c>
      <c r="AO48" s="128">
        <v>1</v>
      </c>
      <c r="AP48" s="128">
        <v>1</v>
      </c>
      <c r="AQ48" s="128">
        <v>1</v>
      </c>
      <c r="AR48" s="128">
        <v>1</v>
      </c>
      <c r="AS48" s="128">
        <v>1</v>
      </c>
      <c r="AT48" s="128">
        <v>1</v>
      </c>
      <c r="AU48" s="128">
        <v>1</v>
      </c>
      <c r="AV48" s="128">
        <v>1</v>
      </c>
      <c r="AW48" s="128">
        <v>1</v>
      </c>
      <c r="AX48" s="128">
        <v>1</v>
      </c>
      <c r="AY48" s="128">
        <v>1</v>
      </c>
      <c r="AZ48" s="128">
        <v>1</v>
      </c>
      <c r="BA48" s="128">
        <v>1</v>
      </c>
      <c r="BB48" s="128">
        <v>1</v>
      </c>
      <c r="BC48" s="128">
        <v>1</v>
      </c>
      <c r="BD48" s="128">
        <v>1</v>
      </c>
      <c r="BE48" s="128">
        <v>1</v>
      </c>
      <c r="BF48" s="128">
        <v>1</v>
      </c>
      <c r="BG48" s="128">
        <v>1</v>
      </c>
      <c r="BH48" s="128">
        <v>1</v>
      </c>
      <c r="BI48" s="128">
        <v>1</v>
      </c>
      <c r="BJ48" s="128">
        <v>1</v>
      </c>
      <c r="BK48" s="128">
        <v>1</v>
      </c>
      <c r="BL48" s="128">
        <v>1</v>
      </c>
      <c r="BM48" s="128">
        <v>1</v>
      </c>
      <c r="BN48" s="128">
        <v>1</v>
      </c>
      <c r="BO48" s="128">
        <v>1</v>
      </c>
      <c r="BP48" s="128">
        <v>1</v>
      </c>
      <c r="BQ48" s="128">
        <v>1</v>
      </c>
      <c r="BR48" s="128">
        <v>1</v>
      </c>
      <c r="BS48" s="128">
        <v>1</v>
      </c>
      <c r="BT48" s="128">
        <v>1</v>
      </c>
      <c r="BU48" s="128">
        <v>1</v>
      </c>
      <c r="BV48" s="128">
        <v>1</v>
      </c>
      <c r="BW48" s="128">
        <v>1</v>
      </c>
      <c r="BX48" s="128">
        <v>1</v>
      </c>
      <c r="BY48" s="128">
        <v>1</v>
      </c>
      <c r="BZ48" s="128">
        <v>1</v>
      </c>
      <c r="CA48" s="128">
        <v>1</v>
      </c>
      <c r="CB48" s="128">
        <v>1</v>
      </c>
      <c r="CC48" s="128">
        <v>1</v>
      </c>
      <c r="CD48" s="128">
        <v>1</v>
      </c>
      <c r="CE48" s="128">
        <v>1</v>
      </c>
      <c r="CF48" s="128">
        <v>1</v>
      </c>
      <c r="CG48" s="128">
        <v>1</v>
      </c>
      <c r="CH48" s="128">
        <v>1</v>
      </c>
      <c r="CI48" s="128">
        <v>1</v>
      </c>
      <c r="CJ48" s="128">
        <v>1</v>
      </c>
      <c r="CK48" s="128">
        <v>1</v>
      </c>
      <c r="CL48" s="128">
        <v>1</v>
      </c>
      <c r="CM48" s="128">
        <v>1</v>
      </c>
      <c r="CN48" s="128">
        <v>1</v>
      </c>
      <c r="CO48" s="128">
        <v>1</v>
      </c>
      <c r="CP48" s="128">
        <v>1</v>
      </c>
      <c r="CQ48" s="128">
        <v>1</v>
      </c>
      <c r="CR48" s="128">
        <v>1</v>
      </c>
      <c r="CS48" s="128">
        <v>1</v>
      </c>
      <c r="CT48" s="128">
        <v>1</v>
      </c>
      <c r="CU48" s="128">
        <v>1</v>
      </c>
      <c r="CV48" s="128">
        <v>1</v>
      </c>
      <c r="CW48" s="128">
        <v>1</v>
      </c>
      <c r="CX48" s="128">
        <v>1</v>
      </c>
      <c r="CZ48" s="126">
        <f>SUMIF(MatrixF0[[1]:[2]],MatrixF0[[#This Row],[Столбец1]])/MatrixF0[[#This Row],[Столбец1]]</f>
        <v>0</v>
      </c>
    </row>
    <row r="49" spans="1:104" ht="21" customHeight="1" x14ac:dyDescent="0.25">
      <c r="A49" s="127">
        <v>1.46</v>
      </c>
      <c r="B49" s="128">
        <v>1</v>
      </c>
      <c r="C49" s="128">
        <v>1</v>
      </c>
      <c r="D49" s="128">
        <v>1</v>
      </c>
      <c r="E49" s="128">
        <v>1</v>
      </c>
      <c r="F49" s="128">
        <v>1</v>
      </c>
      <c r="G49" s="128">
        <v>1</v>
      </c>
      <c r="H49" s="128">
        <v>1</v>
      </c>
      <c r="I49" s="128">
        <v>1</v>
      </c>
      <c r="J49" s="128">
        <v>1</v>
      </c>
      <c r="K49" s="128">
        <v>1</v>
      </c>
      <c r="L49" s="128">
        <v>1</v>
      </c>
      <c r="M49" s="128">
        <v>1</v>
      </c>
      <c r="N49" s="128">
        <v>1</v>
      </c>
      <c r="O49" s="128">
        <v>1</v>
      </c>
      <c r="P49" s="128">
        <v>1</v>
      </c>
      <c r="Q49" s="128">
        <v>1</v>
      </c>
      <c r="R49" s="128">
        <v>1</v>
      </c>
      <c r="S49" s="128">
        <v>1</v>
      </c>
      <c r="T49" s="128">
        <v>1</v>
      </c>
      <c r="U49" s="128">
        <v>1</v>
      </c>
      <c r="V49" s="128">
        <v>1</v>
      </c>
      <c r="W49" s="128">
        <v>1</v>
      </c>
      <c r="X49" s="128">
        <v>1</v>
      </c>
      <c r="Y49" s="128">
        <v>1</v>
      </c>
      <c r="Z49" s="128">
        <v>1</v>
      </c>
      <c r="AA49" s="128">
        <v>1</v>
      </c>
      <c r="AB49" s="128">
        <v>1</v>
      </c>
      <c r="AC49" s="128">
        <v>1</v>
      </c>
      <c r="AD49" s="128">
        <v>1</v>
      </c>
      <c r="AE49" s="128">
        <v>1</v>
      </c>
      <c r="AF49" s="128">
        <v>1</v>
      </c>
      <c r="AG49" s="128">
        <v>1</v>
      </c>
      <c r="AH49" s="128">
        <v>1</v>
      </c>
      <c r="AI49" s="128">
        <v>1</v>
      </c>
      <c r="AJ49" s="128">
        <v>1</v>
      </c>
      <c r="AK49" s="128">
        <v>1</v>
      </c>
      <c r="AL49" s="128">
        <v>1</v>
      </c>
      <c r="AM49" s="128">
        <v>1</v>
      </c>
      <c r="AN49" s="128">
        <v>1</v>
      </c>
      <c r="AO49" s="128">
        <v>1</v>
      </c>
      <c r="AP49" s="128">
        <v>1</v>
      </c>
      <c r="AQ49" s="128">
        <v>1</v>
      </c>
      <c r="AR49" s="128">
        <v>1</v>
      </c>
      <c r="AS49" s="128">
        <v>1</v>
      </c>
      <c r="AT49" s="128">
        <v>1</v>
      </c>
      <c r="AU49" s="128">
        <v>1</v>
      </c>
      <c r="AV49" s="128">
        <v>1</v>
      </c>
      <c r="AW49" s="128">
        <v>1</v>
      </c>
      <c r="AX49" s="128">
        <v>1</v>
      </c>
      <c r="AY49" s="128">
        <v>1</v>
      </c>
      <c r="AZ49" s="128">
        <v>1</v>
      </c>
      <c r="BA49" s="128">
        <v>1</v>
      </c>
      <c r="BB49" s="128">
        <v>1</v>
      </c>
      <c r="BC49" s="128">
        <v>1</v>
      </c>
      <c r="BD49" s="128">
        <v>1</v>
      </c>
      <c r="BE49" s="128">
        <v>1</v>
      </c>
      <c r="BF49" s="128">
        <v>1</v>
      </c>
      <c r="BG49" s="128">
        <v>1</v>
      </c>
      <c r="BH49" s="128">
        <v>1</v>
      </c>
      <c r="BI49" s="128">
        <v>1</v>
      </c>
      <c r="BJ49" s="128">
        <v>1</v>
      </c>
      <c r="BK49" s="128">
        <v>1</v>
      </c>
      <c r="BL49" s="128">
        <v>1</v>
      </c>
      <c r="BM49" s="128">
        <v>1</v>
      </c>
      <c r="BN49" s="128">
        <v>1</v>
      </c>
      <c r="BO49" s="128">
        <v>1</v>
      </c>
      <c r="BP49" s="128">
        <v>1</v>
      </c>
      <c r="BQ49" s="128">
        <v>1</v>
      </c>
      <c r="BR49" s="128">
        <v>1</v>
      </c>
      <c r="BS49" s="128">
        <v>1</v>
      </c>
      <c r="BT49" s="128">
        <v>1</v>
      </c>
      <c r="BU49" s="128">
        <v>1</v>
      </c>
      <c r="BV49" s="128">
        <v>1</v>
      </c>
      <c r="BW49" s="128">
        <v>1</v>
      </c>
      <c r="BX49" s="128">
        <v>1</v>
      </c>
      <c r="BY49" s="128">
        <v>1</v>
      </c>
      <c r="BZ49" s="128">
        <v>1</v>
      </c>
      <c r="CA49" s="128">
        <v>1</v>
      </c>
      <c r="CB49" s="128">
        <v>1</v>
      </c>
      <c r="CC49" s="128">
        <v>1</v>
      </c>
      <c r="CD49" s="128">
        <v>1</v>
      </c>
      <c r="CE49" s="128">
        <v>1</v>
      </c>
      <c r="CF49" s="128">
        <v>1</v>
      </c>
      <c r="CG49" s="128">
        <v>1</v>
      </c>
      <c r="CH49" s="128">
        <v>1</v>
      </c>
      <c r="CI49" s="128">
        <v>1</v>
      </c>
      <c r="CJ49" s="128">
        <v>1</v>
      </c>
      <c r="CK49" s="128">
        <v>1</v>
      </c>
      <c r="CL49" s="128">
        <v>1</v>
      </c>
      <c r="CM49" s="128">
        <v>1</v>
      </c>
      <c r="CN49" s="128">
        <v>1</v>
      </c>
      <c r="CO49" s="128">
        <v>1</v>
      </c>
      <c r="CP49" s="128">
        <v>1</v>
      </c>
      <c r="CQ49" s="128">
        <v>1</v>
      </c>
      <c r="CR49" s="128">
        <v>1</v>
      </c>
      <c r="CS49" s="128">
        <v>1</v>
      </c>
      <c r="CT49" s="128">
        <v>1</v>
      </c>
      <c r="CU49" s="128">
        <v>1</v>
      </c>
      <c r="CV49" s="128">
        <v>1</v>
      </c>
      <c r="CW49" s="128">
        <v>1</v>
      </c>
      <c r="CX49" s="128">
        <v>1</v>
      </c>
      <c r="CZ49" s="126">
        <f>SUMIF(MatrixF0[[1]:[2]],MatrixF0[[#This Row],[Столбец1]])/MatrixF0[[#This Row],[Столбец1]]</f>
        <v>0</v>
      </c>
    </row>
    <row r="50" spans="1:104" ht="21" customHeight="1" x14ac:dyDescent="0.25">
      <c r="A50" s="127">
        <v>1.47</v>
      </c>
      <c r="B50" s="128">
        <v>1</v>
      </c>
      <c r="C50" s="128">
        <v>1</v>
      </c>
      <c r="D50" s="128">
        <v>1</v>
      </c>
      <c r="E50" s="128">
        <v>1</v>
      </c>
      <c r="F50" s="128">
        <v>1</v>
      </c>
      <c r="G50" s="128">
        <v>1</v>
      </c>
      <c r="H50" s="128">
        <v>1</v>
      </c>
      <c r="I50" s="128">
        <v>1</v>
      </c>
      <c r="J50" s="128">
        <v>1</v>
      </c>
      <c r="K50" s="128">
        <v>1</v>
      </c>
      <c r="L50" s="128">
        <v>1</v>
      </c>
      <c r="M50" s="128">
        <v>1</v>
      </c>
      <c r="N50" s="128">
        <v>1</v>
      </c>
      <c r="O50" s="128">
        <v>1</v>
      </c>
      <c r="P50" s="128">
        <v>1</v>
      </c>
      <c r="Q50" s="128">
        <v>1</v>
      </c>
      <c r="R50" s="128">
        <v>1</v>
      </c>
      <c r="S50" s="128">
        <v>1</v>
      </c>
      <c r="T50" s="128">
        <v>1</v>
      </c>
      <c r="U50" s="128">
        <v>1</v>
      </c>
      <c r="V50" s="128">
        <v>1</v>
      </c>
      <c r="W50" s="128">
        <v>1</v>
      </c>
      <c r="X50" s="128">
        <v>1</v>
      </c>
      <c r="Y50" s="128">
        <v>1</v>
      </c>
      <c r="Z50" s="128">
        <v>1</v>
      </c>
      <c r="AA50" s="128">
        <v>1</v>
      </c>
      <c r="AB50" s="128">
        <v>1</v>
      </c>
      <c r="AC50" s="128">
        <v>1</v>
      </c>
      <c r="AD50" s="128">
        <v>1</v>
      </c>
      <c r="AE50" s="128">
        <v>1</v>
      </c>
      <c r="AF50" s="128">
        <v>1</v>
      </c>
      <c r="AG50" s="128">
        <v>1</v>
      </c>
      <c r="AH50" s="128">
        <v>1</v>
      </c>
      <c r="AI50" s="128">
        <v>1</v>
      </c>
      <c r="AJ50" s="128">
        <v>1</v>
      </c>
      <c r="AK50" s="128">
        <v>1</v>
      </c>
      <c r="AL50" s="128">
        <v>1</v>
      </c>
      <c r="AM50" s="128">
        <v>1</v>
      </c>
      <c r="AN50" s="128">
        <v>1</v>
      </c>
      <c r="AO50" s="128">
        <v>1</v>
      </c>
      <c r="AP50" s="128">
        <v>1</v>
      </c>
      <c r="AQ50" s="128">
        <v>1</v>
      </c>
      <c r="AR50" s="128">
        <v>1</v>
      </c>
      <c r="AS50" s="128">
        <v>1</v>
      </c>
      <c r="AT50" s="128">
        <v>1</v>
      </c>
      <c r="AU50" s="128">
        <v>1</v>
      </c>
      <c r="AV50" s="128">
        <v>1</v>
      </c>
      <c r="AW50" s="128">
        <v>1</v>
      </c>
      <c r="AX50" s="128">
        <v>1</v>
      </c>
      <c r="AY50" s="128">
        <v>1</v>
      </c>
      <c r="AZ50" s="128">
        <v>1</v>
      </c>
      <c r="BA50" s="128">
        <v>1</v>
      </c>
      <c r="BB50" s="128">
        <v>1</v>
      </c>
      <c r="BC50" s="128">
        <v>1</v>
      </c>
      <c r="BD50" s="128">
        <v>1</v>
      </c>
      <c r="BE50" s="128">
        <v>1</v>
      </c>
      <c r="BF50" s="128">
        <v>1</v>
      </c>
      <c r="BG50" s="128">
        <v>1</v>
      </c>
      <c r="BH50" s="128">
        <v>1</v>
      </c>
      <c r="BI50" s="128">
        <v>1</v>
      </c>
      <c r="BJ50" s="128">
        <v>1</v>
      </c>
      <c r="BK50" s="128">
        <v>1</v>
      </c>
      <c r="BL50" s="128">
        <v>1</v>
      </c>
      <c r="BM50" s="128">
        <v>1</v>
      </c>
      <c r="BN50" s="128">
        <v>1</v>
      </c>
      <c r="BO50" s="128">
        <v>1</v>
      </c>
      <c r="BP50" s="128">
        <v>1</v>
      </c>
      <c r="BQ50" s="128">
        <v>1</v>
      </c>
      <c r="BR50" s="128">
        <v>1</v>
      </c>
      <c r="BS50" s="128">
        <v>1</v>
      </c>
      <c r="BT50" s="128">
        <v>1</v>
      </c>
      <c r="BU50" s="128">
        <v>1</v>
      </c>
      <c r="BV50" s="128">
        <v>1</v>
      </c>
      <c r="BW50" s="128">
        <v>1</v>
      </c>
      <c r="BX50" s="128">
        <v>1</v>
      </c>
      <c r="BY50" s="128">
        <v>1</v>
      </c>
      <c r="BZ50" s="128">
        <v>1</v>
      </c>
      <c r="CA50" s="128">
        <v>1</v>
      </c>
      <c r="CB50" s="128">
        <v>1</v>
      </c>
      <c r="CC50" s="128">
        <v>1</v>
      </c>
      <c r="CD50" s="128">
        <v>1</v>
      </c>
      <c r="CE50" s="128">
        <v>1</v>
      </c>
      <c r="CF50" s="128">
        <v>1</v>
      </c>
      <c r="CG50" s="128">
        <v>1</v>
      </c>
      <c r="CH50" s="128">
        <v>1</v>
      </c>
      <c r="CI50" s="128">
        <v>1</v>
      </c>
      <c r="CJ50" s="128">
        <v>1</v>
      </c>
      <c r="CK50" s="128">
        <v>1</v>
      </c>
      <c r="CL50" s="128">
        <v>1</v>
      </c>
      <c r="CM50" s="128">
        <v>1</v>
      </c>
      <c r="CN50" s="128">
        <v>1</v>
      </c>
      <c r="CO50" s="128">
        <v>1</v>
      </c>
      <c r="CP50" s="128">
        <v>1</v>
      </c>
      <c r="CQ50" s="128">
        <v>1</v>
      </c>
      <c r="CR50" s="128">
        <v>1</v>
      </c>
      <c r="CS50" s="128">
        <v>1</v>
      </c>
      <c r="CT50" s="128">
        <v>1</v>
      </c>
      <c r="CU50" s="128">
        <v>1</v>
      </c>
      <c r="CV50" s="128">
        <v>1</v>
      </c>
      <c r="CW50" s="128">
        <v>1</v>
      </c>
      <c r="CX50" s="128">
        <v>1</v>
      </c>
      <c r="CZ50" s="126">
        <f>SUMIF(MatrixF0[[1]:[2]],MatrixF0[[#This Row],[Столбец1]])/MatrixF0[[#This Row],[Столбец1]]</f>
        <v>0</v>
      </c>
    </row>
    <row r="51" spans="1:104" ht="21" customHeight="1" x14ac:dyDescent="0.25">
      <c r="A51" s="127">
        <v>1.48</v>
      </c>
      <c r="B51" s="128">
        <v>1</v>
      </c>
      <c r="C51" s="128">
        <v>1</v>
      </c>
      <c r="D51" s="128">
        <v>1</v>
      </c>
      <c r="E51" s="128">
        <v>1</v>
      </c>
      <c r="F51" s="128">
        <v>1</v>
      </c>
      <c r="G51" s="128">
        <v>1</v>
      </c>
      <c r="H51" s="128">
        <v>1</v>
      </c>
      <c r="I51" s="128">
        <v>1</v>
      </c>
      <c r="J51" s="128">
        <v>1</v>
      </c>
      <c r="K51" s="128">
        <v>1</v>
      </c>
      <c r="L51" s="128">
        <v>1</v>
      </c>
      <c r="M51" s="128">
        <v>1</v>
      </c>
      <c r="N51" s="128">
        <v>1</v>
      </c>
      <c r="O51" s="128">
        <v>1</v>
      </c>
      <c r="P51" s="128">
        <v>1</v>
      </c>
      <c r="Q51" s="128">
        <v>1</v>
      </c>
      <c r="R51" s="128">
        <v>1</v>
      </c>
      <c r="S51" s="128">
        <v>1</v>
      </c>
      <c r="T51" s="128">
        <v>1</v>
      </c>
      <c r="U51" s="128">
        <v>1</v>
      </c>
      <c r="V51" s="128">
        <v>1</v>
      </c>
      <c r="W51" s="128">
        <v>1</v>
      </c>
      <c r="X51" s="128">
        <v>1</v>
      </c>
      <c r="Y51" s="128">
        <v>1</v>
      </c>
      <c r="Z51" s="128">
        <v>1</v>
      </c>
      <c r="AA51" s="128">
        <v>1</v>
      </c>
      <c r="AB51" s="128">
        <v>1</v>
      </c>
      <c r="AC51" s="128">
        <v>1</v>
      </c>
      <c r="AD51" s="128">
        <v>1</v>
      </c>
      <c r="AE51" s="128">
        <v>1</v>
      </c>
      <c r="AF51" s="128">
        <v>1</v>
      </c>
      <c r="AG51" s="128">
        <v>1</v>
      </c>
      <c r="AH51" s="128">
        <v>1</v>
      </c>
      <c r="AI51" s="128">
        <v>1</v>
      </c>
      <c r="AJ51" s="128">
        <v>1</v>
      </c>
      <c r="AK51" s="128">
        <v>1</v>
      </c>
      <c r="AL51" s="128">
        <v>1</v>
      </c>
      <c r="AM51" s="128">
        <v>1</v>
      </c>
      <c r="AN51" s="128">
        <v>1</v>
      </c>
      <c r="AO51" s="128">
        <v>1</v>
      </c>
      <c r="AP51" s="128">
        <v>1</v>
      </c>
      <c r="AQ51" s="128">
        <v>1</v>
      </c>
      <c r="AR51" s="128">
        <v>1</v>
      </c>
      <c r="AS51" s="128">
        <v>1</v>
      </c>
      <c r="AT51" s="128">
        <v>1</v>
      </c>
      <c r="AU51" s="128">
        <v>1</v>
      </c>
      <c r="AV51" s="128">
        <v>1</v>
      </c>
      <c r="AW51" s="128">
        <v>1</v>
      </c>
      <c r="AX51" s="128">
        <v>1</v>
      </c>
      <c r="AY51" s="128">
        <v>1</v>
      </c>
      <c r="AZ51" s="128">
        <v>1</v>
      </c>
      <c r="BA51" s="128">
        <v>1</v>
      </c>
      <c r="BB51" s="128">
        <v>1</v>
      </c>
      <c r="BC51" s="128">
        <v>1</v>
      </c>
      <c r="BD51" s="128">
        <v>1</v>
      </c>
      <c r="BE51" s="128">
        <v>1</v>
      </c>
      <c r="BF51" s="128">
        <v>1</v>
      </c>
      <c r="BG51" s="128">
        <v>1</v>
      </c>
      <c r="BH51" s="128">
        <v>1</v>
      </c>
      <c r="BI51" s="128">
        <v>1</v>
      </c>
      <c r="BJ51" s="128">
        <v>1</v>
      </c>
      <c r="BK51" s="128">
        <v>1</v>
      </c>
      <c r="BL51" s="128">
        <v>1</v>
      </c>
      <c r="BM51" s="128">
        <v>1</v>
      </c>
      <c r="BN51" s="128">
        <v>1</v>
      </c>
      <c r="BO51" s="128">
        <v>1</v>
      </c>
      <c r="BP51" s="128">
        <v>1</v>
      </c>
      <c r="BQ51" s="128">
        <v>1</v>
      </c>
      <c r="BR51" s="128">
        <v>1</v>
      </c>
      <c r="BS51" s="128">
        <v>1</v>
      </c>
      <c r="BT51" s="128">
        <v>1</v>
      </c>
      <c r="BU51" s="128">
        <v>1</v>
      </c>
      <c r="BV51" s="128">
        <v>1</v>
      </c>
      <c r="BW51" s="128">
        <v>1</v>
      </c>
      <c r="BX51" s="128">
        <v>1</v>
      </c>
      <c r="BY51" s="128">
        <v>1</v>
      </c>
      <c r="BZ51" s="128">
        <v>1</v>
      </c>
      <c r="CA51" s="128">
        <v>1</v>
      </c>
      <c r="CB51" s="128">
        <v>1</v>
      </c>
      <c r="CC51" s="128">
        <v>1</v>
      </c>
      <c r="CD51" s="128">
        <v>1</v>
      </c>
      <c r="CE51" s="128">
        <v>1</v>
      </c>
      <c r="CF51" s="128">
        <v>1</v>
      </c>
      <c r="CG51" s="128">
        <v>1</v>
      </c>
      <c r="CH51" s="128">
        <v>1</v>
      </c>
      <c r="CI51" s="128">
        <v>1</v>
      </c>
      <c r="CJ51" s="128">
        <v>1</v>
      </c>
      <c r="CK51" s="128">
        <v>1</v>
      </c>
      <c r="CL51" s="128">
        <v>1</v>
      </c>
      <c r="CM51" s="128">
        <v>1</v>
      </c>
      <c r="CN51" s="128">
        <v>1</v>
      </c>
      <c r="CO51" s="128">
        <v>1</v>
      </c>
      <c r="CP51" s="128">
        <v>1</v>
      </c>
      <c r="CQ51" s="128">
        <v>1</v>
      </c>
      <c r="CR51" s="128">
        <v>1</v>
      </c>
      <c r="CS51" s="128">
        <v>1</v>
      </c>
      <c r="CT51" s="128">
        <v>1</v>
      </c>
      <c r="CU51" s="128">
        <v>1</v>
      </c>
      <c r="CV51" s="128">
        <v>1</v>
      </c>
      <c r="CW51" s="128">
        <v>1</v>
      </c>
      <c r="CX51" s="128">
        <v>1</v>
      </c>
      <c r="CZ51" s="126">
        <f>SUMIF(MatrixF0[[1]:[2]],MatrixF0[[#This Row],[Столбец1]])/MatrixF0[[#This Row],[Столбец1]]</f>
        <v>0</v>
      </c>
    </row>
    <row r="52" spans="1:104" ht="21" customHeight="1" x14ac:dyDescent="0.25">
      <c r="A52" s="127">
        <v>1.49</v>
      </c>
      <c r="B52" s="128">
        <v>1</v>
      </c>
      <c r="C52" s="128">
        <v>1</v>
      </c>
      <c r="D52" s="128">
        <v>1</v>
      </c>
      <c r="E52" s="128">
        <v>1</v>
      </c>
      <c r="F52" s="128">
        <v>1</v>
      </c>
      <c r="G52" s="128">
        <v>1</v>
      </c>
      <c r="H52" s="128">
        <v>1</v>
      </c>
      <c r="I52" s="128">
        <v>1</v>
      </c>
      <c r="J52" s="128">
        <v>1</v>
      </c>
      <c r="K52" s="128">
        <v>1</v>
      </c>
      <c r="L52" s="128">
        <v>1</v>
      </c>
      <c r="M52" s="128">
        <v>1</v>
      </c>
      <c r="N52" s="128">
        <v>1</v>
      </c>
      <c r="O52" s="128">
        <v>1</v>
      </c>
      <c r="P52" s="128">
        <v>1</v>
      </c>
      <c r="Q52" s="128">
        <v>1</v>
      </c>
      <c r="R52" s="128">
        <v>1</v>
      </c>
      <c r="S52" s="128">
        <v>1</v>
      </c>
      <c r="T52" s="128">
        <v>1</v>
      </c>
      <c r="U52" s="128">
        <v>1</v>
      </c>
      <c r="V52" s="128">
        <v>1</v>
      </c>
      <c r="W52" s="128">
        <v>1</v>
      </c>
      <c r="X52" s="128">
        <v>1</v>
      </c>
      <c r="Y52" s="128">
        <v>1</v>
      </c>
      <c r="Z52" s="128">
        <v>1</v>
      </c>
      <c r="AA52" s="128">
        <v>1</v>
      </c>
      <c r="AB52" s="128">
        <v>1</v>
      </c>
      <c r="AC52" s="128">
        <v>1</v>
      </c>
      <c r="AD52" s="128">
        <v>1</v>
      </c>
      <c r="AE52" s="128">
        <v>1</v>
      </c>
      <c r="AF52" s="128">
        <v>1</v>
      </c>
      <c r="AG52" s="128">
        <v>1</v>
      </c>
      <c r="AH52" s="128">
        <v>1</v>
      </c>
      <c r="AI52" s="128">
        <v>1</v>
      </c>
      <c r="AJ52" s="128">
        <v>1</v>
      </c>
      <c r="AK52" s="128">
        <v>1</v>
      </c>
      <c r="AL52" s="128">
        <v>1</v>
      </c>
      <c r="AM52" s="128">
        <v>1</v>
      </c>
      <c r="AN52" s="128">
        <v>1</v>
      </c>
      <c r="AO52" s="128">
        <v>1</v>
      </c>
      <c r="AP52" s="128">
        <v>1</v>
      </c>
      <c r="AQ52" s="128">
        <v>1</v>
      </c>
      <c r="AR52" s="128">
        <v>1</v>
      </c>
      <c r="AS52" s="128">
        <v>1</v>
      </c>
      <c r="AT52" s="128">
        <v>1</v>
      </c>
      <c r="AU52" s="128">
        <v>1</v>
      </c>
      <c r="AV52" s="128">
        <v>1</v>
      </c>
      <c r="AW52" s="128">
        <v>1</v>
      </c>
      <c r="AX52" s="128">
        <v>1</v>
      </c>
      <c r="AY52" s="128">
        <v>1</v>
      </c>
      <c r="AZ52" s="128">
        <v>1</v>
      </c>
      <c r="BA52" s="128">
        <v>1</v>
      </c>
      <c r="BB52" s="128">
        <v>1</v>
      </c>
      <c r="BC52" s="128">
        <v>1</v>
      </c>
      <c r="BD52" s="128">
        <v>1</v>
      </c>
      <c r="BE52" s="128">
        <v>1</v>
      </c>
      <c r="BF52" s="128">
        <v>1</v>
      </c>
      <c r="BG52" s="128">
        <v>1</v>
      </c>
      <c r="BH52" s="128">
        <v>1</v>
      </c>
      <c r="BI52" s="128">
        <v>1</v>
      </c>
      <c r="BJ52" s="128">
        <v>1</v>
      </c>
      <c r="BK52" s="128">
        <v>1</v>
      </c>
      <c r="BL52" s="128">
        <v>1</v>
      </c>
      <c r="BM52" s="128">
        <v>1</v>
      </c>
      <c r="BN52" s="128">
        <v>1</v>
      </c>
      <c r="BO52" s="128">
        <v>1</v>
      </c>
      <c r="BP52" s="128">
        <v>1</v>
      </c>
      <c r="BQ52" s="128">
        <v>1</v>
      </c>
      <c r="BR52" s="128">
        <v>1</v>
      </c>
      <c r="BS52" s="128">
        <v>1</v>
      </c>
      <c r="BT52" s="128">
        <v>1</v>
      </c>
      <c r="BU52" s="128">
        <v>1</v>
      </c>
      <c r="BV52" s="128">
        <v>1</v>
      </c>
      <c r="BW52" s="128">
        <v>1</v>
      </c>
      <c r="BX52" s="128">
        <v>1</v>
      </c>
      <c r="BY52" s="128">
        <v>1</v>
      </c>
      <c r="BZ52" s="128">
        <v>1</v>
      </c>
      <c r="CA52" s="128">
        <v>1</v>
      </c>
      <c r="CB52" s="128">
        <v>1</v>
      </c>
      <c r="CC52" s="128">
        <v>1</v>
      </c>
      <c r="CD52" s="128">
        <v>1</v>
      </c>
      <c r="CE52" s="128">
        <v>1</v>
      </c>
      <c r="CF52" s="128">
        <v>1</v>
      </c>
      <c r="CG52" s="128">
        <v>1</v>
      </c>
      <c r="CH52" s="128">
        <v>1</v>
      </c>
      <c r="CI52" s="128">
        <v>1</v>
      </c>
      <c r="CJ52" s="128">
        <v>1</v>
      </c>
      <c r="CK52" s="128">
        <v>1</v>
      </c>
      <c r="CL52" s="128">
        <v>1</v>
      </c>
      <c r="CM52" s="128">
        <v>1</v>
      </c>
      <c r="CN52" s="128">
        <v>1</v>
      </c>
      <c r="CO52" s="128">
        <v>1</v>
      </c>
      <c r="CP52" s="128">
        <v>1</v>
      </c>
      <c r="CQ52" s="128">
        <v>1</v>
      </c>
      <c r="CR52" s="128">
        <v>1</v>
      </c>
      <c r="CS52" s="128">
        <v>1</v>
      </c>
      <c r="CT52" s="128">
        <v>1</v>
      </c>
      <c r="CU52" s="128">
        <v>1</v>
      </c>
      <c r="CV52" s="128">
        <v>1</v>
      </c>
      <c r="CW52" s="128">
        <v>1</v>
      </c>
      <c r="CX52" s="128">
        <v>1</v>
      </c>
      <c r="CZ52" s="126">
        <f>SUMIF(MatrixF0[[1]:[2]],MatrixF0[[#This Row],[Столбец1]])/MatrixF0[[#This Row],[Столбец1]]</f>
        <v>0</v>
      </c>
    </row>
    <row r="53" spans="1:104" ht="21" customHeight="1" x14ac:dyDescent="0.25">
      <c r="A53" s="127">
        <v>1.5</v>
      </c>
      <c r="B53" s="128">
        <v>1</v>
      </c>
      <c r="C53" s="128">
        <v>1</v>
      </c>
      <c r="D53" s="128">
        <v>1</v>
      </c>
      <c r="E53" s="128">
        <v>1</v>
      </c>
      <c r="F53" s="128">
        <v>1</v>
      </c>
      <c r="G53" s="128">
        <v>1</v>
      </c>
      <c r="H53" s="128">
        <v>1</v>
      </c>
      <c r="I53" s="128">
        <v>1</v>
      </c>
      <c r="J53" s="128">
        <v>1</v>
      </c>
      <c r="K53" s="128">
        <v>1</v>
      </c>
      <c r="L53" s="128">
        <v>1</v>
      </c>
      <c r="M53" s="128">
        <v>1</v>
      </c>
      <c r="N53" s="128">
        <v>1</v>
      </c>
      <c r="O53" s="128">
        <v>1</v>
      </c>
      <c r="P53" s="128">
        <v>1</v>
      </c>
      <c r="Q53" s="128">
        <v>1</v>
      </c>
      <c r="R53" s="128">
        <v>1</v>
      </c>
      <c r="S53" s="128">
        <v>1</v>
      </c>
      <c r="T53" s="128">
        <v>1</v>
      </c>
      <c r="U53" s="128">
        <v>1</v>
      </c>
      <c r="V53" s="128">
        <v>1</v>
      </c>
      <c r="W53" s="128">
        <v>1</v>
      </c>
      <c r="X53" s="128">
        <v>1</v>
      </c>
      <c r="Y53" s="128">
        <v>1</v>
      </c>
      <c r="Z53" s="128">
        <v>1</v>
      </c>
      <c r="AA53" s="128">
        <v>1</v>
      </c>
      <c r="AB53" s="128">
        <v>1</v>
      </c>
      <c r="AC53" s="128">
        <v>1</v>
      </c>
      <c r="AD53" s="128">
        <v>1</v>
      </c>
      <c r="AE53" s="128">
        <v>1</v>
      </c>
      <c r="AF53" s="128">
        <v>1</v>
      </c>
      <c r="AG53" s="128">
        <v>1</v>
      </c>
      <c r="AH53" s="128">
        <v>1</v>
      </c>
      <c r="AI53" s="128">
        <v>1</v>
      </c>
      <c r="AJ53" s="128">
        <v>1</v>
      </c>
      <c r="AK53" s="128">
        <v>1</v>
      </c>
      <c r="AL53" s="128">
        <v>1</v>
      </c>
      <c r="AM53" s="128">
        <v>1</v>
      </c>
      <c r="AN53" s="128">
        <v>1</v>
      </c>
      <c r="AO53" s="128">
        <v>1</v>
      </c>
      <c r="AP53" s="128">
        <v>1</v>
      </c>
      <c r="AQ53" s="128">
        <v>1</v>
      </c>
      <c r="AR53" s="128">
        <v>1</v>
      </c>
      <c r="AS53" s="128">
        <v>1</v>
      </c>
      <c r="AT53" s="128">
        <v>1</v>
      </c>
      <c r="AU53" s="128">
        <v>1</v>
      </c>
      <c r="AV53" s="128">
        <v>1</v>
      </c>
      <c r="AW53" s="128">
        <v>1</v>
      </c>
      <c r="AX53" s="128">
        <v>1</v>
      </c>
      <c r="AY53" s="128">
        <v>1</v>
      </c>
      <c r="AZ53" s="128">
        <v>1</v>
      </c>
      <c r="BA53" s="128">
        <v>1</v>
      </c>
      <c r="BB53" s="128">
        <v>1</v>
      </c>
      <c r="BC53" s="128">
        <v>1</v>
      </c>
      <c r="BD53" s="128">
        <v>1</v>
      </c>
      <c r="BE53" s="128">
        <v>1</v>
      </c>
      <c r="BF53" s="128">
        <v>1</v>
      </c>
      <c r="BG53" s="128">
        <v>1</v>
      </c>
      <c r="BH53" s="128">
        <v>1</v>
      </c>
      <c r="BI53" s="128">
        <v>1</v>
      </c>
      <c r="BJ53" s="128">
        <v>1</v>
      </c>
      <c r="BK53" s="128">
        <v>1</v>
      </c>
      <c r="BL53" s="128">
        <v>1</v>
      </c>
      <c r="BM53" s="128">
        <v>1</v>
      </c>
      <c r="BN53" s="128">
        <v>1</v>
      </c>
      <c r="BO53" s="128">
        <v>1</v>
      </c>
      <c r="BP53" s="128">
        <v>1</v>
      </c>
      <c r="BQ53" s="128">
        <v>1</v>
      </c>
      <c r="BR53" s="128">
        <v>1</v>
      </c>
      <c r="BS53" s="128">
        <v>1</v>
      </c>
      <c r="BT53" s="128">
        <v>1</v>
      </c>
      <c r="BU53" s="128">
        <v>1</v>
      </c>
      <c r="BV53" s="128">
        <v>1</v>
      </c>
      <c r="BW53" s="128">
        <v>1</v>
      </c>
      <c r="BX53" s="128">
        <v>1</v>
      </c>
      <c r="BY53" s="128">
        <v>1</v>
      </c>
      <c r="BZ53" s="128">
        <v>1</v>
      </c>
      <c r="CA53" s="128">
        <v>1</v>
      </c>
      <c r="CB53" s="128">
        <v>1</v>
      </c>
      <c r="CC53" s="128">
        <v>1</v>
      </c>
      <c r="CD53" s="128">
        <v>1</v>
      </c>
      <c r="CE53" s="128">
        <v>1</v>
      </c>
      <c r="CF53" s="128">
        <v>1</v>
      </c>
      <c r="CG53" s="128">
        <v>1</v>
      </c>
      <c r="CH53" s="128">
        <v>1</v>
      </c>
      <c r="CI53" s="128">
        <v>1</v>
      </c>
      <c r="CJ53" s="128">
        <v>1</v>
      </c>
      <c r="CK53" s="128">
        <v>1</v>
      </c>
      <c r="CL53" s="128">
        <v>1</v>
      </c>
      <c r="CM53" s="128">
        <v>1</v>
      </c>
      <c r="CN53" s="128">
        <v>1</v>
      </c>
      <c r="CO53" s="128">
        <v>1</v>
      </c>
      <c r="CP53" s="128">
        <v>1</v>
      </c>
      <c r="CQ53" s="128">
        <v>1</v>
      </c>
      <c r="CR53" s="128">
        <v>1</v>
      </c>
      <c r="CS53" s="128">
        <v>1</v>
      </c>
      <c r="CT53" s="128">
        <v>1</v>
      </c>
      <c r="CU53" s="128">
        <v>1</v>
      </c>
      <c r="CV53" s="128">
        <v>1</v>
      </c>
      <c r="CW53" s="128">
        <v>1</v>
      </c>
      <c r="CX53" s="128">
        <v>1</v>
      </c>
      <c r="CZ53" s="126">
        <f>SUMIF(MatrixF0[[1]:[2]],MatrixF0[[#This Row],[Столбец1]])/MatrixF0[[#This Row],[Столбец1]]</f>
        <v>0</v>
      </c>
    </row>
    <row r="54" spans="1:104" ht="21" customHeight="1" x14ac:dyDescent="0.25">
      <c r="A54" s="127">
        <v>1.51</v>
      </c>
      <c r="B54" s="128">
        <v>1</v>
      </c>
      <c r="C54" s="128">
        <v>1</v>
      </c>
      <c r="D54" s="128">
        <v>1</v>
      </c>
      <c r="E54" s="128">
        <v>1</v>
      </c>
      <c r="F54" s="128">
        <v>1</v>
      </c>
      <c r="G54" s="128">
        <v>1</v>
      </c>
      <c r="H54" s="128">
        <v>1</v>
      </c>
      <c r="I54" s="128">
        <v>1</v>
      </c>
      <c r="J54" s="128">
        <v>1</v>
      </c>
      <c r="K54" s="128">
        <v>1</v>
      </c>
      <c r="L54" s="128">
        <v>1</v>
      </c>
      <c r="M54" s="128">
        <v>1</v>
      </c>
      <c r="N54" s="128">
        <v>1</v>
      </c>
      <c r="O54" s="128">
        <v>1</v>
      </c>
      <c r="P54" s="128">
        <v>1</v>
      </c>
      <c r="Q54" s="128">
        <v>1</v>
      </c>
      <c r="R54" s="128">
        <v>1</v>
      </c>
      <c r="S54" s="128">
        <v>1</v>
      </c>
      <c r="T54" s="128">
        <v>1</v>
      </c>
      <c r="U54" s="128">
        <v>1</v>
      </c>
      <c r="V54" s="128">
        <v>1</v>
      </c>
      <c r="W54" s="128">
        <v>1</v>
      </c>
      <c r="X54" s="128">
        <v>1</v>
      </c>
      <c r="Y54" s="128">
        <v>1</v>
      </c>
      <c r="Z54" s="128">
        <v>1</v>
      </c>
      <c r="AA54" s="128">
        <v>1</v>
      </c>
      <c r="AB54" s="128">
        <v>1</v>
      </c>
      <c r="AC54" s="128">
        <v>1</v>
      </c>
      <c r="AD54" s="128">
        <v>1</v>
      </c>
      <c r="AE54" s="128">
        <v>1</v>
      </c>
      <c r="AF54" s="128">
        <v>1</v>
      </c>
      <c r="AG54" s="128">
        <v>1</v>
      </c>
      <c r="AH54" s="128">
        <v>1</v>
      </c>
      <c r="AI54" s="128">
        <v>1</v>
      </c>
      <c r="AJ54" s="128">
        <v>1</v>
      </c>
      <c r="AK54" s="128">
        <v>1</v>
      </c>
      <c r="AL54" s="128">
        <v>1</v>
      </c>
      <c r="AM54" s="128">
        <v>1</v>
      </c>
      <c r="AN54" s="128">
        <v>1</v>
      </c>
      <c r="AO54" s="128">
        <v>1</v>
      </c>
      <c r="AP54" s="128">
        <v>1</v>
      </c>
      <c r="AQ54" s="128">
        <v>1</v>
      </c>
      <c r="AR54" s="128">
        <v>1</v>
      </c>
      <c r="AS54" s="128">
        <v>1</v>
      </c>
      <c r="AT54" s="128">
        <v>1</v>
      </c>
      <c r="AU54" s="128">
        <v>1</v>
      </c>
      <c r="AV54" s="128">
        <v>1</v>
      </c>
      <c r="AW54" s="128">
        <v>1</v>
      </c>
      <c r="AX54" s="128">
        <v>1</v>
      </c>
      <c r="AY54" s="128">
        <v>1</v>
      </c>
      <c r="AZ54" s="128">
        <v>1</v>
      </c>
      <c r="BA54" s="128">
        <v>1</v>
      </c>
      <c r="BB54" s="128">
        <v>1</v>
      </c>
      <c r="BC54" s="128">
        <v>1</v>
      </c>
      <c r="BD54" s="128">
        <v>1</v>
      </c>
      <c r="BE54" s="128">
        <v>1</v>
      </c>
      <c r="BF54" s="128">
        <v>1</v>
      </c>
      <c r="BG54" s="128">
        <v>1</v>
      </c>
      <c r="BH54" s="128">
        <v>1</v>
      </c>
      <c r="BI54" s="128">
        <v>1</v>
      </c>
      <c r="BJ54" s="128">
        <v>1</v>
      </c>
      <c r="BK54" s="128">
        <v>1</v>
      </c>
      <c r="BL54" s="128">
        <v>1</v>
      </c>
      <c r="BM54" s="128">
        <v>1</v>
      </c>
      <c r="BN54" s="128">
        <v>1</v>
      </c>
      <c r="BO54" s="128">
        <v>1</v>
      </c>
      <c r="BP54" s="128">
        <v>1</v>
      </c>
      <c r="BQ54" s="128">
        <v>1</v>
      </c>
      <c r="BR54" s="128">
        <v>1</v>
      </c>
      <c r="BS54" s="128">
        <v>1</v>
      </c>
      <c r="BT54" s="128">
        <v>1</v>
      </c>
      <c r="BU54" s="128">
        <v>1</v>
      </c>
      <c r="BV54" s="128">
        <v>1</v>
      </c>
      <c r="BW54" s="128">
        <v>1</v>
      </c>
      <c r="BX54" s="128">
        <v>1</v>
      </c>
      <c r="BY54" s="128">
        <v>1</v>
      </c>
      <c r="BZ54" s="128">
        <v>1</v>
      </c>
      <c r="CA54" s="128">
        <v>1</v>
      </c>
      <c r="CB54" s="128">
        <v>1</v>
      </c>
      <c r="CC54" s="128">
        <v>1</v>
      </c>
      <c r="CD54" s="128">
        <v>1</v>
      </c>
      <c r="CE54" s="128">
        <v>1</v>
      </c>
      <c r="CF54" s="128">
        <v>1</v>
      </c>
      <c r="CG54" s="128">
        <v>1</v>
      </c>
      <c r="CH54" s="128">
        <v>1</v>
      </c>
      <c r="CI54" s="128">
        <v>1</v>
      </c>
      <c r="CJ54" s="128">
        <v>1</v>
      </c>
      <c r="CK54" s="128">
        <v>1</v>
      </c>
      <c r="CL54" s="128">
        <v>1</v>
      </c>
      <c r="CM54" s="128">
        <v>1</v>
      </c>
      <c r="CN54" s="128">
        <v>1</v>
      </c>
      <c r="CO54" s="128">
        <v>1</v>
      </c>
      <c r="CP54" s="128">
        <v>1</v>
      </c>
      <c r="CQ54" s="128">
        <v>1</v>
      </c>
      <c r="CR54" s="128">
        <v>1</v>
      </c>
      <c r="CS54" s="128">
        <v>1</v>
      </c>
      <c r="CT54" s="128">
        <v>1</v>
      </c>
      <c r="CU54" s="128">
        <v>1</v>
      </c>
      <c r="CV54" s="128">
        <v>1</v>
      </c>
      <c r="CW54" s="128">
        <v>1</v>
      </c>
      <c r="CX54" s="128">
        <v>1</v>
      </c>
      <c r="CZ54" s="126">
        <f>SUMIF(MatrixF0[[1]:[2]],MatrixF0[[#This Row],[Столбец1]])/MatrixF0[[#This Row],[Столбец1]]</f>
        <v>0</v>
      </c>
    </row>
    <row r="55" spans="1:104" ht="21" customHeight="1" x14ac:dyDescent="0.25">
      <c r="A55" s="127">
        <v>1.52</v>
      </c>
      <c r="B55" s="128">
        <v>1</v>
      </c>
      <c r="C55" s="128">
        <v>1</v>
      </c>
      <c r="D55" s="128">
        <v>1</v>
      </c>
      <c r="E55" s="128">
        <v>1</v>
      </c>
      <c r="F55" s="128">
        <v>1</v>
      </c>
      <c r="G55" s="128">
        <v>1</v>
      </c>
      <c r="H55" s="128">
        <v>1</v>
      </c>
      <c r="I55" s="128">
        <v>1</v>
      </c>
      <c r="J55" s="128">
        <v>1</v>
      </c>
      <c r="K55" s="128">
        <v>1</v>
      </c>
      <c r="L55" s="128">
        <v>1</v>
      </c>
      <c r="M55" s="128">
        <v>1</v>
      </c>
      <c r="N55" s="128">
        <v>1</v>
      </c>
      <c r="O55" s="128">
        <v>1</v>
      </c>
      <c r="P55" s="128">
        <v>1</v>
      </c>
      <c r="Q55" s="128">
        <v>1</v>
      </c>
      <c r="R55" s="128">
        <v>1</v>
      </c>
      <c r="S55" s="128">
        <v>1</v>
      </c>
      <c r="T55" s="128">
        <v>1</v>
      </c>
      <c r="U55" s="128">
        <v>1</v>
      </c>
      <c r="V55" s="128">
        <v>1</v>
      </c>
      <c r="W55" s="128">
        <v>1</v>
      </c>
      <c r="X55" s="128">
        <v>1</v>
      </c>
      <c r="Y55" s="128">
        <v>1</v>
      </c>
      <c r="Z55" s="128">
        <v>1</v>
      </c>
      <c r="AA55" s="128">
        <v>1</v>
      </c>
      <c r="AB55" s="128">
        <v>1</v>
      </c>
      <c r="AC55" s="128">
        <v>1</v>
      </c>
      <c r="AD55" s="128">
        <v>1</v>
      </c>
      <c r="AE55" s="128">
        <v>1</v>
      </c>
      <c r="AF55" s="128">
        <v>1</v>
      </c>
      <c r="AG55" s="128">
        <v>1</v>
      </c>
      <c r="AH55" s="128">
        <v>1</v>
      </c>
      <c r="AI55" s="128">
        <v>1</v>
      </c>
      <c r="AJ55" s="128">
        <v>1</v>
      </c>
      <c r="AK55" s="128">
        <v>1</v>
      </c>
      <c r="AL55" s="128">
        <v>1</v>
      </c>
      <c r="AM55" s="128">
        <v>1</v>
      </c>
      <c r="AN55" s="128">
        <v>1</v>
      </c>
      <c r="AO55" s="128">
        <v>1</v>
      </c>
      <c r="AP55" s="128">
        <v>1</v>
      </c>
      <c r="AQ55" s="128">
        <v>1</v>
      </c>
      <c r="AR55" s="128">
        <v>1</v>
      </c>
      <c r="AS55" s="128">
        <v>1</v>
      </c>
      <c r="AT55" s="128">
        <v>1</v>
      </c>
      <c r="AU55" s="128">
        <v>1</v>
      </c>
      <c r="AV55" s="128">
        <v>1</v>
      </c>
      <c r="AW55" s="128">
        <v>1</v>
      </c>
      <c r="AX55" s="128">
        <v>1</v>
      </c>
      <c r="AY55" s="128">
        <v>1</v>
      </c>
      <c r="AZ55" s="128">
        <v>1</v>
      </c>
      <c r="BA55" s="128">
        <v>1</v>
      </c>
      <c r="BB55" s="128">
        <v>1</v>
      </c>
      <c r="BC55" s="128">
        <v>1</v>
      </c>
      <c r="BD55" s="128">
        <v>1</v>
      </c>
      <c r="BE55" s="128">
        <v>1</v>
      </c>
      <c r="BF55" s="128">
        <v>1</v>
      </c>
      <c r="BG55" s="128">
        <v>1</v>
      </c>
      <c r="BH55" s="128">
        <v>1</v>
      </c>
      <c r="BI55" s="128">
        <v>1</v>
      </c>
      <c r="BJ55" s="128">
        <v>1</v>
      </c>
      <c r="BK55" s="128">
        <v>1</v>
      </c>
      <c r="BL55" s="128">
        <v>1</v>
      </c>
      <c r="BM55" s="128">
        <v>1</v>
      </c>
      <c r="BN55" s="128">
        <v>1</v>
      </c>
      <c r="BO55" s="128">
        <v>1</v>
      </c>
      <c r="BP55" s="128">
        <v>1</v>
      </c>
      <c r="BQ55" s="128">
        <v>1</v>
      </c>
      <c r="BR55" s="128">
        <v>1</v>
      </c>
      <c r="BS55" s="128">
        <v>1</v>
      </c>
      <c r="BT55" s="128">
        <v>1</v>
      </c>
      <c r="BU55" s="128">
        <v>1</v>
      </c>
      <c r="BV55" s="128">
        <v>1</v>
      </c>
      <c r="BW55" s="128">
        <v>1</v>
      </c>
      <c r="BX55" s="128">
        <v>1</v>
      </c>
      <c r="BY55" s="128">
        <v>1</v>
      </c>
      <c r="BZ55" s="128">
        <v>1</v>
      </c>
      <c r="CA55" s="128">
        <v>1</v>
      </c>
      <c r="CB55" s="128">
        <v>1</v>
      </c>
      <c r="CC55" s="128">
        <v>1</v>
      </c>
      <c r="CD55" s="128">
        <v>1</v>
      </c>
      <c r="CE55" s="128">
        <v>1</v>
      </c>
      <c r="CF55" s="128">
        <v>1</v>
      </c>
      <c r="CG55" s="128">
        <v>1</v>
      </c>
      <c r="CH55" s="128">
        <v>1</v>
      </c>
      <c r="CI55" s="128">
        <v>1</v>
      </c>
      <c r="CJ55" s="128">
        <v>1</v>
      </c>
      <c r="CK55" s="128">
        <v>1</v>
      </c>
      <c r="CL55" s="128">
        <v>1</v>
      </c>
      <c r="CM55" s="128">
        <v>1</v>
      </c>
      <c r="CN55" s="128">
        <v>1</v>
      </c>
      <c r="CO55" s="128">
        <v>1</v>
      </c>
      <c r="CP55" s="128">
        <v>1</v>
      </c>
      <c r="CQ55" s="128">
        <v>1</v>
      </c>
      <c r="CR55" s="128">
        <v>1</v>
      </c>
      <c r="CS55" s="128">
        <v>1</v>
      </c>
      <c r="CT55" s="128">
        <v>1</v>
      </c>
      <c r="CU55" s="128">
        <v>1</v>
      </c>
      <c r="CV55" s="128">
        <v>1</v>
      </c>
      <c r="CW55" s="128">
        <v>1</v>
      </c>
      <c r="CX55" s="128">
        <v>1</v>
      </c>
      <c r="CZ55" s="126">
        <f>SUMIF(MatrixF0[[1]:[2]],MatrixF0[[#This Row],[Столбец1]])/MatrixF0[[#This Row],[Столбец1]]</f>
        <v>0</v>
      </c>
    </row>
    <row r="56" spans="1:104" ht="21" customHeight="1" x14ac:dyDescent="0.25">
      <c r="A56" s="127">
        <v>1.53</v>
      </c>
      <c r="B56" s="128">
        <v>1</v>
      </c>
      <c r="C56" s="128">
        <v>1</v>
      </c>
      <c r="D56" s="128">
        <v>1</v>
      </c>
      <c r="E56" s="128">
        <v>1</v>
      </c>
      <c r="F56" s="128">
        <v>1</v>
      </c>
      <c r="G56" s="128">
        <v>1</v>
      </c>
      <c r="H56" s="128">
        <v>1</v>
      </c>
      <c r="I56" s="128">
        <v>1</v>
      </c>
      <c r="J56" s="128">
        <v>1</v>
      </c>
      <c r="K56" s="128">
        <v>1</v>
      </c>
      <c r="L56" s="128">
        <v>1</v>
      </c>
      <c r="M56" s="128">
        <v>1</v>
      </c>
      <c r="N56" s="128">
        <v>1</v>
      </c>
      <c r="O56" s="128">
        <v>1</v>
      </c>
      <c r="P56" s="128">
        <v>1</v>
      </c>
      <c r="Q56" s="128">
        <v>1</v>
      </c>
      <c r="R56" s="128">
        <v>1</v>
      </c>
      <c r="S56" s="128">
        <v>1</v>
      </c>
      <c r="T56" s="128">
        <v>1</v>
      </c>
      <c r="U56" s="128">
        <v>1</v>
      </c>
      <c r="V56" s="128">
        <v>1</v>
      </c>
      <c r="W56" s="128">
        <v>1</v>
      </c>
      <c r="X56" s="128">
        <v>1</v>
      </c>
      <c r="Y56" s="128">
        <v>1</v>
      </c>
      <c r="Z56" s="128">
        <v>1</v>
      </c>
      <c r="AA56" s="128">
        <v>1</v>
      </c>
      <c r="AB56" s="128">
        <v>1</v>
      </c>
      <c r="AC56" s="128">
        <v>1</v>
      </c>
      <c r="AD56" s="128">
        <v>1</v>
      </c>
      <c r="AE56" s="128">
        <v>1</v>
      </c>
      <c r="AF56" s="128">
        <v>1</v>
      </c>
      <c r="AG56" s="128">
        <v>1</v>
      </c>
      <c r="AH56" s="128">
        <v>1</v>
      </c>
      <c r="AI56" s="128">
        <v>1</v>
      </c>
      <c r="AJ56" s="128">
        <v>1</v>
      </c>
      <c r="AK56" s="128">
        <v>1</v>
      </c>
      <c r="AL56" s="128">
        <v>1</v>
      </c>
      <c r="AM56" s="128">
        <v>1</v>
      </c>
      <c r="AN56" s="128">
        <v>1</v>
      </c>
      <c r="AO56" s="128">
        <v>1</v>
      </c>
      <c r="AP56" s="128">
        <v>1</v>
      </c>
      <c r="AQ56" s="128">
        <v>1</v>
      </c>
      <c r="AR56" s="128">
        <v>1</v>
      </c>
      <c r="AS56" s="128">
        <v>1</v>
      </c>
      <c r="AT56" s="128">
        <v>1</v>
      </c>
      <c r="AU56" s="128">
        <v>1</v>
      </c>
      <c r="AV56" s="128">
        <v>1</v>
      </c>
      <c r="AW56" s="128">
        <v>1</v>
      </c>
      <c r="AX56" s="128">
        <v>1</v>
      </c>
      <c r="AY56" s="128">
        <v>1</v>
      </c>
      <c r="AZ56" s="128">
        <v>1</v>
      </c>
      <c r="BA56" s="128">
        <v>1</v>
      </c>
      <c r="BB56" s="128">
        <v>1</v>
      </c>
      <c r="BC56" s="128">
        <v>1</v>
      </c>
      <c r="BD56" s="128">
        <v>1</v>
      </c>
      <c r="BE56" s="128">
        <v>1</v>
      </c>
      <c r="BF56" s="128">
        <v>1</v>
      </c>
      <c r="BG56" s="128">
        <v>1</v>
      </c>
      <c r="BH56" s="128">
        <v>1</v>
      </c>
      <c r="BI56" s="128">
        <v>1</v>
      </c>
      <c r="BJ56" s="128">
        <v>1</v>
      </c>
      <c r="BK56" s="128">
        <v>1</v>
      </c>
      <c r="BL56" s="128">
        <v>1</v>
      </c>
      <c r="BM56" s="128">
        <v>1</v>
      </c>
      <c r="BN56" s="128">
        <v>1</v>
      </c>
      <c r="BO56" s="128">
        <v>1</v>
      </c>
      <c r="BP56" s="128">
        <v>1</v>
      </c>
      <c r="BQ56" s="128">
        <v>1</v>
      </c>
      <c r="BR56" s="128">
        <v>1</v>
      </c>
      <c r="BS56" s="128">
        <v>1</v>
      </c>
      <c r="BT56" s="128">
        <v>1</v>
      </c>
      <c r="BU56" s="128">
        <v>1</v>
      </c>
      <c r="BV56" s="128">
        <v>1</v>
      </c>
      <c r="BW56" s="128">
        <v>1</v>
      </c>
      <c r="BX56" s="128">
        <v>1</v>
      </c>
      <c r="BY56" s="128">
        <v>1</v>
      </c>
      <c r="BZ56" s="128">
        <v>1</v>
      </c>
      <c r="CA56" s="128">
        <v>1</v>
      </c>
      <c r="CB56" s="128">
        <v>1</v>
      </c>
      <c r="CC56" s="128">
        <v>1</v>
      </c>
      <c r="CD56" s="128">
        <v>1</v>
      </c>
      <c r="CE56" s="128">
        <v>1</v>
      </c>
      <c r="CF56" s="128">
        <v>1</v>
      </c>
      <c r="CG56" s="128">
        <v>1</v>
      </c>
      <c r="CH56" s="128">
        <v>1</v>
      </c>
      <c r="CI56" s="128">
        <v>1</v>
      </c>
      <c r="CJ56" s="128">
        <v>1</v>
      </c>
      <c r="CK56" s="128">
        <v>1</v>
      </c>
      <c r="CL56" s="128">
        <v>1</v>
      </c>
      <c r="CM56" s="128">
        <v>1</v>
      </c>
      <c r="CN56" s="128">
        <v>1</v>
      </c>
      <c r="CO56" s="128">
        <v>1</v>
      </c>
      <c r="CP56" s="128">
        <v>1</v>
      </c>
      <c r="CQ56" s="128">
        <v>1</v>
      </c>
      <c r="CR56" s="128">
        <v>1</v>
      </c>
      <c r="CS56" s="128">
        <v>1</v>
      </c>
      <c r="CT56" s="128">
        <v>1</v>
      </c>
      <c r="CU56" s="128">
        <v>1</v>
      </c>
      <c r="CV56" s="128">
        <v>1</v>
      </c>
      <c r="CW56" s="128">
        <v>1</v>
      </c>
      <c r="CX56" s="128">
        <v>1</v>
      </c>
      <c r="CZ56" s="126">
        <f>SUMIF(MatrixF0[[1]:[2]],MatrixF0[[#This Row],[Столбец1]])/MatrixF0[[#This Row],[Столбец1]]</f>
        <v>0</v>
      </c>
    </row>
    <row r="57" spans="1:104" ht="21" customHeight="1" x14ac:dyDescent="0.25">
      <c r="A57" s="127">
        <v>1.54</v>
      </c>
      <c r="B57" s="128">
        <v>1</v>
      </c>
      <c r="C57" s="128">
        <v>1</v>
      </c>
      <c r="D57" s="128">
        <v>1</v>
      </c>
      <c r="E57" s="128">
        <v>1</v>
      </c>
      <c r="F57" s="128">
        <v>1</v>
      </c>
      <c r="G57" s="128">
        <v>1</v>
      </c>
      <c r="H57" s="128">
        <v>1</v>
      </c>
      <c r="I57" s="128">
        <v>1</v>
      </c>
      <c r="J57" s="128">
        <v>1</v>
      </c>
      <c r="K57" s="128">
        <v>1</v>
      </c>
      <c r="L57" s="128">
        <v>1</v>
      </c>
      <c r="M57" s="128">
        <v>1</v>
      </c>
      <c r="N57" s="128">
        <v>1</v>
      </c>
      <c r="O57" s="128">
        <v>1</v>
      </c>
      <c r="P57" s="128">
        <v>1</v>
      </c>
      <c r="Q57" s="128">
        <v>1</v>
      </c>
      <c r="R57" s="128">
        <v>1</v>
      </c>
      <c r="S57" s="128">
        <v>1</v>
      </c>
      <c r="T57" s="128">
        <v>1</v>
      </c>
      <c r="U57" s="128">
        <v>1</v>
      </c>
      <c r="V57" s="128">
        <v>1</v>
      </c>
      <c r="W57" s="128">
        <v>1</v>
      </c>
      <c r="X57" s="128">
        <v>1</v>
      </c>
      <c r="Y57" s="128">
        <v>1</v>
      </c>
      <c r="Z57" s="128">
        <v>1</v>
      </c>
      <c r="AA57" s="128">
        <v>1</v>
      </c>
      <c r="AB57" s="128">
        <v>1</v>
      </c>
      <c r="AC57" s="128">
        <v>1</v>
      </c>
      <c r="AD57" s="128">
        <v>1</v>
      </c>
      <c r="AE57" s="128">
        <v>1</v>
      </c>
      <c r="AF57" s="128">
        <v>1</v>
      </c>
      <c r="AG57" s="128">
        <v>1</v>
      </c>
      <c r="AH57" s="128">
        <v>1</v>
      </c>
      <c r="AI57" s="128">
        <v>1</v>
      </c>
      <c r="AJ57" s="128">
        <v>1</v>
      </c>
      <c r="AK57" s="128">
        <v>1</v>
      </c>
      <c r="AL57" s="128">
        <v>1</v>
      </c>
      <c r="AM57" s="128">
        <v>1</v>
      </c>
      <c r="AN57" s="128">
        <v>1</v>
      </c>
      <c r="AO57" s="128">
        <v>1</v>
      </c>
      <c r="AP57" s="128">
        <v>1</v>
      </c>
      <c r="AQ57" s="128">
        <v>1</v>
      </c>
      <c r="AR57" s="128">
        <v>1</v>
      </c>
      <c r="AS57" s="128">
        <v>1</v>
      </c>
      <c r="AT57" s="128">
        <v>1</v>
      </c>
      <c r="AU57" s="128">
        <v>1</v>
      </c>
      <c r="AV57" s="128">
        <v>1</v>
      </c>
      <c r="AW57" s="128">
        <v>1</v>
      </c>
      <c r="AX57" s="128">
        <v>1</v>
      </c>
      <c r="AY57" s="128">
        <v>1</v>
      </c>
      <c r="AZ57" s="128">
        <v>1</v>
      </c>
      <c r="BA57" s="128">
        <v>1</v>
      </c>
      <c r="BB57" s="128">
        <v>1</v>
      </c>
      <c r="BC57" s="128">
        <v>1</v>
      </c>
      <c r="BD57" s="128">
        <v>1</v>
      </c>
      <c r="BE57" s="128">
        <v>1</v>
      </c>
      <c r="BF57" s="128">
        <v>1</v>
      </c>
      <c r="BG57" s="128">
        <v>1</v>
      </c>
      <c r="BH57" s="128">
        <v>1</v>
      </c>
      <c r="BI57" s="128">
        <v>1</v>
      </c>
      <c r="BJ57" s="128">
        <v>1</v>
      </c>
      <c r="BK57" s="128">
        <v>1</v>
      </c>
      <c r="BL57" s="128">
        <v>1</v>
      </c>
      <c r="BM57" s="128">
        <v>1</v>
      </c>
      <c r="BN57" s="128">
        <v>1</v>
      </c>
      <c r="BO57" s="128">
        <v>1</v>
      </c>
      <c r="BP57" s="128">
        <v>1</v>
      </c>
      <c r="BQ57" s="128">
        <v>1</v>
      </c>
      <c r="BR57" s="128">
        <v>1</v>
      </c>
      <c r="BS57" s="128">
        <v>1</v>
      </c>
      <c r="BT57" s="128">
        <v>1</v>
      </c>
      <c r="BU57" s="128">
        <v>1</v>
      </c>
      <c r="BV57" s="128">
        <v>1</v>
      </c>
      <c r="BW57" s="128">
        <v>1</v>
      </c>
      <c r="BX57" s="128">
        <v>1</v>
      </c>
      <c r="BY57" s="128">
        <v>1</v>
      </c>
      <c r="BZ57" s="128">
        <v>1</v>
      </c>
      <c r="CA57" s="128">
        <v>1</v>
      </c>
      <c r="CB57" s="128">
        <v>1</v>
      </c>
      <c r="CC57" s="128">
        <v>1</v>
      </c>
      <c r="CD57" s="128">
        <v>1</v>
      </c>
      <c r="CE57" s="128">
        <v>1</v>
      </c>
      <c r="CF57" s="128">
        <v>1</v>
      </c>
      <c r="CG57" s="128">
        <v>1</v>
      </c>
      <c r="CH57" s="128">
        <v>1</v>
      </c>
      <c r="CI57" s="128">
        <v>1</v>
      </c>
      <c r="CJ57" s="128">
        <v>1</v>
      </c>
      <c r="CK57" s="128">
        <v>1</v>
      </c>
      <c r="CL57" s="128">
        <v>1</v>
      </c>
      <c r="CM57" s="128">
        <v>1</v>
      </c>
      <c r="CN57" s="128">
        <v>1</v>
      </c>
      <c r="CO57" s="128">
        <v>1</v>
      </c>
      <c r="CP57" s="128">
        <v>1</v>
      </c>
      <c r="CQ57" s="128">
        <v>1</v>
      </c>
      <c r="CR57" s="128">
        <v>1</v>
      </c>
      <c r="CS57" s="128">
        <v>1</v>
      </c>
      <c r="CT57" s="128">
        <v>1</v>
      </c>
      <c r="CU57" s="128">
        <v>1</v>
      </c>
      <c r="CV57" s="128">
        <v>1</v>
      </c>
      <c r="CW57" s="128">
        <v>1</v>
      </c>
      <c r="CX57" s="128">
        <v>1</v>
      </c>
      <c r="CZ57" s="126">
        <f>SUMIF(MatrixF0[[1]:[2]],MatrixF0[[#This Row],[Столбец1]])/MatrixF0[[#This Row],[Столбец1]]</f>
        <v>0</v>
      </c>
    </row>
    <row r="58" spans="1:104" ht="21" customHeight="1" x14ac:dyDescent="0.25">
      <c r="A58" s="127">
        <v>1.55</v>
      </c>
      <c r="B58" s="128">
        <v>1</v>
      </c>
      <c r="C58" s="128">
        <v>1</v>
      </c>
      <c r="D58" s="128">
        <v>1</v>
      </c>
      <c r="E58" s="128">
        <v>1</v>
      </c>
      <c r="F58" s="128">
        <v>1</v>
      </c>
      <c r="G58" s="128">
        <v>1</v>
      </c>
      <c r="H58" s="128">
        <v>1</v>
      </c>
      <c r="I58" s="128">
        <v>1</v>
      </c>
      <c r="J58" s="128">
        <v>1</v>
      </c>
      <c r="K58" s="128">
        <v>1</v>
      </c>
      <c r="L58" s="128">
        <v>1</v>
      </c>
      <c r="M58" s="128">
        <v>1</v>
      </c>
      <c r="N58" s="128">
        <v>1</v>
      </c>
      <c r="O58" s="128">
        <v>1</v>
      </c>
      <c r="P58" s="128">
        <v>1</v>
      </c>
      <c r="Q58" s="128">
        <v>1</v>
      </c>
      <c r="R58" s="128">
        <v>1</v>
      </c>
      <c r="S58" s="128">
        <v>1</v>
      </c>
      <c r="T58" s="128">
        <v>1</v>
      </c>
      <c r="U58" s="128">
        <v>1</v>
      </c>
      <c r="V58" s="128">
        <v>1</v>
      </c>
      <c r="W58" s="128">
        <v>1</v>
      </c>
      <c r="X58" s="128">
        <v>1</v>
      </c>
      <c r="Y58" s="128">
        <v>1</v>
      </c>
      <c r="Z58" s="128">
        <v>1</v>
      </c>
      <c r="AA58" s="128">
        <v>1</v>
      </c>
      <c r="AB58" s="128">
        <v>1</v>
      </c>
      <c r="AC58" s="128">
        <v>1</v>
      </c>
      <c r="AD58" s="128">
        <v>1</v>
      </c>
      <c r="AE58" s="128">
        <v>1</v>
      </c>
      <c r="AF58" s="128">
        <v>1</v>
      </c>
      <c r="AG58" s="128">
        <v>1</v>
      </c>
      <c r="AH58" s="128">
        <v>1</v>
      </c>
      <c r="AI58" s="128">
        <v>1</v>
      </c>
      <c r="AJ58" s="128">
        <v>1</v>
      </c>
      <c r="AK58" s="128">
        <v>1</v>
      </c>
      <c r="AL58" s="128">
        <v>1</v>
      </c>
      <c r="AM58" s="128">
        <v>1</v>
      </c>
      <c r="AN58" s="128">
        <v>1</v>
      </c>
      <c r="AO58" s="128">
        <v>1</v>
      </c>
      <c r="AP58" s="128">
        <v>1</v>
      </c>
      <c r="AQ58" s="128">
        <v>1</v>
      </c>
      <c r="AR58" s="128">
        <v>1</v>
      </c>
      <c r="AS58" s="128">
        <v>1</v>
      </c>
      <c r="AT58" s="128">
        <v>1</v>
      </c>
      <c r="AU58" s="128">
        <v>1</v>
      </c>
      <c r="AV58" s="128">
        <v>1</v>
      </c>
      <c r="AW58" s="128">
        <v>1</v>
      </c>
      <c r="AX58" s="128">
        <v>1</v>
      </c>
      <c r="AY58" s="128">
        <v>1</v>
      </c>
      <c r="AZ58" s="128">
        <v>1</v>
      </c>
      <c r="BA58" s="128">
        <v>1</v>
      </c>
      <c r="BB58" s="128">
        <v>1</v>
      </c>
      <c r="BC58" s="128">
        <v>1</v>
      </c>
      <c r="BD58" s="128">
        <v>1</v>
      </c>
      <c r="BE58" s="128">
        <v>1</v>
      </c>
      <c r="BF58" s="128">
        <v>1</v>
      </c>
      <c r="BG58" s="128">
        <v>1</v>
      </c>
      <c r="BH58" s="128">
        <v>1</v>
      </c>
      <c r="BI58" s="128">
        <v>1</v>
      </c>
      <c r="BJ58" s="128">
        <v>1</v>
      </c>
      <c r="BK58" s="128">
        <v>1</v>
      </c>
      <c r="BL58" s="128">
        <v>1</v>
      </c>
      <c r="BM58" s="128">
        <v>1</v>
      </c>
      <c r="BN58" s="128">
        <v>1</v>
      </c>
      <c r="BO58" s="128">
        <v>1</v>
      </c>
      <c r="BP58" s="128">
        <v>1</v>
      </c>
      <c r="BQ58" s="128">
        <v>1</v>
      </c>
      <c r="BR58" s="128">
        <v>1</v>
      </c>
      <c r="BS58" s="128">
        <v>1</v>
      </c>
      <c r="BT58" s="128">
        <v>1</v>
      </c>
      <c r="BU58" s="128">
        <v>1</v>
      </c>
      <c r="BV58" s="128">
        <v>1</v>
      </c>
      <c r="BW58" s="128">
        <v>1</v>
      </c>
      <c r="BX58" s="128">
        <v>1</v>
      </c>
      <c r="BY58" s="128">
        <v>1</v>
      </c>
      <c r="BZ58" s="128">
        <v>1</v>
      </c>
      <c r="CA58" s="128">
        <v>1</v>
      </c>
      <c r="CB58" s="128">
        <v>1</v>
      </c>
      <c r="CC58" s="128">
        <v>1</v>
      </c>
      <c r="CD58" s="128">
        <v>1</v>
      </c>
      <c r="CE58" s="128">
        <v>1</v>
      </c>
      <c r="CF58" s="128">
        <v>1</v>
      </c>
      <c r="CG58" s="128">
        <v>1</v>
      </c>
      <c r="CH58" s="128">
        <v>1</v>
      </c>
      <c r="CI58" s="128">
        <v>1</v>
      </c>
      <c r="CJ58" s="128">
        <v>1</v>
      </c>
      <c r="CK58" s="128">
        <v>1</v>
      </c>
      <c r="CL58" s="128">
        <v>1</v>
      </c>
      <c r="CM58" s="128">
        <v>1</v>
      </c>
      <c r="CN58" s="128">
        <v>1</v>
      </c>
      <c r="CO58" s="128">
        <v>1</v>
      </c>
      <c r="CP58" s="128">
        <v>1</v>
      </c>
      <c r="CQ58" s="128">
        <v>1</v>
      </c>
      <c r="CR58" s="128">
        <v>1</v>
      </c>
      <c r="CS58" s="128">
        <v>1</v>
      </c>
      <c r="CT58" s="128">
        <v>1</v>
      </c>
      <c r="CU58" s="128">
        <v>1</v>
      </c>
      <c r="CV58" s="128">
        <v>1</v>
      </c>
      <c r="CW58" s="128">
        <v>1</v>
      </c>
      <c r="CX58" s="128">
        <v>1</v>
      </c>
      <c r="CZ58" s="126">
        <f>SUMIF(MatrixF0[[1]:[2]],MatrixF0[[#This Row],[Столбец1]])/MatrixF0[[#This Row],[Столбец1]]</f>
        <v>0</v>
      </c>
    </row>
    <row r="59" spans="1:104" ht="21" customHeight="1" x14ac:dyDescent="0.25">
      <c r="A59" s="127">
        <v>1.56</v>
      </c>
      <c r="B59" s="128">
        <v>1</v>
      </c>
      <c r="C59" s="128">
        <v>1</v>
      </c>
      <c r="D59" s="128">
        <v>1</v>
      </c>
      <c r="E59" s="128">
        <v>1</v>
      </c>
      <c r="F59" s="128">
        <v>1</v>
      </c>
      <c r="G59" s="128">
        <v>1</v>
      </c>
      <c r="H59" s="128">
        <v>1</v>
      </c>
      <c r="I59" s="128">
        <v>1</v>
      </c>
      <c r="J59" s="128">
        <v>1</v>
      </c>
      <c r="K59" s="128">
        <v>1</v>
      </c>
      <c r="L59" s="128">
        <v>1</v>
      </c>
      <c r="M59" s="128">
        <v>1</v>
      </c>
      <c r="N59" s="128">
        <v>1</v>
      </c>
      <c r="O59" s="128">
        <v>1</v>
      </c>
      <c r="P59" s="128">
        <v>1</v>
      </c>
      <c r="Q59" s="128">
        <v>1</v>
      </c>
      <c r="R59" s="128">
        <v>1</v>
      </c>
      <c r="S59" s="128">
        <v>1</v>
      </c>
      <c r="T59" s="128">
        <v>1</v>
      </c>
      <c r="U59" s="128">
        <v>1</v>
      </c>
      <c r="V59" s="128">
        <v>1</v>
      </c>
      <c r="W59" s="128">
        <v>1</v>
      </c>
      <c r="X59" s="128">
        <v>1</v>
      </c>
      <c r="Y59" s="128">
        <v>1</v>
      </c>
      <c r="Z59" s="128">
        <v>1</v>
      </c>
      <c r="AA59" s="128">
        <v>1</v>
      </c>
      <c r="AB59" s="128">
        <v>1</v>
      </c>
      <c r="AC59" s="128">
        <v>1</v>
      </c>
      <c r="AD59" s="128">
        <v>1</v>
      </c>
      <c r="AE59" s="128">
        <v>1</v>
      </c>
      <c r="AF59" s="128">
        <v>1</v>
      </c>
      <c r="AG59" s="128">
        <v>1</v>
      </c>
      <c r="AH59" s="128">
        <v>1</v>
      </c>
      <c r="AI59" s="128">
        <v>1</v>
      </c>
      <c r="AJ59" s="128">
        <v>1</v>
      </c>
      <c r="AK59" s="128">
        <v>1</v>
      </c>
      <c r="AL59" s="128">
        <v>1</v>
      </c>
      <c r="AM59" s="128">
        <v>1</v>
      </c>
      <c r="AN59" s="128">
        <v>1</v>
      </c>
      <c r="AO59" s="128">
        <v>1</v>
      </c>
      <c r="AP59" s="128">
        <v>1</v>
      </c>
      <c r="AQ59" s="128">
        <v>1</v>
      </c>
      <c r="AR59" s="128">
        <v>1</v>
      </c>
      <c r="AS59" s="128">
        <v>1</v>
      </c>
      <c r="AT59" s="128">
        <v>1</v>
      </c>
      <c r="AU59" s="128">
        <v>1</v>
      </c>
      <c r="AV59" s="128">
        <v>1</v>
      </c>
      <c r="AW59" s="128">
        <v>1</v>
      </c>
      <c r="AX59" s="128">
        <v>1</v>
      </c>
      <c r="AY59" s="128">
        <v>1</v>
      </c>
      <c r="AZ59" s="128">
        <v>1</v>
      </c>
      <c r="BA59" s="128">
        <v>1</v>
      </c>
      <c r="BB59" s="128">
        <v>1</v>
      </c>
      <c r="BC59" s="128">
        <v>1</v>
      </c>
      <c r="BD59" s="128">
        <v>1</v>
      </c>
      <c r="BE59" s="128">
        <v>1</v>
      </c>
      <c r="BF59" s="128">
        <v>1</v>
      </c>
      <c r="BG59" s="128">
        <v>1</v>
      </c>
      <c r="BH59" s="128">
        <v>1</v>
      </c>
      <c r="BI59" s="128">
        <v>1</v>
      </c>
      <c r="BJ59" s="128">
        <v>1</v>
      </c>
      <c r="BK59" s="128">
        <v>1</v>
      </c>
      <c r="BL59" s="128">
        <v>1</v>
      </c>
      <c r="BM59" s="128">
        <v>1</v>
      </c>
      <c r="BN59" s="128">
        <v>1</v>
      </c>
      <c r="BO59" s="128">
        <v>1</v>
      </c>
      <c r="BP59" s="128">
        <v>1</v>
      </c>
      <c r="BQ59" s="128">
        <v>1</v>
      </c>
      <c r="BR59" s="128">
        <v>1</v>
      </c>
      <c r="BS59" s="128">
        <v>1</v>
      </c>
      <c r="BT59" s="128">
        <v>1</v>
      </c>
      <c r="BU59" s="128">
        <v>1</v>
      </c>
      <c r="BV59" s="128">
        <v>1</v>
      </c>
      <c r="BW59" s="128">
        <v>1</v>
      </c>
      <c r="BX59" s="128">
        <v>1</v>
      </c>
      <c r="BY59" s="128">
        <v>1</v>
      </c>
      <c r="BZ59" s="128">
        <v>1</v>
      </c>
      <c r="CA59" s="128">
        <v>1</v>
      </c>
      <c r="CB59" s="128">
        <v>1</v>
      </c>
      <c r="CC59" s="128">
        <v>1</v>
      </c>
      <c r="CD59" s="128">
        <v>1</v>
      </c>
      <c r="CE59" s="128">
        <v>1</v>
      </c>
      <c r="CF59" s="128">
        <v>1</v>
      </c>
      <c r="CG59" s="128">
        <v>1</v>
      </c>
      <c r="CH59" s="128">
        <v>1</v>
      </c>
      <c r="CI59" s="128">
        <v>1</v>
      </c>
      <c r="CJ59" s="128">
        <v>1</v>
      </c>
      <c r="CK59" s="128">
        <v>1</v>
      </c>
      <c r="CL59" s="128">
        <v>1</v>
      </c>
      <c r="CM59" s="128">
        <v>1</v>
      </c>
      <c r="CN59" s="128">
        <v>1</v>
      </c>
      <c r="CO59" s="128">
        <v>1</v>
      </c>
      <c r="CP59" s="128">
        <v>1</v>
      </c>
      <c r="CQ59" s="128">
        <v>1</v>
      </c>
      <c r="CR59" s="128">
        <v>1</v>
      </c>
      <c r="CS59" s="128">
        <v>1</v>
      </c>
      <c r="CT59" s="128">
        <v>1</v>
      </c>
      <c r="CU59" s="128">
        <v>1</v>
      </c>
      <c r="CV59" s="128">
        <v>1</v>
      </c>
      <c r="CW59" s="128">
        <v>1</v>
      </c>
      <c r="CX59" s="128">
        <v>1</v>
      </c>
      <c r="CZ59" s="126">
        <f>SUMIF(MatrixF0[[1]:[2]],MatrixF0[[#This Row],[Столбец1]])/MatrixF0[[#This Row],[Столбец1]]</f>
        <v>0</v>
      </c>
    </row>
    <row r="60" spans="1:104" ht="21" customHeight="1" x14ac:dyDescent="0.25">
      <c r="A60" s="127">
        <v>1.57</v>
      </c>
      <c r="B60" s="128">
        <v>1</v>
      </c>
      <c r="C60" s="128">
        <v>1</v>
      </c>
      <c r="D60" s="128">
        <v>1</v>
      </c>
      <c r="E60" s="128">
        <v>1</v>
      </c>
      <c r="F60" s="128">
        <v>1</v>
      </c>
      <c r="G60" s="128">
        <v>1</v>
      </c>
      <c r="H60" s="128">
        <v>1</v>
      </c>
      <c r="I60" s="128">
        <v>1</v>
      </c>
      <c r="J60" s="128">
        <v>1</v>
      </c>
      <c r="K60" s="128">
        <v>1</v>
      </c>
      <c r="L60" s="128">
        <v>1</v>
      </c>
      <c r="M60" s="128">
        <v>1</v>
      </c>
      <c r="N60" s="128">
        <v>1</v>
      </c>
      <c r="O60" s="128">
        <v>1</v>
      </c>
      <c r="P60" s="128">
        <v>1</v>
      </c>
      <c r="Q60" s="128">
        <v>1</v>
      </c>
      <c r="R60" s="128">
        <v>1</v>
      </c>
      <c r="S60" s="128">
        <v>1</v>
      </c>
      <c r="T60" s="128">
        <v>1</v>
      </c>
      <c r="U60" s="128">
        <v>1</v>
      </c>
      <c r="V60" s="128">
        <v>1</v>
      </c>
      <c r="W60" s="128">
        <v>1</v>
      </c>
      <c r="X60" s="128">
        <v>1</v>
      </c>
      <c r="Y60" s="128">
        <v>1</v>
      </c>
      <c r="Z60" s="128">
        <v>1</v>
      </c>
      <c r="AA60" s="128">
        <v>1</v>
      </c>
      <c r="AB60" s="128">
        <v>1</v>
      </c>
      <c r="AC60" s="128">
        <v>1</v>
      </c>
      <c r="AD60" s="128">
        <v>1</v>
      </c>
      <c r="AE60" s="128">
        <v>1</v>
      </c>
      <c r="AF60" s="128">
        <v>1</v>
      </c>
      <c r="AG60" s="128">
        <v>1</v>
      </c>
      <c r="AH60" s="128">
        <v>1</v>
      </c>
      <c r="AI60" s="128">
        <v>1</v>
      </c>
      <c r="AJ60" s="128">
        <v>1</v>
      </c>
      <c r="AK60" s="128">
        <v>1</v>
      </c>
      <c r="AL60" s="128">
        <v>1</v>
      </c>
      <c r="AM60" s="128">
        <v>1</v>
      </c>
      <c r="AN60" s="128">
        <v>1</v>
      </c>
      <c r="AO60" s="128">
        <v>1</v>
      </c>
      <c r="AP60" s="128">
        <v>1</v>
      </c>
      <c r="AQ60" s="128">
        <v>1</v>
      </c>
      <c r="AR60" s="128">
        <v>1</v>
      </c>
      <c r="AS60" s="128">
        <v>1</v>
      </c>
      <c r="AT60" s="128">
        <v>1</v>
      </c>
      <c r="AU60" s="128">
        <v>1</v>
      </c>
      <c r="AV60" s="128">
        <v>1</v>
      </c>
      <c r="AW60" s="128">
        <v>1</v>
      </c>
      <c r="AX60" s="128">
        <v>1</v>
      </c>
      <c r="AY60" s="128">
        <v>1</v>
      </c>
      <c r="AZ60" s="128">
        <v>1</v>
      </c>
      <c r="BA60" s="128">
        <v>1</v>
      </c>
      <c r="BB60" s="128">
        <v>1</v>
      </c>
      <c r="BC60" s="128">
        <v>1</v>
      </c>
      <c r="BD60" s="128">
        <v>1</v>
      </c>
      <c r="BE60" s="128">
        <v>1</v>
      </c>
      <c r="BF60" s="128">
        <v>1</v>
      </c>
      <c r="BG60" s="128">
        <v>1</v>
      </c>
      <c r="BH60" s="128">
        <v>1</v>
      </c>
      <c r="BI60" s="128">
        <v>1</v>
      </c>
      <c r="BJ60" s="128">
        <v>1</v>
      </c>
      <c r="BK60" s="128">
        <v>1</v>
      </c>
      <c r="BL60" s="128">
        <v>1</v>
      </c>
      <c r="BM60" s="128">
        <v>1</v>
      </c>
      <c r="BN60" s="128">
        <v>1</v>
      </c>
      <c r="BO60" s="128">
        <v>1</v>
      </c>
      <c r="BP60" s="128">
        <v>1</v>
      </c>
      <c r="BQ60" s="128">
        <v>1</v>
      </c>
      <c r="BR60" s="128">
        <v>1</v>
      </c>
      <c r="BS60" s="128">
        <v>1</v>
      </c>
      <c r="BT60" s="128">
        <v>1</v>
      </c>
      <c r="BU60" s="128">
        <v>1</v>
      </c>
      <c r="BV60" s="128">
        <v>1</v>
      </c>
      <c r="BW60" s="128">
        <v>1</v>
      </c>
      <c r="BX60" s="128">
        <v>1</v>
      </c>
      <c r="BY60" s="128">
        <v>1</v>
      </c>
      <c r="BZ60" s="128">
        <v>1</v>
      </c>
      <c r="CA60" s="128">
        <v>1</v>
      </c>
      <c r="CB60" s="128">
        <v>1</v>
      </c>
      <c r="CC60" s="128">
        <v>1</v>
      </c>
      <c r="CD60" s="128">
        <v>1</v>
      </c>
      <c r="CE60" s="128">
        <v>1</v>
      </c>
      <c r="CF60" s="128">
        <v>1</v>
      </c>
      <c r="CG60" s="128">
        <v>1</v>
      </c>
      <c r="CH60" s="128">
        <v>1</v>
      </c>
      <c r="CI60" s="128">
        <v>1</v>
      </c>
      <c r="CJ60" s="128">
        <v>1</v>
      </c>
      <c r="CK60" s="128">
        <v>1</v>
      </c>
      <c r="CL60" s="128">
        <v>1</v>
      </c>
      <c r="CM60" s="128">
        <v>1</v>
      </c>
      <c r="CN60" s="128">
        <v>1</v>
      </c>
      <c r="CO60" s="128">
        <v>1</v>
      </c>
      <c r="CP60" s="128">
        <v>1</v>
      </c>
      <c r="CQ60" s="128">
        <v>1</v>
      </c>
      <c r="CR60" s="128">
        <v>1</v>
      </c>
      <c r="CS60" s="128">
        <v>1</v>
      </c>
      <c r="CT60" s="128">
        <v>1</v>
      </c>
      <c r="CU60" s="128">
        <v>1</v>
      </c>
      <c r="CV60" s="128">
        <v>1</v>
      </c>
      <c r="CW60" s="128">
        <v>1</v>
      </c>
      <c r="CX60" s="128">
        <v>1</v>
      </c>
      <c r="CZ60" s="126">
        <f>SUMIF(MatrixF0[[1]:[2]],MatrixF0[[#This Row],[Столбец1]])/MatrixF0[[#This Row],[Столбец1]]</f>
        <v>0</v>
      </c>
    </row>
    <row r="61" spans="1:104" ht="21" customHeight="1" x14ac:dyDescent="0.25">
      <c r="A61" s="127">
        <v>1.58</v>
      </c>
      <c r="B61" s="128">
        <v>1</v>
      </c>
      <c r="C61" s="128">
        <v>1</v>
      </c>
      <c r="D61" s="128">
        <v>1</v>
      </c>
      <c r="E61" s="128">
        <v>1</v>
      </c>
      <c r="F61" s="128">
        <v>1</v>
      </c>
      <c r="G61" s="128">
        <v>1</v>
      </c>
      <c r="H61" s="128">
        <v>1</v>
      </c>
      <c r="I61" s="128">
        <v>1</v>
      </c>
      <c r="J61" s="128">
        <v>1</v>
      </c>
      <c r="K61" s="128">
        <v>1</v>
      </c>
      <c r="L61" s="128">
        <v>1</v>
      </c>
      <c r="M61" s="128">
        <v>1</v>
      </c>
      <c r="N61" s="128">
        <v>1</v>
      </c>
      <c r="O61" s="128">
        <v>1</v>
      </c>
      <c r="P61" s="128">
        <v>1</v>
      </c>
      <c r="Q61" s="128">
        <v>1</v>
      </c>
      <c r="R61" s="128">
        <v>1</v>
      </c>
      <c r="S61" s="128">
        <v>1</v>
      </c>
      <c r="T61" s="128">
        <v>1</v>
      </c>
      <c r="U61" s="128">
        <v>1</v>
      </c>
      <c r="V61" s="128">
        <v>1</v>
      </c>
      <c r="W61" s="128">
        <v>1</v>
      </c>
      <c r="X61" s="128">
        <v>1</v>
      </c>
      <c r="Y61" s="128">
        <v>1</v>
      </c>
      <c r="Z61" s="128">
        <v>1</v>
      </c>
      <c r="AA61" s="128">
        <v>1</v>
      </c>
      <c r="AB61" s="128">
        <v>1</v>
      </c>
      <c r="AC61" s="128">
        <v>1</v>
      </c>
      <c r="AD61" s="128">
        <v>1</v>
      </c>
      <c r="AE61" s="128">
        <v>1</v>
      </c>
      <c r="AF61" s="128">
        <v>1</v>
      </c>
      <c r="AG61" s="128">
        <v>1</v>
      </c>
      <c r="AH61" s="128">
        <v>1</v>
      </c>
      <c r="AI61" s="128">
        <v>1</v>
      </c>
      <c r="AJ61" s="128">
        <v>1</v>
      </c>
      <c r="AK61" s="128">
        <v>1</v>
      </c>
      <c r="AL61" s="128">
        <v>1</v>
      </c>
      <c r="AM61" s="128">
        <v>1</v>
      </c>
      <c r="AN61" s="128">
        <v>1</v>
      </c>
      <c r="AO61" s="128">
        <v>1</v>
      </c>
      <c r="AP61" s="128">
        <v>1</v>
      </c>
      <c r="AQ61" s="128">
        <v>1</v>
      </c>
      <c r="AR61" s="128">
        <v>1</v>
      </c>
      <c r="AS61" s="128">
        <v>1</v>
      </c>
      <c r="AT61" s="128">
        <v>1</v>
      </c>
      <c r="AU61" s="128">
        <v>1</v>
      </c>
      <c r="AV61" s="128">
        <v>1</v>
      </c>
      <c r="AW61" s="128">
        <v>1</v>
      </c>
      <c r="AX61" s="128">
        <v>1</v>
      </c>
      <c r="AY61" s="128">
        <v>1</v>
      </c>
      <c r="AZ61" s="128">
        <v>1</v>
      </c>
      <c r="BA61" s="128">
        <v>1</v>
      </c>
      <c r="BB61" s="128">
        <v>1</v>
      </c>
      <c r="BC61" s="128">
        <v>1</v>
      </c>
      <c r="BD61" s="128">
        <v>1</v>
      </c>
      <c r="BE61" s="128">
        <v>1</v>
      </c>
      <c r="BF61" s="128">
        <v>1</v>
      </c>
      <c r="BG61" s="128">
        <v>1</v>
      </c>
      <c r="BH61" s="128">
        <v>1</v>
      </c>
      <c r="BI61" s="128">
        <v>1</v>
      </c>
      <c r="BJ61" s="128">
        <v>1</v>
      </c>
      <c r="BK61" s="128">
        <v>1</v>
      </c>
      <c r="BL61" s="128">
        <v>1</v>
      </c>
      <c r="BM61" s="128">
        <v>1</v>
      </c>
      <c r="BN61" s="128">
        <v>1</v>
      </c>
      <c r="BO61" s="128">
        <v>1</v>
      </c>
      <c r="BP61" s="128">
        <v>1</v>
      </c>
      <c r="BQ61" s="128">
        <v>1</v>
      </c>
      <c r="BR61" s="128">
        <v>1</v>
      </c>
      <c r="BS61" s="128">
        <v>1</v>
      </c>
      <c r="BT61" s="128">
        <v>1</v>
      </c>
      <c r="BU61" s="128">
        <v>1</v>
      </c>
      <c r="BV61" s="128">
        <v>1</v>
      </c>
      <c r="BW61" s="128">
        <v>1</v>
      </c>
      <c r="BX61" s="128">
        <v>1</v>
      </c>
      <c r="BY61" s="128">
        <v>1</v>
      </c>
      <c r="BZ61" s="128">
        <v>1</v>
      </c>
      <c r="CA61" s="128">
        <v>1</v>
      </c>
      <c r="CB61" s="128">
        <v>1</v>
      </c>
      <c r="CC61" s="128">
        <v>1</v>
      </c>
      <c r="CD61" s="128">
        <v>1</v>
      </c>
      <c r="CE61" s="128">
        <v>1</v>
      </c>
      <c r="CF61" s="128">
        <v>1</v>
      </c>
      <c r="CG61" s="128">
        <v>1</v>
      </c>
      <c r="CH61" s="128">
        <v>1</v>
      </c>
      <c r="CI61" s="128">
        <v>1</v>
      </c>
      <c r="CJ61" s="128">
        <v>1</v>
      </c>
      <c r="CK61" s="128">
        <v>1</v>
      </c>
      <c r="CL61" s="128">
        <v>1</v>
      </c>
      <c r="CM61" s="128">
        <v>1</v>
      </c>
      <c r="CN61" s="128">
        <v>1</v>
      </c>
      <c r="CO61" s="128">
        <v>1</v>
      </c>
      <c r="CP61" s="128">
        <v>1</v>
      </c>
      <c r="CQ61" s="128">
        <v>1</v>
      </c>
      <c r="CR61" s="128">
        <v>1</v>
      </c>
      <c r="CS61" s="128">
        <v>1</v>
      </c>
      <c r="CT61" s="128">
        <v>1</v>
      </c>
      <c r="CU61" s="128">
        <v>1</v>
      </c>
      <c r="CV61" s="128">
        <v>1</v>
      </c>
      <c r="CW61" s="128">
        <v>1</v>
      </c>
      <c r="CX61" s="128">
        <v>1</v>
      </c>
      <c r="CZ61" s="126">
        <f>SUMIF(MatrixF0[[1]:[2]],MatrixF0[[#This Row],[Столбец1]])/MatrixF0[[#This Row],[Столбец1]]</f>
        <v>0</v>
      </c>
    </row>
    <row r="62" spans="1:104" ht="21" customHeight="1" x14ac:dyDescent="0.25">
      <c r="A62" s="127">
        <v>1.59</v>
      </c>
      <c r="B62" s="128">
        <v>1</v>
      </c>
      <c r="C62" s="128">
        <v>1</v>
      </c>
      <c r="D62" s="128">
        <v>1</v>
      </c>
      <c r="E62" s="128">
        <v>1</v>
      </c>
      <c r="F62" s="128">
        <v>1</v>
      </c>
      <c r="G62" s="128">
        <v>1</v>
      </c>
      <c r="H62" s="128">
        <v>1</v>
      </c>
      <c r="I62" s="128">
        <v>1</v>
      </c>
      <c r="J62" s="128">
        <v>1</v>
      </c>
      <c r="K62" s="128">
        <v>1</v>
      </c>
      <c r="L62" s="128">
        <v>1</v>
      </c>
      <c r="M62" s="128">
        <v>1</v>
      </c>
      <c r="N62" s="128">
        <v>1</v>
      </c>
      <c r="O62" s="128">
        <v>1</v>
      </c>
      <c r="P62" s="128">
        <v>1</v>
      </c>
      <c r="Q62" s="128">
        <v>1</v>
      </c>
      <c r="R62" s="128">
        <v>1</v>
      </c>
      <c r="S62" s="128">
        <v>1</v>
      </c>
      <c r="T62" s="128">
        <v>1</v>
      </c>
      <c r="U62" s="128">
        <v>1</v>
      </c>
      <c r="V62" s="128">
        <v>1</v>
      </c>
      <c r="W62" s="128">
        <v>1</v>
      </c>
      <c r="X62" s="128">
        <v>1</v>
      </c>
      <c r="Y62" s="128">
        <v>1</v>
      </c>
      <c r="Z62" s="128">
        <v>1</v>
      </c>
      <c r="AA62" s="128">
        <v>1</v>
      </c>
      <c r="AB62" s="128">
        <v>1</v>
      </c>
      <c r="AC62" s="128">
        <v>1</v>
      </c>
      <c r="AD62" s="128">
        <v>1</v>
      </c>
      <c r="AE62" s="128">
        <v>1</v>
      </c>
      <c r="AF62" s="128">
        <v>1</v>
      </c>
      <c r="AG62" s="128">
        <v>1</v>
      </c>
      <c r="AH62" s="128">
        <v>1</v>
      </c>
      <c r="AI62" s="128">
        <v>1</v>
      </c>
      <c r="AJ62" s="128">
        <v>1</v>
      </c>
      <c r="AK62" s="128">
        <v>1</v>
      </c>
      <c r="AL62" s="128">
        <v>1</v>
      </c>
      <c r="AM62" s="128">
        <v>1</v>
      </c>
      <c r="AN62" s="128">
        <v>1</v>
      </c>
      <c r="AO62" s="128">
        <v>1</v>
      </c>
      <c r="AP62" s="128">
        <v>1</v>
      </c>
      <c r="AQ62" s="128">
        <v>1</v>
      </c>
      <c r="AR62" s="128">
        <v>1</v>
      </c>
      <c r="AS62" s="128">
        <v>1</v>
      </c>
      <c r="AT62" s="128">
        <v>1</v>
      </c>
      <c r="AU62" s="128">
        <v>1</v>
      </c>
      <c r="AV62" s="128">
        <v>1</v>
      </c>
      <c r="AW62" s="128">
        <v>1</v>
      </c>
      <c r="AX62" s="128">
        <v>1</v>
      </c>
      <c r="AY62" s="128">
        <v>1</v>
      </c>
      <c r="AZ62" s="128">
        <v>1</v>
      </c>
      <c r="BA62" s="128">
        <v>1</v>
      </c>
      <c r="BB62" s="128">
        <v>1</v>
      </c>
      <c r="BC62" s="128">
        <v>1</v>
      </c>
      <c r="BD62" s="128">
        <v>1</v>
      </c>
      <c r="BE62" s="128">
        <v>1</v>
      </c>
      <c r="BF62" s="128">
        <v>1</v>
      </c>
      <c r="BG62" s="128">
        <v>1</v>
      </c>
      <c r="BH62" s="128">
        <v>1</v>
      </c>
      <c r="BI62" s="128">
        <v>1</v>
      </c>
      <c r="BJ62" s="128">
        <v>1</v>
      </c>
      <c r="BK62" s="128">
        <v>1</v>
      </c>
      <c r="BL62" s="128">
        <v>1</v>
      </c>
      <c r="BM62" s="128">
        <v>1</v>
      </c>
      <c r="BN62" s="128">
        <v>1</v>
      </c>
      <c r="BO62" s="128">
        <v>1</v>
      </c>
      <c r="BP62" s="128">
        <v>1</v>
      </c>
      <c r="BQ62" s="128">
        <v>1</v>
      </c>
      <c r="BR62" s="128">
        <v>1</v>
      </c>
      <c r="BS62" s="128">
        <v>1</v>
      </c>
      <c r="BT62" s="128">
        <v>1</v>
      </c>
      <c r="BU62" s="128">
        <v>1</v>
      </c>
      <c r="BV62" s="128">
        <v>1</v>
      </c>
      <c r="BW62" s="128">
        <v>1</v>
      </c>
      <c r="BX62" s="128">
        <v>1</v>
      </c>
      <c r="BY62" s="128">
        <v>1</v>
      </c>
      <c r="BZ62" s="128">
        <v>1</v>
      </c>
      <c r="CA62" s="128">
        <v>1</v>
      </c>
      <c r="CB62" s="128">
        <v>1</v>
      </c>
      <c r="CC62" s="128">
        <v>1</v>
      </c>
      <c r="CD62" s="128">
        <v>1</v>
      </c>
      <c r="CE62" s="128">
        <v>1</v>
      </c>
      <c r="CF62" s="128">
        <v>1</v>
      </c>
      <c r="CG62" s="128">
        <v>1</v>
      </c>
      <c r="CH62" s="128">
        <v>1</v>
      </c>
      <c r="CI62" s="128">
        <v>1</v>
      </c>
      <c r="CJ62" s="128">
        <v>1</v>
      </c>
      <c r="CK62" s="128">
        <v>1</v>
      </c>
      <c r="CL62" s="128">
        <v>1</v>
      </c>
      <c r="CM62" s="128">
        <v>1</v>
      </c>
      <c r="CN62" s="128">
        <v>1</v>
      </c>
      <c r="CO62" s="128">
        <v>1</v>
      </c>
      <c r="CP62" s="128">
        <v>1</v>
      </c>
      <c r="CQ62" s="128">
        <v>1</v>
      </c>
      <c r="CR62" s="128">
        <v>1</v>
      </c>
      <c r="CS62" s="128">
        <v>1</v>
      </c>
      <c r="CT62" s="128">
        <v>1</v>
      </c>
      <c r="CU62" s="128">
        <v>1</v>
      </c>
      <c r="CV62" s="128">
        <v>1</v>
      </c>
      <c r="CW62" s="128">
        <v>1</v>
      </c>
      <c r="CX62" s="128">
        <v>1</v>
      </c>
      <c r="CZ62" s="126">
        <f>SUMIF(MatrixF0[[1]:[2]],MatrixF0[[#This Row],[Столбец1]])/MatrixF0[[#This Row],[Столбец1]]</f>
        <v>0</v>
      </c>
    </row>
    <row r="63" spans="1:104" ht="21" customHeight="1" x14ac:dyDescent="0.25">
      <c r="A63" s="127">
        <v>1.6</v>
      </c>
      <c r="B63" s="128">
        <v>1</v>
      </c>
      <c r="C63" s="128">
        <v>1</v>
      </c>
      <c r="D63" s="128">
        <v>1</v>
      </c>
      <c r="E63" s="128">
        <v>1</v>
      </c>
      <c r="F63" s="128">
        <v>1</v>
      </c>
      <c r="G63" s="128">
        <v>1</v>
      </c>
      <c r="H63" s="128">
        <v>1</v>
      </c>
      <c r="I63" s="128">
        <v>1</v>
      </c>
      <c r="J63" s="128">
        <v>1</v>
      </c>
      <c r="K63" s="128">
        <v>1</v>
      </c>
      <c r="L63" s="128">
        <v>1</v>
      </c>
      <c r="M63" s="128">
        <v>1</v>
      </c>
      <c r="N63" s="128">
        <v>1</v>
      </c>
      <c r="O63" s="128">
        <v>1</v>
      </c>
      <c r="P63" s="128">
        <v>1</v>
      </c>
      <c r="Q63" s="128">
        <v>1</v>
      </c>
      <c r="R63" s="128">
        <v>1</v>
      </c>
      <c r="S63" s="128">
        <v>1</v>
      </c>
      <c r="T63" s="128">
        <v>1</v>
      </c>
      <c r="U63" s="128">
        <v>1</v>
      </c>
      <c r="V63" s="128">
        <v>1</v>
      </c>
      <c r="W63" s="128">
        <v>1</v>
      </c>
      <c r="X63" s="128">
        <v>1</v>
      </c>
      <c r="Y63" s="128">
        <v>1</v>
      </c>
      <c r="Z63" s="128">
        <v>1</v>
      </c>
      <c r="AA63" s="128">
        <v>1</v>
      </c>
      <c r="AB63" s="128">
        <v>1</v>
      </c>
      <c r="AC63" s="128">
        <v>1</v>
      </c>
      <c r="AD63" s="128">
        <v>1</v>
      </c>
      <c r="AE63" s="128">
        <v>1</v>
      </c>
      <c r="AF63" s="128">
        <v>1</v>
      </c>
      <c r="AG63" s="128">
        <v>1</v>
      </c>
      <c r="AH63" s="128">
        <v>1</v>
      </c>
      <c r="AI63" s="128">
        <v>1</v>
      </c>
      <c r="AJ63" s="128">
        <v>1</v>
      </c>
      <c r="AK63" s="128">
        <v>1</v>
      </c>
      <c r="AL63" s="128">
        <v>1</v>
      </c>
      <c r="AM63" s="128">
        <v>1</v>
      </c>
      <c r="AN63" s="128">
        <v>1</v>
      </c>
      <c r="AO63" s="128">
        <v>1</v>
      </c>
      <c r="AP63" s="128">
        <v>1</v>
      </c>
      <c r="AQ63" s="128">
        <v>1</v>
      </c>
      <c r="AR63" s="128">
        <v>1</v>
      </c>
      <c r="AS63" s="128">
        <v>1</v>
      </c>
      <c r="AT63" s="128">
        <v>1</v>
      </c>
      <c r="AU63" s="128">
        <v>1</v>
      </c>
      <c r="AV63" s="128">
        <v>1</v>
      </c>
      <c r="AW63" s="128">
        <v>1</v>
      </c>
      <c r="AX63" s="128">
        <v>1</v>
      </c>
      <c r="AY63" s="128">
        <v>1</v>
      </c>
      <c r="AZ63" s="128">
        <v>1</v>
      </c>
      <c r="BA63" s="128">
        <v>1</v>
      </c>
      <c r="BB63" s="128">
        <v>1</v>
      </c>
      <c r="BC63" s="128">
        <v>1</v>
      </c>
      <c r="BD63" s="128">
        <v>1</v>
      </c>
      <c r="BE63" s="128">
        <v>1</v>
      </c>
      <c r="BF63" s="128">
        <v>1</v>
      </c>
      <c r="BG63" s="128">
        <v>1</v>
      </c>
      <c r="BH63" s="128">
        <v>1</v>
      </c>
      <c r="BI63" s="128">
        <v>1</v>
      </c>
      <c r="BJ63" s="128">
        <v>1</v>
      </c>
      <c r="BK63" s="128">
        <v>1</v>
      </c>
      <c r="BL63" s="128">
        <v>1</v>
      </c>
      <c r="BM63" s="128">
        <v>1</v>
      </c>
      <c r="BN63" s="128">
        <v>1</v>
      </c>
      <c r="BO63" s="128">
        <v>1</v>
      </c>
      <c r="BP63" s="128">
        <v>1</v>
      </c>
      <c r="BQ63" s="128">
        <v>1</v>
      </c>
      <c r="BR63" s="128">
        <v>1</v>
      </c>
      <c r="BS63" s="128">
        <v>1</v>
      </c>
      <c r="BT63" s="128">
        <v>1</v>
      </c>
      <c r="BU63" s="128">
        <v>1</v>
      </c>
      <c r="BV63" s="128">
        <v>1</v>
      </c>
      <c r="BW63" s="128">
        <v>1</v>
      </c>
      <c r="BX63" s="128">
        <v>1</v>
      </c>
      <c r="BY63" s="128">
        <v>1</v>
      </c>
      <c r="BZ63" s="128">
        <v>1</v>
      </c>
      <c r="CA63" s="128">
        <v>1</v>
      </c>
      <c r="CB63" s="128">
        <v>1</v>
      </c>
      <c r="CC63" s="128">
        <v>1</v>
      </c>
      <c r="CD63" s="128">
        <v>1</v>
      </c>
      <c r="CE63" s="128">
        <v>1</v>
      </c>
      <c r="CF63" s="128">
        <v>1</v>
      </c>
      <c r="CG63" s="128">
        <v>1</v>
      </c>
      <c r="CH63" s="128">
        <v>1</v>
      </c>
      <c r="CI63" s="128">
        <v>1</v>
      </c>
      <c r="CJ63" s="128">
        <v>1</v>
      </c>
      <c r="CK63" s="128">
        <v>1</v>
      </c>
      <c r="CL63" s="128">
        <v>1</v>
      </c>
      <c r="CM63" s="128">
        <v>1</v>
      </c>
      <c r="CN63" s="128">
        <v>1</v>
      </c>
      <c r="CO63" s="128">
        <v>1</v>
      </c>
      <c r="CP63" s="128">
        <v>1</v>
      </c>
      <c r="CQ63" s="128">
        <v>1</v>
      </c>
      <c r="CR63" s="128">
        <v>1</v>
      </c>
      <c r="CS63" s="128">
        <v>1</v>
      </c>
      <c r="CT63" s="128">
        <v>1</v>
      </c>
      <c r="CU63" s="128">
        <v>1</v>
      </c>
      <c r="CV63" s="128">
        <v>1</v>
      </c>
      <c r="CW63" s="128">
        <v>1</v>
      </c>
      <c r="CX63" s="128">
        <v>1</v>
      </c>
      <c r="CZ63" s="126">
        <f>SUMIF(MatrixF0[[1]:[2]],MatrixF0[[#This Row],[Столбец1]])/MatrixF0[[#This Row],[Столбец1]]</f>
        <v>0</v>
      </c>
    </row>
    <row r="64" spans="1:104" ht="21" customHeight="1" x14ac:dyDescent="0.25">
      <c r="A64" s="127">
        <v>1.61</v>
      </c>
      <c r="B64" s="128">
        <v>1</v>
      </c>
      <c r="C64" s="128">
        <v>1</v>
      </c>
      <c r="D64" s="128">
        <v>1</v>
      </c>
      <c r="E64" s="128">
        <v>1</v>
      </c>
      <c r="F64" s="128">
        <v>1</v>
      </c>
      <c r="G64" s="128">
        <v>1</v>
      </c>
      <c r="H64" s="128">
        <v>1</v>
      </c>
      <c r="I64" s="128">
        <v>1</v>
      </c>
      <c r="J64" s="128">
        <v>1</v>
      </c>
      <c r="K64" s="128">
        <v>1</v>
      </c>
      <c r="L64" s="128">
        <v>1</v>
      </c>
      <c r="M64" s="128">
        <v>1</v>
      </c>
      <c r="N64" s="128">
        <v>1</v>
      </c>
      <c r="O64" s="128">
        <v>1</v>
      </c>
      <c r="P64" s="128">
        <v>1</v>
      </c>
      <c r="Q64" s="128">
        <v>1</v>
      </c>
      <c r="R64" s="128">
        <v>1</v>
      </c>
      <c r="S64" s="128">
        <v>1</v>
      </c>
      <c r="T64" s="128">
        <v>1</v>
      </c>
      <c r="U64" s="128">
        <v>1</v>
      </c>
      <c r="V64" s="128">
        <v>1</v>
      </c>
      <c r="W64" s="128">
        <v>1</v>
      </c>
      <c r="X64" s="128">
        <v>1</v>
      </c>
      <c r="Y64" s="128">
        <v>1</v>
      </c>
      <c r="Z64" s="128">
        <v>1</v>
      </c>
      <c r="AA64" s="128">
        <v>1</v>
      </c>
      <c r="AB64" s="128">
        <v>1</v>
      </c>
      <c r="AC64" s="128">
        <v>1</v>
      </c>
      <c r="AD64" s="128">
        <v>1</v>
      </c>
      <c r="AE64" s="128">
        <v>1</v>
      </c>
      <c r="AF64" s="128">
        <v>1</v>
      </c>
      <c r="AG64" s="128">
        <v>1</v>
      </c>
      <c r="AH64" s="128">
        <v>1</v>
      </c>
      <c r="AI64" s="128">
        <v>1</v>
      </c>
      <c r="AJ64" s="128">
        <v>1</v>
      </c>
      <c r="AK64" s="128">
        <v>1</v>
      </c>
      <c r="AL64" s="128">
        <v>1</v>
      </c>
      <c r="AM64" s="128">
        <v>1</v>
      </c>
      <c r="AN64" s="128">
        <v>1</v>
      </c>
      <c r="AO64" s="128">
        <v>1</v>
      </c>
      <c r="AP64" s="128">
        <v>1</v>
      </c>
      <c r="AQ64" s="128">
        <v>1</v>
      </c>
      <c r="AR64" s="128">
        <v>1</v>
      </c>
      <c r="AS64" s="128">
        <v>1</v>
      </c>
      <c r="AT64" s="128">
        <v>1</v>
      </c>
      <c r="AU64" s="128">
        <v>1</v>
      </c>
      <c r="AV64" s="128">
        <v>1</v>
      </c>
      <c r="AW64" s="128">
        <v>1</v>
      </c>
      <c r="AX64" s="128">
        <v>1</v>
      </c>
      <c r="AY64" s="128">
        <v>1</v>
      </c>
      <c r="AZ64" s="128">
        <v>1</v>
      </c>
      <c r="BA64" s="128">
        <v>1</v>
      </c>
      <c r="BB64" s="128">
        <v>1</v>
      </c>
      <c r="BC64" s="128">
        <v>1</v>
      </c>
      <c r="BD64" s="128">
        <v>1</v>
      </c>
      <c r="BE64" s="128">
        <v>1</v>
      </c>
      <c r="BF64" s="128">
        <v>1</v>
      </c>
      <c r="BG64" s="128">
        <v>1</v>
      </c>
      <c r="BH64" s="128">
        <v>1</v>
      </c>
      <c r="BI64" s="128">
        <v>1</v>
      </c>
      <c r="BJ64" s="128">
        <v>1</v>
      </c>
      <c r="BK64" s="128">
        <v>1</v>
      </c>
      <c r="BL64" s="128">
        <v>1</v>
      </c>
      <c r="BM64" s="128">
        <v>1</v>
      </c>
      <c r="BN64" s="128">
        <v>1</v>
      </c>
      <c r="BO64" s="128">
        <v>1</v>
      </c>
      <c r="BP64" s="128">
        <v>1</v>
      </c>
      <c r="BQ64" s="128">
        <v>1</v>
      </c>
      <c r="BR64" s="128">
        <v>1</v>
      </c>
      <c r="BS64" s="128">
        <v>1</v>
      </c>
      <c r="BT64" s="128">
        <v>1</v>
      </c>
      <c r="BU64" s="128">
        <v>1</v>
      </c>
      <c r="BV64" s="128">
        <v>1</v>
      </c>
      <c r="BW64" s="128">
        <v>1</v>
      </c>
      <c r="BX64" s="128">
        <v>1</v>
      </c>
      <c r="BY64" s="128">
        <v>1</v>
      </c>
      <c r="BZ64" s="128">
        <v>1</v>
      </c>
      <c r="CA64" s="128">
        <v>1</v>
      </c>
      <c r="CB64" s="128">
        <v>1</v>
      </c>
      <c r="CC64" s="128">
        <v>1</v>
      </c>
      <c r="CD64" s="128">
        <v>1</v>
      </c>
      <c r="CE64" s="128">
        <v>1</v>
      </c>
      <c r="CF64" s="128">
        <v>1</v>
      </c>
      <c r="CG64" s="128">
        <v>1</v>
      </c>
      <c r="CH64" s="128">
        <v>1</v>
      </c>
      <c r="CI64" s="128">
        <v>1</v>
      </c>
      <c r="CJ64" s="128">
        <v>1</v>
      </c>
      <c r="CK64" s="128">
        <v>1</v>
      </c>
      <c r="CL64" s="128">
        <v>1</v>
      </c>
      <c r="CM64" s="128">
        <v>1</v>
      </c>
      <c r="CN64" s="128">
        <v>1</v>
      </c>
      <c r="CO64" s="128">
        <v>1</v>
      </c>
      <c r="CP64" s="128">
        <v>1</v>
      </c>
      <c r="CQ64" s="128">
        <v>1</v>
      </c>
      <c r="CR64" s="128">
        <v>1</v>
      </c>
      <c r="CS64" s="128">
        <v>1</v>
      </c>
      <c r="CT64" s="128">
        <v>1</v>
      </c>
      <c r="CU64" s="128">
        <v>1</v>
      </c>
      <c r="CV64" s="128">
        <v>1</v>
      </c>
      <c r="CW64" s="128">
        <v>1</v>
      </c>
      <c r="CX64" s="128">
        <v>1</v>
      </c>
      <c r="CZ64" s="126">
        <f>SUMIF(MatrixF0[[1]:[2]],MatrixF0[[#This Row],[Столбец1]])/MatrixF0[[#This Row],[Столбец1]]</f>
        <v>0</v>
      </c>
    </row>
    <row r="65" spans="1:104" ht="21" customHeight="1" x14ac:dyDescent="0.25">
      <c r="A65" s="127">
        <v>1.62</v>
      </c>
      <c r="B65" s="128">
        <v>1</v>
      </c>
      <c r="C65" s="128">
        <v>1</v>
      </c>
      <c r="D65" s="128">
        <v>1</v>
      </c>
      <c r="E65" s="128">
        <v>1</v>
      </c>
      <c r="F65" s="128">
        <v>1</v>
      </c>
      <c r="G65" s="128">
        <v>1</v>
      </c>
      <c r="H65" s="128">
        <v>1</v>
      </c>
      <c r="I65" s="128">
        <v>1</v>
      </c>
      <c r="J65" s="128">
        <v>1</v>
      </c>
      <c r="K65" s="128">
        <v>1</v>
      </c>
      <c r="L65" s="128">
        <v>1</v>
      </c>
      <c r="M65" s="128">
        <v>1</v>
      </c>
      <c r="N65" s="128">
        <v>1</v>
      </c>
      <c r="O65" s="128">
        <v>1</v>
      </c>
      <c r="P65" s="128">
        <v>1</v>
      </c>
      <c r="Q65" s="128">
        <v>1</v>
      </c>
      <c r="R65" s="128">
        <v>1</v>
      </c>
      <c r="S65" s="128">
        <v>1</v>
      </c>
      <c r="T65" s="128">
        <v>1</v>
      </c>
      <c r="U65" s="128">
        <v>1</v>
      </c>
      <c r="V65" s="128">
        <v>1</v>
      </c>
      <c r="W65" s="128">
        <v>1</v>
      </c>
      <c r="X65" s="128">
        <v>1</v>
      </c>
      <c r="Y65" s="128">
        <v>1</v>
      </c>
      <c r="Z65" s="128">
        <v>1</v>
      </c>
      <c r="AA65" s="128">
        <v>1</v>
      </c>
      <c r="AB65" s="128">
        <v>1</v>
      </c>
      <c r="AC65" s="128">
        <v>1</v>
      </c>
      <c r="AD65" s="128">
        <v>1</v>
      </c>
      <c r="AE65" s="128">
        <v>1</v>
      </c>
      <c r="AF65" s="128">
        <v>1</v>
      </c>
      <c r="AG65" s="128">
        <v>1</v>
      </c>
      <c r="AH65" s="128">
        <v>1</v>
      </c>
      <c r="AI65" s="128">
        <v>1</v>
      </c>
      <c r="AJ65" s="128">
        <v>1</v>
      </c>
      <c r="AK65" s="128">
        <v>1</v>
      </c>
      <c r="AL65" s="128">
        <v>1</v>
      </c>
      <c r="AM65" s="128">
        <v>1</v>
      </c>
      <c r="AN65" s="128">
        <v>1</v>
      </c>
      <c r="AO65" s="128">
        <v>1</v>
      </c>
      <c r="AP65" s="128">
        <v>1</v>
      </c>
      <c r="AQ65" s="128">
        <v>1</v>
      </c>
      <c r="AR65" s="128">
        <v>1</v>
      </c>
      <c r="AS65" s="128">
        <v>1</v>
      </c>
      <c r="AT65" s="128">
        <v>1</v>
      </c>
      <c r="AU65" s="128">
        <v>1</v>
      </c>
      <c r="AV65" s="128">
        <v>1</v>
      </c>
      <c r="AW65" s="128">
        <v>1</v>
      </c>
      <c r="AX65" s="128">
        <v>1</v>
      </c>
      <c r="AY65" s="128">
        <v>1</v>
      </c>
      <c r="AZ65" s="128">
        <v>1</v>
      </c>
      <c r="BA65" s="128">
        <v>1</v>
      </c>
      <c r="BB65" s="128">
        <v>1</v>
      </c>
      <c r="BC65" s="128">
        <v>1</v>
      </c>
      <c r="BD65" s="128">
        <v>1</v>
      </c>
      <c r="BE65" s="128">
        <v>1</v>
      </c>
      <c r="BF65" s="128">
        <v>1</v>
      </c>
      <c r="BG65" s="128">
        <v>1</v>
      </c>
      <c r="BH65" s="128">
        <v>1</v>
      </c>
      <c r="BI65" s="128">
        <v>1</v>
      </c>
      <c r="BJ65" s="128">
        <v>1</v>
      </c>
      <c r="BK65" s="128">
        <v>1</v>
      </c>
      <c r="BL65" s="128">
        <v>1</v>
      </c>
      <c r="BM65" s="128">
        <v>1</v>
      </c>
      <c r="BN65" s="128">
        <v>1</v>
      </c>
      <c r="BO65" s="128">
        <v>1</v>
      </c>
      <c r="BP65" s="128">
        <v>1</v>
      </c>
      <c r="BQ65" s="128">
        <v>1</v>
      </c>
      <c r="BR65" s="128">
        <v>1</v>
      </c>
      <c r="BS65" s="128">
        <v>1</v>
      </c>
      <c r="BT65" s="128">
        <v>1</v>
      </c>
      <c r="BU65" s="128">
        <v>1</v>
      </c>
      <c r="BV65" s="128">
        <v>1</v>
      </c>
      <c r="BW65" s="128">
        <v>1</v>
      </c>
      <c r="BX65" s="128">
        <v>1</v>
      </c>
      <c r="BY65" s="128">
        <v>1</v>
      </c>
      <c r="BZ65" s="128">
        <v>1</v>
      </c>
      <c r="CA65" s="128">
        <v>1</v>
      </c>
      <c r="CB65" s="128">
        <v>1</v>
      </c>
      <c r="CC65" s="128">
        <v>1</v>
      </c>
      <c r="CD65" s="128">
        <v>1</v>
      </c>
      <c r="CE65" s="128">
        <v>1</v>
      </c>
      <c r="CF65" s="128">
        <v>1</v>
      </c>
      <c r="CG65" s="128">
        <v>1</v>
      </c>
      <c r="CH65" s="128">
        <v>1</v>
      </c>
      <c r="CI65" s="128">
        <v>1</v>
      </c>
      <c r="CJ65" s="128">
        <v>1</v>
      </c>
      <c r="CK65" s="128">
        <v>1</v>
      </c>
      <c r="CL65" s="128">
        <v>1</v>
      </c>
      <c r="CM65" s="128">
        <v>1</v>
      </c>
      <c r="CN65" s="128">
        <v>1</v>
      </c>
      <c r="CO65" s="128">
        <v>1</v>
      </c>
      <c r="CP65" s="128">
        <v>1</v>
      </c>
      <c r="CQ65" s="128">
        <v>1</v>
      </c>
      <c r="CR65" s="128">
        <v>1</v>
      </c>
      <c r="CS65" s="128">
        <v>1</v>
      </c>
      <c r="CT65" s="128">
        <v>1</v>
      </c>
      <c r="CU65" s="128">
        <v>1</v>
      </c>
      <c r="CV65" s="128">
        <v>1</v>
      </c>
      <c r="CW65" s="128">
        <v>1</v>
      </c>
      <c r="CX65" s="128">
        <v>1</v>
      </c>
      <c r="CZ65" s="126">
        <f>SUMIF(MatrixF0[[1]:[2]],MatrixF0[[#This Row],[Столбец1]])/MatrixF0[[#This Row],[Столбец1]]</f>
        <v>0</v>
      </c>
    </row>
    <row r="66" spans="1:104" ht="21" customHeight="1" x14ac:dyDescent="0.25">
      <c r="A66" s="127">
        <v>1.63</v>
      </c>
      <c r="B66" s="128">
        <v>1</v>
      </c>
      <c r="C66" s="128">
        <v>1</v>
      </c>
      <c r="D66" s="128">
        <v>1</v>
      </c>
      <c r="E66" s="128">
        <v>1</v>
      </c>
      <c r="F66" s="128">
        <v>1</v>
      </c>
      <c r="G66" s="128">
        <v>1</v>
      </c>
      <c r="H66" s="128">
        <v>1</v>
      </c>
      <c r="I66" s="128">
        <v>1</v>
      </c>
      <c r="J66" s="128">
        <v>1</v>
      </c>
      <c r="K66" s="128">
        <v>1</v>
      </c>
      <c r="L66" s="128">
        <v>1</v>
      </c>
      <c r="M66" s="128">
        <v>1</v>
      </c>
      <c r="N66" s="128">
        <v>1</v>
      </c>
      <c r="O66" s="128">
        <v>1</v>
      </c>
      <c r="P66" s="128">
        <v>1</v>
      </c>
      <c r="Q66" s="128">
        <v>1</v>
      </c>
      <c r="R66" s="128">
        <v>1</v>
      </c>
      <c r="S66" s="128">
        <v>1</v>
      </c>
      <c r="T66" s="128">
        <v>1</v>
      </c>
      <c r="U66" s="128">
        <v>1</v>
      </c>
      <c r="V66" s="128">
        <v>1</v>
      </c>
      <c r="W66" s="128">
        <v>1</v>
      </c>
      <c r="X66" s="128">
        <v>1</v>
      </c>
      <c r="Y66" s="128">
        <v>1</v>
      </c>
      <c r="Z66" s="128">
        <v>1</v>
      </c>
      <c r="AA66" s="128">
        <v>1</v>
      </c>
      <c r="AB66" s="128">
        <v>1</v>
      </c>
      <c r="AC66" s="128">
        <v>1</v>
      </c>
      <c r="AD66" s="128">
        <v>1</v>
      </c>
      <c r="AE66" s="128">
        <v>1</v>
      </c>
      <c r="AF66" s="128">
        <v>1</v>
      </c>
      <c r="AG66" s="128">
        <v>1</v>
      </c>
      <c r="AH66" s="128">
        <v>1</v>
      </c>
      <c r="AI66" s="128">
        <v>1</v>
      </c>
      <c r="AJ66" s="128">
        <v>1</v>
      </c>
      <c r="AK66" s="128">
        <v>1</v>
      </c>
      <c r="AL66" s="128">
        <v>1</v>
      </c>
      <c r="AM66" s="128">
        <v>1</v>
      </c>
      <c r="AN66" s="128">
        <v>1</v>
      </c>
      <c r="AO66" s="128">
        <v>1</v>
      </c>
      <c r="AP66" s="128">
        <v>1</v>
      </c>
      <c r="AQ66" s="128">
        <v>1</v>
      </c>
      <c r="AR66" s="128">
        <v>1</v>
      </c>
      <c r="AS66" s="128">
        <v>1</v>
      </c>
      <c r="AT66" s="128">
        <v>1</v>
      </c>
      <c r="AU66" s="128">
        <v>1</v>
      </c>
      <c r="AV66" s="128">
        <v>1</v>
      </c>
      <c r="AW66" s="128">
        <v>1</v>
      </c>
      <c r="AX66" s="128">
        <v>1</v>
      </c>
      <c r="AY66" s="128">
        <v>1</v>
      </c>
      <c r="AZ66" s="128">
        <v>1</v>
      </c>
      <c r="BA66" s="128">
        <v>1</v>
      </c>
      <c r="BB66" s="128">
        <v>1</v>
      </c>
      <c r="BC66" s="128">
        <v>1</v>
      </c>
      <c r="BD66" s="128">
        <v>1</v>
      </c>
      <c r="BE66" s="128">
        <v>1</v>
      </c>
      <c r="BF66" s="128">
        <v>1</v>
      </c>
      <c r="BG66" s="128">
        <v>1</v>
      </c>
      <c r="BH66" s="128">
        <v>1</v>
      </c>
      <c r="BI66" s="128">
        <v>1</v>
      </c>
      <c r="BJ66" s="128">
        <v>1</v>
      </c>
      <c r="BK66" s="128">
        <v>1</v>
      </c>
      <c r="BL66" s="128">
        <v>1</v>
      </c>
      <c r="BM66" s="128">
        <v>1</v>
      </c>
      <c r="BN66" s="128">
        <v>1</v>
      </c>
      <c r="BO66" s="128">
        <v>1</v>
      </c>
      <c r="BP66" s="128">
        <v>1</v>
      </c>
      <c r="BQ66" s="128">
        <v>1</v>
      </c>
      <c r="BR66" s="128">
        <v>1</v>
      </c>
      <c r="BS66" s="128">
        <v>1</v>
      </c>
      <c r="BT66" s="128">
        <v>1</v>
      </c>
      <c r="BU66" s="128">
        <v>1</v>
      </c>
      <c r="BV66" s="128">
        <v>1</v>
      </c>
      <c r="BW66" s="128">
        <v>1</v>
      </c>
      <c r="BX66" s="128">
        <v>1</v>
      </c>
      <c r="BY66" s="128">
        <v>1</v>
      </c>
      <c r="BZ66" s="128">
        <v>1</v>
      </c>
      <c r="CA66" s="128">
        <v>1</v>
      </c>
      <c r="CB66" s="128">
        <v>1</v>
      </c>
      <c r="CC66" s="128">
        <v>1</v>
      </c>
      <c r="CD66" s="128">
        <v>1</v>
      </c>
      <c r="CE66" s="128">
        <v>1</v>
      </c>
      <c r="CF66" s="128">
        <v>1</v>
      </c>
      <c r="CG66" s="128">
        <v>1</v>
      </c>
      <c r="CH66" s="128">
        <v>1</v>
      </c>
      <c r="CI66" s="128">
        <v>1</v>
      </c>
      <c r="CJ66" s="128">
        <v>1</v>
      </c>
      <c r="CK66" s="128">
        <v>1</v>
      </c>
      <c r="CL66" s="128">
        <v>1</v>
      </c>
      <c r="CM66" s="128">
        <v>1</v>
      </c>
      <c r="CN66" s="128">
        <v>1</v>
      </c>
      <c r="CO66" s="128">
        <v>1</v>
      </c>
      <c r="CP66" s="128">
        <v>1</v>
      </c>
      <c r="CQ66" s="128">
        <v>1</v>
      </c>
      <c r="CR66" s="128">
        <v>1</v>
      </c>
      <c r="CS66" s="128">
        <v>1</v>
      </c>
      <c r="CT66" s="128">
        <v>1</v>
      </c>
      <c r="CU66" s="128">
        <v>1</v>
      </c>
      <c r="CV66" s="128">
        <v>1</v>
      </c>
      <c r="CW66" s="128">
        <v>1</v>
      </c>
      <c r="CX66" s="128">
        <v>1</v>
      </c>
      <c r="CZ66" s="126">
        <f>SUMIF(MatrixF0[[1]:[2]],MatrixF0[[#This Row],[Столбец1]])/MatrixF0[[#This Row],[Столбец1]]</f>
        <v>0</v>
      </c>
    </row>
    <row r="67" spans="1:104" ht="21" customHeight="1" x14ac:dyDescent="0.25">
      <c r="A67" s="127">
        <v>1.64</v>
      </c>
      <c r="B67" s="128">
        <v>1</v>
      </c>
      <c r="C67" s="128">
        <v>1</v>
      </c>
      <c r="D67" s="128">
        <v>1</v>
      </c>
      <c r="E67" s="128">
        <v>1</v>
      </c>
      <c r="F67" s="128">
        <v>1</v>
      </c>
      <c r="G67" s="128">
        <v>1</v>
      </c>
      <c r="H67" s="128">
        <v>1</v>
      </c>
      <c r="I67" s="128">
        <v>1</v>
      </c>
      <c r="J67" s="128">
        <v>1</v>
      </c>
      <c r="K67" s="128">
        <v>1</v>
      </c>
      <c r="L67" s="128">
        <v>1</v>
      </c>
      <c r="M67" s="128">
        <v>1</v>
      </c>
      <c r="N67" s="128">
        <v>1</v>
      </c>
      <c r="O67" s="128">
        <v>1</v>
      </c>
      <c r="P67" s="128">
        <v>1</v>
      </c>
      <c r="Q67" s="128">
        <v>1</v>
      </c>
      <c r="R67" s="128">
        <v>1</v>
      </c>
      <c r="S67" s="128">
        <v>1</v>
      </c>
      <c r="T67" s="128">
        <v>1</v>
      </c>
      <c r="U67" s="128">
        <v>1</v>
      </c>
      <c r="V67" s="128">
        <v>1</v>
      </c>
      <c r="W67" s="128">
        <v>1</v>
      </c>
      <c r="X67" s="128">
        <v>1</v>
      </c>
      <c r="Y67" s="128">
        <v>1</v>
      </c>
      <c r="Z67" s="128">
        <v>1</v>
      </c>
      <c r="AA67" s="128">
        <v>1</v>
      </c>
      <c r="AB67" s="128">
        <v>1</v>
      </c>
      <c r="AC67" s="128">
        <v>1</v>
      </c>
      <c r="AD67" s="128">
        <v>1</v>
      </c>
      <c r="AE67" s="128">
        <v>1</v>
      </c>
      <c r="AF67" s="128">
        <v>1</v>
      </c>
      <c r="AG67" s="128">
        <v>1</v>
      </c>
      <c r="AH67" s="128">
        <v>1</v>
      </c>
      <c r="AI67" s="128">
        <v>1</v>
      </c>
      <c r="AJ67" s="128">
        <v>1</v>
      </c>
      <c r="AK67" s="128">
        <v>1</v>
      </c>
      <c r="AL67" s="128">
        <v>1</v>
      </c>
      <c r="AM67" s="128">
        <v>1</v>
      </c>
      <c r="AN67" s="128">
        <v>1</v>
      </c>
      <c r="AO67" s="128">
        <v>1</v>
      </c>
      <c r="AP67" s="128">
        <v>1</v>
      </c>
      <c r="AQ67" s="128">
        <v>1</v>
      </c>
      <c r="AR67" s="128">
        <v>1</v>
      </c>
      <c r="AS67" s="128">
        <v>1</v>
      </c>
      <c r="AT67" s="128">
        <v>1</v>
      </c>
      <c r="AU67" s="128">
        <v>1</v>
      </c>
      <c r="AV67" s="128">
        <v>1</v>
      </c>
      <c r="AW67" s="128">
        <v>1</v>
      </c>
      <c r="AX67" s="128">
        <v>1</v>
      </c>
      <c r="AY67" s="128">
        <v>1</v>
      </c>
      <c r="AZ67" s="128">
        <v>1</v>
      </c>
      <c r="BA67" s="128">
        <v>1</v>
      </c>
      <c r="BB67" s="128">
        <v>1</v>
      </c>
      <c r="BC67" s="128">
        <v>1</v>
      </c>
      <c r="BD67" s="128">
        <v>1</v>
      </c>
      <c r="BE67" s="128">
        <v>1</v>
      </c>
      <c r="BF67" s="128">
        <v>1</v>
      </c>
      <c r="BG67" s="128">
        <v>1</v>
      </c>
      <c r="BH67" s="128">
        <v>1</v>
      </c>
      <c r="BI67" s="128">
        <v>1</v>
      </c>
      <c r="BJ67" s="128">
        <v>1</v>
      </c>
      <c r="BK67" s="128">
        <v>1</v>
      </c>
      <c r="BL67" s="128">
        <v>1</v>
      </c>
      <c r="BM67" s="128">
        <v>1</v>
      </c>
      <c r="BN67" s="128">
        <v>1</v>
      </c>
      <c r="BO67" s="128">
        <v>1</v>
      </c>
      <c r="BP67" s="128">
        <v>1</v>
      </c>
      <c r="BQ67" s="128">
        <v>1</v>
      </c>
      <c r="BR67" s="128">
        <v>1</v>
      </c>
      <c r="BS67" s="128">
        <v>1</v>
      </c>
      <c r="BT67" s="128">
        <v>1</v>
      </c>
      <c r="BU67" s="128">
        <v>1</v>
      </c>
      <c r="BV67" s="128">
        <v>1</v>
      </c>
      <c r="BW67" s="128">
        <v>1</v>
      </c>
      <c r="BX67" s="128">
        <v>1</v>
      </c>
      <c r="BY67" s="128">
        <v>1</v>
      </c>
      <c r="BZ67" s="128">
        <v>1</v>
      </c>
      <c r="CA67" s="128">
        <v>1</v>
      </c>
      <c r="CB67" s="128">
        <v>1</v>
      </c>
      <c r="CC67" s="128">
        <v>1</v>
      </c>
      <c r="CD67" s="128">
        <v>1</v>
      </c>
      <c r="CE67" s="128">
        <v>1</v>
      </c>
      <c r="CF67" s="128">
        <v>1</v>
      </c>
      <c r="CG67" s="128">
        <v>1</v>
      </c>
      <c r="CH67" s="128">
        <v>1</v>
      </c>
      <c r="CI67" s="128">
        <v>1</v>
      </c>
      <c r="CJ67" s="128">
        <v>1</v>
      </c>
      <c r="CK67" s="128">
        <v>1</v>
      </c>
      <c r="CL67" s="128">
        <v>1</v>
      </c>
      <c r="CM67" s="128">
        <v>1</v>
      </c>
      <c r="CN67" s="128">
        <v>1</v>
      </c>
      <c r="CO67" s="128">
        <v>1</v>
      </c>
      <c r="CP67" s="128">
        <v>1</v>
      </c>
      <c r="CQ67" s="128">
        <v>1</v>
      </c>
      <c r="CR67" s="128">
        <v>1</v>
      </c>
      <c r="CS67" s="128">
        <v>1</v>
      </c>
      <c r="CT67" s="128">
        <v>1</v>
      </c>
      <c r="CU67" s="128">
        <v>1</v>
      </c>
      <c r="CV67" s="128">
        <v>1</v>
      </c>
      <c r="CW67" s="128">
        <v>1</v>
      </c>
      <c r="CX67" s="128">
        <v>1</v>
      </c>
      <c r="CZ67" s="126">
        <f>SUMIF(MatrixF0[[1]:[2]],MatrixF0[[#This Row],[Столбец1]])/MatrixF0[[#This Row],[Столбец1]]</f>
        <v>0</v>
      </c>
    </row>
    <row r="68" spans="1:104" ht="21" customHeight="1" x14ac:dyDescent="0.25">
      <c r="A68" s="127">
        <v>1.65</v>
      </c>
      <c r="B68" s="128">
        <v>1</v>
      </c>
      <c r="C68" s="128">
        <v>1</v>
      </c>
      <c r="D68" s="128">
        <v>1</v>
      </c>
      <c r="E68" s="128">
        <v>1</v>
      </c>
      <c r="F68" s="128">
        <v>1</v>
      </c>
      <c r="G68" s="128">
        <v>1</v>
      </c>
      <c r="H68" s="128">
        <v>1</v>
      </c>
      <c r="I68" s="128">
        <v>1</v>
      </c>
      <c r="J68" s="128">
        <v>1</v>
      </c>
      <c r="K68" s="128">
        <v>1</v>
      </c>
      <c r="L68" s="128">
        <v>1</v>
      </c>
      <c r="M68" s="128">
        <v>1</v>
      </c>
      <c r="N68" s="128">
        <v>1</v>
      </c>
      <c r="O68" s="128">
        <v>1</v>
      </c>
      <c r="P68" s="128">
        <v>1</v>
      </c>
      <c r="Q68" s="128">
        <v>1</v>
      </c>
      <c r="R68" s="128">
        <v>1</v>
      </c>
      <c r="S68" s="128">
        <v>1</v>
      </c>
      <c r="T68" s="128">
        <v>1</v>
      </c>
      <c r="U68" s="128">
        <v>1</v>
      </c>
      <c r="V68" s="128">
        <v>1</v>
      </c>
      <c r="W68" s="128">
        <v>1</v>
      </c>
      <c r="X68" s="128">
        <v>1</v>
      </c>
      <c r="Y68" s="128">
        <v>1</v>
      </c>
      <c r="Z68" s="128">
        <v>1</v>
      </c>
      <c r="AA68" s="128">
        <v>1</v>
      </c>
      <c r="AB68" s="128">
        <v>1</v>
      </c>
      <c r="AC68" s="128">
        <v>1</v>
      </c>
      <c r="AD68" s="128">
        <v>1</v>
      </c>
      <c r="AE68" s="128">
        <v>1</v>
      </c>
      <c r="AF68" s="128">
        <v>1</v>
      </c>
      <c r="AG68" s="128">
        <v>1</v>
      </c>
      <c r="AH68" s="128">
        <v>1</v>
      </c>
      <c r="AI68" s="128">
        <v>1</v>
      </c>
      <c r="AJ68" s="128">
        <v>1</v>
      </c>
      <c r="AK68" s="128">
        <v>1</v>
      </c>
      <c r="AL68" s="128">
        <v>1</v>
      </c>
      <c r="AM68" s="128">
        <v>1</v>
      </c>
      <c r="AN68" s="128">
        <v>1</v>
      </c>
      <c r="AO68" s="128">
        <v>1</v>
      </c>
      <c r="AP68" s="128">
        <v>1</v>
      </c>
      <c r="AQ68" s="128">
        <v>1</v>
      </c>
      <c r="AR68" s="128">
        <v>1</v>
      </c>
      <c r="AS68" s="128">
        <v>1</v>
      </c>
      <c r="AT68" s="128">
        <v>1</v>
      </c>
      <c r="AU68" s="128">
        <v>1</v>
      </c>
      <c r="AV68" s="128">
        <v>1</v>
      </c>
      <c r="AW68" s="128">
        <v>1</v>
      </c>
      <c r="AX68" s="128">
        <v>1</v>
      </c>
      <c r="AY68" s="128">
        <v>1</v>
      </c>
      <c r="AZ68" s="128">
        <v>1</v>
      </c>
      <c r="BA68" s="128">
        <v>1</v>
      </c>
      <c r="BB68" s="128">
        <v>1</v>
      </c>
      <c r="BC68" s="128">
        <v>1</v>
      </c>
      <c r="BD68" s="128">
        <v>1</v>
      </c>
      <c r="BE68" s="128">
        <v>1</v>
      </c>
      <c r="BF68" s="128">
        <v>1</v>
      </c>
      <c r="BG68" s="128">
        <v>1</v>
      </c>
      <c r="BH68" s="128">
        <v>1</v>
      </c>
      <c r="BI68" s="128">
        <v>1</v>
      </c>
      <c r="BJ68" s="128">
        <v>1</v>
      </c>
      <c r="BK68" s="128">
        <v>1</v>
      </c>
      <c r="BL68" s="128">
        <v>1</v>
      </c>
      <c r="BM68" s="128">
        <v>1</v>
      </c>
      <c r="BN68" s="128">
        <v>1</v>
      </c>
      <c r="BO68" s="128">
        <v>1</v>
      </c>
      <c r="BP68" s="128">
        <v>1</v>
      </c>
      <c r="BQ68" s="128">
        <v>1</v>
      </c>
      <c r="BR68" s="128">
        <v>1</v>
      </c>
      <c r="BS68" s="128">
        <v>1</v>
      </c>
      <c r="BT68" s="128">
        <v>1</v>
      </c>
      <c r="BU68" s="128">
        <v>1</v>
      </c>
      <c r="BV68" s="128">
        <v>1</v>
      </c>
      <c r="BW68" s="128">
        <v>1</v>
      </c>
      <c r="BX68" s="128">
        <v>1</v>
      </c>
      <c r="BY68" s="128">
        <v>1</v>
      </c>
      <c r="BZ68" s="128">
        <v>1</v>
      </c>
      <c r="CA68" s="128">
        <v>1</v>
      </c>
      <c r="CB68" s="128">
        <v>1</v>
      </c>
      <c r="CC68" s="128">
        <v>1</v>
      </c>
      <c r="CD68" s="128">
        <v>1</v>
      </c>
      <c r="CE68" s="128">
        <v>1</v>
      </c>
      <c r="CF68" s="128">
        <v>1</v>
      </c>
      <c r="CG68" s="128">
        <v>1</v>
      </c>
      <c r="CH68" s="128">
        <v>1</v>
      </c>
      <c r="CI68" s="128">
        <v>1</v>
      </c>
      <c r="CJ68" s="128">
        <v>1</v>
      </c>
      <c r="CK68" s="128">
        <v>1</v>
      </c>
      <c r="CL68" s="128">
        <v>1</v>
      </c>
      <c r="CM68" s="128">
        <v>1</v>
      </c>
      <c r="CN68" s="128">
        <v>1</v>
      </c>
      <c r="CO68" s="128">
        <v>1</v>
      </c>
      <c r="CP68" s="128">
        <v>1</v>
      </c>
      <c r="CQ68" s="128">
        <v>1</v>
      </c>
      <c r="CR68" s="128">
        <v>1</v>
      </c>
      <c r="CS68" s="128">
        <v>1</v>
      </c>
      <c r="CT68" s="128">
        <v>1</v>
      </c>
      <c r="CU68" s="128">
        <v>1</v>
      </c>
      <c r="CV68" s="128">
        <v>1</v>
      </c>
      <c r="CW68" s="128">
        <v>1</v>
      </c>
      <c r="CX68" s="128">
        <v>1</v>
      </c>
      <c r="CZ68" s="126">
        <f>SUMIF(MatrixF0[[1]:[2]],MatrixF0[[#This Row],[Столбец1]])/MatrixF0[[#This Row],[Столбец1]]</f>
        <v>0</v>
      </c>
    </row>
    <row r="69" spans="1:104" ht="21" customHeight="1" x14ac:dyDescent="0.25">
      <c r="A69" s="127">
        <v>1.66</v>
      </c>
      <c r="B69" s="128">
        <v>1</v>
      </c>
      <c r="C69" s="128">
        <v>1</v>
      </c>
      <c r="D69" s="128">
        <v>1</v>
      </c>
      <c r="E69" s="128">
        <v>1</v>
      </c>
      <c r="F69" s="128">
        <v>1</v>
      </c>
      <c r="G69" s="128">
        <v>1</v>
      </c>
      <c r="H69" s="128">
        <v>1</v>
      </c>
      <c r="I69" s="128">
        <v>1</v>
      </c>
      <c r="J69" s="128">
        <v>1</v>
      </c>
      <c r="K69" s="128">
        <v>1</v>
      </c>
      <c r="L69" s="128">
        <v>1</v>
      </c>
      <c r="M69" s="128">
        <v>1</v>
      </c>
      <c r="N69" s="128">
        <v>1</v>
      </c>
      <c r="O69" s="128">
        <v>1</v>
      </c>
      <c r="P69" s="128">
        <v>1</v>
      </c>
      <c r="Q69" s="128">
        <v>1</v>
      </c>
      <c r="R69" s="128">
        <v>1</v>
      </c>
      <c r="S69" s="128">
        <v>1</v>
      </c>
      <c r="T69" s="128">
        <v>1</v>
      </c>
      <c r="U69" s="128">
        <v>1</v>
      </c>
      <c r="V69" s="128">
        <v>1</v>
      </c>
      <c r="W69" s="128">
        <v>1</v>
      </c>
      <c r="X69" s="128">
        <v>1</v>
      </c>
      <c r="Y69" s="128">
        <v>1</v>
      </c>
      <c r="Z69" s="128">
        <v>1</v>
      </c>
      <c r="AA69" s="128">
        <v>1</v>
      </c>
      <c r="AB69" s="128">
        <v>1</v>
      </c>
      <c r="AC69" s="128">
        <v>1</v>
      </c>
      <c r="AD69" s="128">
        <v>1</v>
      </c>
      <c r="AE69" s="128">
        <v>1</v>
      </c>
      <c r="AF69" s="128">
        <v>1</v>
      </c>
      <c r="AG69" s="128">
        <v>1</v>
      </c>
      <c r="AH69" s="128">
        <v>1</v>
      </c>
      <c r="AI69" s="128">
        <v>1</v>
      </c>
      <c r="AJ69" s="128">
        <v>1</v>
      </c>
      <c r="AK69" s="128">
        <v>1</v>
      </c>
      <c r="AL69" s="128">
        <v>1</v>
      </c>
      <c r="AM69" s="128">
        <v>1</v>
      </c>
      <c r="AN69" s="128">
        <v>1</v>
      </c>
      <c r="AO69" s="128">
        <v>1</v>
      </c>
      <c r="AP69" s="128">
        <v>1</v>
      </c>
      <c r="AQ69" s="128">
        <v>1</v>
      </c>
      <c r="AR69" s="128">
        <v>1</v>
      </c>
      <c r="AS69" s="128">
        <v>1</v>
      </c>
      <c r="AT69" s="128">
        <v>1</v>
      </c>
      <c r="AU69" s="128">
        <v>1</v>
      </c>
      <c r="AV69" s="128">
        <v>1</v>
      </c>
      <c r="AW69" s="128">
        <v>1</v>
      </c>
      <c r="AX69" s="128">
        <v>1</v>
      </c>
      <c r="AY69" s="128">
        <v>1</v>
      </c>
      <c r="AZ69" s="128">
        <v>1</v>
      </c>
      <c r="BA69" s="128">
        <v>1</v>
      </c>
      <c r="BB69" s="128">
        <v>1</v>
      </c>
      <c r="BC69" s="128">
        <v>1</v>
      </c>
      <c r="BD69" s="128">
        <v>1</v>
      </c>
      <c r="BE69" s="128">
        <v>1</v>
      </c>
      <c r="BF69" s="128">
        <v>1</v>
      </c>
      <c r="BG69" s="128">
        <v>1</v>
      </c>
      <c r="BH69" s="128">
        <v>1</v>
      </c>
      <c r="BI69" s="128">
        <v>1</v>
      </c>
      <c r="BJ69" s="128">
        <v>1</v>
      </c>
      <c r="BK69" s="128">
        <v>1</v>
      </c>
      <c r="BL69" s="128">
        <v>1</v>
      </c>
      <c r="BM69" s="128">
        <v>1</v>
      </c>
      <c r="BN69" s="128">
        <v>1</v>
      </c>
      <c r="BO69" s="128">
        <v>1</v>
      </c>
      <c r="BP69" s="128">
        <v>1</v>
      </c>
      <c r="BQ69" s="128">
        <v>1</v>
      </c>
      <c r="BR69" s="128">
        <v>1</v>
      </c>
      <c r="BS69" s="128">
        <v>1</v>
      </c>
      <c r="BT69" s="128">
        <v>1</v>
      </c>
      <c r="BU69" s="128">
        <v>1</v>
      </c>
      <c r="BV69" s="128">
        <v>1</v>
      </c>
      <c r="BW69" s="128">
        <v>1</v>
      </c>
      <c r="BX69" s="128">
        <v>1</v>
      </c>
      <c r="BY69" s="128">
        <v>1</v>
      </c>
      <c r="BZ69" s="128">
        <v>1</v>
      </c>
      <c r="CA69" s="128">
        <v>1</v>
      </c>
      <c r="CB69" s="128">
        <v>1</v>
      </c>
      <c r="CC69" s="128">
        <v>1</v>
      </c>
      <c r="CD69" s="128">
        <v>1</v>
      </c>
      <c r="CE69" s="128">
        <v>1</v>
      </c>
      <c r="CF69" s="128">
        <v>1</v>
      </c>
      <c r="CG69" s="128">
        <v>1</v>
      </c>
      <c r="CH69" s="128">
        <v>1</v>
      </c>
      <c r="CI69" s="128">
        <v>1</v>
      </c>
      <c r="CJ69" s="128">
        <v>1</v>
      </c>
      <c r="CK69" s="128">
        <v>1</v>
      </c>
      <c r="CL69" s="128">
        <v>1</v>
      </c>
      <c r="CM69" s="128">
        <v>1</v>
      </c>
      <c r="CN69" s="128">
        <v>1</v>
      </c>
      <c r="CO69" s="128">
        <v>1</v>
      </c>
      <c r="CP69" s="128">
        <v>1</v>
      </c>
      <c r="CQ69" s="128">
        <v>1</v>
      </c>
      <c r="CR69" s="128">
        <v>1</v>
      </c>
      <c r="CS69" s="128">
        <v>1</v>
      </c>
      <c r="CT69" s="128">
        <v>1</v>
      </c>
      <c r="CU69" s="128">
        <v>1</v>
      </c>
      <c r="CV69" s="128">
        <v>1</v>
      </c>
      <c r="CW69" s="128">
        <v>1</v>
      </c>
      <c r="CX69" s="128">
        <v>1</v>
      </c>
      <c r="CZ69" s="126">
        <f>SUMIF(MatrixF0[[1]:[2]],MatrixF0[[#This Row],[Столбец1]])/MatrixF0[[#This Row],[Столбец1]]</f>
        <v>0</v>
      </c>
    </row>
    <row r="70" spans="1:104" ht="21" customHeight="1" x14ac:dyDescent="0.25">
      <c r="A70" s="127">
        <v>1.67</v>
      </c>
      <c r="B70" s="128">
        <v>1</v>
      </c>
      <c r="C70" s="128">
        <v>1</v>
      </c>
      <c r="D70" s="128">
        <v>1</v>
      </c>
      <c r="E70" s="128">
        <v>1</v>
      </c>
      <c r="F70" s="128">
        <v>1</v>
      </c>
      <c r="G70" s="128">
        <v>1</v>
      </c>
      <c r="H70" s="128">
        <v>1</v>
      </c>
      <c r="I70" s="128">
        <v>1</v>
      </c>
      <c r="J70" s="128">
        <v>1</v>
      </c>
      <c r="K70" s="128">
        <v>1</v>
      </c>
      <c r="L70" s="128">
        <v>1</v>
      </c>
      <c r="M70" s="128">
        <v>1</v>
      </c>
      <c r="N70" s="128">
        <v>1</v>
      </c>
      <c r="O70" s="128">
        <v>1</v>
      </c>
      <c r="P70" s="128">
        <v>1</v>
      </c>
      <c r="Q70" s="128">
        <v>1</v>
      </c>
      <c r="R70" s="128">
        <v>1</v>
      </c>
      <c r="S70" s="128">
        <v>1</v>
      </c>
      <c r="T70" s="128">
        <v>1</v>
      </c>
      <c r="U70" s="128">
        <v>1</v>
      </c>
      <c r="V70" s="128">
        <v>1</v>
      </c>
      <c r="W70" s="128">
        <v>1</v>
      </c>
      <c r="X70" s="128">
        <v>1</v>
      </c>
      <c r="Y70" s="128">
        <v>1</v>
      </c>
      <c r="Z70" s="128">
        <v>1</v>
      </c>
      <c r="AA70" s="128">
        <v>1</v>
      </c>
      <c r="AB70" s="128">
        <v>1</v>
      </c>
      <c r="AC70" s="128">
        <v>1</v>
      </c>
      <c r="AD70" s="128">
        <v>1</v>
      </c>
      <c r="AE70" s="128">
        <v>1</v>
      </c>
      <c r="AF70" s="128">
        <v>1</v>
      </c>
      <c r="AG70" s="128">
        <v>1</v>
      </c>
      <c r="AH70" s="128">
        <v>1</v>
      </c>
      <c r="AI70" s="128">
        <v>1</v>
      </c>
      <c r="AJ70" s="128">
        <v>1</v>
      </c>
      <c r="AK70" s="128">
        <v>1</v>
      </c>
      <c r="AL70" s="128">
        <v>1</v>
      </c>
      <c r="AM70" s="128">
        <v>1</v>
      </c>
      <c r="AN70" s="128">
        <v>1</v>
      </c>
      <c r="AO70" s="128">
        <v>1</v>
      </c>
      <c r="AP70" s="128">
        <v>1</v>
      </c>
      <c r="AQ70" s="128">
        <v>1</v>
      </c>
      <c r="AR70" s="128">
        <v>1</v>
      </c>
      <c r="AS70" s="128">
        <v>1</v>
      </c>
      <c r="AT70" s="128">
        <v>1</v>
      </c>
      <c r="AU70" s="128">
        <v>1</v>
      </c>
      <c r="AV70" s="128">
        <v>1</v>
      </c>
      <c r="AW70" s="128">
        <v>1</v>
      </c>
      <c r="AX70" s="128">
        <v>1</v>
      </c>
      <c r="AY70" s="128">
        <v>1</v>
      </c>
      <c r="AZ70" s="128">
        <v>1</v>
      </c>
      <c r="BA70" s="128">
        <v>1</v>
      </c>
      <c r="BB70" s="128">
        <v>1</v>
      </c>
      <c r="BC70" s="128">
        <v>1</v>
      </c>
      <c r="BD70" s="128">
        <v>1</v>
      </c>
      <c r="BE70" s="128">
        <v>1</v>
      </c>
      <c r="BF70" s="128">
        <v>1</v>
      </c>
      <c r="BG70" s="128">
        <v>1</v>
      </c>
      <c r="BH70" s="128">
        <v>1</v>
      </c>
      <c r="BI70" s="128">
        <v>1</v>
      </c>
      <c r="BJ70" s="128">
        <v>1</v>
      </c>
      <c r="BK70" s="128">
        <v>1</v>
      </c>
      <c r="BL70" s="128">
        <v>1</v>
      </c>
      <c r="BM70" s="128">
        <v>1</v>
      </c>
      <c r="BN70" s="128">
        <v>1</v>
      </c>
      <c r="BO70" s="128">
        <v>1</v>
      </c>
      <c r="BP70" s="128">
        <v>1</v>
      </c>
      <c r="BQ70" s="128">
        <v>1</v>
      </c>
      <c r="BR70" s="128">
        <v>1</v>
      </c>
      <c r="BS70" s="128">
        <v>1</v>
      </c>
      <c r="BT70" s="128">
        <v>1</v>
      </c>
      <c r="BU70" s="128">
        <v>1</v>
      </c>
      <c r="BV70" s="128">
        <v>1</v>
      </c>
      <c r="BW70" s="128">
        <v>1</v>
      </c>
      <c r="BX70" s="128">
        <v>1</v>
      </c>
      <c r="BY70" s="128">
        <v>1</v>
      </c>
      <c r="BZ70" s="128">
        <v>1</v>
      </c>
      <c r="CA70" s="128">
        <v>1</v>
      </c>
      <c r="CB70" s="128">
        <v>1</v>
      </c>
      <c r="CC70" s="128">
        <v>1</v>
      </c>
      <c r="CD70" s="128">
        <v>1</v>
      </c>
      <c r="CE70" s="128">
        <v>1</v>
      </c>
      <c r="CF70" s="128">
        <v>1</v>
      </c>
      <c r="CG70" s="128">
        <v>1</v>
      </c>
      <c r="CH70" s="128">
        <v>1</v>
      </c>
      <c r="CI70" s="128">
        <v>1</v>
      </c>
      <c r="CJ70" s="128">
        <v>1</v>
      </c>
      <c r="CK70" s="128">
        <v>1</v>
      </c>
      <c r="CL70" s="128">
        <v>1</v>
      </c>
      <c r="CM70" s="128">
        <v>1</v>
      </c>
      <c r="CN70" s="128">
        <v>1</v>
      </c>
      <c r="CO70" s="128">
        <v>1</v>
      </c>
      <c r="CP70" s="128">
        <v>1</v>
      </c>
      <c r="CQ70" s="128">
        <v>1</v>
      </c>
      <c r="CR70" s="128">
        <v>1</v>
      </c>
      <c r="CS70" s="128">
        <v>1</v>
      </c>
      <c r="CT70" s="128">
        <v>1</v>
      </c>
      <c r="CU70" s="128">
        <v>1</v>
      </c>
      <c r="CV70" s="128">
        <v>1</v>
      </c>
      <c r="CW70" s="128">
        <v>1</v>
      </c>
      <c r="CX70" s="128">
        <v>1</v>
      </c>
      <c r="CZ70" s="126">
        <f>SUMIF(MatrixF0[[1]:[2]],MatrixF0[[#This Row],[Столбец1]])/MatrixF0[[#This Row],[Столбец1]]</f>
        <v>0</v>
      </c>
    </row>
    <row r="71" spans="1:104" ht="21" customHeight="1" x14ac:dyDescent="0.25">
      <c r="A71" s="127">
        <v>1.68</v>
      </c>
      <c r="B71" s="128">
        <v>1</v>
      </c>
      <c r="C71" s="128">
        <v>1</v>
      </c>
      <c r="D71" s="128">
        <v>1</v>
      </c>
      <c r="E71" s="128">
        <v>1</v>
      </c>
      <c r="F71" s="128">
        <v>1</v>
      </c>
      <c r="G71" s="128">
        <v>1</v>
      </c>
      <c r="H71" s="128">
        <v>1</v>
      </c>
      <c r="I71" s="128">
        <v>1</v>
      </c>
      <c r="J71" s="128">
        <v>1</v>
      </c>
      <c r="K71" s="128">
        <v>1</v>
      </c>
      <c r="L71" s="128">
        <v>1</v>
      </c>
      <c r="M71" s="128">
        <v>1</v>
      </c>
      <c r="N71" s="128">
        <v>1</v>
      </c>
      <c r="O71" s="128">
        <v>1</v>
      </c>
      <c r="P71" s="128">
        <v>1</v>
      </c>
      <c r="Q71" s="128">
        <v>1</v>
      </c>
      <c r="R71" s="128">
        <v>1</v>
      </c>
      <c r="S71" s="128">
        <v>1</v>
      </c>
      <c r="T71" s="128">
        <v>1</v>
      </c>
      <c r="U71" s="128">
        <v>1</v>
      </c>
      <c r="V71" s="128">
        <v>1</v>
      </c>
      <c r="W71" s="128">
        <v>1</v>
      </c>
      <c r="X71" s="128">
        <v>1</v>
      </c>
      <c r="Y71" s="128">
        <v>1</v>
      </c>
      <c r="Z71" s="128">
        <v>1</v>
      </c>
      <c r="AA71" s="128">
        <v>1</v>
      </c>
      <c r="AB71" s="128">
        <v>1</v>
      </c>
      <c r="AC71" s="128">
        <v>1</v>
      </c>
      <c r="AD71" s="128">
        <v>1</v>
      </c>
      <c r="AE71" s="128">
        <v>1</v>
      </c>
      <c r="AF71" s="128">
        <v>1</v>
      </c>
      <c r="AG71" s="128">
        <v>1</v>
      </c>
      <c r="AH71" s="128">
        <v>1</v>
      </c>
      <c r="AI71" s="128">
        <v>1</v>
      </c>
      <c r="AJ71" s="128">
        <v>1</v>
      </c>
      <c r="AK71" s="128">
        <v>1</v>
      </c>
      <c r="AL71" s="128">
        <v>1</v>
      </c>
      <c r="AM71" s="128">
        <v>1</v>
      </c>
      <c r="AN71" s="128">
        <v>1</v>
      </c>
      <c r="AO71" s="128">
        <v>1</v>
      </c>
      <c r="AP71" s="128">
        <v>1</v>
      </c>
      <c r="AQ71" s="128">
        <v>1</v>
      </c>
      <c r="AR71" s="128">
        <v>1</v>
      </c>
      <c r="AS71" s="128">
        <v>1</v>
      </c>
      <c r="AT71" s="128">
        <v>1</v>
      </c>
      <c r="AU71" s="128">
        <v>1</v>
      </c>
      <c r="AV71" s="128">
        <v>1</v>
      </c>
      <c r="AW71" s="128">
        <v>1</v>
      </c>
      <c r="AX71" s="128">
        <v>1</v>
      </c>
      <c r="AY71" s="128">
        <v>1</v>
      </c>
      <c r="AZ71" s="128">
        <v>1</v>
      </c>
      <c r="BA71" s="128">
        <v>1</v>
      </c>
      <c r="BB71" s="128">
        <v>1</v>
      </c>
      <c r="BC71" s="128">
        <v>1</v>
      </c>
      <c r="BD71" s="128">
        <v>1</v>
      </c>
      <c r="BE71" s="128">
        <v>1</v>
      </c>
      <c r="BF71" s="128">
        <v>1</v>
      </c>
      <c r="BG71" s="128">
        <v>1</v>
      </c>
      <c r="BH71" s="128">
        <v>1</v>
      </c>
      <c r="BI71" s="128">
        <v>1</v>
      </c>
      <c r="BJ71" s="128">
        <v>1</v>
      </c>
      <c r="BK71" s="128">
        <v>1</v>
      </c>
      <c r="BL71" s="128">
        <v>1</v>
      </c>
      <c r="BM71" s="128">
        <v>1</v>
      </c>
      <c r="BN71" s="128">
        <v>1</v>
      </c>
      <c r="BO71" s="128">
        <v>1</v>
      </c>
      <c r="BP71" s="128">
        <v>1</v>
      </c>
      <c r="BQ71" s="128">
        <v>1</v>
      </c>
      <c r="BR71" s="128">
        <v>1</v>
      </c>
      <c r="BS71" s="128">
        <v>1</v>
      </c>
      <c r="BT71" s="128">
        <v>1</v>
      </c>
      <c r="BU71" s="128">
        <v>1</v>
      </c>
      <c r="BV71" s="128">
        <v>1</v>
      </c>
      <c r="BW71" s="128">
        <v>1</v>
      </c>
      <c r="BX71" s="128">
        <v>1</v>
      </c>
      <c r="BY71" s="128">
        <v>1</v>
      </c>
      <c r="BZ71" s="128">
        <v>1</v>
      </c>
      <c r="CA71" s="128">
        <v>1</v>
      </c>
      <c r="CB71" s="128">
        <v>1</v>
      </c>
      <c r="CC71" s="128">
        <v>1</v>
      </c>
      <c r="CD71" s="128">
        <v>1</v>
      </c>
      <c r="CE71" s="128">
        <v>1</v>
      </c>
      <c r="CF71" s="128">
        <v>1</v>
      </c>
      <c r="CG71" s="128">
        <v>1</v>
      </c>
      <c r="CH71" s="128">
        <v>1</v>
      </c>
      <c r="CI71" s="128">
        <v>1</v>
      </c>
      <c r="CJ71" s="128">
        <v>1</v>
      </c>
      <c r="CK71" s="128">
        <v>1</v>
      </c>
      <c r="CL71" s="128">
        <v>1</v>
      </c>
      <c r="CM71" s="128">
        <v>1</v>
      </c>
      <c r="CN71" s="128">
        <v>1</v>
      </c>
      <c r="CO71" s="128">
        <v>1</v>
      </c>
      <c r="CP71" s="128">
        <v>1</v>
      </c>
      <c r="CQ71" s="128">
        <v>1</v>
      </c>
      <c r="CR71" s="128">
        <v>1</v>
      </c>
      <c r="CS71" s="128">
        <v>1</v>
      </c>
      <c r="CT71" s="128">
        <v>1</v>
      </c>
      <c r="CU71" s="128">
        <v>1</v>
      </c>
      <c r="CV71" s="128">
        <v>1</v>
      </c>
      <c r="CW71" s="128">
        <v>1</v>
      </c>
      <c r="CX71" s="128">
        <v>1</v>
      </c>
      <c r="CZ71" s="126">
        <f>SUMIF(MatrixF0[[1]:[2]],MatrixF0[[#This Row],[Столбец1]])/MatrixF0[[#This Row],[Столбец1]]</f>
        <v>0</v>
      </c>
    </row>
    <row r="72" spans="1:104" ht="21" customHeight="1" x14ac:dyDescent="0.25">
      <c r="A72" s="127">
        <v>1.69</v>
      </c>
      <c r="B72" s="128">
        <v>1</v>
      </c>
      <c r="C72" s="128">
        <v>1</v>
      </c>
      <c r="D72" s="128">
        <v>1</v>
      </c>
      <c r="E72" s="128">
        <v>1</v>
      </c>
      <c r="F72" s="128">
        <v>1</v>
      </c>
      <c r="G72" s="128">
        <v>1</v>
      </c>
      <c r="H72" s="128">
        <v>1</v>
      </c>
      <c r="I72" s="128">
        <v>1</v>
      </c>
      <c r="J72" s="128">
        <v>1</v>
      </c>
      <c r="K72" s="128">
        <v>1</v>
      </c>
      <c r="L72" s="128">
        <v>1</v>
      </c>
      <c r="M72" s="128">
        <v>1</v>
      </c>
      <c r="N72" s="128">
        <v>1</v>
      </c>
      <c r="O72" s="128">
        <v>1</v>
      </c>
      <c r="P72" s="128">
        <v>1</v>
      </c>
      <c r="Q72" s="128">
        <v>1</v>
      </c>
      <c r="R72" s="128">
        <v>1</v>
      </c>
      <c r="S72" s="128">
        <v>1</v>
      </c>
      <c r="T72" s="128">
        <v>1</v>
      </c>
      <c r="U72" s="128">
        <v>1</v>
      </c>
      <c r="V72" s="128">
        <v>1</v>
      </c>
      <c r="W72" s="128">
        <v>1</v>
      </c>
      <c r="X72" s="128">
        <v>1</v>
      </c>
      <c r="Y72" s="128">
        <v>1</v>
      </c>
      <c r="Z72" s="128">
        <v>1</v>
      </c>
      <c r="AA72" s="128">
        <v>1</v>
      </c>
      <c r="AB72" s="128">
        <v>1</v>
      </c>
      <c r="AC72" s="128">
        <v>1</v>
      </c>
      <c r="AD72" s="128">
        <v>1</v>
      </c>
      <c r="AE72" s="128">
        <v>1</v>
      </c>
      <c r="AF72" s="128">
        <v>1</v>
      </c>
      <c r="AG72" s="128">
        <v>1</v>
      </c>
      <c r="AH72" s="128">
        <v>1</v>
      </c>
      <c r="AI72" s="128">
        <v>1</v>
      </c>
      <c r="AJ72" s="128">
        <v>1</v>
      </c>
      <c r="AK72" s="128">
        <v>1</v>
      </c>
      <c r="AL72" s="128">
        <v>1</v>
      </c>
      <c r="AM72" s="128">
        <v>1</v>
      </c>
      <c r="AN72" s="128">
        <v>1</v>
      </c>
      <c r="AO72" s="128">
        <v>1</v>
      </c>
      <c r="AP72" s="128">
        <v>1</v>
      </c>
      <c r="AQ72" s="128">
        <v>1</v>
      </c>
      <c r="AR72" s="128">
        <v>1</v>
      </c>
      <c r="AS72" s="128">
        <v>1</v>
      </c>
      <c r="AT72" s="128">
        <v>1</v>
      </c>
      <c r="AU72" s="128">
        <v>1</v>
      </c>
      <c r="AV72" s="128">
        <v>1</v>
      </c>
      <c r="AW72" s="128">
        <v>1</v>
      </c>
      <c r="AX72" s="128">
        <v>1</v>
      </c>
      <c r="AY72" s="128">
        <v>1</v>
      </c>
      <c r="AZ72" s="128">
        <v>1</v>
      </c>
      <c r="BA72" s="128">
        <v>1</v>
      </c>
      <c r="BB72" s="128">
        <v>1</v>
      </c>
      <c r="BC72" s="128">
        <v>1</v>
      </c>
      <c r="BD72" s="128">
        <v>1</v>
      </c>
      <c r="BE72" s="128">
        <v>1</v>
      </c>
      <c r="BF72" s="128">
        <v>1</v>
      </c>
      <c r="BG72" s="128">
        <v>1</v>
      </c>
      <c r="BH72" s="128">
        <v>1</v>
      </c>
      <c r="BI72" s="128">
        <v>1</v>
      </c>
      <c r="BJ72" s="128">
        <v>1</v>
      </c>
      <c r="BK72" s="128">
        <v>1</v>
      </c>
      <c r="BL72" s="128">
        <v>1</v>
      </c>
      <c r="BM72" s="128">
        <v>1</v>
      </c>
      <c r="BN72" s="128">
        <v>1</v>
      </c>
      <c r="BO72" s="128">
        <v>1</v>
      </c>
      <c r="BP72" s="128">
        <v>1</v>
      </c>
      <c r="BQ72" s="128">
        <v>1</v>
      </c>
      <c r="BR72" s="128">
        <v>1</v>
      </c>
      <c r="BS72" s="128">
        <v>1</v>
      </c>
      <c r="BT72" s="128">
        <v>1</v>
      </c>
      <c r="BU72" s="128">
        <v>1</v>
      </c>
      <c r="BV72" s="128">
        <v>1</v>
      </c>
      <c r="BW72" s="128">
        <v>1</v>
      </c>
      <c r="BX72" s="128">
        <v>1</v>
      </c>
      <c r="BY72" s="128">
        <v>1</v>
      </c>
      <c r="BZ72" s="128">
        <v>1</v>
      </c>
      <c r="CA72" s="128">
        <v>1</v>
      </c>
      <c r="CB72" s="128">
        <v>1</v>
      </c>
      <c r="CC72" s="128">
        <v>1</v>
      </c>
      <c r="CD72" s="128">
        <v>1</v>
      </c>
      <c r="CE72" s="128">
        <v>1</v>
      </c>
      <c r="CF72" s="128">
        <v>1</v>
      </c>
      <c r="CG72" s="128">
        <v>1</v>
      </c>
      <c r="CH72" s="128">
        <v>1</v>
      </c>
      <c r="CI72" s="128">
        <v>1</v>
      </c>
      <c r="CJ72" s="128">
        <v>1</v>
      </c>
      <c r="CK72" s="128">
        <v>1</v>
      </c>
      <c r="CL72" s="128">
        <v>1</v>
      </c>
      <c r="CM72" s="128">
        <v>1</v>
      </c>
      <c r="CN72" s="128">
        <v>1</v>
      </c>
      <c r="CO72" s="128">
        <v>1</v>
      </c>
      <c r="CP72" s="128">
        <v>1</v>
      </c>
      <c r="CQ72" s="128">
        <v>1</v>
      </c>
      <c r="CR72" s="128">
        <v>1</v>
      </c>
      <c r="CS72" s="128">
        <v>1</v>
      </c>
      <c r="CT72" s="128">
        <v>1</v>
      </c>
      <c r="CU72" s="128">
        <v>1</v>
      </c>
      <c r="CV72" s="128">
        <v>1</v>
      </c>
      <c r="CW72" s="128">
        <v>1</v>
      </c>
      <c r="CX72" s="128">
        <v>1</v>
      </c>
      <c r="CZ72" s="126">
        <f>SUMIF(MatrixF0[[1]:[2]],MatrixF0[[#This Row],[Столбец1]])/MatrixF0[[#This Row],[Столбец1]]</f>
        <v>0</v>
      </c>
    </row>
    <row r="73" spans="1:104" ht="21" customHeight="1" x14ac:dyDescent="0.25">
      <c r="A73" s="127">
        <v>1.7</v>
      </c>
      <c r="B73" s="128">
        <v>1</v>
      </c>
      <c r="C73" s="128">
        <v>1</v>
      </c>
      <c r="D73" s="128">
        <v>1</v>
      </c>
      <c r="E73" s="128">
        <v>1</v>
      </c>
      <c r="F73" s="128">
        <v>1</v>
      </c>
      <c r="G73" s="128">
        <v>1</v>
      </c>
      <c r="H73" s="128">
        <v>1</v>
      </c>
      <c r="I73" s="128">
        <v>1</v>
      </c>
      <c r="J73" s="128">
        <v>1</v>
      </c>
      <c r="K73" s="128">
        <v>1</v>
      </c>
      <c r="L73" s="128">
        <v>1</v>
      </c>
      <c r="M73" s="128">
        <v>1</v>
      </c>
      <c r="N73" s="128">
        <v>1</v>
      </c>
      <c r="O73" s="128">
        <v>1</v>
      </c>
      <c r="P73" s="128">
        <v>1</v>
      </c>
      <c r="Q73" s="128">
        <v>1</v>
      </c>
      <c r="R73" s="128">
        <v>1</v>
      </c>
      <c r="S73" s="128">
        <v>1</v>
      </c>
      <c r="T73" s="128">
        <v>1</v>
      </c>
      <c r="U73" s="128">
        <v>1</v>
      </c>
      <c r="V73" s="128">
        <v>1</v>
      </c>
      <c r="W73" s="128">
        <v>1</v>
      </c>
      <c r="X73" s="128">
        <v>1</v>
      </c>
      <c r="Y73" s="128">
        <v>1</v>
      </c>
      <c r="Z73" s="128">
        <v>1</v>
      </c>
      <c r="AA73" s="128">
        <v>1</v>
      </c>
      <c r="AB73" s="128">
        <v>1</v>
      </c>
      <c r="AC73" s="128">
        <v>1</v>
      </c>
      <c r="AD73" s="128">
        <v>1</v>
      </c>
      <c r="AE73" s="128">
        <v>1</v>
      </c>
      <c r="AF73" s="128">
        <v>1</v>
      </c>
      <c r="AG73" s="128">
        <v>1</v>
      </c>
      <c r="AH73" s="128">
        <v>1</v>
      </c>
      <c r="AI73" s="128">
        <v>1</v>
      </c>
      <c r="AJ73" s="128">
        <v>1</v>
      </c>
      <c r="AK73" s="128">
        <v>1</v>
      </c>
      <c r="AL73" s="128">
        <v>1</v>
      </c>
      <c r="AM73" s="128">
        <v>1</v>
      </c>
      <c r="AN73" s="128">
        <v>1</v>
      </c>
      <c r="AO73" s="128">
        <v>1</v>
      </c>
      <c r="AP73" s="128">
        <v>1</v>
      </c>
      <c r="AQ73" s="128">
        <v>1</v>
      </c>
      <c r="AR73" s="128">
        <v>1</v>
      </c>
      <c r="AS73" s="128">
        <v>1</v>
      </c>
      <c r="AT73" s="128">
        <v>1</v>
      </c>
      <c r="AU73" s="128">
        <v>1</v>
      </c>
      <c r="AV73" s="128">
        <v>1</v>
      </c>
      <c r="AW73" s="128">
        <v>1</v>
      </c>
      <c r="AX73" s="128">
        <v>1</v>
      </c>
      <c r="AY73" s="128">
        <v>1</v>
      </c>
      <c r="AZ73" s="128">
        <v>1</v>
      </c>
      <c r="BA73" s="128">
        <v>1</v>
      </c>
      <c r="BB73" s="128">
        <v>1</v>
      </c>
      <c r="BC73" s="128">
        <v>1</v>
      </c>
      <c r="BD73" s="128">
        <v>1</v>
      </c>
      <c r="BE73" s="128">
        <v>1</v>
      </c>
      <c r="BF73" s="128">
        <v>1</v>
      </c>
      <c r="BG73" s="128">
        <v>1</v>
      </c>
      <c r="BH73" s="128">
        <v>1</v>
      </c>
      <c r="BI73" s="128">
        <v>1</v>
      </c>
      <c r="BJ73" s="128">
        <v>1</v>
      </c>
      <c r="BK73" s="128">
        <v>1</v>
      </c>
      <c r="BL73" s="128">
        <v>1</v>
      </c>
      <c r="BM73" s="128">
        <v>1</v>
      </c>
      <c r="BN73" s="128">
        <v>1</v>
      </c>
      <c r="BO73" s="128">
        <v>1</v>
      </c>
      <c r="BP73" s="128">
        <v>1</v>
      </c>
      <c r="BQ73" s="128">
        <v>1</v>
      </c>
      <c r="BR73" s="128">
        <v>1</v>
      </c>
      <c r="BS73" s="128">
        <v>1</v>
      </c>
      <c r="BT73" s="128">
        <v>1</v>
      </c>
      <c r="BU73" s="128">
        <v>1</v>
      </c>
      <c r="BV73" s="128">
        <v>1</v>
      </c>
      <c r="BW73" s="128">
        <v>1</v>
      </c>
      <c r="BX73" s="128">
        <v>1</v>
      </c>
      <c r="BY73" s="128">
        <v>1</v>
      </c>
      <c r="BZ73" s="128">
        <v>1</v>
      </c>
      <c r="CA73" s="128">
        <v>1</v>
      </c>
      <c r="CB73" s="128">
        <v>1</v>
      </c>
      <c r="CC73" s="128">
        <v>1</v>
      </c>
      <c r="CD73" s="128">
        <v>1</v>
      </c>
      <c r="CE73" s="128">
        <v>1</v>
      </c>
      <c r="CF73" s="128">
        <v>1</v>
      </c>
      <c r="CG73" s="128">
        <v>1</v>
      </c>
      <c r="CH73" s="128">
        <v>1</v>
      </c>
      <c r="CI73" s="128">
        <v>1</v>
      </c>
      <c r="CJ73" s="128">
        <v>1</v>
      </c>
      <c r="CK73" s="128">
        <v>1</v>
      </c>
      <c r="CL73" s="128">
        <v>1</v>
      </c>
      <c r="CM73" s="128">
        <v>1</v>
      </c>
      <c r="CN73" s="128">
        <v>1</v>
      </c>
      <c r="CO73" s="128">
        <v>1</v>
      </c>
      <c r="CP73" s="128">
        <v>1</v>
      </c>
      <c r="CQ73" s="128">
        <v>1</v>
      </c>
      <c r="CR73" s="128">
        <v>1</v>
      </c>
      <c r="CS73" s="128">
        <v>1</v>
      </c>
      <c r="CT73" s="128">
        <v>1</v>
      </c>
      <c r="CU73" s="128">
        <v>1</v>
      </c>
      <c r="CV73" s="128">
        <v>1</v>
      </c>
      <c r="CW73" s="128">
        <v>1</v>
      </c>
      <c r="CX73" s="128">
        <v>1</v>
      </c>
      <c r="CZ73" s="126">
        <f>SUMIF(MatrixF0[[1]:[2]],MatrixF0[[#This Row],[Столбец1]])/MatrixF0[[#This Row],[Столбец1]]</f>
        <v>0</v>
      </c>
    </row>
    <row r="74" spans="1:104" ht="21" customHeight="1" x14ac:dyDescent="0.25">
      <c r="A74" s="127">
        <v>1.71</v>
      </c>
      <c r="B74" s="128">
        <v>1</v>
      </c>
      <c r="C74" s="128">
        <v>1</v>
      </c>
      <c r="D74" s="128">
        <v>1</v>
      </c>
      <c r="E74" s="128">
        <v>1</v>
      </c>
      <c r="F74" s="128">
        <v>1</v>
      </c>
      <c r="G74" s="128">
        <v>1</v>
      </c>
      <c r="H74" s="128">
        <v>1</v>
      </c>
      <c r="I74" s="128">
        <v>1</v>
      </c>
      <c r="J74" s="128">
        <v>1</v>
      </c>
      <c r="K74" s="128">
        <v>1</v>
      </c>
      <c r="L74" s="128">
        <v>1</v>
      </c>
      <c r="M74" s="128">
        <v>1</v>
      </c>
      <c r="N74" s="128">
        <v>1</v>
      </c>
      <c r="O74" s="128">
        <v>1</v>
      </c>
      <c r="P74" s="128">
        <v>1</v>
      </c>
      <c r="Q74" s="128">
        <v>1</v>
      </c>
      <c r="R74" s="128">
        <v>1</v>
      </c>
      <c r="S74" s="128">
        <v>1</v>
      </c>
      <c r="T74" s="128">
        <v>1</v>
      </c>
      <c r="U74" s="128">
        <v>1</v>
      </c>
      <c r="V74" s="128">
        <v>1</v>
      </c>
      <c r="W74" s="128">
        <v>1</v>
      </c>
      <c r="X74" s="128">
        <v>1</v>
      </c>
      <c r="Y74" s="128">
        <v>1</v>
      </c>
      <c r="Z74" s="128">
        <v>1</v>
      </c>
      <c r="AA74" s="128">
        <v>1</v>
      </c>
      <c r="AB74" s="128">
        <v>1</v>
      </c>
      <c r="AC74" s="128">
        <v>1</v>
      </c>
      <c r="AD74" s="128">
        <v>1</v>
      </c>
      <c r="AE74" s="128">
        <v>1</v>
      </c>
      <c r="AF74" s="128">
        <v>1</v>
      </c>
      <c r="AG74" s="128">
        <v>1</v>
      </c>
      <c r="AH74" s="128">
        <v>1</v>
      </c>
      <c r="AI74" s="128">
        <v>1</v>
      </c>
      <c r="AJ74" s="128">
        <v>1</v>
      </c>
      <c r="AK74" s="128">
        <v>1</v>
      </c>
      <c r="AL74" s="128">
        <v>1</v>
      </c>
      <c r="AM74" s="128">
        <v>1</v>
      </c>
      <c r="AN74" s="128">
        <v>1</v>
      </c>
      <c r="AO74" s="128">
        <v>1</v>
      </c>
      <c r="AP74" s="128">
        <v>1</v>
      </c>
      <c r="AQ74" s="128">
        <v>1</v>
      </c>
      <c r="AR74" s="128">
        <v>1</v>
      </c>
      <c r="AS74" s="128">
        <v>1</v>
      </c>
      <c r="AT74" s="128">
        <v>1</v>
      </c>
      <c r="AU74" s="128">
        <v>1</v>
      </c>
      <c r="AV74" s="128">
        <v>1</v>
      </c>
      <c r="AW74" s="128">
        <v>1</v>
      </c>
      <c r="AX74" s="128">
        <v>1</v>
      </c>
      <c r="AY74" s="128">
        <v>1</v>
      </c>
      <c r="AZ74" s="128">
        <v>1</v>
      </c>
      <c r="BA74" s="128">
        <v>1</v>
      </c>
      <c r="BB74" s="128">
        <v>1</v>
      </c>
      <c r="BC74" s="128">
        <v>1</v>
      </c>
      <c r="BD74" s="128">
        <v>1</v>
      </c>
      <c r="BE74" s="128">
        <v>1</v>
      </c>
      <c r="BF74" s="128">
        <v>1</v>
      </c>
      <c r="BG74" s="128">
        <v>1</v>
      </c>
      <c r="BH74" s="128">
        <v>1</v>
      </c>
      <c r="BI74" s="128">
        <v>1</v>
      </c>
      <c r="BJ74" s="128">
        <v>1</v>
      </c>
      <c r="BK74" s="128">
        <v>1</v>
      </c>
      <c r="BL74" s="128">
        <v>1</v>
      </c>
      <c r="BM74" s="128">
        <v>1</v>
      </c>
      <c r="BN74" s="128">
        <v>1</v>
      </c>
      <c r="BO74" s="128">
        <v>1</v>
      </c>
      <c r="BP74" s="128">
        <v>1</v>
      </c>
      <c r="BQ74" s="128">
        <v>1</v>
      </c>
      <c r="BR74" s="128">
        <v>1</v>
      </c>
      <c r="BS74" s="128">
        <v>1</v>
      </c>
      <c r="BT74" s="128">
        <v>1</v>
      </c>
      <c r="BU74" s="128">
        <v>1</v>
      </c>
      <c r="BV74" s="128">
        <v>1</v>
      </c>
      <c r="BW74" s="128">
        <v>1</v>
      </c>
      <c r="BX74" s="128">
        <v>1</v>
      </c>
      <c r="BY74" s="128">
        <v>1</v>
      </c>
      <c r="BZ74" s="128">
        <v>1</v>
      </c>
      <c r="CA74" s="128">
        <v>1</v>
      </c>
      <c r="CB74" s="128">
        <v>1</v>
      </c>
      <c r="CC74" s="128">
        <v>1</v>
      </c>
      <c r="CD74" s="128">
        <v>1</v>
      </c>
      <c r="CE74" s="128">
        <v>1</v>
      </c>
      <c r="CF74" s="128">
        <v>1</v>
      </c>
      <c r="CG74" s="128">
        <v>1</v>
      </c>
      <c r="CH74" s="128">
        <v>1</v>
      </c>
      <c r="CI74" s="128">
        <v>1</v>
      </c>
      <c r="CJ74" s="128">
        <v>1</v>
      </c>
      <c r="CK74" s="128">
        <v>1</v>
      </c>
      <c r="CL74" s="128">
        <v>1</v>
      </c>
      <c r="CM74" s="128">
        <v>1</v>
      </c>
      <c r="CN74" s="128">
        <v>1</v>
      </c>
      <c r="CO74" s="128">
        <v>1</v>
      </c>
      <c r="CP74" s="128">
        <v>1</v>
      </c>
      <c r="CQ74" s="128">
        <v>1</v>
      </c>
      <c r="CR74" s="128">
        <v>1</v>
      </c>
      <c r="CS74" s="128">
        <v>1</v>
      </c>
      <c r="CT74" s="128">
        <v>1</v>
      </c>
      <c r="CU74" s="128">
        <v>1</v>
      </c>
      <c r="CV74" s="128">
        <v>1</v>
      </c>
      <c r="CW74" s="128">
        <v>1</v>
      </c>
      <c r="CX74" s="128">
        <v>1</v>
      </c>
      <c r="CZ74" s="126">
        <f>SUMIF(MatrixF0[[1]:[2]],MatrixF0[[#This Row],[Столбец1]])/MatrixF0[[#This Row],[Столбец1]]</f>
        <v>0</v>
      </c>
    </row>
    <row r="75" spans="1:104" ht="21" customHeight="1" x14ac:dyDescent="0.25">
      <c r="A75" s="127">
        <v>1.72</v>
      </c>
      <c r="B75" s="128">
        <v>1</v>
      </c>
      <c r="C75" s="128">
        <v>1</v>
      </c>
      <c r="D75" s="128">
        <v>1</v>
      </c>
      <c r="E75" s="128">
        <v>1</v>
      </c>
      <c r="F75" s="128">
        <v>1</v>
      </c>
      <c r="G75" s="128">
        <v>1</v>
      </c>
      <c r="H75" s="128">
        <v>1</v>
      </c>
      <c r="I75" s="128">
        <v>1</v>
      </c>
      <c r="J75" s="128">
        <v>1</v>
      </c>
      <c r="K75" s="128">
        <v>1</v>
      </c>
      <c r="L75" s="128">
        <v>1</v>
      </c>
      <c r="M75" s="128">
        <v>1</v>
      </c>
      <c r="N75" s="128">
        <v>1</v>
      </c>
      <c r="O75" s="128">
        <v>1</v>
      </c>
      <c r="P75" s="128">
        <v>1</v>
      </c>
      <c r="Q75" s="128">
        <v>1</v>
      </c>
      <c r="R75" s="128">
        <v>1</v>
      </c>
      <c r="S75" s="128">
        <v>1</v>
      </c>
      <c r="T75" s="128">
        <v>1</v>
      </c>
      <c r="U75" s="128">
        <v>1</v>
      </c>
      <c r="V75" s="128">
        <v>1</v>
      </c>
      <c r="W75" s="128">
        <v>1</v>
      </c>
      <c r="X75" s="128">
        <v>1</v>
      </c>
      <c r="Y75" s="128">
        <v>1</v>
      </c>
      <c r="Z75" s="128">
        <v>1</v>
      </c>
      <c r="AA75" s="128">
        <v>1</v>
      </c>
      <c r="AB75" s="128">
        <v>1</v>
      </c>
      <c r="AC75" s="128">
        <v>1</v>
      </c>
      <c r="AD75" s="128">
        <v>1</v>
      </c>
      <c r="AE75" s="128">
        <v>1</v>
      </c>
      <c r="AF75" s="128">
        <v>1</v>
      </c>
      <c r="AG75" s="128">
        <v>1</v>
      </c>
      <c r="AH75" s="128">
        <v>1</v>
      </c>
      <c r="AI75" s="128">
        <v>1</v>
      </c>
      <c r="AJ75" s="128">
        <v>1</v>
      </c>
      <c r="AK75" s="128">
        <v>1</v>
      </c>
      <c r="AL75" s="128">
        <v>1</v>
      </c>
      <c r="AM75" s="128">
        <v>1</v>
      </c>
      <c r="AN75" s="128">
        <v>1</v>
      </c>
      <c r="AO75" s="128">
        <v>1</v>
      </c>
      <c r="AP75" s="128">
        <v>1</v>
      </c>
      <c r="AQ75" s="128">
        <v>1</v>
      </c>
      <c r="AR75" s="128">
        <v>1</v>
      </c>
      <c r="AS75" s="128">
        <v>1</v>
      </c>
      <c r="AT75" s="128">
        <v>1</v>
      </c>
      <c r="AU75" s="128">
        <v>1</v>
      </c>
      <c r="AV75" s="128">
        <v>1</v>
      </c>
      <c r="AW75" s="128">
        <v>1</v>
      </c>
      <c r="AX75" s="128">
        <v>1</v>
      </c>
      <c r="AY75" s="128">
        <v>1</v>
      </c>
      <c r="AZ75" s="128">
        <v>1</v>
      </c>
      <c r="BA75" s="128">
        <v>1</v>
      </c>
      <c r="BB75" s="128">
        <v>1</v>
      </c>
      <c r="BC75" s="128">
        <v>1</v>
      </c>
      <c r="BD75" s="128">
        <v>1</v>
      </c>
      <c r="BE75" s="128">
        <v>1</v>
      </c>
      <c r="BF75" s="128">
        <v>1</v>
      </c>
      <c r="BG75" s="128">
        <v>1</v>
      </c>
      <c r="BH75" s="128">
        <v>1</v>
      </c>
      <c r="BI75" s="128">
        <v>1</v>
      </c>
      <c r="BJ75" s="128">
        <v>1</v>
      </c>
      <c r="BK75" s="128">
        <v>1</v>
      </c>
      <c r="BL75" s="128">
        <v>1</v>
      </c>
      <c r="BM75" s="128">
        <v>1</v>
      </c>
      <c r="BN75" s="128">
        <v>1</v>
      </c>
      <c r="BO75" s="128">
        <v>1</v>
      </c>
      <c r="BP75" s="128">
        <v>1</v>
      </c>
      <c r="BQ75" s="128">
        <v>1</v>
      </c>
      <c r="BR75" s="128">
        <v>1</v>
      </c>
      <c r="BS75" s="128">
        <v>1</v>
      </c>
      <c r="BT75" s="128">
        <v>1</v>
      </c>
      <c r="BU75" s="128">
        <v>1</v>
      </c>
      <c r="BV75" s="128">
        <v>1</v>
      </c>
      <c r="BW75" s="128">
        <v>1</v>
      </c>
      <c r="BX75" s="128">
        <v>1</v>
      </c>
      <c r="BY75" s="128">
        <v>1</v>
      </c>
      <c r="BZ75" s="128">
        <v>1</v>
      </c>
      <c r="CA75" s="128">
        <v>1</v>
      </c>
      <c r="CB75" s="128">
        <v>1</v>
      </c>
      <c r="CC75" s="128">
        <v>1</v>
      </c>
      <c r="CD75" s="128">
        <v>1</v>
      </c>
      <c r="CE75" s="128">
        <v>1</v>
      </c>
      <c r="CF75" s="128">
        <v>1</v>
      </c>
      <c r="CG75" s="128">
        <v>1</v>
      </c>
      <c r="CH75" s="128">
        <v>1</v>
      </c>
      <c r="CI75" s="128">
        <v>1</v>
      </c>
      <c r="CJ75" s="128">
        <v>1</v>
      </c>
      <c r="CK75" s="128">
        <v>1</v>
      </c>
      <c r="CL75" s="128">
        <v>1</v>
      </c>
      <c r="CM75" s="128">
        <v>1</v>
      </c>
      <c r="CN75" s="128">
        <v>1</v>
      </c>
      <c r="CO75" s="128">
        <v>1</v>
      </c>
      <c r="CP75" s="128">
        <v>1</v>
      </c>
      <c r="CQ75" s="128">
        <v>1</v>
      </c>
      <c r="CR75" s="128">
        <v>1</v>
      </c>
      <c r="CS75" s="128">
        <v>1</v>
      </c>
      <c r="CT75" s="128">
        <v>1</v>
      </c>
      <c r="CU75" s="128">
        <v>1</v>
      </c>
      <c r="CV75" s="128">
        <v>1</v>
      </c>
      <c r="CW75" s="128">
        <v>1</v>
      </c>
      <c r="CX75" s="128">
        <v>1</v>
      </c>
      <c r="CZ75" s="126">
        <f>SUMIF(MatrixF0[[1]:[2]],MatrixF0[[#This Row],[Столбец1]])/MatrixF0[[#This Row],[Столбец1]]</f>
        <v>0</v>
      </c>
    </row>
    <row r="76" spans="1:104" ht="21" customHeight="1" x14ac:dyDescent="0.25">
      <c r="A76" s="127">
        <v>1.73</v>
      </c>
      <c r="B76" s="128">
        <v>1</v>
      </c>
      <c r="C76" s="128">
        <v>1</v>
      </c>
      <c r="D76" s="128">
        <v>1</v>
      </c>
      <c r="E76" s="128">
        <v>1</v>
      </c>
      <c r="F76" s="128">
        <v>1</v>
      </c>
      <c r="G76" s="128">
        <v>1</v>
      </c>
      <c r="H76" s="128">
        <v>1</v>
      </c>
      <c r="I76" s="128">
        <v>1</v>
      </c>
      <c r="J76" s="128">
        <v>1</v>
      </c>
      <c r="K76" s="128">
        <v>1</v>
      </c>
      <c r="L76" s="128">
        <v>1</v>
      </c>
      <c r="M76" s="128">
        <v>1</v>
      </c>
      <c r="N76" s="128">
        <v>1</v>
      </c>
      <c r="O76" s="128">
        <v>1</v>
      </c>
      <c r="P76" s="128">
        <v>1</v>
      </c>
      <c r="Q76" s="128">
        <v>1</v>
      </c>
      <c r="R76" s="128">
        <v>1</v>
      </c>
      <c r="S76" s="128">
        <v>1</v>
      </c>
      <c r="T76" s="128">
        <v>1</v>
      </c>
      <c r="U76" s="128">
        <v>1</v>
      </c>
      <c r="V76" s="128">
        <v>1</v>
      </c>
      <c r="W76" s="128">
        <v>1</v>
      </c>
      <c r="X76" s="128">
        <v>1</v>
      </c>
      <c r="Y76" s="128">
        <v>1</v>
      </c>
      <c r="Z76" s="128">
        <v>1</v>
      </c>
      <c r="AA76" s="128">
        <v>1</v>
      </c>
      <c r="AB76" s="128">
        <v>1</v>
      </c>
      <c r="AC76" s="128">
        <v>1</v>
      </c>
      <c r="AD76" s="128">
        <v>1</v>
      </c>
      <c r="AE76" s="128">
        <v>1</v>
      </c>
      <c r="AF76" s="128">
        <v>1</v>
      </c>
      <c r="AG76" s="128">
        <v>1</v>
      </c>
      <c r="AH76" s="128">
        <v>1</v>
      </c>
      <c r="AI76" s="128">
        <v>1</v>
      </c>
      <c r="AJ76" s="128">
        <v>1</v>
      </c>
      <c r="AK76" s="128">
        <v>1</v>
      </c>
      <c r="AL76" s="128">
        <v>1</v>
      </c>
      <c r="AM76" s="128">
        <v>1</v>
      </c>
      <c r="AN76" s="128">
        <v>1</v>
      </c>
      <c r="AO76" s="128">
        <v>1</v>
      </c>
      <c r="AP76" s="128">
        <v>1</v>
      </c>
      <c r="AQ76" s="128">
        <v>1</v>
      </c>
      <c r="AR76" s="128">
        <v>1</v>
      </c>
      <c r="AS76" s="128">
        <v>1</v>
      </c>
      <c r="AT76" s="128">
        <v>1</v>
      </c>
      <c r="AU76" s="128">
        <v>1</v>
      </c>
      <c r="AV76" s="128">
        <v>1</v>
      </c>
      <c r="AW76" s="128">
        <v>1</v>
      </c>
      <c r="AX76" s="128">
        <v>1</v>
      </c>
      <c r="AY76" s="128">
        <v>1</v>
      </c>
      <c r="AZ76" s="128">
        <v>1</v>
      </c>
      <c r="BA76" s="128">
        <v>1</v>
      </c>
      <c r="BB76" s="128">
        <v>1</v>
      </c>
      <c r="BC76" s="128">
        <v>1</v>
      </c>
      <c r="BD76" s="128">
        <v>1</v>
      </c>
      <c r="BE76" s="128">
        <v>1</v>
      </c>
      <c r="BF76" s="128">
        <v>1</v>
      </c>
      <c r="BG76" s="128">
        <v>1</v>
      </c>
      <c r="BH76" s="128">
        <v>1</v>
      </c>
      <c r="BI76" s="128">
        <v>1</v>
      </c>
      <c r="BJ76" s="128">
        <v>1</v>
      </c>
      <c r="BK76" s="128">
        <v>1</v>
      </c>
      <c r="BL76" s="128">
        <v>1</v>
      </c>
      <c r="BM76" s="128">
        <v>1</v>
      </c>
      <c r="BN76" s="128">
        <v>1</v>
      </c>
      <c r="BO76" s="128">
        <v>1</v>
      </c>
      <c r="BP76" s="128">
        <v>1</v>
      </c>
      <c r="BQ76" s="128">
        <v>1</v>
      </c>
      <c r="BR76" s="128">
        <v>1</v>
      </c>
      <c r="BS76" s="128">
        <v>1</v>
      </c>
      <c r="BT76" s="128">
        <v>1</v>
      </c>
      <c r="BU76" s="128">
        <v>1</v>
      </c>
      <c r="BV76" s="128">
        <v>1</v>
      </c>
      <c r="BW76" s="128">
        <v>1</v>
      </c>
      <c r="BX76" s="128">
        <v>1</v>
      </c>
      <c r="BY76" s="128">
        <v>1</v>
      </c>
      <c r="BZ76" s="128">
        <v>1</v>
      </c>
      <c r="CA76" s="128">
        <v>1</v>
      </c>
      <c r="CB76" s="128">
        <v>1</v>
      </c>
      <c r="CC76" s="128">
        <v>1</v>
      </c>
      <c r="CD76" s="128">
        <v>1</v>
      </c>
      <c r="CE76" s="128">
        <v>1</v>
      </c>
      <c r="CF76" s="128">
        <v>1</v>
      </c>
      <c r="CG76" s="128">
        <v>1</v>
      </c>
      <c r="CH76" s="128">
        <v>1</v>
      </c>
      <c r="CI76" s="128">
        <v>1</v>
      </c>
      <c r="CJ76" s="128">
        <v>1</v>
      </c>
      <c r="CK76" s="128">
        <v>1</v>
      </c>
      <c r="CL76" s="128">
        <v>1</v>
      </c>
      <c r="CM76" s="128">
        <v>1</v>
      </c>
      <c r="CN76" s="128">
        <v>1</v>
      </c>
      <c r="CO76" s="128">
        <v>1</v>
      </c>
      <c r="CP76" s="128">
        <v>1</v>
      </c>
      <c r="CQ76" s="128">
        <v>1</v>
      </c>
      <c r="CR76" s="128">
        <v>1</v>
      </c>
      <c r="CS76" s="128">
        <v>1</v>
      </c>
      <c r="CT76" s="128">
        <v>1</v>
      </c>
      <c r="CU76" s="128">
        <v>1</v>
      </c>
      <c r="CV76" s="128">
        <v>1</v>
      </c>
      <c r="CW76" s="128">
        <v>1</v>
      </c>
      <c r="CX76" s="128">
        <v>1</v>
      </c>
      <c r="CZ76" s="126">
        <f>SUMIF(MatrixF0[[1]:[2]],MatrixF0[[#This Row],[Столбец1]])/MatrixF0[[#This Row],[Столбец1]]</f>
        <v>0</v>
      </c>
    </row>
    <row r="77" spans="1:104" ht="21" customHeight="1" x14ac:dyDescent="0.25">
      <c r="A77" s="127">
        <v>1.74</v>
      </c>
      <c r="B77" s="128">
        <v>1</v>
      </c>
      <c r="C77" s="128">
        <v>1</v>
      </c>
      <c r="D77" s="128">
        <v>1</v>
      </c>
      <c r="E77" s="128">
        <v>1</v>
      </c>
      <c r="F77" s="128">
        <v>1</v>
      </c>
      <c r="G77" s="128">
        <v>1</v>
      </c>
      <c r="H77" s="128">
        <v>1</v>
      </c>
      <c r="I77" s="128">
        <v>1</v>
      </c>
      <c r="J77" s="128">
        <v>1</v>
      </c>
      <c r="K77" s="128">
        <v>1</v>
      </c>
      <c r="L77" s="128">
        <v>1</v>
      </c>
      <c r="M77" s="128">
        <v>1</v>
      </c>
      <c r="N77" s="128">
        <v>1</v>
      </c>
      <c r="O77" s="128">
        <v>1</v>
      </c>
      <c r="P77" s="128">
        <v>1</v>
      </c>
      <c r="Q77" s="128">
        <v>1</v>
      </c>
      <c r="R77" s="128">
        <v>1</v>
      </c>
      <c r="S77" s="128">
        <v>1</v>
      </c>
      <c r="T77" s="128">
        <v>1</v>
      </c>
      <c r="U77" s="128">
        <v>1</v>
      </c>
      <c r="V77" s="128">
        <v>1</v>
      </c>
      <c r="W77" s="128">
        <v>1</v>
      </c>
      <c r="X77" s="128">
        <v>1</v>
      </c>
      <c r="Y77" s="128">
        <v>1</v>
      </c>
      <c r="Z77" s="128">
        <v>1</v>
      </c>
      <c r="AA77" s="128">
        <v>1</v>
      </c>
      <c r="AB77" s="128">
        <v>1</v>
      </c>
      <c r="AC77" s="128">
        <v>1</v>
      </c>
      <c r="AD77" s="128">
        <v>1</v>
      </c>
      <c r="AE77" s="128">
        <v>1</v>
      </c>
      <c r="AF77" s="128">
        <v>1</v>
      </c>
      <c r="AG77" s="128">
        <v>1</v>
      </c>
      <c r="AH77" s="128">
        <v>1</v>
      </c>
      <c r="AI77" s="128">
        <v>1</v>
      </c>
      <c r="AJ77" s="128">
        <v>1</v>
      </c>
      <c r="AK77" s="128">
        <v>1</v>
      </c>
      <c r="AL77" s="128">
        <v>1</v>
      </c>
      <c r="AM77" s="128">
        <v>1</v>
      </c>
      <c r="AN77" s="128">
        <v>1</v>
      </c>
      <c r="AO77" s="128">
        <v>1</v>
      </c>
      <c r="AP77" s="128">
        <v>1</v>
      </c>
      <c r="AQ77" s="128">
        <v>1</v>
      </c>
      <c r="AR77" s="128">
        <v>1</v>
      </c>
      <c r="AS77" s="128">
        <v>1</v>
      </c>
      <c r="AT77" s="128">
        <v>1</v>
      </c>
      <c r="AU77" s="128">
        <v>1</v>
      </c>
      <c r="AV77" s="128">
        <v>1</v>
      </c>
      <c r="AW77" s="128">
        <v>1</v>
      </c>
      <c r="AX77" s="128">
        <v>1</v>
      </c>
      <c r="AY77" s="128">
        <v>1</v>
      </c>
      <c r="AZ77" s="128">
        <v>1</v>
      </c>
      <c r="BA77" s="128">
        <v>1</v>
      </c>
      <c r="BB77" s="128">
        <v>1</v>
      </c>
      <c r="BC77" s="128">
        <v>1</v>
      </c>
      <c r="BD77" s="128">
        <v>1</v>
      </c>
      <c r="BE77" s="128">
        <v>1</v>
      </c>
      <c r="BF77" s="128">
        <v>1</v>
      </c>
      <c r="BG77" s="128">
        <v>1</v>
      </c>
      <c r="BH77" s="128">
        <v>1</v>
      </c>
      <c r="BI77" s="128">
        <v>1</v>
      </c>
      <c r="BJ77" s="128">
        <v>1</v>
      </c>
      <c r="BK77" s="128">
        <v>1</v>
      </c>
      <c r="BL77" s="128">
        <v>1</v>
      </c>
      <c r="BM77" s="128">
        <v>1</v>
      </c>
      <c r="BN77" s="128">
        <v>1</v>
      </c>
      <c r="BO77" s="128">
        <v>1</v>
      </c>
      <c r="BP77" s="128">
        <v>1</v>
      </c>
      <c r="BQ77" s="128">
        <v>1</v>
      </c>
      <c r="BR77" s="128">
        <v>1</v>
      </c>
      <c r="BS77" s="128">
        <v>1</v>
      </c>
      <c r="BT77" s="128">
        <v>1</v>
      </c>
      <c r="BU77" s="128">
        <v>1</v>
      </c>
      <c r="BV77" s="128">
        <v>1</v>
      </c>
      <c r="BW77" s="128">
        <v>1</v>
      </c>
      <c r="BX77" s="128">
        <v>1</v>
      </c>
      <c r="BY77" s="128">
        <v>1</v>
      </c>
      <c r="BZ77" s="128">
        <v>1</v>
      </c>
      <c r="CA77" s="128">
        <v>1</v>
      </c>
      <c r="CB77" s="128">
        <v>1</v>
      </c>
      <c r="CC77" s="128">
        <v>1</v>
      </c>
      <c r="CD77" s="128">
        <v>1</v>
      </c>
      <c r="CE77" s="128">
        <v>1</v>
      </c>
      <c r="CF77" s="128">
        <v>1</v>
      </c>
      <c r="CG77" s="128">
        <v>1</v>
      </c>
      <c r="CH77" s="128">
        <v>1</v>
      </c>
      <c r="CI77" s="128">
        <v>1</v>
      </c>
      <c r="CJ77" s="128">
        <v>1</v>
      </c>
      <c r="CK77" s="128">
        <v>1</v>
      </c>
      <c r="CL77" s="128">
        <v>1</v>
      </c>
      <c r="CM77" s="128">
        <v>1</v>
      </c>
      <c r="CN77" s="128">
        <v>1</v>
      </c>
      <c r="CO77" s="128">
        <v>1</v>
      </c>
      <c r="CP77" s="128">
        <v>1</v>
      </c>
      <c r="CQ77" s="128">
        <v>1</v>
      </c>
      <c r="CR77" s="128">
        <v>1</v>
      </c>
      <c r="CS77" s="128">
        <v>1</v>
      </c>
      <c r="CT77" s="128">
        <v>1</v>
      </c>
      <c r="CU77" s="128">
        <v>1</v>
      </c>
      <c r="CV77" s="128">
        <v>1</v>
      </c>
      <c r="CW77" s="128">
        <v>1</v>
      </c>
      <c r="CX77" s="128">
        <v>1</v>
      </c>
      <c r="CZ77" s="126">
        <f>SUMIF(MatrixF0[[1]:[2]],MatrixF0[[#This Row],[Столбец1]])/MatrixF0[[#This Row],[Столбец1]]</f>
        <v>0</v>
      </c>
    </row>
    <row r="78" spans="1:104" ht="21" customHeight="1" x14ac:dyDescent="0.25">
      <c r="A78" s="127">
        <v>1.75</v>
      </c>
      <c r="B78" s="128">
        <v>1</v>
      </c>
      <c r="C78" s="128">
        <v>1</v>
      </c>
      <c r="D78" s="128">
        <v>1</v>
      </c>
      <c r="E78" s="128">
        <v>1</v>
      </c>
      <c r="F78" s="128">
        <v>1</v>
      </c>
      <c r="G78" s="128">
        <v>1</v>
      </c>
      <c r="H78" s="128">
        <v>1</v>
      </c>
      <c r="I78" s="128">
        <v>1</v>
      </c>
      <c r="J78" s="128">
        <v>1</v>
      </c>
      <c r="K78" s="128">
        <v>1</v>
      </c>
      <c r="L78" s="128">
        <v>1</v>
      </c>
      <c r="M78" s="128">
        <v>1</v>
      </c>
      <c r="N78" s="128">
        <v>1</v>
      </c>
      <c r="O78" s="128">
        <v>1</v>
      </c>
      <c r="P78" s="128">
        <v>1</v>
      </c>
      <c r="Q78" s="128">
        <v>1</v>
      </c>
      <c r="R78" s="128">
        <v>1</v>
      </c>
      <c r="S78" s="128">
        <v>1</v>
      </c>
      <c r="T78" s="128">
        <v>1</v>
      </c>
      <c r="U78" s="128">
        <v>1</v>
      </c>
      <c r="V78" s="128">
        <v>1</v>
      </c>
      <c r="W78" s="128">
        <v>1</v>
      </c>
      <c r="X78" s="128">
        <v>1</v>
      </c>
      <c r="Y78" s="128">
        <v>1</v>
      </c>
      <c r="Z78" s="128">
        <v>1</v>
      </c>
      <c r="AA78" s="128">
        <v>1</v>
      </c>
      <c r="AB78" s="128">
        <v>1</v>
      </c>
      <c r="AC78" s="128">
        <v>1</v>
      </c>
      <c r="AD78" s="128">
        <v>1</v>
      </c>
      <c r="AE78" s="128">
        <v>1</v>
      </c>
      <c r="AF78" s="128">
        <v>1</v>
      </c>
      <c r="AG78" s="128">
        <v>1</v>
      </c>
      <c r="AH78" s="128">
        <v>1</v>
      </c>
      <c r="AI78" s="128">
        <v>1</v>
      </c>
      <c r="AJ78" s="128">
        <v>1</v>
      </c>
      <c r="AK78" s="128">
        <v>1</v>
      </c>
      <c r="AL78" s="128">
        <v>1</v>
      </c>
      <c r="AM78" s="128">
        <v>1</v>
      </c>
      <c r="AN78" s="128">
        <v>1</v>
      </c>
      <c r="AO78" s="128">
        <v>1</v>
      </c>
      <c r="AP78" s="128">
        <v>1</v>
      </c>
      <c r="AQ78" s="128">
        <v>1</v>
      </c>
      <c r="AR78" s="128">
        <v>1</v>
      </c>
      <c r="AS78" s="128">
        <v>1</v>
      </c>
      <c r="AT78" s="128">
        <v>1</v>
      </c>
      <c r="AU78" s="128">
        <v>1</v>
      </c>
      <c r="AV78" s="128">
        <v>1</v>
      </c>
      <c r="AW78" s="128">
        <v>1</v>
      </c>
      <c r="AX78" s="128">
        <v>1</v>
      </c>
      <c r="AY78" s="128">
        <v>1</v>
      </c>
      <c r="AZ78" s="128">
        <v>1</v>
      </c>
      <c r="BA78" s="128">
        <v>1</v>
      </c>
      <c r="BB78" s="128">
        <v>1</v>
      </c>
      <c r="BC78" s="128">
        <v>1</v>
      </c>
      <c r="BD78" s="128">
        <v>1</v>
      </c>
      <c r="BE78" s="128">
        <v>1</v>
      </c>
      <c r="BF78" s="128">
        <v>1</v>
      </c>
      <c r="BG78" s="128">
        <v>1</v>
      </c>
      <c r="BH78" s="128">
        <v>1</v>
      </c>
      <c r="BI78" s="128">
        <v>1</v>
      </c>
      <c r="BJ78" s="128">
        <v>1</v>
      </c>
      <c r="BK78" s="128">
        <v>1</v>
      </c>
      <c r="BL78" s="128">
        <v>1</v>
      </c>
      <c r="BM78" s="128">
        <v>1</v>
      </c>
      <c r="BN78" s="128">
        <v>1</v>
      </c>
      <c r="BO78" s="128">
        <v>1</v>
      </c>
      <c r="BP78" s="128">
        <v>1</v>
      </c>
      <c r="BQ78" s="128">
        <v>1</v>
      </c>
      <c r="BR78" s="128">
        <v>1</v>
      </c>
      <c r="BS78" s="128">
        <v>1</v>
      </c>
      <c r="BT78" s="128">
        <v>1</v>
      </c>
      <c r="BU78" s="128">
        <v>1</v>
      </c>
      <c r="BV78" s="128">
        <v>1</v>
      </c>
      <c r="BW78" s="128">
        <v>1</v>
      </c>
      <c r="BX78" s="128">
        <v>1</v>
      </c>
      <c r="BY78" s="128">
        <v>1</v>
      </c>
      <c r="BZ78" s="128">
        <v>1</v>
      </c>
      <c r="CA78" s="128">
        <v>1</v>
      </c>
      <c r="CB78" s="128">
        <v>1</v>
      </c>
      <c r="CC78" s="128">
        <v>1</v>
      </c>
      <c r="CD78" s="128">
        <v>1</v>
      </c>
      <c r="CE78" s="128">
        <v>1</v>
      </c>
      <c r="CF78" s="128">
        <v>1</v>
      </c>
      <c r="CG78" s="128">
        <v>1</v>
      </c>
      <c r="CH78" s="128">
        <v>1</v>
      </c>
      <c r="CI78" s="128">
        <v>1</v>
      </c>
      <c r="CJ78" s="128">
        <v>1</v>
      </c>
      <c r="CK78" s="128">
        <v>1</v>
      </c>
      <c r="CL78" s="128">
        <v>1</v>
      </c>
      <c r="CM78" s="128">
        <v>1</v>
      </c>
      <c r="CN78" s="128">
        <v>1</v>
      </c>
      <c r="CO78" s="128">
        <v>1</v>
      </c>
      <c r="CP78" s="128">
        <v>1</v>
      </c>
      <c r="CQ78" s="128">
        <v>1</v>
      </c>
      <c r="CR78" s="128">
        <v>1</v>
      </c>
      <c r="CS78" s="128">
        <v>1</v>
      </c>
      <c r="CT78" s="128">
        <v>1</v>
      </c>
      <c r="CU78" s="128">
        <v>1</v>
      </c>
      <c r="CV78" s="128">
        <v>1</v>
      </c>
      <c r="CW78" s="128">
        <v>1</v>
      </c>
      <c r="CX78" s="128">
        <v>1</v>
      </c>
      <c r="CZ78" s="126">
        <f>SUMIF(MatrixF0[[1]:[2]],MatrixF0[[#This Row],[Столбец1]])/MatrixF0[[#This Row],[Столбец1]]</f>
        <v>0</v>
      </c>
    </row>
    <row r="79" spans="1:104" ht="21" customHeight="1" x14ac:dyDescent="0.25">
      <c r="A79" s="127">
        <v>1.76</v>
      </c>
      <c r="B79" s="128">
        <v>1</v>
      </c>
      <c r="C79" s="128">
        <v>1</v>
      </c>
      <c r="D79" s="128">
        <v>1</v>
      </c>
      <c r="E79" s="128">
        <v>1</v>
      </c>
      <c r="F79" s="128">
        <v>1</v>
      </c>
      <c r="G79" s="128">
        <v>1</v>
      </c>
      <c r="H79" s="128">
        <v>1</v>
      </c>
      <c r="I79" s="128">
        <v>1</v>
      </c>
      <c r="J79" s="128">
        <v>1</v>
      </c>
      <c r="K79" s="128">
        <v>1</v>
      </c>
      <c r="L79" s="128">
        <v>1</v>
      </c>
      <c r="M79" s="128">
        <v>1</v>
      </c>
      <c r="N79" s="128">
        <v>1</v>
      </c>
      <c r="O79" s="128">
        <v>1</v>
      </c>
      <c r="P79" s="128">
        <v>1</v>
      </c>
      <c r="Q79" s="128">
        <v>1</v>
      </c>
      <c r="R79" s="128">
        <v>1</v>
      </c>
      <c r="S79" s="128">
        <v>1</v>
      </c>
      <c r="T79" s="128">
        <v>1</v>
      </c>
      <c r="U79" s="128">
        <v>1</v>
      </c>
      <c r="V79" s="128">
        <v>1</v>
      </c>
      <c r="W79" s="128">
        <v>1</v>
      </c>
      <c r="X79" s="128">
        <v>1</v>
      </c>
      <c r="Y79" s="128">
        <v>1</v>
      </c>
      <c r="Z79" s="128">
        <v>1</v>
      </c>
      <c r="AA79" s="128">
        <v>1</v>
      </c>
      <c r="AB79" s="128">
        <v>1</v>
      </c>
      <c r="AC79" s="128">
        <v>1</v>
      </c>
      <c r="AD79" s="128">
        <v>1</v>
      </c>
      <c r="AE79" s="128">
        <v>1</v>
      </c>
      <c r="AF79" s="128">
        <v>1</v>
      </c>
      <c r="AG79" s="128">
        <v>1</v>
      </c>
      <c r="AH79" s="128">
        <v>1</v>
      </c>
      <c r="AI79" s="128">
        <v>1</v>
      </c>
      <c r="AJ79" s="128">
        <v>1</v>
      </c>
      <c r="AK79" s="128">
        <v>1</v>
      </c>
      <c r="AL79" s="128">
        <v>1</v>
      </c>
      <c r="AM79" s="128">
        <v>1</v>
      </c>
      <c r="AN79" s="128">
        <v>1</v>
      </c>
      <c r="AO79" s="128">
        <v>1</v>
      </c>
      <c r="AP79" s="128">
        <v>1</v>
      </c>
      <c r="AQ79" s="128">
        <v>1</v>
      </c>
      <c r="AR79" s="128">
        <v>1</v>
      </c>
      <c r="AS79" s="128">
        <v>1</v>
      </c>
      <c r="AT79" s="128">
        <v>1</v>
      </c>
      <c r="AU79" s="128">
        <v>1</v>
      </c>
      <c r="AV79" s="128">
        <v>1</v>
      </c>
      <c r="AW79" s="128">
        <v>1</v>
      </c>
      <c r="AX79" s="128">
        <v>1</v>
      </c>
      <c r="AY79" s="128">
        <v>1</v>
      </c>
      <c r="AZ79" s="128">
        <v>1</v>
      </c>
      <c r="BA79" s="128">
        <v>1</v>
      </c>
      <c r="BB79" s="128">
        <v>1</v>
      </c>
      <c r="BC79" s="128">
        <v>1</v>
      </c>
      <c r="BD79" s="128">
        <v>1</v>
      </c>
      <c r="BE79" s="128">
        <v>1</v>
      </c>
      <c r="BF79" s="128">
        <v>1</v>
      </c>
      <c r="BG79" s="128">
        <v>1</v>
      </c>
      <c r="BH79" s="128">
        <v>1</v>
      </c>
      <c r="BI79" s="128">
        <v>1</v>
      </c>
      <c r="BJ79" s="128">
        <v>1</v>
      </c>
      <c r="BK79" s="128">
        <v>1</v>
      </c>
      <c r="BL79" s="128">
        <v>1</v>
      </c>
      <c r="BM79" s="128">
        <v>1</v>
      </c>
      <c r="BN79" s="128">
        <v>1</v>
      </c>
      <c r="BO79" s="128">
        <v>1</v>
      </c>
      <c r="BP79" s="128">
        <v>1</v>
      </c>
      <c r="BQ79" s="128">
        <v>1</v>
      </c>
      <c r="BR79" s="128">
        <v>1</v>
      </c>
      <c r="BS79" s="128">
        <v>1</v>
      </c>
      <c r="BT79" s="128">
        <v>1</v>
      </c>
      <c r="BU79" s="128">
        <v>1</v>
      </c>
      <c r="BV79" s="128">
        <v>1</v>
      </c>
      <c r="BW79" s="128">
        <v>1</v>
      </c>
      <c r="BX79" s="128">
        <v>1</v>
      </c>
      <c r="BY79" s="128">
        <v>1</v>
      </c>
      <c r="BZ79" s="128">
        <v>1</v>
      </c>
      <c r="CA79" s="128">
        <v>1</v>
      </c>
      <c r="CB79" s="128">
        <v>1</v>
      </c>
      <c r="CC79" s="128">
        <v>1</v>
      </c>
      <c r="CD79" s="128">
        <v>1</v>
      </c>
      <c r="CE79" s="128">
        <v>1</v>
      </c>
      <c r="CF79" s="128">
        <v>1</v>
      </c>
      <c r="CG79" s="128">
        <v>1</v>
      </c>
      <c r="CH79" s="128">
        <v>1</v>
      </c>
      <c r="CI79" s="128">
        <v>1</v>
      </c>
      <c r="CJ79" s="128">
        <v>1</v>
      </c>
      <c r="CK79" s="128">
        <v>1</v>
      </c>
      <c r="CL79" s="128">
        <v>1</v>
      </c>
      <c r="CM79" s="128">
        <v>1</v>
      </c>
      <c r="CN79" s="128">
        <v>1</v>
      </c>
      <c r="CO79" s="128">
        <v>1</v>
      </c>
      <c r="CP79" s="128">
        <v>1</v>
      </c>
      <c r="CQ79" s="128">
        <v>1</v>
      </c>
      <c r="CR79" s="128">
        <v>1</v>
      </c>
      <c r="CS79" s="128">
        <v>1</v>
      </c>
      <c r="CT79" s="128">
        <v>1</v>
      </c>
      <c r="CU79" s="128">
        <v>1</v>
      </c>
      <c r="CV79" s="128">
        <v>1</v>
      </c>
      <c r="CW79" s="128">
        <v>1</v>
      </c>
      <c r="CX79" s="128">
        <v>1</v>
      </c>
      <c r="CZ79" s="126">
        <f>SUMIF(MatrixF0[[1]:[2]],MatrixF0[[#This Row],[Столбец1]])/MatrixF0[[#This Row],[Столбец1]]</f>
        <v>0</v>
      </c>
    </row>
    <row r="80" spans="1:104" ht="21" customHeight="1" x14ac:dyDescent="0.25">
      <c r="A80" s="127">
        <v>1.77</v>
      </c>
      <c r="B80" s="128">
        <v>1</v>
      </c>
      <c r="C80" s="128">
        <v>1</v>
      </c>
      <c r="D80" s="128">
        <v>1</v>
      </c>
      <c r="E80" s="128">
        <v>1</v>
      </c>
      <c r="F80" s="128">
        <v>1</v>
      </c>
      <c r="G80" s="128">
        <v>1</v>
      </c>
      <c r="H80" s="128">
        <v>1</v>
      </c>
      <c r="I80" s="128">
        <v>1</v>
      </c>
      <c r="J80" s="128">
        <v>1</v>
      </c>
      <c r="K80" s="128">
        <v>1</v>
      </c>
      <c r="L80" s="128">
        <v>1</v>
      </c>
      <c r="M80" s="128">
        <v>1</v>
      </c>
      <c r="N80" s="128">
        <v>1</v>
      </c>
      <c r="O80" s="128">
        <v>1</v>
      </c>
      <c r="P80" s="128">
        <v>1</v>
      </c>
      <c r="Q80" s="128">
        <v>1</v>
      </c>
      <c r="R80" s="128">
        <v>1</v>
      </c>
      <c r="S80" s="128">
        <v>1</v>
      </c>
      <c r="T80" s="128">
        <v>1</v>
      </c>
      <c r="U80" s="128">
        <v>1</v>
      </c>
      <c r="V80" s="128">
        <v>1</v>
      </c>
      <c r="W80" s="128">
        <v>1</v>
      </c>
      <c r="X80" s="128">
        <v>1</v>
      </c>
      <c r="Y80" s="128">
        <v>1</v>
      </c>
      <c r="Z80" s="128">
        <v>1</v>
      </c>
      <c r="AA80" s="128">
        <v>1</v>
      </c>
      <c r="AB80" s="128">
        <v>1</v>
      </c>
      <c r="AC80" s="128">
        <v>1</v>
      </c>
      <c r="AD80" s="128">
        <v>1</v>
      </c>
      <c r="AE80" s="128">
        <v>1</v>
      </c>
      <c r="AF80" s="128">
        <v>1</v>
      </c>
      <c r="AG80" s="128">
        <v>1</v>
      </c>
      <c r="AH80" s="128">
        <v>1</v>
      </c>
      <c r="AI80" s="128">
        <v>1</v>
      </c>
      <c r="AJ80" s="128">
        <v>1</v>
      </c>
      <c r="AK80" s="128">
        <v>1</v>
      </c>
      <c r="AL80" s="128">
        <v>1</v>
      </c>
      <c r="AM80" s="128">
        <v>1</v>
      </c>
      <c r="AN80" s="128">
        <v>1</v>
      </c>
      <c r="AO80" s="128">
        <v>1</v>
      </c>
      <c r="AP80" s="128">
        <v>1</v>
      </c>
      <c r="AQ80" s="128">
        <v>1</v>
      </c>
      <c r="AR80" s="128">
        <v>1</v>
      </c>
      <c r="AS80" s="128">
        <v>1</v>
      </c>
      <c r="AT80" s="128">
        <v>1</v>
      </c>
      <c r="AU80" s="128">
        <v>1</v>
      </c>
      <c r="AV80" s="128">
        <v>1</v>
      </c>
      <c r="AW80" s="128">
        <v>1</v>
      </c>
      <c r="AX80" s="128">
        <v>1</v>
      </c>
      <c r="AY80" s="128">
        <v>1</v>
      </c>
      <c r="AZ80" s="128">
        <v>1</v>
      </c>
      <c r="BA80" s="128">
        <v>1</v>
      </c>
      <c r="BB80" s="128">
        <v>1</v>
      </c>
      <c r="BC80" s="128">
        <v>1</v>
      </c>
      <c r="BD80" s="128">
        <v>1</v>
      </c>
      <c r="BE80" s="128">
        <v>1</v>
      </c>
      <c r="BF80" s="128">
        <v>1</v>
      </c>
      <c r="BG80" s="128">
        <v>1</v>
      </c>
      <c r="BH80" s="128">
        <v>1</v>
      </c>
      <c r="BI80" s="128">
        <v>1</v>
      </c>
      <c r="BJ80" s="128">
        <v>1</v>
      </c>
      <c r="BK80" s="128">
        <v>1</v>
      </c>
      <c r="BL80" s="128">
        <v>1</v>
      </c>
      <c r="BM80" s="128">
        <v>1</v>
      </c>
      <c r="BN80" s="128">
        <v>1</v>
      </c>
      <c r="BO80" s="128">
        <v>1</v>
      </c>
      <c r="BP80" s="128">
        <v>1</v>
      </c>
      <c r="BQ80" s="128">
        <v>1</v>
      </c>
      <c r="BR80" s="128">
        <v>1</v>
      </c>
      <c r="BS80" s="128">
        <v>1</v>
      </c>
      <c r="BT80" s="128">
        <v>1</v>
      </c>
      <c r="BU80" s="128">
        <v>1</v>
      </c>
      <c r="BV80" s="128">
        <v>1</v>
      </c>
      <c r="BW80" s="128">
        <v>1</v>
      </c>
      <c r="BX80" s="128">
        <v>1</v>
      </c>
      <c r="BY80" s="128">
        <v>1</v>
      </c>
      <c r="BZ80" s="128">
        <v>1</v>
      </c>
      <c r="CA80" s="128">
        <v>1</v>
      </c>
      <c r="CB80" s="128">
        <v>1</v>
      </c>
      <c r="CC80" s="128">
        <v>1</v>
      </c>
      <c r="CD80" s="128">
        <v>1</v>
      </c>
      <c r="CE80" s="128">
        <v>1</v>
      </c>
      <c r="CF80" s="128">
        <v>1</v>
      </c>
      <c r="CG80" s="128">
        <v>1</v>
      </c>
      <c r="CH80" s="128">
        <v>1</v>
      </c>
      <c r="CI80" s="128">
        <v>1</v>
      </c>
      <c r="CJ80" s="128">
        <v>1</v>
      </c>
      <c r="CK80" s="128">
        <v>1</v>
      </c>
      <c r="CL80" s="128">
        <v>1</v>
      </c>
      <c r="CM80" s="128">
        <v>1</v>
      </c>
      <c r="CN80" s="128">
        <v>1</v>
      </c>
      <c r="CO80" s="128">
        <v>1</v>
      </c>
      <c r="CP80" s="128">
        <v>1</v>
      </c>
      <c r="CQ80" s="128">
        <v>1</v>
      </c>
      <c r="CR80" s="128">
        <v>1</v>
      </c>
      <c r="CS80" s="128">
        <v>1</v>
      </c>
      <c r="CT80" s="128">
        <v>1</v>
      </c>
      <c r="CU80" s="128">
        <v>1</v>
      </c>
      <c r="CV80" s="128">
        <v>1</v>
      </c>
      <c r="CW80" s="128">
        <v>1</v>
      </c>
      <c r="CX80" s="128">
        <v>1</v>
      </c>
      <c r="CZ80" s="126">
        <f>SUMIF(MatrixF0[[1]:[2]],MatrixF0[[#This Row],[Столбец1]])/MatrixF0[[#This Row],[Столбец1]]</f>
        <v>0</v>
      </c>
    </row>
    <row r="81" spans="1:104" ht="21" customHeight="1" x14ac:dyDescent="0.25">
      <c r="A81" s="127">
        <v>1.78</v>
      </c>
      <c r="B81" s="128">
        <v>1</v>
      </c>
      <c r="C81" s="128">
        <v>1</v>
      </c>
      <c r="D81" s="128">
        <v>1</v>
      </c>
      <c r="E81" s="128">
        <v>1</v>
      </c>
      <c r="F81" s="128">
        <v>1</v>
      </c>
      <c r="G81" s="128">
        <v>1</v>
      </c>
      <c r="H81" s="128">
        <v>1</v>
      </c>
      <c r="I81" s="128">
        <v>1</v>
      </c>
      <c r="J81" s="128">
        <v>1</v>
      </c>
      <c r="K81" s="128">
        <v>1</v>
      </c>
      <c r="L81" s="128">
        <v>1</v>
      </c>
      <c r="M81" s="128">
        <v>1</v>
      </c>
      <c r="N81" s="128">
        <v>1</v>
      </c>
      <c r="O81" s="128">
        <v>1</v>
      </c>
      <c r="P81" s="128">
        <v>1</v>
      </c>
      <c r="Q81" s="128">
        <v>1</v>
      </c>
      <c r="R81" s="128">
        <v>1</v>
      </c>
      <c r="S81" s="128">
        <v>1</v>
      </c>
      <c r="T81" s="128">
        <v>1</v>
      </c>
      <c r="U81" s="128">
        <v>1</v>
      </c>
      <c r="V81" s="128">
        <v>1</v>
      </c>
      <c r="W81" s="128">
        <v>1</v>
      </c>
      <c r="X81" s="128">
        <v>1</v>
      </c>
      <c r="Y81" s="128">
        <v>1</v>
      </c>
      <c r="Z81" s="128">
        <v>1</v>
      </c>
      <c r="AA81" s="128">
        <v>1</v>
      </c>
      <c r="AB81" s="128">
        <v>1</v>
      </c>
      <c r="AC81" s="128">
        <v>1</v>
      </c>
      <c r="AD81" s="128">
        <v>1</v>
      </c>
      <c r="AE81" s="128">
        <v>1</v>
      </c>
      <c r="AF81" s="128">
        <v>1</v>
      </c>
      <c r="AG81" s="128">
        <v>1</v>
      </c>
      <c r="AH81" s="128">
        <v>1</v>
      </c>
      <c r="AI81" s="128">
        <v>1</v>
      </c>
      <c r="AJ81" s="128">
        <v>1</v>
      </c>
      <c r="AK81" s="128">
        <v>1</v>
      </c>
      <c r="AL81" s="128">
        <v>1</v>
      </c>
      <c r="AM81" s="128">
        <v>1</v>
      </c>
      <c r="AN81" s="128">
        <v>1</v>
      </c>
      <c r="AO81" s="128">
        <v>1</v>
      </c>
      <c r="AP81" s="128">
        <v>1</v>
      </c>
      <c r="AQ81" s="128">
        <v>1</v>
      </c>
      <c r="AR81" s="128">
        <v>1</v>
      </c>
      <c r="AS81" s="128">
        <v>1</v>
      </c>
      <c r="AT81" s="128">
        <v>1</v>
      </c>
      <c r="AU81" s="128">
        <v>1</v>
      </c>
      <c r="AV81" s="128">
        <v>1</v>
      </c>
      <c r="AW81" s="128">
        <v>1</v>
      </c>
      <c r="AX81" s="128">
        <v>1</v>
      </c>
      <c r="AY81" s="128">
        <v>1</v>
      </c>
      <c r="AZ81" s="128">
        <v>1</v>
      </c>
      <c r="BA81" s="128">
        <v>1</v>
      </c>
      <c r="BB81" s="128">
        <v>1</v>
      </c>
      <c r="BC81" s="128">
        <v>1</v>
      </c>
      <c r="BD81" s="128">
        <v>1</v>
      </c>
      <c r="BE81" s="128">
        <v>1</v>
      </c>
      <c r="BF81" s="128">
        <v>1</v>
      </c>
      <c r="BG81" s="128">
        <v>1</v>
      </c>
      <c r="BH81" s="128">
        <v>1</v>
      </c>
      <c r="BI81" s="128">
        <v>1</v>
      </c>
      <c r="BJ81" s="128">
        <v>1</v>
      </c>
      <c r="BK81" s="128">
        <v>1</v>
      </c>
      <c r="BL81" s="128">
        <v>1</v>
      </c>
      <c r="BM81" s="128">
        <v>1</v>
      </c>
      <c r="BN81" s="128">
        <v>1</v>
      </c>
      <c r="BO81" s="128">
        <v>1</v>
      </c>
      <c r="BP81" s="128">
        <v>1</v>
      </c>
      <c r="BQ81" s="128">
        <v>1</v>
      </c>
      <c r="BR81" s="128">
        <v>1</v>
      </c>
      <c r="BS81" s="128">
        <v>1</v>
      </c>
      <c r="BT81" s="128">
        <v>1</v>
      </c>
      <c r="BU81" s="128">
        <v>1</v>
      </c>
      <c r="BV81" s="128">
        <v>1</v>
      </c>
      <c r="BW81" s="128">
        <v>1</v>
      </c>
      <c r="BX81" s="128">
        <v>1</v>
      </c>
      <c r="BY81" s="128">
        <v>1</v>
      </c>
      <c r="BZ81" s="128">
        <v>1</v>
      </c>
      <c r="CA81" s="128">
        <v>1</v>
      </c>
      <c r="CB81" s="128">
        <v>1</v>
      </c>
      <c r="CC81" s="128">
        <v>1</v>
      </c>
      <c r="CD81" s="128">
        <v>1</v>
      </c>
      <c r="CE81" s="128">
        <v>1</v>
      </c>
      <c r="CF81" s="128">
        <v>1</v>
      </c>
      <c r="CG81" s="128">
        <v>1</v>
      </c>
      <c r="CH81" s="128">
        <v>1</v>
      </c>
      <c r="CI81" s="128">
        <v>1</v>
      </c>
      <c r="CJ81" s="128">
        <v>1</v>
      </c>
      <c r="CK81" s="128">
        <v>1</v>
      </c>
      <c r="CL81" s="128">
        <v>1</v>
      </c>
      <c r="CM81" s="128">
        <v>1</v>
      </c>
      <c r="CN81" s="128">
        <v>1</v>
      </c>
      <c r="CO81" s="128">
        <v>1</v>
      </c>
      <c r="CP81" s="128">
        <v>1</v>
      </c>
      <c r="CQ81" s="128">
        <v>1</v>
      </c>
      <c r="CR81" s="128">
        <v>1</v>
      </c>
      <c r="CS81" s="128">
        <v>1</v>
      </c>
      <c r="CT81" s="128">
        <v>1</v>
      </c>
      <c r="CU81" s="128">
        <v>1</v>
      </c>
      <c r="CV81" s="128">
        <v>1</v>
      </c>
      <c r="CW81" s="128">
        <v>1</v>
      </c>
      <c r="CX81" s="128">
        <v>1</v>
      </c>
      <c r="CZ81" s="126">
        <f>SUMIF(MatrixF0[[1]:[2]],MatrixF0[[#This Row],[Столбец1]])/MatrixF0[[#This Row],[Столбец1]]</f>
        <v>0</v>
      </c>
    </row>
    <row r="82" spans="1:104" ht="21" customHeight="1" x14ac:dyDescent="0.25">
      <c r="A82" s="127">
        <v>1.79</v>
      </c>
      <c r="B82" s="128">
        <v>1</v>
      </c>
      <c r="C82" s="128">
        <v>1</v>
      </c>
      <c r="D82" s="128">
        <v>1</v>
      </c>
      <c r="E82" s="128">
        <v>1</v>
      </c>
      <c r="F82" s="128">
        <v>1</v>
      </c>
      <c r="G82" s="128">
        <v>1</v>
      </c>
      <c r="H82" s="128">
        <v>1</v>
      </c>
      <c r="I82" s="128">
        <v>1</v>
      </c>
      <c r="J82" s="128">
        <v>1</v>
      </c>
      <c r="K82" s="128">
        <v>1</v>
      </c>
      <c r="L82" s="128">
        <v>1</v>
      </c>
      <c r="M82" s="128">
        <v>1</v>
      </c>
      <c r="N82" s="128">
        <v>1</v>
      </c>
      <c r="O82" s="128">
        <v>1</v>
      </c>
      <c r="P82" s="128">
        <v>1</v>
      </c>
      <c r="Q82" s="128">
        <v>1</v>
      </c>
      <c r="R82" s="128">
        <v>1</v>
      </c>
      <c r="S82" s="128">
        <v>1</v>
      </c>
      <c r="T82" s="128">
        <v>1</v>
      </c>
      <c r="U82" s="128">
        <v>1</v>
      </c>
      <c r="V82" s="128">
        <v>1</v>
      </c>
      <c r="W82" s="128">
        <v>1</v>
      </c>
      <c r="X82" s="128">
        <v>1</v>
      </c>
      <c r="Y82" s="128">
        <v>1</v>
      </c>
      <c r="Z82" s="128">
        <v>1</v>
      </c>
      <c r="AA82" s="128">
        <v>1</v>
      </c>
      <c r="AB82" s="128">
        <v>1</v>
      </c>
      <c r="AC82" s="128">
        <v>1</v>
      </c>
      <c r="AD82" s="128">
        <v>1</v>
      </c>
      <c r="AE82" s="128">
        <v>1</v>
      </c>
      <c r="AF82" s="128">
        <v>1</v>
      </c>
      <c r="AG82" s="128">
        <v>1</v>
      </c>
      <c r="AH82" s="128">
        <v>1</v>
      </c>
      <c r="AI82" s="128">
        <v>1</v>
      </c>
      <c r="AJ82" s="128">
        <v>1</v>
      </c>
      <c r="AK82" s="128">
        <v>1</v>
      </c>
      <c r="AL82" s="128">
        <v>1</v>
      </c>
      <c r="AM82" s="128">
        <v>1</v>
      </c>
      <c r="AN82" s="128">
        <v>1</v>
      </c>
      <c r="AO82" s="128">
        <v>1</v>
      </c>
      <c r="AP82" s="128">
        <v>1</v>
      </c>
      <c r="AQ82" s="128">
        <v>1</v>
      </c>
      <c r="AR82" s="128">
        <v>1</v>
      </c>
      <c r="AS82" s="128">
        <v>1</v>
      </c>
      <c r="AT82" s="128">
        <v>1</v>
      </c>
      <c r="AU82" s="128">
        <v>1</v>
      </c>
      <c r="AV82" s="128">
        <v>1</v>
      </c>
      <c r="AW82" s="128">
        <v>1</v>
      </c>
      <c r="AX82" s="128">
        <v>1</v>
      </c>
      <c r="AY82" s="128">
        <v>1</v>
      </c>
      <c r="AZ82" s="128">
        <v>1</v>
      </c>
      <c r="BA82" s="128">
        <v>1</v>
      </c>
      <c r="BB82" s="128">
        <v>1</v>
      </c>
      <c r="BC82" s="128">
        <v>1</v>
      </c>
      <c r="BD82" s="128">
        <v>1</v>
      </c>
      <c r="BE82" s="128">
        <v>1</v>
      </c>
      <c r="BF82" s="128">
        <v>1</v>
      </c>
      <c r="BG82" s="128">
        <v>1</v>
      </c>
      <c r="BH82" s="128">
        <v>1</v>
      </c>
      <c r="BI82" s="128">
        <v>1</v>
      </c>
      <c r="BJ82" s="128">
        <v>1</v>
      </c>
      <c r="BK82" s="128">
        <v>1</v>
      </c>
      <c r="BL82" s="128">
        <v>1</v>
      </c>
      <c r="BM82" s="128">
        <v>1</v>
      </c>
      <c r="BN82" s="128">
        <v>1</v>
      </c>
      <c r="BO82" s="128">
        <v>1</v>
      </c>
      <c r="BP82" s="128">
        <v>1</v>
      </c>
      <c r="BQ82" s="128">
        <v>1</v>
      </c>
      <c r="BR82" s="128">
        <v>1</v>
      </c>
      <c r="BS82" s="128">
        <v>1</v>
      </c>
      <c r="BT82" s="128">
        <v>1</v>
      </c>
      <c r="BU82" s="128">
        <v>1</v>
      </c>
      <c r="BV82" s="128">
        <v>1</v>
      </c>
      <c r="BW82" s="128">
        <v>1</v>
      </c>
      <c r="BX82" s="128">
        <v>1</v>
      </c>
      <c r="BY82" s="128">
        <v>1</v>
      </c>
      <c r="BZ82" s="128">
        <v>1</v>
      </c>
      <c r="CA82" s="128">
        <v>1</v>
      </c>
      <c r="CB82" s="128">
        <v>1</v>
      </c>
      <c r="CC82" s="128">
        <v>1</v>
      </c>
      <c r="CD82" s="128">
        <v>1</v>
      </c>
      <c r="CE82" s="128">
        <v>1</v>
      </c>
      <c r="CF82" s="128">
        <v>1</v>
      </c>
      <c r="CG82" s="128">
        <v>1</v>
      </c>
      <c r="CH82" s="128">
        <v>1</v>
      </c>
      <c r="CI82" s="128">
        <v>1</v>
      </c>
      <c r="CJ82" s="128">
        <v>1</v>
      </c>
      <c r="CK82" s="128">
        <v>1</v>
      </c>
      <c r="CL82" s="128">
        <v>1</v>
      </c>
      <c r="CM82" s="128">
        <v>1</v>
      </c>
      <c r="CN82" s="128">
        <v>1</v>
      </c>
      <c r="CO82" s="128">
        <v>1</v>
      </c>
      <c r="CP82" s="128">
        <v>1</v>
      </c>
      <c r="CQ82" s="128">
        <v>1</v>
      </c>
      <c r="CR82" s="128">
        <v>1</v>
      </c>
      <c r="CS82" s="128">
        <v>1</v>
      </c>
      <c r="CT82" s="128">
        <v>1</v>
      </c>
      <c r="CU82" s="128">
        <v>1</v>
      </c>
      <c r="CV82" s="128">
        <v>1</v>
      </c>
      <c r="CW82" s="128">
        <v>1</v>
      </c>
      <c r="CX82" s="128">
        <v>1</v>
      </c>
      <c r="CZ82" s="126">
        <f>SUMIF(MatrixF0[[1]:[2]],MatrixF0[[#This Row],[Столбец1]])/MatrixF0[[#This Row],[Столбец1]]</f>
        <v>0</v>
      </c>
    </row>
    <row r="83" spans="1:104" ht="21" customHeight="1" x14ac:dyDescent="0.25">
      <c r="A83" s="127">
        <v>1.8</v>
      </c>
      <c r="B83" s="128">
        <v>1</v>
      </c>
      <c r="C83" s="128">
        <v>1</v>
      </c>
      <c r="D83" s="128">
        <v>1</v>
      </c>
      <c r="E83" s="128">
        <v>1</v>
      </c>
      <c r="F83" s="128">
        <v>1</v>
      </c>
      <c r="G83" s="128">
        <v>1</v>
      </c>
      <c r="H83" s="128">
        <v>1</v>
      </c>
      <c r="I83" s="128">
        <v>1</v>
      </c>
      <c r="J83" s="128">
        <v>1</v>
      </c>
      <c r="K83" s="128">
        <v>1</v>
      </c>
      <c r="L83" s="128">
        <v>1</v>
      </c>
      <c r="M83" s="128">
        <v>1</v>
      </c>
      <c r="N83" s="128">
        <v>1</v>
      </c>
      <c r="O83" s="128">
        <v>1</v>
      </c>
      <c r="P83" s="128">
        <v>1</v>
      </c>
      <c r="Q83" s="128">
        <v>1</v>
      </c>
      <c r="R83" s="128">
        <v>1</v>
      </c>
      <c r="S83" s="128">
        <v>1</v>
      </c>
      <c r="T83" s="128">
        <v>1</v>
      </c>
      <c r="U83" s="128">
        <v>1</v>
      </c>
      <c r="V83" s="128">
        <v>1</v>
      </c>
      <c r="W83" s="128">
        <v>1</v>
      </c>
      <c r="X83" s="128">
        <v>1</v>
      </c>
      <c r="Y83" s="128">
        <v>1</v>
      </c>
      <c r="Z83" s="128">
        <v>1</v>
      </c>
      <c r="AA83" s="128">
        <v>1</v>
      </c>
      <c r="AB83" s="128">
        <v>1</v>
      </c>
      <c r="AC83" s="128">
        <v>1</v>
      </c>
      <c r="AD83" s="128">
        <v>1</v>
      </c>
      <c r="AE83" s="128">
        <v>1</v>
      </c>
      <c r="AF83" s="128">
        <v>1</v>
      </c>
      <c r="AG83" s="128">
        <v>1</v>
      </c>
      <c r="AH83" s="128">
        <v>1</v>
      </c>
      <c r="AI83" s="128">
        <v>1</v>
      </c>
      <c r="AJ83" s="128">
        <v>1</v>
      </c>
      <c r="AK83" s="128">
        <v>1</v>
      </c>
      <c r="AL83" s="128">
        <v>1</v>
      </c>
      <c r="AM83" s="128">
        <v>1</v>
      </c>
      <c r="AN83" s="128">
        <v>1</v>
      </c>
      <c r="AO83" s="128">
        <v>1</v>
      </c>
      <c r="AP83" s="128">
        <v>1</v>
      </c>
      <c r="AQ83" s="128">
        <v>1</v>
      </c>
      <c r="AR83" s="128">
        <v>1</v>
      </c>
      <c r="AS83" s="128">
        <v>1</v>
      </c>
      <c r="AT83" s="128">
        <v>1</v>
      </c>
      <c r="AU83" s="128">
        <v>1</v>
      </c>
      <c r="AV83" s="128">
        <v>1</v>
      </c>
      <c r="AW83" s="128">
        <v>1</v>
      </c>
      <c r="AX83" s="128">
        <v>1</v>
      </c>
      <c r="AY83" s="128">
        <v>1</v>
      </c>
      <c r="AZ83" s="128">
        <v>1</v>
      </c>
      <c r="BA83" s="128">
        <v>1</v>
      </c>
      <c r="BB83" s="128">
        <v>1</v>
      </c>
      <c r="BC83" s="128">
        <v>1</v>
      </c>
      <c r="BD83" s="128">
        <v>1</v>
      </c>
      <c r="BE83" s="128">
        <v>1</v>
      </c>
      <c r="BF83" s="128">
        <v>1</v>
      </c>
      <c r="BG83" s="128">
        <v>1</v>
      </c>
      <c r="BH83" s="128">
        <v>1</v>
      </c>
      <c r="BI83" s="128">
        <v>1</v>
      </c>
      <c r="BJ83" s="128">
        <v>1</v>
      </c>
      <c r="BK83" s="128">
        <v>1</v>
      </c>
      <c r="BL83" s="128">
        <v>1</v>
      </c>
      <c r="BM83" s="128">
        <v>1</v>
      </c>
      <c r="BN83" s="128">
        <v>1</v>
      </c>
      <c r="BO83" s="128">
        <v>1</v>
      </c>
      <c r="BP83" s="128">
        <v>1</v>
      </c>
      <c r="BQ83" s="128">
        <v>1</v>
      </c>
      <c r="BR83" s="128">
        <v>1</v>
      </c>
      <c r="BS83" s="128">
        <v>1</v>
      </c>
      <c r="BT83" s="128">
        <v>1</v>
      </c>
      <c r="BU83" s="128">
        <v>1</v>
      </c>
      <c r="BV83" s="128">
        <v>1</v>
      </c>
      <c r="BW83" s="128">
        <v>1</v>
      </c>
      <c r="BX83" s="128">
        <v>1</v>
      </c>
      <c r="BY83" s="128">
        <v>1</v>
      </c>
      <c r="BZ83" s="128">
        <v>1</v>
      </c>
      <c r="CA83" s="128">
        <v>1</v>
      </c>
      <c r="CB83" s="128">
        <v>1</v>
      </c>
      <c r="CC83" s="128">
        <v>1</v>
      </c>
      <c r="CD83" s="128">
        <v>1</v>
      </c>
      <c r="CE83" s="128">
        <v>1</v>
      </c>
      <c r="CF83" s="128">
        <v>1</v>
      </c>
      <c r="CG83" s="128">
        <v>1</v>
      </c>
      <c r="CH83" s="128">
        <v>1</v>
      </c>
      <c r="CI83" s="128">
        <v>1</v>
      </c>
      <c r="CJ83" s="128">
        <v>1</v>
      </c>
      <c r="CK83" s="128">
        <v>1</v>
      </c>
      <c r="CL83" s="128">
        <v>1</v>
      </c>
      <c r="CM83" s="128">
        <v>1</v>
      </c>
      <c r="CN83" s="128">
        <v>1</v>
      </c>
      <c r="CO83" s="128">
        <v>1</v>
      </c>
      <c r="CP83" s="128">
        <v>1</v>
      </c>
      <c r="CQ83" s="128">
        <v>1</v>
      </c>
      <c r="CR83" s="128">
        <v>1</v>
      </c>
      <c r="CS83" s="128">
        <v>1</v>
      </c>
      <c r="CT83" s="128">
        <v>1</v>
      </c>
      <c r="CU83" s="128">
        <v>1</v>
      </c>
      <c r="CV83" s="128">
        <v>1</v>
      </c>
      <c r="CW83" s="128">
        <v>1</v>
      </c>
      <c r="CX83" s="128">
        <v>1</v>
      </c>
      <c r="CZ83" s="126">
        <f>SUMIF(MatrixF0[[1]:[2]],MatrixF0[[#This Row],[Столбец1]])/MatrixF0[[#This Row],[Столбец1]]</f>
        <v>0</v>
      </c>
    </row>
    <row r="84" spans="1:104" ht="21" customHeight="1" x14ac:dyDescent="0.25">
      <c r="A84" s="127">
        <v>1.81</v>
      </c>
      <c r="B84" s="128">
        <v>1</v>
      </c>
      <c r="C84" s="128">
        <v>1</v>
      </c>
      <c r="D84" s="128">
        <v>1</v>
      </c>
      <c r="E84" s="128">
        <v>1</v>
      </c>
      <c r="F84" s="128">
        <v>1</v>
      </c>
      <c r="G84" s="128">
        <v>1</v>
      </c>
      <c r="H84" s="128">
        <v>1</v>
      </c>
      <c r="I84" s="128">
        <v>1</v>
      </c>
      <c r="J84" s="128">
        <v>1</v>
      </c>
      <c r="K84" s="128">
        <v>1</v>
      </c>
      <c r="L84" s="128">
        <v>1</v>
      </c>
      <c r="M84" s="128">
        <v>1</v>
      </c>
      <c r="N84" s="128">
        <v>1</v>
      </c>
      <c r="O84" s="128">
        <v>1</v>
      </c>
      <c r="P84" s="128">
        <v>1</v>
      </c>
      <c r="Q84" s="128">
        <v>1</v>
      </c>
      <c r="R84" s="128">
        <v>1</v>
      </c>
      <c r="S84" s="128">
        <v>1</v>
      </c>
      <c r="T84" s="128">
        <v>1</v>
      </c>
      <c r="U84" s="128">
        <v>1</v>
      </c>
      <c r="V84" s="128">
        <v>1</v>
      </c>
      <c r="W84" s="128">
        <v>1</v>
      </c>
      <c r="X84" s="128">
        <v>1</v>
      </c>
      <c r="Y84" s="128">
        <v>1</v>
      </c>
      <c r="Z84" s="128">
        <v>1</v>
      </c>
      <c r="AA84" s="128">
        <v>1</v>
      </c>
      <c r="AB84" s="128">
        <v>1</v>
      </c>
      <c r="AC84" s="128">
        <v>1</v>
      </c>
      <c r="AD84" s="128">
        <v>1</v>
      </c>
      <c r="AE84" s="128">
        <v>1</v>
      </c>
      <c r="AF84" s="128">
        <v>1</v>
      </c>
      <c r="AG84" s="128">
        <v>1</v>
      </c>
      <c r="AH84" s="128">
        <v>1</v>
      </c>
      <c r="AI84" s="128">
        <v>1</v>
      </c>
      <c r="AJ84" s="128">
        <v>1</v>
      </c>
      <c r="AK84" s="128">
        <v>1</v>
      </c>
      <c r="AL84" s="128">
        <v>1</v>
      </c>
      <c r="AM84" s="128">
        <v>1</v>
      </c>
      <c r="AN84" s="128">
        <v>1</v>
      </c>
      <c r="AO84" s="128">
        <v>1</v>
      </c>
      <c r="AP84" s="128">
        <v>1</v>
      </c>
      <c r="AQ84" s="128">
        <v>1</v>
      </c>
      <c r="AR84" s="128">
        <v>1</v>
      </c>
      <c r="AS84" s="128">
        <v>1</v>
      </c>
      <c r="AT84" s="128">
        <v>1</v>
      </c>
      <c r="AU84" s="128">
        <v>1</v>
      </c>
      <c r="AV84" s="128">
        <v>1</v>
      </c>
      <c r="AW84" s="128">
        <v>1</v>
      </c>
      <c r="AX84" s="128">
        <v>1</v>
      </c>
      <c r="AY84" s="128">
        <v>1</v>
      </c>
      <c r="AZ84" s="128">
        <v>1</v>
      </c>
      <c r="BA84" s="128">
        <v>1</v>
      </c>
      <c r="BB84" s="128">
        <v>1</v>
      </c>
      <c r="BC84" s="128">
        <v>1</v>
      </c>
      <c r="BD84" s="128">
        <v>1</v>
      </c>
      <c r="BE84" s="128">
        <v>1</v>
      </c>
      <c r="BF84" s="128">
        <v>1</v>
      </c>
      <c r="BG84" s="128">
        <v>1</v>
      </c>
      <c r="BH84" s="128">
        <v>1</v>
      </c>
      <c r="BI84" s="128">
        <v>1</v>
      </c>
      <c r="BJ84" s="128">
        <v>1</v>
      </c>
      <c r="BK84" s="128">
        <v>1</v>
      </c>
      <c r="BL84" s="128">
        <v>1</v>
      </c>
      <c r="BM84" s="128">
        <v>1</v>
      </c>
      <c r="BN84" s="128">
        <v>1</v>
      </c>
      <c r="BO84" s="128">
        <v>1</v>
      </c>
      <c r="BP84" s="128">
        <v>1</v>
      </c>
      <c r="BQ84" s="128">
        <v>1</v>
      </c>
      <c r="BR84" s="128">
        <v>1</v>
      </c>
      <c r="BS84" s="128">
        <v>1</v>
      </c>
      <c r="BT84" s="128">
        <v>1</v>
      </c>
      <c r="BU84" s="128">
        <v>1</v>
      </c>
      <c r="BV84" s="128">
        <v>1</v>
      </c>
      <c r="BW84" s="128">
        <v>1</v>
      </c>
      <c r="BX84" s="128">
        <v>1</v>
      </c>
      <c r="BY84" s="128">
        <v>1</v>
      </c>
      <c r="BZ84" s="128">
        <v>1</v>
      </c>
      <c r="CA84" s="128">
        <v>1</v>
      </c>
      <c r="CB84" s="128">
        <v>1</v>
      </c>
      <c r="CC84" s="128">
        <v>1</v>
      </c>
      <c r="CD84" s="128">
        <v>1</v>
      </c>
      <c r="CE84" s="128">
        <v>1</v>
      </c>
      <c r="CF84" s="128">
        <v>1</v>
      </c>
      <c r="CG84" s="128">
        <v>1</v>
      </c>
      <c r="CH84" s="128">
        <v>1</v>
      </c>
      <c r="CI84" s="128">
        <v>1</v>
      </c>
      <c r="CJ84" s="128">
        <v>1</v>
      </c>
      <c r="CK84" s="128">
        <v>1</v>
      </c>
      <c r="CL84" s="128">
        <v>1</v>
      </c>
      <c r="CM84" s="128">
        <v>1</v>
      </c>
      <c r="CN84" s="128">
        <v>1</v>
      </c>
      <c r="CO84" s="128">
        <v>1</v>
      </c>
      <c r="CP84" s="128">
        <v>1</v>
      </c>
      <c r="CQ84" s="128">
        <v>1</v>
      </c>
      <c r="CR84" s="128">
        <v>1</v>
      </c>
      <c r="CS84" s="128">
        <v>1</v>
      </c>
      <c r="CT84" s="128">
        <v>1</v>
      </c>
      <c r="CU84" s="128">
        <v>1</v>
      </c>
      <c r="CV84" s="128">
        <v>1</v>
      </c>
      <c r="CW84" s="128">
        <v>1</v>
      </c>
      <c r="CX84" s="128">
        <v>1</v>
      </c>
      <c r="CZ84" s="126">
        <f>SUMIF(MatrixF0[[1]:[2]],MatrixF0[[#This Row],[Столбец1]])/MatrixF0[[#This Row],[Столбец1]]</f>
        <v>0</v>
      </c>
    </row>
    <row r="85" spans="1:104" ht="21" customHeight="1" x14ac:dyDescent="0.25">
      <c r="A85" s="127">
        <v>1.82</v>
      </c>
      <c r="B85" s="128">
        <v>1</v>
      </c>
      <c r="C85" s="128">
        <v>1</v>
      </c>
      <c r="D85" s="128">
        <v>1</v>
      </c>
      <c r="E85" s="128">
        <v>1</v>
      </c>
      <c r="F85" s="128">
        <v>1</v>
      </c>
      <c r="G85" s="128">
        <v>1</v>
      </c>
      <c r="H85" s="128">
        <v>1</v>
      </c>
      <c r="I85" s="128">
        <v>1</v>
      </c>
      <c r="J85" s="128">
        <v>1</v>
      </c>
      <c r="K85" s="128">
        <v>1</v>
      </c>
      <c r="L85" s="128">
        <v>1</v>
      </c>
      <c r="M85" s="128">
        <v>1</v>
      </c>
      <c r="N85" s="128">
        <v>1</v>
      </c>
      <c r="O85" s="128">
        <v>1</v>
      </c>
      <c r="P85" s="128">
        <v>1</v>
      </c>
      <c r="Q85" s="128">
        <v>1</v>
      </c>
      <c r="R85" s="128">
        <v>1</v>
      </c>
      <c r="S85" s="128">
        <v>1</v>
      </c>
      <c r="T85" s="128">
        <v>1</v>
      </c>
      <c r="U85" s="128">
        <v>1</v>
      </c>
      <c r="V85" s="128">
        <v>1</v>
      </c>
      <c r="W85" s="128">
        <v>1</v>
      </c>
      <c r="X85" s="128">
        <v>1</v>
      </c>
      <c r="Y85" s="128">
        <v>1</v>
      </c>
      <c r="Z85" s="128">
        <v>1</v>
      </c>
      <c r="AA85" s="128">
        <v>1</v>
      </c>
      <c r="AB85" s="128">
        <v>1</v>
      </c>
      <c r="AC85" s="128">
        <v>1</v>
      </c>
      <c r="AD85" s="128">
        <v>1</v>
      </c>
      <c r="AE85" s="128">
        <v>1</v>
      </c>
      <c r="AF85" s="128">
        <v>1</v>
      </c>
      <c r="AG85" s="128">
        <v>1</v>
      </c>
      <c r="AH85" s="128">
        <v>1</v>
      </c>
      <c r="AI85" s="128">
        <v>1</v>
      </c>
      <c r="AJ85" s="128">
        <v>1</v>
      </c>
      <c r="AK85" s="128">
        <v>1</v>
      </c>
      <c r="AL85" s="128">
        <v>1</v>
      </c>
      <c r="AM85" s="128">
        <v>1</v>
      </c>
      <c r="AN85" s="128">
        <v>1</v>
      </c>
      <c r="AO85" s="128">
        <v>1</v>
      </c>
      <c r="AP85" s="128">
        <v>1</v>
      </c>
      <c r="AQ85" s="128">
        <v>1</v>
      </c>
      <c r="AR85" s="128">
        <v>1</v>
      </c>
      <c r="AS85" s="128">
        <v>1</v>
      </c>
      <c r="AT85" s="128">
        <v>1</v>
      </c>
      <c r="AU85" s="128">
        <v>1</v>
      </c>
      <c r="AV85" s="128">
        <v>1</v>
      </c>
      <c r="AW85" s="128">
        <v>1</v>
      </c>
      <c r="AX85" s="128">
        <v>1</v>
      </c>
      <c r="AY85" s="128">
        <v>1</v>
      </c>
      <c r="AZ85" s="128">
        <v>1</v>
      </c>
      <c r="BA85" s="128">
        <v>1</v>
      </c>
      <c r="BB85" s="128">
        <v>1</v>
      </c>
      <c r="BC85" s="128">
        <v>1</v>
      </c>
      <c r="BD85" s="128">
        <v>1</v>
      </c>
      <c r="BE85" s="128">
        <v>1</v>
      </c>
      <c r="BF85" s="128">
        <v>1</v>
      </c>
      <c r="BG85" s="128">
        <v>1</v>
      </c>
      <c r="BH85" s="128">
        <v>1</v>
      </c>
      <c r="BI85" s="128">
        <v>1</v>
      </c>
      <c r="BJ85" s="128">
        <v>1</v>
      </c>
      <c r="BK85" s="128">
        <v>1</v>
      </c>
      <c r="BL85" s="128">
        <v>1</v>
      </c>
      <c r="BM85" s="128">
        <v>1</v>
      </c>
      <c r="BN85" s="128">
        <v>1</v>
      </c>
      <c r="BO85" s="128">
        <v>1</v>
      </c>
      <c r="BP85" s="128">
        <v>1</v>
      </c>
      <c r="BQ85" s="128">
        <v>1</v>
      </c>
      <c r="BR85" s="128">
        <v>1</v>
      </c>
      <c r="BS85" s="128">
        <v>1</v>
      </c>
      <c r="BT85" s="128">
        <v>1</v>
      </c>
      <c r="BU85" s="128">
        <v>1</v>
      </c>
      <c r="BV85" s="128">
        <v>1</v>
      </c>
      <c r="BW85" s="128">
        <v>1</v>
      </c>
      <c r="BX85" s="128">
        <v>1</v>
      </c>
      <c r="BY85" s="128">
        <v>1</v>
      </c>
      <c r="BZ85" s="128">
        <v>1</v>
      </c>
      <c r="CA85" s="128">
        <v>1</v>
      </c>
      <c r="CB85" s="128">
        <v>1</v>
      </c>
      <c r="CC85" s="128">
        <v>1</v>
      </c>
      <c r="CD85" s="128">
        <v>1</v>
      </c>
      <c r="CE85" s="128">
        <v>1</v>
      </c>
      <c r="CF85" s="128">
        <v>1</v>
      </c>
      <c r="CG85" s="128">
        <v>1</v>
      </c>
      <c r="CH85" s="128">
        <v>1</v>
      </c>
      <c r="CI85" s="128">
        <v>1</v>
      </c>
      <c r="CJ85" s="128">
        <v>1</v>
      </c>
      <c r="CK85" s="128">
        <v>1</v>
      </c>
      <c r="CL85" s="128">
        <v>1</v>
      </c>
      <c r="CM85" s="128">
        <v>1</v>
      </c>
      <c r="CN85" s="128">
        <v>1</v>
      </c>
      <c r="CO85" s="128">
        <v>1</v>
      </c>
      <c r="CP85" s="128">
        <v>1</v>
      </c>
      <c r="CQ85" s="128">
        <v>1</v>
      </c>
      <c r="CR85" s="128">
        <v>1</v>
      </c>
      <c r="CS85" s="128">
        <v>1</v>
      </c>
      <c r="CT85" s="128">
        <v>1</v>
      </c>
      <c r="CU85" s="128">
        <v>1</v>
      </c>
      <c r="CV85" s="128">
        <v>1</v>
      </c>
      <c r="CW85" s="128">
        <v>1</v>
      </c>
      <c r="CX85" s="128">
        <v>1</v>
      </c>
      <c r="CZ85" s="126">
        <f>SUMIF(MatrixF0[[1]:[2]],MatrixF0[[#This Row],[Столбец1]])/MatrixF0[[#This Row],[Столбец1]]</f>
        <v>0</v>
      </c>
    </row>
    <row r="86" spans="1:104" ht="21" customHeight="1" x14ac:dyDescent="0.25">
      <c r="A86" s="127">
        <v>1.83</v>
      </c>
      <c r="B86" s="128">
        <v>1</v>
      </c>
      <c r="C86" s="128">
        <v>1</v>
      </c>
      <c r="D86" s="128">
        <v>1</v>
      </c>
      <c r="E86" s="128">
        <v>1</v>
      </c>
      <c r="F86" s="128">
        <v>1</v>
      </c>
      <c r="G86" s="128">
        <v>1</v>
      </c>
      <c r="H86" s="128">
        <v>1</v>
      </c>
      <c r="I86" s="128">
        <v>1</v>
      </c>
      <c r="J86" s="128">
        <v>1</v>
      </c>
      <c r="K86" s="128">
        <v>1</v>
      </c>
      <c r="L86" s="128">
        <v>1</v>
      </c>
      <c r="M86" s="128">
        <v>1</v>
      </c>
      <c r="N86" s="128">
        <v>1</v>
      </c>
      <c r="O86" s="128">
        <v>1</v>
      </c>
      <c r="P86" s="128">
        <v>1</v>
      </c>
      <c r="Q86" s="128">
        <v>1</v>
      </c>
      <c r="R86" s="128">
        <v>1</v>
      </c>
      <c r="S86" s="128">
        <v>1</v>
      </c>
      <c r="T86" s="128">
        <v>1</v>
      </c>
      <c r="U86" s="128">
        <v>1</v>
      </c>
      <c r="V86" s="128">
        <v>1</v>
      </c>
      <c r="W86" s="128">
        <v>1</v>
      </c>
      <c r="X86" s="128">
        <v>1</v>
      </c>
      <c r="Y86" s="128">
        <v>1</v>
      </c>
      <c r="Z86" s="128">
        <v>1</v>
      </c>
      <c r="AA86" s="128">
        <v>1</v>
      </c>
      <c r="AB86" s="128">
        <v>1</v>
      </c>
      <c r="AC86" s="128">
        <v>1</v>
      </c>
      <c r="AD86" s="128">
        <v>1</v>
      </c>
      <c r="AE86" s="128">
        <v>1</v>
      </c>
      <c r="AF86" s="128">
        <v>1</v>
      </c>
      <c r="AG86" s="128">
        <v>1</v>
      </c>
      <c r="AH86" s="128">
        <v>1</v>
      </c>
      <c r="AI86" s="128">
        <v>1</v>
      </c>
      <c r="AJ86" s="128">
        <v>1</v>
      </c>
      <c r="AK86" s="128">
        <v>1</v>
      </c>
      <c r="AL86" s="128">
        <v>1</v>
      </c>
      <c r="AM86" s="128">
        <v>1</v>
      </c>
      <c r="AN86" s="128">
        <v>1</v>
      </c>
      <c r="AO86" s="128">
        <v>1</v>
      </c>
      <c r="AP86" s="128">
        <v>1</v>
      </c>
      <c r="AQ86" s="128">
        <v>1</v>
      </c>
      <c r="AR86" s="128">
        <v>1</v>
      </c>
      <c r="AS86" s="128">
        <v>1</v>
      </c>
      <c r="AT86" s="128">
        <v>1</v>
      </c>
      <c r="AU86" s="128">
        <v>1</v>
      </c>
      <c r="AV86" s="128">
        <v>1</v>
      </c>
      <c r="AW86" s="128">
        <v>1</v>
      </c>
      <c r="AX86" s="128">
        <v>1</v>
      </c>
      <c r="AY86" s="128">
        <v>1</v>
      </c>
      <c r="AZ86" s="128">
        <v>1</v>
      </c>
      <c r="BA86" s="128">
        <v>1</v>
      </c>
      <c r="BB86" s="128">
        <v>1</v>
      </c>
      <c r="BC86" s="128">
        <v>1</v>
      </c>
      <c r="BD86" s="128">
        <v>1</v>
      </c>
      <c r="BE86" s="128">
        <v>1</v>
      </c>
      <c r="BF86" s="128">
        <v>1</v>
      </c>
      <c r="BG86" s="128">
        <v>1</v>
      </c>
      <c r="BH86" s="128">
        <v>1</v>
      </c>
      <c r="BI86" s="128">
        <v>1</v>
      </c>
      <c r="BJ86" s="128">
        <v>1</v>
      </c>
      <c r="BK86" s="128">
        <v>1</v>
      </c>
      <c r="BL86" s="128">
        <v>1</v>
      </c>
      <c r="BM86" s="128">
        <v>1</v>
      </c>
      <c r="BN86" s="128">
        <v>1</v>
      </c>
      <c r="BO86" s="128">
        <v>1</v>
      </c>
      <c r="BP86" s="128">
        <v>1</v>
      </c>
      <c r="BQ86" s="128">
        <v>1</v>
      </c>
      <c r="BR86" s="128">
        <v>1</v>
      </c>
      <c r="BS86" s="128">
        <v>1</v>
      </c>
      <c r="BT86" s="128">
        <v>1</v>
      </c>
      <c r="BU86" s="128">
        <v>1</v>
      </c>
      <c r="BV86" s="128">
        <v>1</v>
      </c>
      <c r="BW86" s="128">
        <v>1</v>
      </c>
      <c r="BX86" s="128">
        <v>1</v>
      </c>
      <c r="BY86" s="128">
        <v>1</v>
      </c>
      <c r="BZ86" s="128">
        <v>1</v>
      </c>
      <c r="CA86" s="128">
        <v>1</v>
      </c>
      <c r="CB86" s="128">
        <v>1</v>
      </c>
      <c r="CC86" s="128">
        <v>1</v>
      </c>
      <c r="CD86" s="128">
        <v>1</v>
      </c>
      <c r="CE86" s="128">
        <v>1</v>
      </c>
      <c r="CF86" s="128">
        <v>1</v>
      </c>
      <c r="CG86" s="128">
        <v>1</v>
      </c>
      <c r="CH86" s="128">
        <v>1</v>
      </c>
      <c r="CI86" s="128">
        <v>1</v>
      </c>
      <c r="CJ86" s="128">
        <v>1</v>
      </c>
      <c r="CK86" s="128">
        <v>1</v>
      </c>
      <c r="CL86" s="128">
        <v>1</v>
      </c>
      <c r="CM86" s="128">
        <v>1</v>
      </c>
      <c r="CN86" s="128">
        <v>1</v>
      </c>
      <c r="CO86" s="128">
        <v>1</v>
      </c>
      <c r="CP86" s="128">
        <v>1</v>
      </c>
      <c r="CQ86" s="128">
        <v>1</v>
      </c>
      <c r="CR86" s="128">
        <v>1</v>
      </c>
      <c r="CS86" s="128">
        <v>1</v>
      </c>
      <c r="CT86" s="128">
        <v>1</v>
      </c>
      <c r="CU86" s="128">
        <v>1</v>
      </c>
      <c r="CV86" s="128">
        <v>1</v>
      </c>
      <c r="CW86" s="128">
        <v>1</v>
      </c>
      <c r="CX86" s="128">
        <v>1</v>
      </c>
      <c r="CZ86" s="126">
        <f>SUMIF(MatrixF0[[1]:[2]],MatrixF0[[#This Row],[Столбец1]])/MatrixF0[[#This Row],[Столбец1]]</f>
        <v>0</v>
      </c>
    </row>
    <row r="87" spans="1:104" ht="21" customHeight="1" x14ac:dyDescent="0.25">
      <c r="A87" s="127">
        <v>1.84</v>
      </c>
      <c r="B87" s="128">
        <v>1</v>
      </c>
      <c r="C87" s="128">
        <v>1</v>
      </c>
      <c r="D87" s="128">
        <v>1</v>
      </c>
      <c r="E87" s="128">
        <v>1</v>
      </c>
      <c r="F87" s="128">
        <v>1</v>
      </c>
      <c r="G87" s="128">
        <v>1</v>
      </c>
      <c r="H87" s="128">
        <v>1</v>
      </c>
      <c r="I87" s="128">
        <v>1</v>
      </c>
      <c r="J87" s="128">
        <v>1</v>
      </c>
      <c r="K87" s="128">
        <v>1</v>
      </c>
      <c r="L87" s="128">
        <v>1</v>
      </c>
      <c r="M87" s="128">
        <v>1</v>
      </c>
      <c r="N87" s="128">
        <v>1</v>
      </c>
      <c r="O87" s="128">
        <v>1</v>
      </c>
      <c r="P87" s="128">
        <v>1</v>
      </c>
      <c r="Q87" s="128">
        <v>1</v>
      </c>
      <c r="R87" s="128">
        <v>1</v>
      </c>
      <c r="S87" s="128">
        <v>1</v>
      </c>
      <c r="T87" s="128">
        <v>1</v>
      </c>
      <c r="U87" s="128">
        <v>1</v>
      </c>
      <c r="V87" s="128">
        <v>1</v>
      </c>
      <c r="W87" s="128">
        <v>1</v>
      </c>
      <c r="X87" s="128">
        <v>1</v>
      </c>
      <c r="Y87" s="128">
        <v>1</v>
      </c>
      <c r="Z87" s="128">
        <v>1</v>
      </c>
      <c r="AA87" s="128">
        <v>1</v>
      </c>
      <c r="AB87" s="128">
        <v>1</v>
      </c>
      <c r="AC87" s="128">
        <v>1</v>
      </c>
      <c r="AD87" s="128">
        <v>1</v>
      </c>
      <c r="AE87" s="128">
        <v>1</v>
      </c>
      <c r="AF87" s="128">
        <v>1</v>
      </c>
      <c r="AG87" s="128">
        <v>1</v>
      </c>
      <c r="AH87" s="128">
        <v>1</v>
      </c>
      <c r="AI87" s="128">
        <v>1</v>
      </c>
      <c r="AJ87" s="128">
        <v>1</v>
      </c>
      <c r="AK87" s="128">
        <v>1</v>
      </c>
      <c r="AL87" s="128">
        <v>1</v>
      </c>
      <c r="AM87" s="128">
        <v>1</v>
      </c>
      <c r="AN87" s="128">
        <v>1</v>
      </c>
      <c r="AO87" s="128">
        <v>1</v>
      </c>
      <c r="AP87" s="128">
        <v>1</v>
      </c>
      <c r="AQ87" s="128">
        <v>1</v>
      </c>
      <c r="AR87" s="128">
        <v>1</v>
      </c>
      <c r="AS87" s="128">
        <v>1</v>
      </c>
      <c r="AT87" s="128">
        <v>1</v>
      </c>
      <c r="AU87" s="128">
        <v>1</v>
      </c>
      <c r="AV87" s="128">
        <v>1</v>
      </c>
      <c r="AW87" s="128">
        <v>1</v>
      </c>
      <c r="AX87" s="128">
        <v>1</v>
      </c>
      <c r="AY87" s="128">
        <v>1</v>
      </c>
      <c r="AZ87" s="128">
        <v>1</v>
      </c>
      <c r="BA87" s="128">
        <v>1</v>
      </c>
      <c r="BB87" s="128">
        <v>1</v>
      </c>
      <c r="BC87" s="128">
        <v>1</v>
      </c>
      <c r="BD87" s="128">
        <v>1</v>
      </c>
      <c r="BE87" s="128">
        <v>1</v>
      </c>
      <c r="BF87" s="128">
        <v>1</v>
      </c>
      <c r="BG87" s="128">
        <v>1</v>
      </c>
      <c r="BH87" s="128">
        <v>1</v>
      </c>
      <c r="BI87" s="128">
        <v>1</v>
      </c>
      <c r="BJ87" s="128">
        <v>1</v>
      </c>
      <c r="BK87" s="128">
        <v>1</v>
      </c>
      <c r="BL87" s="128">
        <v>1</v>
      </c>
      <c r="BM87" s="128">
        <v>1</v>
      </c>
      <c r="BN87" s="128">
        <v>1</v>
      </c>
      <c r="BO87" s="128">
        <v>1</v>
      </c>
      <c r="BP87" s="128">
        <v>1</v>
      </c>
      <c r="BQ87" s="128">
        <v>1</v>
      </c>
      <c r="BR87" s="128">
        <v>1</v>
      </c>
      <c r="BS87" s="128">
        <v>1</v>
      </c>
      <c r="BT87" s="128">
        <v>1</v>
      </c>
      <c r="BU87" s="128">
        <v>1</v>
      </c>
      <c r="BV87" s="128">
        <v>1</v>
      </c>
      <c r="BW87" s="128">
        <v>1</v>
      </c>
      <c r="BX87" s="128">
        <v>1</v>
      </c>
      <c r="BY87" s="128">
        <v>1</v>
      </c>
      <c r="BZ87" s="128">
        <v>1</v>
      </c>
      <c r="CA87" s="128">
        <v>1</v>
      </c>
      <c r="CB87" s="128">
        <v>1</v>
      </c>
      <c r="CC87" s="128">
        <v>1</v>
      </c>
      <c r="CD87" s="128">
        <v>1</v>
      </c>
      <c r="CE87" s="128">
        <v>1</v>
      </c>
      <c r="CF87" s="128">
        <v>1</v>
      </c>
      <c r="CG87" s="128">
        <v>1</v>
      </c>
      <c r="CH87" s="128">
        <v>1</v>
      </c>
      <c r="CI87" s="128">
        <v>1</v>
      </c>
      <c r="CJ87" s="128">
        <v>1</v>
      </c>
      <c r="CK87" s="128">
        <v>1</v>
      </c>
      <c r="CL87" s="128">
        <v>1</v>
      </c>
      <c r="CM87" s="128">
        <v>1</v>
      </c>
      <c r="CN87" s="128">
        <v>1</v>
      </c>
      <c r="CO87" s="128">
        <v>1</v>
      </c>
      <c r="CP87" s="128">
        <v>1</v>
      </c>
      <c r="CQ87" s="128">
        <v>1</v>
      </c>
      <c r="CR87" s="128">
        <v>1</v>
      </c>
      <c r="CS87" s="128">
        <v>1</v>
      </c>
      <c r="CT87" s="128">
        <v>1</v>
      </c>
      <c r="CU87" s="128">
        <v>1</v>
      </c>
      <c r="CV87" s="128">
        <v>1</v>
      </c>
      <c r="CW87" s="128">
        <v>1</v>
      </c>
      <c r="CX87" s="128">
        <v>1</v>
      </c>
      <c r="CZ87" s="126">
        <f>SUMIF(MatrixF0[[1]:[2]],MatrixF0[[#This Row],[Столбец1]])/MatrixF0[[#This Row],[Столбец1]]</f>
        <v>0</v>
      </c>
    </row>
    <row r="88" spans="1:104" ht="21" customHeight="1" x14ac:dyDescent="0.25">
      <c r="A88" s="127">
        <v>1.85</v>
      </c>
      <c r="B88" s="128">
        <v>1</v>
      </c>
      <c r="C88" s="128">
        <v>1</v>
      </c>
      <c r="D88" s="128">
        <v>1</v>
      </c>
      <c r="E88" s="128">
        <v>1</v>
      </c>
      <c r="F88" s="128">
        <v>1</v>
      </c>
      <c r="G88" s="128">
        <v>1</v>
      </c>
      <c r="H88" s="128">
        <v>1</v>
      </c>
      <c r="I88" s="128">
        <v>1</v>
      </c>
      <c r="J88" s="128">
        <v>1</v>
      </c>
      <c r="K88" s="128">
        <v>1</v>
      </c>
      <c r="L88" s="128">
        <v>1</v>
      </c>
      <c r="M88" s="128">
        <v>1</v>
      </c>
      <c r="N88" s="128">
        <v>1</v>
      </c>
      <c r="O88" s="128">
        <v>1</v>
      </c>
      <c r="P88" s="128">
        <v>1</v>
      </c>
      <c r="Q88" s="128">
        <v>1</v>
      </c>
      <c r="R88" s="128">
        <v>1</v>
      </c>
      <c r="S88" s="128">
        <v>1</v>
      </c>
      <c r="T88" s="128">
        <v>1</v>
      </c>
      <c r="U88" s="128">
        <v>1</v>
      </c>
      <c r="V88" s="128">
        <v>1</v>
      </c>
      <c r="W88" s="128">
        <v>1</v>
      </c>
      <c r="X88" s="128">
        <v>1</v>
      </c>
      <c r="Y88" s="128">
        <v>1</v>
      </c>
      <c r="Z88" s="128">
        <v>1</v>
      </c>
      <c r="AA88" s="128">
        <v>1</v>
      </c>
      <c r="AB88" s="128">
        <v>1</v>
      </c>
      <c r="AC88" s="128">
        <v>1</v>
      </c>
      <c r="AD88" s="128">
        <v>1</v>
      </c>
      <c r="AE88" s="128">
        <v>1</v>
      </c>
      <c r="AF88" s="128">
        <v>1</v>
      </c>
      <c r="AG88" s="128">
        <v>1</v>
      </c>
      <c r="AH88" s="128">
        <v>1</v>
      </c>
      <c r="AI88" s="128">
        <v>1</v>
      </c>
      <c r="AJ88" s="128">
        <v>1</v>
      </c>
      <c r="AK88" s="128">
        <v>1</v>
      </c>
      <c r="AL88" s="128">
        <v>1</v>
      </c>
      <c r="AM88" s="128">
        <v>1</v>
      </c>
      <c r="AN88" s="128">
        <v>1</v>
      </c>
      <c r="AO88" s="128">
        <v>1</v>
      </c>
      <c r="AP88" s="128">
        <v>1</v>
      </c>
      <c r="AQ88" s="128">
        <v>1</v>
      </c>
      <c r="AR88" s="128">
        <v>1</v>
      </c>
      <c r="AS88" s="128">
        <v>1</v>
      </c>
      <c r="AT88" s="128">
        <v>1</v>
      </c>
      <c r="AU88" s="128">
        <v>1</v>
      </c>
      <c r="AV88" s="128">
        <v>1</v>
      </c>
      <c r="AW88" s="128">
        <v>1</v>
      </c>
      <c r="AX88" s="128">
        <v>1</v>
      </c>
      <c r="AY88" s="128">
        <v>1</v>
      </c>
      <c r="AZ88" s="128">
        <v>1</v>
      </c>
      <c r="BA88" s="128">
        <v>1</v>
      </c>
      <c r="BB88" s="128">
        <v>1</v>
      </c>
      <c r="BC88" s="128">
        <v>1</v>
      </c>
      <c r="BD88" s="128">
        <v>1</v>
      </c>
      <c r="BE88" s="128">
        <v>1</v>
      </c>
      <c r="BF88" s="128">
        <v>1</v>
      </c>
      <c r="BG88" s="128">
        <v>1</v>
      </c>
      <c r="BH88" s="128">
        <v>1</v>
      </c>
      <c r="BI88" s="128">
        <v>1</v>
      </c>
      <c r="BJ88" s="128">
        <v>1</v>
      </c>
      <c r="BK88" s="128">
        <v>1</v>
      </c>
      <c r="BL88" s="128">
        <v>1</v>
      </c>
      <c r="BM88" s="128">
        <v>1</v>
      </c>
      <c r="BN88" s="128">
        <v>1</v>
      </c>
      <c r="BO88" s="128">
        <v>1</v>
      </c>
      <c r="BP88" s="128">
        <v>1</v>
      </c>
      <c r="BQ88" s="128">
        <v>1</v>
      </c>
      <c r="BR88" s="128">
        <v>1</v>
      </c>
      <c r="BS88" s="128">
        <v>1</v>
      </c>
      <c r="BT88" s="128">
        <v>1</v>
      </c>
      <c r="BU88" s="128">
        <v>1</v>
      </c>
      <c r="BV88" s="128">
        <v>1</v>
      </c>
      <c r="BW88" s="128">
        <v>1</v>
      </c>
      <c r="BX88" s="128">
        <v>1</v>
      </c>
      <c r="BY88" s="128">
        <v>1</v>
      </c>
      <c r="BZ88" s="128">
        <v>1</v>
      </c>
      <c r="CA88" s="128">
        <v>1</v>
      </c>
      <c r="CB88" s="128">
        <v>1</v>
      </c>
      <c r="CC88" s="128">
        <v>1</v>
      </c>
      <c r="CD88" s="128">
        <v>1</v>
      </c>
      <c r="CE88" s="128">
        <v>1</v>
      </c>
      <c r="CF88" s="128">
        <v>1</v>
      </c>
      <c r="CG88" s="128">
        <v>1</v>
      </c>
      <c r="CH88" s="128">
        <v>1</v>
      </c>
      <c r="CI88" s="128">
        <v>1</v>
      </c>
      <c r="CJ88" s="128">
        <v>1</v>
      </c>
      <c r="CK88" s="128">
        <v>1</v>
      </c>
      <c r="CL88" s="128">
        <v>1</v>
      </c>
      <c r="CM88" s="128">
        <v>1</v>
      </c>
      <c r="CN88" s="128">
        <v>1</v>
      </c>
      <c r="CO88" s="128">
        <v>1</v>
      </c>
      <c r="CP88" s="128">
        <v>1</v>
      </c>
      <c r="CQ88" s="128">
        <v>1</v>
      </c>
      <c r="CR88" s="128">
        <v>1</v>
      </c>
      <c r="CS88" s="128">
        <v>1</v>
      </c>
      <c r="CT88" s="128">
        <v>1</v>
      </c>
      <c r="CU88" s="128">
        <v>1</v>
      </c>
      <c r="CV88" s="128">
        <v>1</v>
      </c>
      <c r="CW88" s="128">
        <v>1</v>
      </c>
      <c r="CX88" s="128">
        <v>1</v>
      </c>
      <c r="CZ88" s="126">
        <f>SUMIF(MatrixF0[[1]:[2]],MatrixF0[[#This Row],[Столбец1]])/MatrixF0[[#This Row],[Столбец1]]</f>
        <v>0</v>
      </c>
    </row>
    <row r="89" spans="1:104" ht="21" customHeight="1" x14ac:dyDescent="0.25">
      <c r="A89" s="127">
        <v>1.86</v>
      </c>
      <c r="B89" s="128">
        <v>1</v>
      </c>
      <c r="C89" s="128">
        <v>1</v>
      </c>
      <c r="D89" s="128">
        <v>1</v>
      </c>
      <c r="E89" s="128">
        <v>1</v>
      </c>
      <c r="F89" s="128">
        <v>1</v>
      </c>
      <c r="G89" s="128">
        <v>1</v>
      </c>
      <c r="H89" s="128">
        <v>1</v>
      </c>
      <c r="I89" s="128">
        <v>1</v>
      </c>
      <c r="J89" s="128">
        <v>1</v>
      </c>
      <c r="K89" s="128">
        <v>1</v>
      </c>
      <c r="L89" s="128">
        <v>1</v>
      </c>
      <c r="M89" s="128">
        <v>1</v>
      </c>
      <c r="N89" s="128">
        <v>1</v>
      </c>
      <c r="O89" s="128">
        <v>1</v>
      </c>
      <c r="P89" s="128">
        <v>1</v>
      </c>
      <c r="Q89" s="128">
        <v>1</v>
      </c>
      <c r="R89" s="128">
        <v>1</v>
      </c>
      <c r="S89" s="128">
        <v>1</v>
      </c>
      <c r="T89" s="128">
        <v>1</v>
      </c>
      <c r="U89" s="128">
        <v>1</v>
      </c>
      <c r="V89" s="128">
        <v>1</v>
      </c>
      <c r="W89" s="128">
        <v>1</v>
      </c>
      <c r="X89" s="128">
        <v>1</v>
      </c>
      <c r="Y89" s="128">
        <v>1</v>
      </c>
      <c r="Z89" s="128">
        <v>1</v>
      </c>
      <c r="AA89" s="128">
        <v>1</v>
      </c>
      <c r="AB89" s="128">
        <v>1</v>
      </c>
      <c r="AC89" s="128">
        <v>1</v>
      </c>
      <c r="AD89" s="128">
        <v>1</v>
      </c>
      <c r="AE89" s="128">
        <v>1</v>
      </c>
      <c r="AF89" s="128">
        <v>1</v>
      </c>
      <c r="AG89" s="128">
        <v>1</v>
      </c>
      <c r="AH89" s="128">
        <v>1</v>
      </c>
      <c r="AI89" s="128">
        <v>1</v>
      </c>
      <c r="AJ89" s="128">
        <v>1</v>
      </c>
      <c r="AK89" s="128">
        <v>1</v>
      </c>
      <c r="AL89" s="128">
        <v>1</v>
      </c>
      <c r="AM89" s="128">
        <v>1</v>
      </c>
      <c r="AN89" s="128">
        <v>1</v>
      </c>
      <c r="AO89" s="128">
        <v>1</v>
      </c>
      <c r="AP89" s="128">
        <v>1</v>
      </c>
      <c r="AQ89" s="128">
        <v>1</v>
      </c>
      <c r="AR89" s="128">
        <v>1</v>
      </c>
      <c r="AS89" s="128">
        <v>1</v>
      </c>
      <c r="AT89" s="128">
        <v>1</v>
      </c>
      <c r="AU89" s="128">
        <v>1</v>
      </c>
      <c r="AV89" s="128">
        <v>1</v>
      </c>
      <c r="AW89" s="128">
        <v>1</v>
      </c>
      <c r="AX89" s="128">
        <v>1</v>
      </c>
      <c r="AY89" s="128">
        <v>1</v>
      </c>
      <c r="AZ89" s="128">
        <v>1</v>
      </c>
      <c r="BA89" s="128">
        <v>1</v>
      </c>
      <c r="BB89" s="128">
        <v>1</v>
      </c>
      <c r="BC89" s="128">
        <v>1</v>
      </c>
      <c r="BD89" s="128">
        <v>1</v>
      </c>
      <c r="BE89" s="128">
        <v>1</v>
      </c>
      <c r="BF89" s="128">
        <v>1</v>
      </c>
      <c r="BG89" s="128">
        <v>1</v>
      </c>
      <c r="BH89" s="128">
        <v>1</v>
      </c>
      <c r="BI89" s="128">
        <v>1</v>
      </c>
      <c r="BJ89" s="128">
        <v>1</v>
      </c>
      <c r="BK89" s="128">
        <v>1</v>
      </c>
      <c r="BL89" s="128">
        <v>1</v>
      </c>
      <c r="BM89" s="128">
        <v>1</v>
      </c>
      <c r="BN89" s="128">
        <v>1</v>
      </c>
      <c r="BO89" s="128">
        <v>1</v>
      </c>
      <c r="BP89" s="128">
        <v>1</v>
      </c>
      <c r="BQ89" s="128">
        <v>1</v>
      </c>
      <c r="BR89" s="128">
        <v>1</v>
      </c>
      <c r="BS89" s="128">
        <v>1</v>
      </c>
      <c r="BT89" s="128">
        <v>1</v>
      </c>
      <c r="BU89" s="128">
        <v>1</v>
      </c>
      <c r="BV89" s="128">
        <v>1</v>
      </c>
      <c r="BW89" s="128">
        <v>1</v>
      </c>
      <c r="BX89" s="128">
        <v>1</v>
      </c>
      <c r="BY89" s="128">
        <v>1</v>
      </c>
      <c r="BZ89" s="128">
        <v>1</v>
      </c>
      <c r="CA89" s="128">
        <v>1</v>
      </c>
      <c r="CB89" s="128">
        <v>1</v>
      </c>
      <c r="CC89" s="128">
        <v>1</v>
      </c>
      <c r="CD89" s="128">
        <v>1</v>
      </c>
      <c r="CE89" s="128">
        <v>1</v>
      </c>
      <c r="CF89" s="128">
        <v>1</v>
      </c>
      <c r="CG89" s="128">
        <v>1</v>
      </c>
      <c r="CH89" s="128">
        <v>1</v>
      </c>
      <c r="CI89" s="128">
        <v>1</v>
      </c>
      <c r="CJ89" s="128">
        <v>1</v>
      </c>
      <c r="CK89" s="128">
        <v>1</v>
      </c>
      <c r="CL89" s="128">
        <v>1</v>
      </c>
      <c r="CM89" s="128">
        <v>1</v>
      </c>
      <c r="CN89" s="128">
        <v>1</v>
      </c>
      <c r="CO89" s="128">
        <v>1</v>
      </c>
      <c r="CP89" s="128">
        <v>1</v>
      </c>
      <c r="CQ89" s="128">
        <v>1</v>
      </c>
      <c r="CR89" s="128">
        <v>1</v>
      </c>
      <c r="CS89" s="128">
        <v>1</v>
      </c>
      <c r="CT89" s="128">
        <v>1</v>
      </c>
      <c r="CU89" s="128">
        <v>1</v>
      </c>
      <c r="CV89" s="128">
        <v>1</v>
      </c>
      <c r="CW89" s="128">
        <v>1</v>
      </c>
      <c r="CX89" s="128">
        <v>1</v>
      </c>
      <c r="CZ89" s="126">
        <f>SUMIF(MatrixF0[[1]:[2]],MatrixF0[[#This Row],[Столбец1]])/MatrixF0[[#This Row],[Столбец1]]</f>
        <v>0</v>
      </c>
    </row>
    <row r="90" spans="1:104" ht="21" customHeight="1" x14ac:dyDescent="0.25">
      <c r="A90" s="127">
        <v>1.87</v>
      </c>
      <c r="B90" s="128">
        <v>1</v>
      </c>
      <c r="C90" s="128">
        <v>1</v>
      </c>
      <c r="D90" s="128">
        <v>1</v>
      </c>
      <c r="E90" s="128">
        <v>1</v>
      </c>
      <c r="F90" s="128">
        <v>1</v>
      </c>
      <c r="G90" s="128">
        <v>1</v>
      </c>
      <c r="H90" s="128">
        <v>1</v>
      </c>
      <c r="I90" s="128">
        <v>1</v>
      </c>
      <c r="J90" s="128">
        <v>1</v>
      </c>
      <c r="K90" s="128">
        <v>1</v>
      </c>
      <c r="L90" s="128">
        <v>1</v>
      </c>
      <c r="M90" s="128">
        <v>1</v>
      </c>
      <c r="N90" s="128">
        <v>1</v>
      </c>
      <c r="O90" s="128">
        <v>1</v>
      </c>
      <c r="P90" s="128">
        <v>1</v>
      </c>
      <c r="Q90" s="128">
        <v>1</v>
      </c>
      <c r="R90" s="128">
        <v>1</v>
      </c>
      <c r="S90" s="128">
        <v>1</v>
      </c>
      <c r="T90" s="128">
        <v>1</v>
      </c>
      <c r="U90" s="128">
        <v>1</v>
      </c>
      <c r="V90" s="128">
        <v>1</v>
      </c>
      <c r="W90" s="128">
        <v>1</v>
      </c>
      <c r="X90" s="128">
        <v>1</v>
      </c>
      <c r="Y90" s="128">
        <v>1</v>
      </c>
      <c r="Z90" s="128">
        <v>1</v>
      </c>
      <c r="AA90" s="128">
        <v>1</v>
      </c>
      <c r="AB90" s="128">
        <v>1</v>
      </c>
      <c r="AC90" s="128">
        <v>1</v>
      </c>
      <c r="AD90" s="128">
        <v>1</v>
      </c>
      <c r="AE90" s="128">
        <v>1</v>
      </c>
      <c r="AF90" s="128">
        <v>1</v>
      </c>
      <c r="AG90" s="128">
        <v>1</v>
      </c>
      <c r="AH90" s="128">
        <v>1</v>
      </c>
      <c r="AI90" s="128">
        <v>1</v>
      </c>
      <c r="AJ90" s="128">
        <v>1</v>
      </c>
      <c r="AK90" s="128">
        <v>1</v>
      </c>
      <c r="AL90" s="128">
        <v>1</v>
      </c>
      <c r="AM90" s="128">
        <v>1</v>
      </c>
      <c r="AN90" s="128">
        <v>1</v>
      </c>
      <c r="AO90" s="128">
        <v>1</v>
      </c>
      <c r="AP90" s="128">
        <v>1</v>
      </c>
      <c r="AQ90" s="128">
        <v>1</v>
      </c>
      <c r="AR90" s="128">
        <v>1</v>
      </c>
      <c r="AS90" s="128">
        <v>1</v>
      </c>
      <c r="AT90" s="128">
        <v>1</v>
      </c>
      <c r="AU90" s="128">
        <v>1</v>
      </c>
      <c r="AV90" s="128">
        <v>1</v>
      </c>
      <c r="AW90" s="128">
        <v>1</v>
      </c>
      <c r="AX90" s="128">
        <v>1</v>
      </c>
      <c r="AY90" s="128">
        <v>1</v>
      </c>
      <c r="AZ90" s="128">
        <v>1</v>
      </c>
      <c r="BA90" s="128">
        <v>1</v>
      </c>
      <c r="BB90" s="128">
        <v>1</v>
      </c>
      <c r="BC90" s="128">
        <v>1</v>
      </c>
      <c r="BD90" s="128">
        <v>1</v>
      </c>
      <c r="BE90" s="128">
        <v>1</v>
      </c>
      <c r="BF90" s="128">
        <v>1</v>
      </c>
      <c r="BG90" s="128">
        <v>1</v>
      </c>
      <c r="BH90" s="128">
        <v>1</v>
      </c>
      <c r="BI90" s="128">
        <v>1</v>
      </c>
      <c r="BJ90" s="128">
        <v>1</v>
      </c>
      <c r="BK90" s="128">
        <v>1</v>
      </c>
      <c r="BL90" s="128">
        <v>1</v>
      </c>
      <c r="BM90" s="128">
        <v>1</v>
      </c>
      <c r="BN90" s="128">
        <v>1</v>
      </c>
      <c r="BO90" s="128">
        <v>1</v>
      </c>
      <c r="BP90" s="128">
        <v>1</v>
      </c>
      <c r="BQ90" s="128">
        <v>1</v>
      </c>
      <c r="BR90" s="128">
        <v>1</v>
      </c>
      <c r="BS90" s="128">
        <v>1</v>
      </c>
      <c r="BT90" s="128">
        <v>1</v>
      </c>
      <c r="BU90" s="128">
        <v>1</v>
      </c>
      <c r="BV90" s="128">
        <v>1</v>
      </c>
      <c r="BW90" s="128">
        <v>1</v>
      </c>
      <c r="BX90" s="128">
        <v>1</v>
      </c>
      <c r="BY90" s="128">
        <v>1</v>
      </c>
      <c r="BZ90" s="128">
        <v>1</v>
      </c>
      <c r="CA90" s="128">
        <v>1</v>
      </c>
      <c r="CB90" s="128">
        <v>1</v>
      </c>
      <c r="CC90" s="128">
        <v>1</v>
      </c>
      <c r="CD90" s="128">
        <v>1</v>
      </c>
      <c r="CE90" s="128">
        <v>1</v>
      </c>
      <c r="CF90" s="128">
        <v>1</v>
      </c>
      <c r="CG90" s="128">
        <v>1</v>
      </c>
      <c r="CH90" s="128">
        <v>1</v>
      </c>
      <c r="CI90" s="128">
        <v>1</v>
      </c>
      <c r="CJ90" s="128">
        <v>1</v>
      </c>
      <c r="CK90" s="128">
        <v>1</v>
      </c>
      <c r="CL90" s="128">
        <v>1</v>
      </c>
      <c r="CM90" s="128">
        <v>1</v>
      </c>
      <c r="CN90" s="128">
        <v>1</v>
      </c>
      <c r="CO90" s="128">
        <v>1</v>
      </c>
      <c r="CP90" s="128">
        <v>1</v>
      </c>
      <c r="CQ90" s="128">
        <v>1</v>
      </c>
      <c r="CR90" s="128">
        <v>1</v>
      </c>
      <c r="CS90" s="128">
        <v>1</v>
      </c>
      <c r="CT90" s="128">
        <v>1</v>
      </c>
      <c r="CU90" s="128">
        <v>1</v>
      </c>
      <c r="CV90" s="128">
        <v>1</v>
      </c>
      <c r="CW90" s="128">
        <v>1</v>
      </c>
      <c r="CX90" s="128">
        <v>1</v>
      </c>
      <c r="CZ90" s="126">
        <f>SUMIF(MatrixF0[[1]:[2]],MatrixF0[[#This Row],[Столбец1]])/MatrixF0[[#This Row],[Столбец1]]</f>
        <v>0</v>
      </c>
    </row>
    <row r="91" spans="1:104" ht="21" customHeight="1" x14ac:dyDescent="0.25">
      <c r="A91" s="127">
        <v>1.88</v>
      </c>
      <c r="B91" s="128">
        <v>1</v>
      </c>
      <c r="C91" s="128">
        <v>1</v>
      </c>
      <c r="D91" s="128">
        <v>1</v>
      </c>
      <c r="E91" s="128">
        <v>1</v>
      </c>
      <c r="F91" s="128">
        <v>1</v>
      </c>
      <c r="G91" s="128">
        <v>1</v>
      </c>
      <c r="H91" s="128">
        <v>1</v>
      </c>
      <c r="I91" s="128">
        <v>1</v>
      </c>
      <c r="J91" s="128">
        <v>1</v>
      </c>
      <c r="K91" s="128">
        <v>1</v>
      </c>
      <c r="L91" s="128">
        <v>1</v>
      </c>
      <c r="M91" s="128">
        <v>1</v>
      </c>
      <c r="N91" s="128">
        <v>1</v>
      </c>
      <c r="O91" s="128">
        <v>1</v>
      </c>
      <c r="P91" s="128">
        <v>1</v>
      </c>
      <c r="Q91" s="128">
        <v>1</v>
      </c>
      <c r="R91" s="128">
        <v>1</v>
      </c>
      <c r="S91" s="128">
        <v>1</v>
      </c>
      <c r="T91" s="128">
        <v>1</v>
      </c>
      <c r="U91" s="128">
        <v>1</v>
      </c>
      <c r="V91" s="128">
        <v>1</v>
      </c>
      <c r="W91" s="128">
        <v>1</v>
      </c>
      <c r="X91" s="128">
        <v>1</v>
      </c>
      <c r="Y91" s="128">
        <v>1</v>
      </c>
      <c r="Z91" s="128">
        <v>1</v>
      </c>
      <c r="AA91" s="128">
        <v>1</v>
      </c>
      <c r="AB91" s="128">
        <v>1</v>
      </c>
      <c r="AC91" s="128">
        <v>1</v>
      </c>
      <c r="AD91" s="128">
        <v>1</v>
      </c>
      <c r="AE91" s="128">
        <v>1</v>
      </c>
      <c r="AF91" s="128">
        <v>1</v>
      </c>
      <c r="AG91" s="128">
        <v>1</v>
      </c>
      <c r="AH91" s="128">
        <v>1</v>
      </c>
      <c r="AI91" s="128">
        <v>1</v>
      </c>
      <c r="AJ91" s="128">
        <v>1</v>
      </c>
      <c r="AK91" s="128">
        <v>1</v>
      </c>
      <c r="AL91" s="128">
        <v>1</v>
      </c>
      <c r="AM91" s="128">
        <v>1</v>
      </c>
      <c r="AN91" s="128">
        <v>1</v>
      </c>
      <c r="AO91" s="128">
        <v>1</v>
      </c>
      <c r="AP91" s="128">
        <v>1</v>
      </c>
      <c r="AQ91" s="128">
        <v>1</v>
      </c>
      <c r="AR91" s="128">
        <v>1</v>
      </c>
      <c r="AS91" s="128">
        <v>1</v>
      </c>
      <c r="AT91" s="128">
        <v>1</v>
      </c>
      <c r="AU91" s="128">
        <v>1</v>
      </c>
      <c r="AV91" s="128">
        <v>1</v>
      </c>
      <c r="AW91" s="128">
        <v>1</v>
      </c>
      <c r="AX91" s="128">
        <v>1</v>
      </c>
      <c r="AY91" s="128">
        <v>1</v>
      </c>
      <c r="AZ91" s="128">
        <v>1</v>
      </c>
      <c r="BA91" s="128">
        <v>1</v>
      </c>
      <c r="BB91" s="128">
        <v>1</v>
      </c>
      <c r="BC91" s="128">
        <v>1</v>
      </c>
      <c r="BD91" s="128">
        <v>1</v>
      </c>
      <c r="BE91" s="128">
        <v>1</v>
      </c>
      <c r="BF91" s="128">
        <v>1</v>
      </c>
      <c r="BG91" s="128">
        <v>1</v>
      </c>
      <c r="BH91" s="128">
        <v>1</v>
      </c>
      <c r="BI91" s="128">
        <v>1</v>
      </c>
      <c r="BJ91" s="128">
        <v>1</v>
      </c>
      <c r="BK91" s="128">
        <v>1</v>
      </c>
      <c r="BL91" s="128">
        <v>1</v>
      </c>
      <c r="BM91" s="128">
        <v>1</v>
      </c>
      <c r="BN91" s="128">
        <v>1</v>
      </c>
      <c r="BO91" s="128">
        <v>1</v>
      </c>
      <c r="BP91" s="128">
        <v>1</v>
      </c>
      <c r="BQ91" s="128">
        <v>1</v>
      </c>
      <c r="BR91" s="128">
        <v>1</v>
      </c>
      <c r="BS91" s="128">
        <v>1</v>
      </c>
      <c r="BT91" s="128">
        <v>1</v>
      </c>
      <c r="BU91" s="128">
        <v>1</v>
      </c>
      <c r="BV91" s="128">
        <v>1</v>
      </c>
      <c r="BW91" s="128">
        <v>1</v>
      </c>
      <c r="BX91" s="128">
        <v>1</v>
      </c>
      <c r="BY91" s="128">
        <v>1</v>
      </c>
      <c r="BZ91" s="128">
        <v>1</v>
      </c>
      <c r="CA91" s="128">
        <v>1</v>
      </c>
      <c r="CB91" s="128">
        <v>1</v>
      </c>
      <c r="CC91" s="128">
        <v>1</v>
      </c>
      <c r="CD91" s="128">
        <v>1</v>
      </c>
      <c r="CE91" s="128">
        <v>1</v>
      </c>
      <c r="CF91" s="128">
        <v>1</v>
      </c>
      <c r="CG91" s="128">
        <v>1</v>
      </c>
      <c r="CH91" s="128">
        <v>1</v>
      </c>
      <c r="CI91" s="128">
        <v>1</v>
      </c>
      <c r="CJ91" s="128">
        <v>1</v>
      </c>
      <c r="CK91" s="128">
        <v>1</v>
      </c>
      <c r="CL91" s="128">
        <v>1</v>
      </c>
      <c r="CM91" s="128">
        <v>1</v>
      </c>
      <c r="CN91" s="128">
        <v>1</v>
      </c>
      <c r="CO91" s="128">
        <v>1</v>
      </c>
      <c r="CP91" s="128">
        <v>1</v>
      </c>
      <c r="CQ91" s="128">
        <v>1</v>
      </c>
      <c r="CR91" s="128">
        <v>1</v>
      </c>
      <c r="CS91" s="128">
        <v>1</v>
      </c>
      <c r="CT91" s="128">
        <v>1</v>
      </c>
      <c r="CU91" s="128">
        <v>1</v>
      </c>
      <c r="CV91" s="128">
        <v>1</v>
      </c>
      <c r="CW91" s="128">
        <v>1</v>
      </c>
      <c r="CX91" s="128">
        <v>1</v>
      </c>
      <c r="CZ91" s="126">
        <f>SUMIF(MatrixF0[[1]:[2]],MatrixF0[[#This Row],[Столбец1]])/MatrixF0[[#This Row],[Столбец1]]</f>
        <v>0</v>
      </c>
    </row>
    <row r="92" spans="1:104" ht="21" customHeight="1" x14ac:dyDescent="0.25">
      <c r="A92" s="127">
        <v>1.89</v>
      </c>
      <c r="B92" s="128">
        <v>1</v>
      </c>
      <c r="C92" s="128">
        <v>1</v>
      </c>
      <c r="D92" s="128">
        <v>1</v>
      </c>
      <c r="E92" s="128">
        <v>1</v>
      </c>
      <c r="F92" s="128">
        <v>1</v>
      </c>
      <c r="G92" s="128">
        <v>1</v>
      </c>
      <c r="H92" s="128">
        <v>1</v>
      </c>
      <c r="I92" s="128">
        <v>1</v>
      </c>
      <c r="J92" s="128">
        <v>1</v>
      </c>
      <c r="K92" s="128">
        <v>1</v>
      </c>
      <c r="L92" s="128">
        <v>1</v>
      </c>
      <c r="M92" s="128">
        <v>1</v>
      </c>
      <c r="N92" s="128">
        <v>1</v>
      </c>
      <c r="O92" s="128">
        <v>1</v>
      </c>
      <c r="P92" s="128">
        <v>1</v>
      </c>
      <c r="Q92" s="128">
        <v>1</v>
      </c>
      <c r="R92" s="128">
        <v>1</v>
      </c>
      <c r="S92" s="128">
        <v>1</v>
      </c>
      <c r="T92" s="128">
        <v>1</v>
      </c>
      <c r="U92" s="128">
        <v>1</v>
      </c>
      <c r="V92" s="128">
        <v>1</v>
      </c>
      <c r="W92" s="128">
        <v>1</v>
      </c>
      <c r="X92" s="128">
        <v>1</v>
      </c>
      <c r="Y92" s="128">
        <v>1</v>
      </c>
      <c r="Z92" s="128">
        <v>1</v>
      </c>
      <c r="AA92" s="128">
        <v>1</v>
      </c>
      <c r="AB92" s="128">
        <v>1</v>
      </c>
      <c r="AC92" s="128">
        <v>1</v>
      </c>
      <c r="AD92" s="128">
        <v>1</v>
      </c>
      <c r="AE92" s="128">
        <v>1</v>
      </c>
      <c r="AF92" s="128">
        <v>1</v>
      </c>
      <c r="AG92" s="128">
        <v>1</v>
      </c>
      <c r="AH92" s="128">
        <v>1</v>
      </c>
      <c r="AI92" s="128">
        <v>1</v>
      </c>
      <c r="AJ92" s="128">
        <v>1</v>
      </c>
      <c r="AK92" s="128">
        <v>1</v>
      </c>
      <c r="AL92" s="128">
        <v>1</v>
      </c>
      <c r="AM92" s="128">
        <v>1</v>
      </c>
      <c r="AN92" s="128">
        <v>1</v>
      </c>
      <c r="AO92" s="128">
        <v>1</v>
      </c>
      <c r="AP92" s="128">
        <v>1</v>
      </c>
      <c r="AQ92" s="128">
        <v>1</v>
      </c>
      <c r="AR92" s="128">
        <v>1</v>
      </c>
      <c r="AS92" s="128">
        <v>1</v>
      </c>
      <c r="AT92" s="128">
        <v>1</v>
      </c>
      <c r="AU92" s="128">
        <v>1</v>
      </c>
      <c r="AV92" s="128">
        <v>1</v>
      </c>
      <c r="AW92" s="128">
        <v>1</v>
      </c>
      <c r="AX92" s="128">
        <v>1</v>
      </c>
      <c r="AY92" s="128">
        <v>1</v>
      </c>
      <c r="AZ92" s="128">
        <v>1</v>
      </c>
      <c r="BA92" s="128">
        <v>1</v>
      </c>
      <c r="BB92" s="128">
        <v>1</v>
      </c>
      <c r="BC92" s="128">
        <v>1</v>
      </c>
      <c r="BD92" s="128">
        <v>1</v>
      </c>
      <c r="BE92" s="128">
        <v>1</v>
      </c>
      <c r="BF92" s="128">
        <v>1</v>
      </c>
      <c r="BG92" s="128">
        <v>1</v>
      </c>
      <c r="BH92" s="128">
        <v>1</v>
      </c>
      <c r="BI92" s="128">
        <v>1</v>
      </c>
      <c r="BJ92" s="128">
        <v>1</v>
      </c>
      <c r="BK92" s="128">
        <v>1</v>
      </c>
      <c r="BL92" s="128">
        <v>1</v>
      </c>
      <c r="BM92" s="128">
        <v>1</v>
      </c>
      <c r="BN92" s="128">
        <v>1</v>
      </c>
      <c r="BO92" s="128">
        <v>1</v>
      </c>
      <c r="BP92" s="128">
        <v>1</v>
      </c>
      <c r="BQ92" s="128">
        <v>1</v>
      </c>
      <c r="BR92" s="128">
        <v>1</v>
      </c>
      <c r="BS92" s="128">
        <v>1</v>
      </c>
      <c r="BT92" s="128">
        <v>1</v>
      </c>
      <c r="BU92" s="128">
        <v>1</v>
      </c>
      <c r="BV92" s="128">
        <v>1</v>
      </c>
      <c r="BW92" s="128">
        <v>1</v>
      </c>
      <c r="BX92" s="128">
        <v>1</v>
      </c>
      <c r="BY92" s="128">
        <v>1</v>
      </c>
      <c r="BZ92" s="128">
        <v>1</v>
      </c>
      <c r="CA92" s="128">
        <v>1</v>
      </c>
      <c r="CB92" s="128">
        <v>1</v>
      </c>
      <c r="CC92" s="128">
        <v>1</v>
      </c>
      <c r="CD92" s="128">
        <v>1</v>
      </c>
      <c r="CE92" s="128">
        <v>1</v>
      </c>
      <c r="CF92" s="128">
        <v>1</v>
      </c>
      <c r="CG92" s="128">
        <v>1</v>
      </c>
      <c r="CH92" s="128">
        <v>1</v>
      </c>
      <c r="CI92" s="128">
        <v>1</v>
      </c>
      <c r="CJ92" s="128">
        <v>1</v>
      </c>
      <c r="CK92" s="128">
        <v>1</v>
      </c>
      <c r="CL92" s="128">
        <v>1</v>
      </c>
      <c r="CM92" s="128">
        <v>1</v>
      </c>
      <c r="CN92" s="128">
        <v>1</v>
      </c>
      <c r="CO92" s="128">
        <v>1</v>
      </c>
      <c r="CP92" s="128">
        <v>1</v>
      </c>
      <c r="CQ92" s="128">
        <v>1</v>
      </c>
      <c r="CR92" s="128">
        <v>1</v>
      </c>
      <c r="CS92" s="128">
        <v>1</v>
      </c>
      <c r="CT92" s="128">
        <v>1</v>
      </c>
      <c r="CU92" s="128">
        <v>1</v>
      </c>
      <c r="CV92" s="128">
        <v>1</v>
      </c>
      <c r="CW92" s="128">
        <v>1</v>
      </c>
      <c r="CX92" s="128">
        <v>1</v>
      </c>
      <c r="CZ92" s="126">
        <f>SUMIF(MatrixF0[[1]:[2]],MatrixF0[[#This Row],[Столбец1]])/MatrixF0[[#This Row],[Столбец1]]</f>
        <v>0</v>
      </c>
    </row>
    <row r="93" spans="1:104" ht="21" customHeight="1" x14ac:dyDescent="0.25">
      <c r="A93" s="127">
        <v>1.9</v>
      </c>
      <c r="B93" s="128">
        <v>1</v>
      </c>
      <c r="C93" s="128">
        <v>1</v>
      </c>
      <c r="D93" s="128">
        <v>1</v>
      </c>
      <c r="E93" s="128">
        <v>1</v>
      </c>
      <c r="F93" s="128">
        <v>1</v>
      </c>
      <c r="G93" s="128">
        <v>1</v>
      </c>
      <c r="H93" s="128">
        <v>1</v>
      </c>
      <c r="I93" s="128">
        <v>1</v>
      </c>
      <c r="J93" s="128">
        <v>1</v>
      </c>
      <c r="K93" s="128">
        <v>1</v>
      </c>
      <c r="L93" s="128">
        <v>1</v>
      </c>
      <c r="M93" s="128">
        <v>1</v>
      </c>
      <c r="N93" s="128">
        <v>1</v>
      </c>
      <c r="O93" s="128">
        <v>1</v>
      </c>
      <c r="P93" s="128">
        <v>1</v>
      </c>
      <c r="Q93" s="128">
        <v>1</v>
      </c>
      <c r="R93" s="128">
        <v>1</v>
      </c>
      <c r="S93" s="128">
        <v>1</v>
      </c>
      <c r="T93" s="128">
        <v>1</v>
      </c>
      <c r="U93" s="128">
        <v>1</v>
      </c>
      <c r="V93" s="128">
        <v>1</v>
      </c>
      <c r="W93" s="128">
        <v>1</v>
      </c>
      <c r="X93" s="128">
        <v>1</v>
      </c>
      <c r="Y93" s="128">
        <v>1</v>
      </c>
      <c r="Z93" s="128">
        <v>1</v>
      </c>
      <c r="AA93" s="128">
        <v>1</v>
      </c>
      <c r="AB93" s="128">
        <v>1</v>
      </c>
      <c r="AC93" s="128">
        <v>1</v>
      </c>
      <c r="AD93" s="128">
        <v>1</v>
      </c>
      <c r="AE93" s="128">
        <v>1</v>
      </c>
      <c r="AF93" s="128">
        <v>1</v>
      </c>
      <c r="AG93" s="128">
        <v>1</v>
      </c>
      <c r="AH93" s="128">
        <v>1</v>
      </c>
      <c r="AI93" s="128">
        <v>1</v>
      </c>
      <c r="AJ93" s="128">
        <v>1</v>
      </c>
      <c r="AK93" s="128">
        <v>1</v>
      </c>
      <c r="AL93" s="128">
        <v>1</v>
      </c>
      <c r="AM93" s="128">
        <v>1</v>
      </c>
      <c r="AN93" s="128">
        <v>1</v>
      </c>
      <c r="AO93" s="128">
        <v>1</v>
      </c>
      <c r="AP93" s="128">
        <v>1</v>
      </c>
      <c r="AQ93" s="128">
        <v>1</v>
      </c>
      <c r="AR93" s="128">
        <v>1</v>
      </c>
      <c r="AS93" s="128">
        <v>1</v>
      </c>
      <c r="AT93" s="128">
        <v>1</v>
      </c>
      <c r="AU93" s="128">
        <v>1</v>
      </c>
      <c r="AV93" s="128">
        <v>1</v>
      </c>
      <c r="AW93" s="128">
        <v>1</v>
      </c>
      <c r="AX93" s="128">
        <v>1</v>
      </c>
      <c r="AY93" s="128">
        <v>1</v>
      </c>
      <c r="AZ93" s="128">
        <v>1</v>
      </c>
      <c r="BA93" s="128">
        <v>1</v>
      </c>
      <c r="BB93" s="128">
        <v>1</v>
      </c>
      <c r="BC93" s="128">
        <v>1</v>
      </c>
      <c r="BD93" s="128">
        <v>1</v>
      </c>
      <c r="BE93" s="128">
        <v>1</v>
      </c>
      <c r="BF93" s="128">
        <v>1</v>
      </c>
      <c r="BG93" s="128">
        <v>1</v>
      </c>
      <c r="BH93" s="128">
        <v>1</v>
      </c>
      <c r="BI93" s="128">
        <v>1</v>
      </c>
      <c r="BJ93" s="128">
        <v>1</v>
      </c>
      <c r="BK93" s="128">
        <v>1</v>
      </c>
      <c r="BL93" s="128">
        <v>1</v>
      </c>
      <c r="BM93" s="128">
        <v>1</v>
      </c>
      <c r="BN93" s="128">
        <v>1</v>
      </c>
      <c r="BO93" s="128">
        <v>1</v>
      </c>
      <c r="BP93" s="128">
        <v>1</v>
      </c>
      <c r="BQ93" s="128">
        <v>1</v>
      </c>
      <c r="BR93" s="128">
        <v>1</v>
      </c>
      <c r="BS93" s="128">
        <v>1</v>
      </c>
      <c r="BT93" s="128">
        <v>1</v>
      </c>
      <c r="BU93" s="128">
        <v>1</v>
      </c>
      <c r="BV93" s="128">
        <v>1</v>
      </c>
      <c r="BW93" s="128">
        <v>1</v>
      </c>
      <c r="BX93" s="128">
        <v>1</v>
      </c>
      <c r="BY93" s="128">
        <v>1</v>
      </c>
      <c r="BZ93" s="128">
        <v>1</v>
      </c>
      <c r="CA93" s="128">
        <v>1</v>
      </c>
      <c r="CB93" s="128">
        <v>1</v>
      </c>
      <c r="CC93" s="128">
        <v>1</v>
      </c>
      <c r="CD93" s="128">
        <v>1</v>
      </c>
      <c r="CE93" s="128">
        <v>1</v>
      </c>
      <c r="CF93" s="128">
        <v>1</v>
      </c>
      <c r="CG93" s="128">
        <v>1</v>
      </c>
      <c r="CH93" s="128">
        <v>1</v>
      </c>
      <c r="CI93" s="128">
        <v>1</v>
      </c>
      <c r="CJ93" s="128">
        <v>1</v>
      </c>
      <c r="CK93" s="128">
        <v>1</v>
      </c>
      <c r="CL93" s="128">
        <v>1</v>
      </c>
      <c r="CM93" s="128">
        <v>1</v>
      </c>
      <c r="CN93" s="128">
        <v>1</v>
      </c>
      <c r="CO93" s="128">
        <v>1</v>
      </c>
      <c r="CP93" s="128">
        <v>1</v>
      </c>
      <c r="CQ93" s="128">
        <v>1</v>
      </c>
      <c r="CR93" s="128">
        <v>1</v>
      </c>
      <c r="CS93" s="128">
        <v>1</v>
      </c>
      <c r="CT93" s="128">
        <v>1</v>
      </c>
      <c r="CU93" s="128">
        <v>1</v>
      </c>
      <c r="CV93" s="128">
        <v>1</v>
      </c>
      <c r="CW93" s="128">
        <v>1</v>
      </c>
      <c r="CX93" s="128">
        <v>1</v>
      </c>
      <c r="CZ93" s="126">
        <f>SUMIF(MatrixF0[[1]:[2]],MatrixF0[[#This Row],[Столбец1]])/MatrixF0[[#This Row],[Столбец1]]</f>
        <v>0</v>
      </c>
    </row>
    <row r="94" spans="1:104" ht="21" customHeight="1" x14ac:dyDescent="0.25">
      <c r="A94" s="127">
        <v>1.91</v>
      </c>
      <c r="B94" s="128">
        <v>1</v>
      </c>
      <c r="C94" s="128">
        <v>1</v>
      </c>
      <c r="D94" s="128">
        <v>1</v>
      </c>
      <c r="E94" s="128">
        <v>1</v>
      </c>
      <c r="F94" s="128">
        <v>1</v>
      </c>
      <c r="G94" s="128">
        <v>1</v>
      </c>
      <c r="H94" s="128">
        <v>1</v>
      </c>
      <c r="I94" s="128">
        <v>1</v>
      </c>
      <c r="J94" s="128">
        <v>1</v>
      </c>
      <c r="K94" s="128">
        <v>1</v>
      </c>
      <c r="L94" s="128">
        <v>1</v>
      </c>
      <c r="M94" s="128">
        <v>1</v>
      </c>
      <c r="N94" s="128">
        <v>1</v>
      </c>
      <c r="O94" s="128">
        <v>1</v>
      </c>
      <c r="P94" s="128">
        <v>1</v>
      </c>
      <c r="Q94" s="128">
        <v>1</v>
      </c>
      <c r="R94" s="128">
        <v>1</v>
      </c>
      <c r="S94" s="128">
        <v>1</v>
      </c>
      <c r="T94" s="128">
        <v>1</v>
      </c>
      <c r="U94" s="128">
        <v>1</v>
      </c>
      <c r="V94" s="128">
        <v>1</v>
      </c>
      <c r="W94" s="128">
        <v>1</v>
      </c>
      <c r="X94" s="128">
        <v>1</v>
      </c>
      <c r="Y94" s="128">
        <v>1</v>
      </c>
      <c r="Z94" s="128">
        <v>1</v>
      </c>
      <c r="AA94" s="128">
        <v>1</v>
      </c>
      <c r="AB94" s="128">
        <v>1</v>
      </c>
      <c r="AC94" s="128">
        <v>1</v>
      </c>
      <c r="AD94" s="128">
        <v>1</v>
      </c>
      <c r="AE94" s="128">
        <v>1</v>
      </c>
      <c r="AF94" s="128">
        <v>1</v>
      </c>
      <c r="AG94" s="128">
        <v>1</v>
      </c>
      <c r="AH94" s="128">
        <v>1</v>
      </c>
      <c r="AI94" s="128">
        <v>1</v>
      </c>
      <c r="AJ94" s="128">
        <v>1</v>
      </c>
      <c r="AK94" s="128">
        <v>1</v>
      </c>
      <c r="AL94" s="128">
        <v>1</v>
      </c>
      <c r="AM94" s="128">
        <v>1</v>
      </c>
      <c r="AN94" s="128">
        <v>1</v>
      </c>
      <c r="AO94" s="128">
        <v>1</v>
      </c>
      <c r="AP94" s="128">
        <v>1</v>
      </c>
      <c r="AQ94" s="128">
        <v>1</v>
      </c>
      <c r="AR94" s="128">
        <v>1</v>
      </c>
      <c r="AS94" s="128">
        <v>1</v>
      </c>
      <c r="AT94" s="128">
        <v>1</v>
      </c>
      <c r="AU94" s="128">
        <v>1</v>
      </c>
      <c r="AV94" s="128">
        <v>1</v>
      </c>
      <c r="AW94" s="128">
        <v>1</v>
      </c>
      <c r="AX94" s="128">
        <v>1</v>
      </c>
      <c r="AY94" s="128">
        <v>1</v>
      </c>
      <c r="AZ94" s="128">
        <v>1</v>
      </c>
      <c r="BA94" s="128">
        <v>1</v>
      </c>
      <c r="BB94" s="128">
        <v>1</v>
      </c>
      <c r="BC94" s="128">
        <v>1</v>
      </c>
      <c r="BD94" s="128">
        <v>1</v>
      </c>
      <c r="BE94" s="128">
        <v>1</v>
      </c>
      <c r="BF94" s="128">
        <v>1</v>
      </c>
      <c r="BG94" s="128">
        <v>1</v>
      </c>
      <c r="BH94" s="128">
        <v>1</v>
      </c>
      <c r="BI94" s="128">
        <v>1</v>
      </c>
      <c r="BJ94" s="128">
        <v>1</v>
      </c>
      <c r="BK94" s="128">
        <v>1</v>
      </c>
      <c r="BL94" s="128">
        <v>1</v>
      </c>
      <c r="BM94" s="128">
        <v>1</v>
      </c>
      <c r="BN94" s="128">
        <v>1</v>
      </c>
      <c r="BO94" s="128">
        <v>1</v>
      </c>
      <c r="BP94" s="128">
        <v>1</v>
      </c>
      <c r="BQ94" s="128">
        <v>1</v>
      </c>
      <c r="BR94" s="128">
        <v>1</v>
      </c>
      <c r="BS94" s="128">
        <v>1</v>
      </c>
      <c r="BT94" s="128">
        <v>1</v>
      </c>
      <c r="BU94" s="128">
        <v>1</v>
      </c>
      <c r="BV94" s="128">
        <v>1</v>
      </c>
      <c r="BW94" s="128">
        <v>1</v>
      </c>
      <c r="BX94" s="128">
        <v>1</v>
      </c>
      <c r="BY94" s="128">
        <v>1</v>
      </c>
      <c r="BZ94" s="128">
        <v>1</v>
      </c>
      <c r="CA94" s="128">
        <v>1</v>
      </c>
      <c r="CB94" s="128">
        <v>1</v>
      </c>
      <c r="CC94" s="128">
        <v>1</v>
      </c>
      <c r="CD94" s="128">
        <v>1</v>
      </c>
      <c r="CE94" s="128">
        <v>1</v>
      </c>
      <c r="CF94" s="128">
        <v>1</v>
      </c>
      <c r="CG94" s="128">
        <v>1</v>
      </c>
      <c r="CH94" s="128">
        <v>1</v>
      </c>
      <c r="CI94" s="128">
        <v>1</v>
      </c>
      <c r="CJ94" s="128">
        <v>1</v>
      </c>
      <c r="CK94" s="128">
        <v>1</v>
      </c>
      <c r="CL94" s="128">
        <v>1</v>
      </c>
      <c r="CM94" s="128">
        <v>1</v>
      </c>
      <c r="CN94" s="128">
        <v>1</v>
      </c>
      <c r="CO94" s="128">
        <v>1</v>
      </c>
      <c r="CP94" s="128">
        <v>1</v>
      </c>
      <c r="CQ94" s="128">
        <v>1</v>
      </c>
      <c r="CR94" s="128">
        <v>1</v>
      </c>
      <c r="CS94" s="128">
        <v>1</v>
      </c>
      <c r="CT94" s="128">
        <v>1</v>
      </c>
      <c r="CU94" s="128">
        <v>1</v>
      </c>
      <c r="CV94" s="128">
        <v>1</v>
      </c>
      <c r="CW94" s="128">
        <v>1</v>
      </c>
      <c r="CX94" s="128">
        <v>1</v>
      </c>
      <c r="CZ94" s="126">
        <f>SUMIF(MatrixF0[[1]:[2]],MatrixF0[[#This Row],[Столбец1]])/MatrixF0[[#This Row],[Столбец1]]</f>
        <v>0</v>
      </c>
    </row>
    <row r="95" spans="1:104" ht="21" customHeight="1" x14ac:dyDescent="0.25">
      <c r="A95" s="127">
        <v>1.92</v>
      </c>
      <c r="B95" s="128">
        <v>1</v>
      </c>
      <c r="C95" s="128">
        <v>1</v>
      </c>
      <c r="D95" s="128">
        <v>1</v>
      </c>
      <c r="E95" s="128">
        <v>1</v>
      </c>
      <c r="F95" s="128">
        <v>1</v>
      </c>
      <c r="G95" s="128">
        <v>1</v>
      </c>
      <c r="H95" s="128">
        <v>1</v>
      </c>
      <c r="I95" s="128">
        <v>1</v>
      </c>
      <c r="J95" s="128">
        <v>1</v>
      </c>
      <c r="K95" s="128">
        <v>1</v>
      </c>
      <c r="L95" s="128">
        <v>1</v>
      </c>
      <c r="M95" s="128">
        <v>1</v>
      </c>
      <c r="N95" s="128">
        <v>1</v>
      </c>
      <c r="O95" s="128">
        <v>1</v>
      </c>
      <c r="P95" s="128">
        <v>1</v>
      </c>
      <c r="Q95" s="128">
        <v>1</v>
      </c>
      <c r="R95" s="128">
        <v>1</v>
      </c>
      <c r="S95" s="128">
        <v>1</v>
      </c>
      <c r="T95" s="128">
        <v>1</v>
      </c>
      <c r="U95" s="128">
        <v>1</v>
      </c>
      <c r="V95" s="128">
        <v>1</v>
      </c>
      <c r="W95" s="128">
        <v>1</v>
      </c>
      <c r="X95" s="128">
        <v>1</v>
      </c>
      <c r="Y95" s="128">
        <v>1</v>
      </c>
      <c r="Z95" s="128">
        <v>1</v>
      </c>
      <c r="AA95" s="128">
        <v>1</v>
      </c>
      <c r="AB95" s="128">
        <v>1</v>
      </c>
      <c r="AC95" s="128">
        <v>1</v>
      </c>
      <c r="AD95" s="128">
        <v>1</v>
      </c>
      <c r="AE95" s="128">
        <v>1</v>
      </c>
      <c r="AF95" s="128">
        <v>1</v>
      </c>
      <c r="AG95" s="128">
        <v>1</v>
      </c>
      <c r="AH95" s="128">
        <v>1</v>
      </c>
      <c r="AI95" s="128">
        <v>1</v>
      </c>
      <c r="AJ95" s="128">
        <v>1</v>
      </c>
      <c r="AK95" s="128">
        <v>1</v>
      </c>
      <c r="AL95" s="128">
        <v>1</v>
      </c>
      <c r="AM95" s="128">
        <v>1</v>
      </c>
      <c r="AN95" s="128">
        <v>1</v>
      </c>
      <c r="AO95" s="128">
        <v>1</v>
      </c>
      <c r="AP95" s="128">
        <v>1</v>
      </c>
      <c r="AQ95" s="128">
        <v>1</v>
      </c>
      <c r="AR95" s="128">
        <v>1</v>
      </c>
      <c r="AS95" s="128">
        <v>1</v>
      </c>
      <c r="AT95" s="128">
        <v>1</v>
      </c>
      <c r="AU95" s="128">
        <v>1</v>
      </c>
      <c r="AV95" s="128">
        <v>1</v>
      </c>
      <c r="AW95" s="128">
        <v>1</v>
      </c>
      <c r="AX95" s="128">
        <v>1</v>
      </c>
      <c r="AY95" s="128">
        <v>1</v>
      </c>
      <c r="AZ95" s="128">
        <v>1</v>
      </c>
      <c r="BA95" s="128">
        <v>1</v>
      </c>
      <c r="BB95" s="128">
        <v>1</v>
      </c>
      <c r="BC95" s="128">
        <v>1</v>
      </c>
      <c r="BD95" s="128">
        <v>1</v>
      </c>
      <c r="BE95" s="128">
        <v>1</v>
      </c>
      <c r="BF95" s="128">
        <v>1</v>
      </c>
      <c r="BG95" s="128">
        <v>1</v>
      </c>
      <c r="BH95" s="128">
        <v>1</v>
      </c>
      <c r="BI95" s="128">
        <v>1</v>
      </c>
      <c r="BJ95" s="128">
        <v>1</v>
      </c>
      <c r="BK95" s="128">
        <v>1</v>
      </c>
      <c r="BL95" s="128">
        <v>1</v>
      </c>
      <c r="BM95" s="128">
        <v>1</v>
      </c>
      <c r="BN95" s="128">
        <v>1</v>
      </c>
      <c r="BO95" s="128">
        <v>1</v>
      </c>
      <c r="BP95" s="128">
        <v>1</v>
      </c>
      <c r="BQ95" s="128">
        <v>1</v>
      </c>
      <c r="BR95" s="128">
        <v>1</v>
      </c>
      <c r="BS95" s="128">
        <v>1</v>
      </c>
      <c r="BT95" s="128">
        <v>1</v>
      </c>
      <c r="BU95" s="128">
        <v>1</v>
      </c>
      <c r="BV95" s="128">
        <v>1</v>
      </c>
      <c r="BW95" s="128">
        <v>1</v>
      </c>
      <c r="BX95" s="128">
        <v>1</v>
      </c>
      <c r="BY95" s="128">
        <v>1</v>
      </c>
      <c r="BZ95" s="128">
        <v>1</v>
      </c>
      <c r="CA95" s="128">
        <v>1</v>
      </c>
      <c r="CB95" s="128">
        <v>1</v>
      </c>
      <c r="CC95" s="128">
        <v>1</v>
      </c>
      <c r="CD95" s="128">
        <v>1</v>
      </c>
      <c r="CE95" s="128">
        <v>1</v>
      </c>
      <c r="CF95" s="128">
        <v>1</v>
      </c>
      <c r="CG95" s="128">
        <v>1</v>
      </c>
      <c r="CH95" s="128">
        <v>1</v>
      </c>
      <c r="CI95" s="128">
        <v>1</v>
      </c>
      <c r="CJ95" s="128">
        <v>1</v>
      </c>
      <c r="CK95" s="128">
        <v>1</v>
      </c>
      <c r="CL95" s="128">
        <v>1</v>
      </c>
      <c r="CM95" s="128">
        <v>1</v>
      </c>
      <c r="CN95" s="128">
        <v>1</v>
      </c>
      <c r="CO95" s="128">
        <v>1</v>
      </c>
      <c r="CP95" s="128">
        <v>1</v>
      </c>
      <c r="CQ95" s="128">
        <v>1</v>
      </c>
      <c r="CR95" s="128">
        <v>1</v>
      </c>
      <c r="CS95" s="128">
        <v>1</v>
      </c>
      <c r="CT95" s="128">
        <v>1</v>
      </c>
      <c r="CU95" s="128">
        <v>1</v>
      </c>
      <c r="CV95" s="128">
        <v>1</v>
      </c>
      <c r="CW95" s="128">
        <v>1</v>
      </c>
      <c r="CX95" s="128">
        <v>1</v>
      </c>
      <c r="CZ95" s="126">
        <f>SUMIF(MatrixF0[[1]:[2]],MatrixF0[[#This Row],[Столбец1]])/MatrixF0[[#This Row],[Столбец1]]</f>
        <v>0</v>
      </c>
    </row>
    <row r="96" spans="1:104" ht="21" customHeight="1" x14ac:dyDescent="0.25">
      <c r="A96" s="127">
        <v>1.93</v>
      </c>
      <c r="B96" s="128">
        <v>1</v>
      </c>
      <c r="C96" s="128">
        <v>1</v>
      </c>
      <c r="D96" s="128">
        <v>1</v>
      </c>
      <c r="E96" s="128">
        <v>1</v>
      </c>
      <c r="F96" s="128">
        <v>1</v>
      </c>
      <c r="G96" s="128">
        <v>1</v>
      </c>
      <c r="H96" s="128">
        <v>1</v>
      </c>
      <c r="I96" s="128">
        <v>1</v>
      </c>
      <c r="J96" s="128">
        <v>1</v>
      </c>
      <c r="K96" s="128">
        <v>1</v>
      </c>
      <c r="L96" s="128">
        <v>1</v>
      </c>
      <c r="M96" s="128">
        <v>1</v>
      </c>
      <c r="N96" s="128">
        <v>1</v>
      </c>
      <c r="O96" s="128">
        <v>1</v>
      </c>
      <c r="P96" s="128">
        <v>1</v>
      </c>
      <c r="Q96" s="128">
        <v>1</v>
      </c>
      <c r="R96" s="128">
        <v>1</v>
      </c>
      <c r="S96" s="128">
        <v>1</v>
      </c>
      <c r="T96" s="128">
        <v>1</v>
      </c>
      <c r="U96" s="128">
        <v>1</v>
      </c>
      <c r="V96" s="128">
        <v>1</v>
      </c>
      <c r="W96" s="128">
        <v>1</v>
      </c>
      <c r="X96" s="128">
        <v>1</v>
      </c>
      <c r="Y96" s="128">
        <v>1</v>
      </c>
      <c r="Z96" s="128">
        <v>1</v>
      </c>
      <c r="AA96" s="128">
        <v>1</v>
      </c>
      <c r="AB96" s="128">
        <v>1</v>
      </c>
      <c r="AC96" s="128">
        <v>1</v>
      </c>
      <c r="AD96" s="128">
        <v>1</v>
      </c>
      <c r="AE96" s="128">
        <v>1</v>
      </c>
      <c r="AF96" s="128">
        <v>1</v>
      </c>
      <c r="AG96" s="128">
        <v>1</v>
      </c>
      <c r="AH96" s="128">
        <v>1</v>
      </c>
      <c r="AI96" s="128">
        <v>1</v>
      </c>
      <c r="AJ96" s="128">
        <v>1</v>
      </c>
      <c r="AK96" s="128">
        <v>1</v>
      </c>
      <c r="AL96" s="128">
        <v>1</v>
      </c>
      <c r="AM96" s="128">
        <v>1</v>
      </c>
      <c r="AN96" s="128">
        <v>1</v>
      </c>
      <c r="AO96" s="128">
        <v>1</v>
      </c>
      <c r="AP96" s="128">
        <v>1</v>
      </c>
      <c r="AQ96" s="128">
        <v>1</v>
      </c>
      <c r="AR96" s="128">
        <v>1</v>
      </c>
      <c r="AS96" s="128">
        <v>1</v>
      </c>
      <c r="AT96" s="128">
        <v>1</v>
      </c>
      <c r="AU96" s="128">
        <v>1</v>
      </c>
      <c r="AV96" s="128">
        <v>1</v>
      </c>
      <c r="AW96" s="128">
        <v>1</v>
      </c>
      <c r="AX96" s="128">
        <v>1</v>
      </c>
      <c r="AY96" s="128">
        <v>1</v>
      </c>
      <c r="AZ96" s="128">
        <v>1</v>
      </c>
      <c r="BA96" s="128">
        <v>1</v>
      </c>
      <c r="BB96" s="128">
        <v>1</v>
      </c>
      <c r="BC96" s="128">
        <v>1</v>
      </c>
      <c r="BD96" s="128">
        <v>1</v>
      </c>
      <c r="BE96" s="128">
        <v>1</v>
      </c>
      <c r="BF96" s="128">
        <v>1</v>
      </c>
      <c r="BG96" s="128">
        <v>1</v>
      </c>
      <c r="BH96" s="128">
        <v>1</v>
      </c>
      <c r="BI96" s="128">
        <v>1</v>
      </c>
      <c r="BJ96" s="128">
        <v>1</v>
      </c>
      <c r="BK96" s="128">
        <v>1</v>
      </c>
      <c r="BL96" s="128">
        <v>1</v>
      </c>
      <c r="BM96" s="128">
        <v>1</v>
      </c>
      <c r="BN96" s="128">
        <v>1</v>
      </c>
      <c r="BO96" s="128">
        <v>1</v>
      </c>
      <c r="BP96" s="128">
        <v>1</v>
      </c>
      <c r="BQ96" s="128">
        <v>1</v>
      </c>
      <c r="BR96" s="128">
        <v>1</v>
      </c>
      <c r="BS96" s="128">
        <v>1</v>
      </c>
      <c r="BT96" s="128">
        <v>1</v>
      </c>
      <c r="BU96" s="128">
        <v>1</v>
      </c>
      <c r="BV96" s="128">
        <v>1</v>
      </c>
      <c r="BW96" s="128">
        <v>1</v>
      </c>
      <c r="BX96" s="128">
        <v>1</v>
      </c>
      <c r="BY96" s="128">
        <v>1</v>
      </c>
      <c r="BZ96" s="128">
        <v>1</v>
      </c>
      <c r="CA96" s="128">
        <v>1</v>
      </c>
      <c r="CB96" s="128">
        <v>1</v>
      </c>
      <c r="CC96" s="128">
        <v>1</v>
      </c>
      <c r="CD96" s="128">
        <v>1</v>
      </c>
      <c r="CE96" s="128">
        <v>1</v>
      </c>
      <c r="CF96" s="128">
        <v>1</v>
      </c>
      <c r="CG96" s="128">
        <v>1</v>
      </c>
      <c r="CH96" s="128">
        <v>1</v>
      </c>
      <c r="CI96" s="128">
        <v>1</v>
      </c>
      <c r="CJ96" s="128">
        <v>1</v>
      </c>
      <c r="CK96" s="128">
        <v>1</v>
      </c>
      <c r="CL96" s="128">
        <v>1</v>
      </c>
      <c r="CM96" s="128">
        <v>1</v>
      </c>
      <c r="CN96" s="128">
        <v>1</v>
      </c>
      <c r="CO96" s="128">
        <v>1</v>
      </c>
      <c r="CP96" s="128">
        <v>1</v>
      </c>
      <c r="CQ96" s="128">
        <v>1</v>
      </c>
      <c r="CR96" s="128">
        <v>1</v>
      </c>
      <c r="CS96" s="128">
        <v>1</v>
      </c>
      <c r="CT96" s="128">
        <v>1</v>
      </c>
      <c r="CU96" s="128">
        <v>1</v>
      </c>
      <c r="CV96" s="128">
        <v>1</v>
      </c>
      <c r="CW96" s="128">
        <v>1</v>
      </c>
      <c r="CX96" s="128">
        <v>1</v>
      </c>
      <c r="CZ96" s="126">
        <f>SUMIF(MatrixF0[[1]:[2]],MatrixF0[[#This Row],[Столбец1]])/MatrixF0[[#This Row],[Столбец1]]</f>
        <v>0</v>
      </c>
    </row>
    <row r="97" spans="1:104" ht="21" customHeight="1" x14ac:dyDescent="0.25">
      <c r="A97" s="127">
        <v>1.94</v>
      </c>
      <c r="B97" s="128">
        <v>1</v>
      </c>
      <c r="C97" s="128">
        <v>1</v>
      </c>
      <c r="D97" s="128">
        <v>1</v>
      </c>
      <c r="E97" s="128">
        <v>1</v>
      </c>
      <c r="F97" s="128">
        <v>1</v>
      </c>
      <c r="G97" s="128">
        <v>1</v>
      </c>
      <c r="H97" s="128">
        <v>1</v>
      </c>
      <c r="I97" s="128">
        <v>1</v>
      </c>
      <c r="J97" s="128">
        <v>1</v>
      </c>
      <c r="K97" s="128">
        <v>1</v>
      </c>
      <c r="L97" s="128">
        <v>1</v>
      </c>
      <c r="M97" s="128">
        <v>1</v>
      </c>
      <c r="N97" s="128">
        <v>1</v>
      </c>
      <c r="O97" s="128">
        <v>1</v>
      </c>
      <c r="P97" s="128">
        <v>1</v>
      </c>
      <c r="Q97" s="128">
        <v>1</v>
      </c>
      <c r="R97" s="128">
        <v>1</v>
      </c>
      <c r="S97" s="128">
        <v>1</v>
      </c>
      <c r="T97" s="128">
        <v>1</v>
      </c>
      <c r="U97" s="128">
        <v>1</v>
      </c>
      <c r="V97" s="128">
        <v>1</v>
      </c>
      <c r="W97" s="128">
        <v>1</v>
      </c>
      <c r="X97" s="128">
        <v>1</v>
      </c>
      <c r="Y97" s="128">
        <v>1</v>
      </c>
      <c r="Z97" s="128">
        <v>1</v>
      </c>
      <c r="AA97" s="128">
        <v>1</v>
      </c>
      <c r="AB97" s="128">
        <v>1</v>
      </c>
      <c r="AC97" s="128">
        <v>1</v>
      </c>
      <c r="AD97" s="128">
        <v>1</v>
      </c>
      <c r="AE97" s="128">
        <v>1</v>
      </c>
      <c r="AF97" s="128">
        <v>1</v>
      </c>
      <c r="AG97" s="128">
        <v>1</v>
      </c>
      <c r="AH97" s="128">
        <v>1</v>
      </c>
      <c r="AI97" s="128">
        <v>1</v>
      </c>
      <c r="AJ97" s="128">
        <v>1</v>
      </c>
      <c r="AK97" s="128">
        <v>1</v>
      </c>
      <c r="AL97" s="128">
        <v>1</v>
      </c>
      <c r="AM97" s="128">
        <v>1</v>
      </c>
      <c r="AN97" s="128">
        <v>1</v>
      </c>
      <c r="AO97" s="128">
        <v>1</v>
      </c>
      <c r="AP97" s="128">
        <v>1</v>
      </c>
      <c r="AQ97" s="128">
        <v>1</v>
      </c>
      <c r="AR97" s="128">
        <v>1</v>
      </c>
      <c r="AS97" s="128">
        <v>1</v>
      </c>
      <c r="AT97" s="128">
        <v>1</v>
      </c>
      <c r="AU97" s="128">
        <v>1</v>
      </c>
      <c r="AV97" s="128">
        <v>1</v>
      </c>
      <c r="AW97" s="128">
        <v>1</v>
      </c>
      <c r="AX97" s="128">
        <v>1</v>
      </c>
      <c r="AY97" s="128">
        <v>1</v>
      </c>
      <c r="AZ97" s="128">
        <v>1</v>
      </c>
      <c r="BA97" s="128">
        <v>1</v>
      </c>
      <c r="BB97" s="128">
        <v>1</v>
      </c>
      <c r="BC97" s="128">
        <v>1</v>
      </c>
      <c r="BD97" s="128">
        <v>1</v>
      </c>
      <c r="BE97" s="128">
        <v>1</v>
      </c>
      <c r="BF97" s="128">
        <v>1</v>
      </c>
      <c r="BG97" s="128">
        <v>1</v>
      </c>
      <c r="BH97" s="128">
        <v>1</v>
      </c>
      <c r="BI97" s="128">
        <v>1</v>
      </c>
      <c r="BJ97" s="128">
        <v>1</v>
      </c>
      <c r="BK97" s="128">
        <v>1</v>
      </c>
      <c r="BL97" s="128">
        <v>1</v>
      </c>
      <c r="BM97" s="128">
        <v>1</v>
      </c>
      <c r="BN97" s="128">
        <v>1</v>
      </c>
      <c r="BO97" s="128">
        <v>1</v>
      </c>
      <c r="BP97" s="128">
        <v>1</v>
      </c>
      <c r="BQ97" s="128">
        <v>1</v>
      </c>
      <c r="BR97" s="128">
        <v>1</v>
      </c>
      <c r="BS97" s="128">
        <v>1</v>
      </c>
      <c r="BT97" s="128">
        <v>1</v>
      </c>
      <c r="BU97" s="128">
        <v>1</v>
      </c>
      <c r="BV97" s="128">
        <v>1</v>
      </c>
      <c r="BW97" s="128">
        <v>1</v>
      </c>
      <c r="BX97" s="128">
        <v>1</v>
      </c>
      <c r="BY97" s="128">
        <v>1</v>
      </c>
      <c r="BZ97" s="128">
        <v>1</v>
      </c>
      <c r="CA97" s="128">
        <v>1</v>
      </c>
      <c r="CB97" s="128">
        <v>1</v>
      </c>
      <c r="CC97" s="128">
        <v>1</v>
      </c>
      <c r="CD97" s="128">
        <v>1</v>
      </c>
      <c r="CE97" s="128">
        <v>1</v>
      </c>
      <c r="CF97" s="128">
        <v>1</v>
      </c>
      <c r="CG97" s="128">
        <v>1</v>
      </c>
      <c r="CH97" s="128">
        <v>1</v>
      </c>
      <c r="CI97" s="128">
        <v>1</v>
      </c>
      <c r="CJ97" s="128">
        <v>1</v>
      </c>
      <c r="CK97" s="128">
        <v>1</v>
      </c>
      <c r="CL97" s="128">
        <v>1</v>
      </c>
      <c r="CM97" s="128">
        <v>1</v>
      </c>
      <c r="CN97" s="128">
        <v>1</v>
      </c>
      <c r="CO97" s="128">
        <v>1</v>
      </c>
      <c r="CP97" s="128">
        <v>1</v>
      </c>
      <c r="CQ97" s="128">
        <v>1</v>
      </c>
      <c r="CR97" s="128">
        <v>1</v>
      </c>
      <c r="CS97" s="128">
        <v>1</v>
      </c>
      <c r="CT97" s="128">
        <v>1</v>
      </c>
      <c r="CU97" s="128">
        <v>1</v>
      </c>
      <c r="CV97" s="128">
        <v>1</v>
      </c>
      <c r="CW97" s="128">
        <v>1</v>
      </c>
      <c r="CX97" s="128">
        <v>1</v>
      </c>
      <c r="CZ97" s="126">
        <f>SUMIF(MatrixF0[[1]:[2]],MatrixF0[[#This Row],[Столбец1]])/MatrixF0[[#This Row],[Столбец1]]</f>
        <v>0</v>
      </c>
    </row>
    <row r="98" spans="1:104" ht="21" customHeight="1" x14ac:dyDescent="0.25">
      <c r="A98" s="127">
        <v>1.95</v>
      </c>
      <c r="B98" s="128">
        <v>1</v>
      </c>
      <c r="C98" s="128">
        <v>1</v>
      </c>
      <c r="D98" s="128">
        <v>1</v>
      </c>
      <c r="E98" s="128">
        <v>1</v>
      </c>
      <c r="F98" s="128">
        <v>1</v>
      </c>
      <c r="G98" s="128">
        <v>1</v>
      </c>
      <c r="H98" s="128">
        <v>1</v>
      </c>
      <c r="I98" s="128">
        <v>1</v>
      </c>
      <c r="J98" s="128">
        <v>1</v>
      </c>
      <c r="K98" s="128">
        <v>1</v>
      </c>
      <c r="L98" s="128">
        <v>1</v>
      </c>
      <c r="M98" s="128">
        <v>1</v>
      </c>
      <c r="N98" s="128">
        <v>1</v>
      </c>
      <c r="O98" s="128">
        <v>1</v>
      </c>
      <c r="P98" s="128">
        <v>1</v>
      </c>
      <c r="Q98" s="128">
        <v>1</v>
      </c>
      <c r="R98" s="128">
        <v>1</v>
      </c>
      <c r="S98" s="128">
        <v>1</v>
      </c>
      <c r="T98" s="128">
        <v>1</v>
      </c>
      <c r="U98" s="128">
        <v>1</v>
      </c>
      <c r="V98" s="128">
        <v>1</v>
      </c>
      <c r="W98" s="128">
        <v>1</v>
      </c>
      <c r="X98" s="128">
        <v>1</v>
      </c>
      <c r="Y98" s="128">
        <v>1</v>
      </c>
      <c r="Z98" s="128">
        <v>1</v>
      </c>
      <c r="AA98" s="128">
        <v>1</v>
      </c>
      <c r="AB98" s="128">
        <v>1</v>
      </c>
      <c r="AC98" s="128">
        <v>1</v>
      </c>
      <c r="AD98" s="128">
        <v>1</v>
      </c>
      <c r="AE98" s="128">
        <v>1</v>
      </c>
      <c r="AF98" s="128">
        <v>1</v>
      </c>
      <c r="AG98" s="128">
        <v>1</v>
      </c>
      <c r="AH98" s="128">
        <v>1</v>
      </c>
      <c r="AI98" s="128">
        <v>1</v>
      </c>
      <c r="AJ98" s="128">
        <v>1</v>
      </c>
      <c r="AK98" s="128">
        <v>1</v>
      </c>
      <c r="AL98" s="128">
        <v>1</v>
      </c>
      <c r="AM98" s="128">
        <v>1</v>
      </c>
      <c r="AN98" s="128">
        <v>1</v>
      </c>
      <c r="AO98" s="128">
        <v>1</v>
      </c>
      <c r="AP98" s="128">
        <v>1</v>
      </c>
      <c r="AQ98" s="128">
        <v>1</v>
      </c>
      <c r="AR98" s="128">
        <v>1</v>
      </c>
      <c r="AS98" s="128">
        <v>1</v>
      </c>
      <c r="AT98" s="128">
        <v>1</v>
      </c>
      <c r="AU98" s="128">
        <v>1</v>
      </c>
      <c r="AV98" s="128">
        <v>1</v>
      </c>
      <c r="AW98" s="128">
        <v>1</v>
      </c>
      <c r="AX98" s="128">
        <v>1</v>
      </c>
      <c r="AY98" s="128">
        <v>1</v>
      </c>
      <c r="AZ98" s="128">
        <v>1</v>
      </c>
      <c r="BA98" s="128">
        <v>1</v>
      </c>
      <c r="BB98" s="128">
        <v>1</v>
      </c>
      <c r="BC98" s="128">
        <v>1</v>
      </c>
      <c r="BD98" s="128">
        <v>1</v>
      </c>
      <c r="BE98" s="128">
        <v>1</v>
      </c>
      <c r="BF98" s="128">
        <v>1</v>
      </c>
      <c r="BG98" s="128">
        <v>1</v>
      </c>
      <c r="BH98" s="128">
        <v>1</v>
      </c>
      <c r="BI98" s="128">
        <v>1</v>
      </c>
      <c r="BJ98" s="128">
        <v>1</v>
      </c>
      <c r="BK98" s="128">
        <v>1</v>
      </c>
      <c r="BL98" s="128">
        <v>1</v>
      </c>
      <c r="BM98" s="128">
        <v>1</v>
      </c>
      <c r="BN98" s="128">
        <v>1</v>
      </c>
      <c r="BO98" s="128">
        <v>1</v>
      </c>
      <c r="BP98" s="128">
        <v>1</v>
      </c>
      <c r="BQ98" s="128">
        <v>1</v>
      </c>
      <c r="BR98" s="128">
        <v>1</v>
      </c>
      <c r="BS98" s="128">
        <v>1</v>
      </c>
      <c r="BT98" s="128">
        <v>1</v>
      </c>
      <c r="BU98" s="128">
        <v>1</v>
      </c>
      <c r="BV98" s="128">
        <v>1</v>
      </c>
      <c r="BW98" s="128">
        <v>1</v>
      </c>
      <c r="BX98" s="128">
        <v>1</v>
      </c>
      <c r="BY98" s="128">
        <v>1</v>
      </c>
      <c r="BZ98" s="128">
        <v>1</v>
      </c>
      <c r="CA98" s="128">
        <v>1</v>
      </c>
      <c r="CB98" s="128">
        <v>1</v>
      </c>
      <c r="CC98" s="128">
        <v>1</v>
      </c>
      <c r="CD98" s="128">
        <v>1</v>
      </c>
      <c r="CE98" s="128">
        <v>1</v>
      </c>
      <c r="CF98" s="128">
        <v>1</v>
      </c>
      <c r="CG98" s="128">
        <v>1</v>
      </c>
      <c r="CH98" s="128">
        <v>1</v>
      </c>
      <c r="CI98" s="128">
        <v>1</v>
      </c>
      <c r="CJ98" s="128">
        <v>1</v>
      </c>
      <c r="CK98" s="128">
        <v>1</v>
      </c>
      <c r="CL98" s="128">
        <v>1</v>
      </c>
      <c r="CM98" s="128">
        <v>1</v>
      </c>
      <c r="CN98" s="128">
        <v>1</v>
      </c>
      <c r="CO98" s="128">
        <v>1</v>
      </c>
      <c r="CP98" s="128">
        <v>1</v>
      </c>
      <c r="CQ98" s="128">
        <v>1</v>
      </c>
      <c r="CR98" s="128">
        <v>1</v>
      </c>
      <c r="CS98" s="128">
        <v>1</v>
      </c>
      <c r="CT98" s="128">
        <v>1</v>
      </c>
      <c r="CU98" s="128">
        <v>1</v>
      </c>
      <c r="CV98" s="128">
        <v>1</v>
      </c>
      <c r="CW98" s="128">
        <v>1</v>
      </c>
      <c r="CX98" s="128">
        <v>1</v>
      </c>
      <c r="CZ98" s="126">
        <f>SUMIF(MatrixF0[[1]:[2]],MatrixF0[[#This Row],[Столбец1]])/MatrixF0[[#This Row],[Столбец1]]</f>
        <v>0</v>
      </c>
    </row>
    <row r="99" spans="1:104" ht="21" customHeight="1" x14ac:dyDescent="0.25">
      <c r="A99" s="127">
        <v>1.96</v>
      </c>
      <c r="B99" s="128">
        <v>1</v>
      </c>
      <c r="C99" s="128">
        <v>1</v>
      </c>
      <c r="D99" s="128">
        <v>1</v>
      </c>
      <c r="E99" s="128">
        <v>1</v>
      </c>
      <c r="F99" s="128">
        <v>1</v>
      </c>
      <c r="G99" s="128">
        <v>1</v>
      </c>
      <c r="H99" s="128">
        <v>1</v>
      </c>
      <c r="I99" s="128">
        <v>1</v>
      </c>
      <c r="J99" s="128">
        <v>1</v>
      </c>
      <c r="K99" s="128">
        <v>1</v>
      </c>
      <c r="L99" s="128">
        <v>1</v>
      </c>
      <c r="M99" s="128">
        <v>1</v>
      </c>
      <c r="N99" s="128">
        <v>1</v>
      </c>
      <c r="O99" s="128">
        <v>1</v>
      </c>
      <c r="P99" s="128">
        <v>1</v>
      </c>
      <c r="Q99" s="128">
        <v>1</v>
      </c>
      <c r="R99" s="128">
        <v>1</v>
      </c>
      <c r="S99" s="128">
        <v>1</v>
      </c>
      <c r="T99" s="128">
        <v>1</v>
      </c>
      <c r="U99" s="128">
        <v>1</v>
      </c>
      <c r="V99" s="128">
        <v>1</v>
      </c>
      <c r="W99" s="128">
        <v>1</v>
      </c>
      <c r="X99" s="128">
        <v>1</v>
      </c>
      <c r="Y99" s="128">
        <v>1</v>
      </c>
      <c r="Z99" s="128">
        <v>1</v>
      </c>
      <c r="AA99" s="128">
        <v>1</v>
      </c>
      <c r="AB99" s="128">
        <v>1</v>
      </c>
      <c r="AC99" s="128">
        <v>1</v>
      </c>
      <c r="AD99" s="128">
        <v>1</v>
      </c>
      <c r="AE99" s="128">
        <v>1</v>
      </c>
      <c r="AF99" s="128">
        <v>1</v>
      </c>
      <c r="AG99" s="128">
        <v>1</v>
      </c>
      <c r="AH99" s="128">
        <v>1</v>
      </c>
      <c r="AI99" s="128">
        <v>1</v>
      </c>
      <c r="AJ99" s="128">
        <v>1</v>
      </c>
      <c r="AK99" s="128">
        <v>1</v>
      </c>
      <c r="AL99" s="128">
        <v>1</v>
      </c>
      <c r="AM99" s="128">
        <v>1</v>
      </c>
      <c r="AN99" s="128">
        <v>1</v>
      </c>
      <c r="AO99" s="128">
        <v>1</v>
      </c>
      <c r="AP99" s="128">
        <v>1</v>
      </c>
      <c r="AQ99" s="128">
        <v>1</v>
      </c>
      <c r="AR99" s="128">
        <v>1</v>
      </c>
      <c r="AS99" s="128">
        <v>1</v>
      </c>
      <c r="AT99" s="128">
        <v>1</v>
      </c>
      <c r="AU99" s="128">
        <v>1</v>
      </c>
      <c r="AV99" s="128">
        <v>1</v>
      </c>
      <c r="AW99" s="128">
        <v>1</v>
      </c>
      <c r="AX99" s="128">
        <v>1</v>
      </c>
      <c r="AY99" s="128">
        <v>1</v>
      </c>
      <c r="AZ99" s="128">
        <v>1</v>
      </c>
      <c r="BA99" s="128">
        <v>1</v>
      </c>
      <c r="BB99" s="128">
        <v>1</v>
      </c>
      <c r="BC99" s="128">
        <v>1</v>
      </c>
      <c r="BD99" s="128">
        <v>1</v>
      </c>
      <c r="BE99" s="128">
        <v>1</v>
      </c>
      <c r="BF99" s="128">
        <v>1</v>
      </c>
      <c r="BG99" s="128">
        <v>1</v>
      </c>
      <c r="BH99" s="128">
        <v>1</v>
      </c>
      <c r="BI99" s="128">
        <v>1</v>
      </c>
      <c r="BJ99" s="128">
        <v>1</v>
      </c>
      <c r="BK99" s="128">
        <v>1</v>
      </c>
      <c r="BL99" s="128">
        <v>1</v>
      </c>
      <c r="BM99" s="128">
        <v>1</v>
      </c>
      <c r="BN99" s="128">
        <v>1</v>
      </c>
      <c r="BO99" s="128">
        <v>1</v>
      </c>
      <c r="BP99" s="128">
        <v>1</v>
      </c>
      <c r="BQ99" s="128">
        <v>1</v>
      </c>
      <c r="BR99" s="128">
        <v>1</v>
      </c>
      <c r="BS99" s="128">
        <v>1</v>
      </c>
      <c r="BT99" s="128">
        <v>1</v>
      </c>
      <c r="BU99" s="128">
        <v>1</v>
      </c>
      <c r="BV99" s="128">
        <v>1</v>
      </c>
      <c r="BW99" s="128">
        <v>1</v>
      </c>
      <c r="BX99" s="128">
        <v>1</v>
      </c>
      <c r="BY99" s="128">
        <v>1</v>
      </c>
      <c r="BZ99" s="128">
        <v>1</v>
      </c>
      <c r="CA99" s="128">
        <v>1</v>
      </c>
      <c r="CB99" s="128">
        <v>1</v>
      </c>
      <c r="CC99" s="128">
        <v>1</v>
      </c>
      <c r="CD99" s="128">
        <v>1</v>
      </c>
      <c r="CE99" s="128">
        <v>1</v>
      </c>
      <c r="CF99" s="128">
        <v>1</v>
      </c>
      <c r="CG99" s="128">
        <v>1</v>
      </c>
      <c r="CH99" s="128">
        <v>1</v>
      </c>
      <c r="CI99" s="128">
        <v>1</v>
      </c>
      <c r="CJ99" s="128">
        <v>1</v>
      </c>
      <c r="CK99" s="128">
        <v>1</v>
      </c>
      <c r="CL99" s="128">
        <v>1</v>
      </c>
      <c r="CM99" s="128">
        <v>1</v>
      </c>
      <c r="CN99" s="128">
        <v>1</v>
      </c>
      <c r="CO99" s="128">
        <v>1</v>
      </c>
      <c r="CP99" s="128">
        <v>1</v>
      </c>
      <c r="CQ99" s="128">
        <v>1</v>
      </c>
      <c r="CR99" s="128">
        <v>1</v>
      </c>
      <c r="CS99" s="128">
        <v>1</v>
      </c>
      <c r="CT99" s="128">
        <v>1</v>
      </c>
      <c r="CU99" s="128">
        <v>1</v>
      </c>
      <c r="CV99" s="128">
        <v>1</v>
      </c>
      <c r="CW99" s="128">
        <v>1</v>
      </c>
      <c r="CX99" s="128">
        <v>1</v>
      </c>
      <c r="CZ99" s="126">
        <f>SUMIF(MatrixF0[[1]:[2]],MatrixF0[[#This Row],[Столбец1]])/MatrixF0[[#This Row],[Столбец1]]</f>
        <v>0</v>
      </c>
    </row>
    <row r="100" spans="1:104" ht="21" customHeight="1" x14ac:dyDescent="0.25">
      <c r="A100" s="127">
        <v>1.97</v>
      </c>
      <c r="B100" s="128">
        <v>1</v>
      </c>
      <c r="C100" s="128">
        <v>1</v>
      </c>
      <c r="D100" s="128">
        <v>1</v>
      </c>
      <c r="E100" s="128">
        <v>1</v>
      </c>
      <c r="F100" s="128">
        <v>1</v>
      </c>
      <c r="G100" s="128">
        <v>1</v>
      </c>
      <c r="H100" s="128">
        <v>1</v>
      </c>
      <c r="I100" s="128">
        <v>1</v>
      </c>
      <c r="J100" s="128">
        <v>1</v>
      </c>
      <c r="K100" s="128">
        <v>1</v>
      </c>
      <c r="L100" s="128">
        <v>1</v>
      </c>
      <c r="M100" s="128">
        <v>1</v>
      </c>
      <c r="N100" s="128">
        <v>1</v>
      </c>
      <c r="O100" s="128">
        <v>1</v>
      </c>
      <c r="P100" s="128">
        <v>1</v>
      </c>
      <c r="Q100" s="128">
        <v>1</v>
      </c>
      <c r="R100" s="128">
        <v>1</v>
      </c>
      <c r="S100" s="128">
        <v>1</v>
      </c>
      <c r="T100" s="128">
        <v>1</v>
      </c>
      <c r="U100" s="128">
        <v>1</v>
      </c>
      <c r="V100" s="128">
        <v>1</v>
      </c>
      <c r="W100" s="128">
        <v>1</v>
      </c>
      <c r="X100" s="128">
        <v>1</v>
      </c>
      <c r="Y100" s="128">
        <v>1</v>
      </c>
      <c r="Z100" s="128">
        <v>1</v>
      </c>
      <c r="AA100" s="128">
        <v>1</v>
      </c>
      <c r="AB100" s="128">
        <v>1</v>
      </c>
      <c r="AC100" s="128">
        <v>1</v>
      </c>
      <c r="AD100" s="128">
        <v>1</v>
      </c>
      <c r="AE100" s="128">
        <v>1</v>
      </c>
      <c r="AF100" s="128">
        <v>1</v>
      </c>
      <c r="AG100" s="128">
        <v>1</v>
      </c>
      <c r="AH100" s="128">
        <v>1</v>
      </c>
      <c r="AI100" s="128">
        <v>1</v>
      </c>
      <c r="AJ100" s="128">
        <v>1</v>
      </c>
      <c r="AK100" s="128">
        <v>1</v>
      </c>
      <c r="AL100" s="128">
        <v>1</v>
      </c>
      <c r="AM100" s="128">
        <v>1</v>
      </c>
      <c r="AN100" s="128">
        <v>1</v>
      </c>
      <c r="AO100" s="128">
        <v>1</v>
      </c>
      <c r="AP100" s="128">
        <v>1</v>
      </c>
      <c r="AQ100" s="128">
        <v>1</v>
      </c>
      <c r="AR100" s="128">
        <v>1</v>
      </c>
      <c r="AS100" s="128">
        <v>1</v>
      </c>
      <c r="AT100" s="128">
        <v>1</v>
      </c>
      <c r="AU100" s="128">
        <v>1</v>
      </c>
      <c r="AV100" s="128">
        <v>1</v>
      </c>
      <c r="AW100" s="128">
        <v>1</v>
      </c>
      <c r="AX100" s="128">
        <v>1</v>
      </c>
      <c r="AY100" s="128">
        <v>1</v>
      </c>
      <c r="AZ100" s="128">
        <v>1</v>
      </c>
      <c r="BA100" s="128">
        <v>1</v>
      </c>
      <c r="BB100" s="128">
        <v>1</v>
      </c>
      <c r="BC100" s="128">
        <v>1</v>
      </c>
      <c r="BD100" s="128">
        <v>1</v>
      </c>
      <c r="BE100" s="128">
        <v>1</v>
      </c>
      <c r="BF100" s="128">
        <v>1</v>
      </c>
      <c r="BG100" s="128">
        <v>1</v>
      </c>
      <c r="BH100" s="128">
        <v>1</v>
      </c>
      <c r="BI100" s="128">
        <v>1</v>
      </c>
      <c r="BJ100" s="128">
        <v>1</v>
      </c>
      <c r="BK100" s="128">
        <v>1</v>
      </c>
      <c r="BL100" s="128">
        <v>1</v>
      </c>
      <c r="BM100" s="128">
        <v>1</v>
      </c>
      <c r="BN100" s="128">
        <v>1</v>
      </c>
      <c r="BO100" s="128">
        <v>1</v>
      </c>
      <c r="BP100" s="128">
        <v>1</v>
      </c>
      <c r="BQ100" s="128">
        <v>1</v>
      </c>
      <c r="BR100" s="128">
        <v>1</v>
      </c>
      <c r="BS100" s="128">
        <v>1</v>
      </c>
      <c r="BT100" s="128">
        <v>1</v>
      </c>
      <c r="BU100" s="128">
        <v>1</v>
      </c>
      <c r="BV100" s="128">
        <v>1</v>
      </c>
      <c r="BW100" s="128">
        <v>1</v>
      </c>
      <c r="BX100" s="128">
        <v>1</v>
      </c>
      <c r="BY100" s="128">
        <v>1</v>
      </c>
      <c r="BZ100" s="128">
        <v>1</v>
      </c>
      <c r="CA100" s="128">
        <v>1</v>
      </c>
      <c r="CB100" s="128">
        <v>1</v>
      </c>
      <c r="CC100" s="128">
        <v>1</v>
      </c>
      <c r="CD100" s="128">
        <v>1</v>
      </c>
      <c r="CE100" s="128">
        <v>1</v>
      </c>
      <c r="CF100" s="128">
        <v>1</v>
      </c>
      <c r="CG100" s="128">
        <v>1</v>
      </c>
      <c r="CH100" s="128">
        <v>1</v>
      </c>
      <c r="CI100" s="128">
        <v>1</v>
      </c>
      <c r="CJ100" s="128">
        <v>1</v>
      </c>
      <c r="CK100" s="128">
        <v>1</v>
      </c>
      <c r="CL100" s="128">
        <v>1</v>
      </c>
      <c r="CM100" s="128">
        <v>1</v>
      </c>
      <c r="CN100" s="128">
        <v>1</v>
      </c>
      <c r="CO100" s="128">
        <v>1</v>
      </c>
      <c r="CP100" s="128">
        <v>1</v>
      </c>
      <c r="CQ100" s="128">
        <v>1</v>
      </c>
      <c r="CR100" s="128">
        <v>1</v>
      </c>
      <c r="CS100" s="128">
        <v>1</v>
      </c>
      <c r="CT100" s="128">
        <v>1</v>
      </c>
      <c r="CU100" s="128">
        <v>1</v>
      </c>
      <c r="CV100" s="128">
        <v>1</v>
      </c>
      <c r="CW100" s="128">
        <v>1</v>
      </c>
      <c r="CX100" s="128">
        <v>1</v>
      </c>
      <c r="CZ100" s="126">
        <f>SUMIF(MatrixF0[[1]:[2]],MatrixF0[[#This Row],[Столбец1]])/MatrixF0[[#This Row],[Столбец1]]</f>
        <v>0</v>
      </c>
    </row>
    <row r="101" spans="1:104" ht="21" customHeight="1" x14ac:dyDescent="0.25">
      <c r="A101" s="127">
        <v>1.98</v>
      </c>
      <c r="B101" s="128">
        <v>1</v>
      </c>
      <c r="C101" s="128">
        <v>1</v>
      </c>
      <c r="D101" s="128">
        <v>1</v>
      </c>
      <c r="E101" s="128">
        <v>1</v>
      </c>
      <c r="F101" s="128">
        <v>1</v>
      </c>
      <c r="G101" s="128">
        <v>1</v>
      </c>
      <c r="H101" s="128">
        <v>1</v>
      </c>
      <c r="I101" s="128">
        <v>1</v>
      </c>
      <c r="J101" s="128">
        <v>1</v>
      </c>
      <c r="K101" s="128">
        <v>1</v>
      </c>
      <c r="L101" s="128">
        <v>1</v>
      </c>
      <c r="M101" s="128">
        <v>1</v>
      </c>
      <c r="N101" s="128">
        <v>1</v>
      </c>
      <c r="O101" s="128">
        <v>1</v>
      </c>
      <c r="P101" s="128">
        <v>1</v>
      </c>
      <c r="Q101" s="128">
        <v>1</v>
      </c>
      <c r="R101" s="128">
        <v>1</v>
      </c>
      <c r="S101" s="128">
        <v>1</v>
      </c>
      <c r="T101" s="128">
        <v>1</v>
      </c>
      <c r="U101" s="128">
        <v>1</v>
      </c>
      <c r="V101" s="128">
        <v>1</v>
      </c>
      <c r="W101" s="128">
        <v>1</v>
      </c>
      <c r="X101" s="128">
        <v>1</v>
      </c>
      <c r="Y101" s="128">
        <v>1</v>
      </c>
      <c r="Z101" s="128">
        <v>1</v>
      </c>
      <c r="AA101" s="128">
        <v>1</v>
      </c>
      <c r="AB101" s="128">
        <v>1</v>
      </c>
      <c r="AC101" s="128">
        <v>1</v>
      </c>
      <c r="AD101" s="128">
        <v>1</v>
      </c>
      <c r="AE101" s="128">
        <v>1</v>
      </c>
      <c r="AF101" s="128">
        <v>1</v>
      </c>
      <c r="AG101" s="128">
        <v>1</v>
      </c>
      <c r="AH101" s="128">
        <v>1</v>
      </c>
      <c r="AI101" s="128">
        <v>1</v>
      </c>
      <c r="AJ101" s="128">
        <v>1</v>
      </c>
      <c r="AK101" s="128">
        <v>1</v>
      </c>
      <c r="AL101" s="128">
        <v>1</v>
      </c>
      <c r="AM101" s="128">
        <v>1</v>
      </c>
      <c r="AN101" s="128">
        <v>1</v>
      </c>
      <c r="AO101" s="128">
        <v>1</v>
      </c>
      <c r="AP101" s="128">
        <v>1</v>
      </c>
      <c r="AQ101" s="128">
        <v>1</v>
      </c>
      <c r="AR101" s="128">
        <v>1</v>
      </c>
      <c r="AS101" s="128">
        <v>1</v>
      </c>
      <c r="AT101" s="128">
        <v>1</v>
      </c>
      <c r="AU101" s="128">
        <v>1</v>
      </c>
      <c r="AV101" s="128">
        <v>1</v>
      </c>
      <c r="AW101" s="128">
        <v>1</v>
      </c>
      <c r="AX101" s="128">
        <v>1</v>
      </c>
      <c r="AY101" s="128">
        <v>1</v>
      </c>
      <c r="AZ101" s="128">
        <v>1</v>
      </c>
      <c r="BA101" s="128">
        <v>1</v>
      </c>
      <c r="BB101" s="128">
        <v>1</v>
      </c>
      <c r="BC101" s="128">
        <v>1</v>
      </c>
      <c r="BD101" s="128">
        <v>1</v>
      </c>
      <c r="BE101" s="128">
        <v>1</v>
      </c>
      <c r="BF101" s="128">
        <v>1</v>
      </c>
      <c r="BG101" s="128">
        <v>1</v>
      </c>
      <c r="BH101" s="128">
        <v>1</v>
      </c>
      <c r="BI101" s="128">
        <v>1</v>
      </c>
      <c r="BJ101" s="128">
        <v>1</v>
      </c>
      <c r="BK101" s="128">
        <v>1</v>
      </c>
      <c r="BL101" s="128">
        <v>1</v>
      </c>
      <c r="BM101" s="128">
        <v>1</v>
      </c>
      <c r="BN101" s="128">
        <v>1</v>
      </c>
      <c r="BO101" s="128">
        <v>1</v>
      </c>
      <c r="BP101" s="128">
        <v>1</v>
      </c>
      <c r="BQ101" s="128">
        <v>1</v>
      </c>
      <c r="BR101" s="128">
        <v>1</v>
      </c>
      <c r="BS101" s="128">
        <v>1</v>
      </c>
      <c r="BT101" s="128">
        <v>1</v>
      </c>
      <c r="BU101" s="128">
        <v>1</v>
      </c>
      <c r="BV101" s="128">
        <v>1</v>
      </c>
      <c r="BW101" s="128">
        <v>1</v>
      </c>
      <c r="BX101" s="128">
        <v>1</v>
      </c>
      <c r="BY101" s="128">
        <v>1</v>
      </c>
      <c r="BZ101" s="128">
        <v>1</v>
      </c>
      <c r="CA101" s="128">
        <v>1</v>
      </c>
      <c r="CB101" s="128">
        <v>1</v>
      </c>
      <c r="CC101" s="128">
        <v>1</v>
      </c>
      <c r="CD101" s="128">
        <v>1</v>
      </c>
      <c r="CE101" s="128">
        <v>1</v>
      </c>
      <c r="CF101" s="128">
        <v>1</v>
      </c>
      <c r="CG101" s="128">
        <v>1</v>
      </c>
      <c r="CH101" s="128">
        <v>1</v>
      </c>
      <c r="CI101" s="128">
        <v>1</v>
      </c>
      <c r="CJ101" s="128">
        <v>1</v>
      </c>
      <c r="CK101" s="128">
        <v>1</v>
      </c>
      <c r="CL101" s="128">
        <v>1</v>
      </c>
      <c r="CM101" s="128">
        <v>1</v>
      </c>
      <c r="CN101" s="128">
        <v>1</v>
      </c>
      <c r="CO101" s="128">
        <v>1</v>
      </c>
      <c r="CP101" s="128">
        <v>1</v>
      </c>
      <c r="CQ101" s="128">
        <v>1</v>
      </c>
      <c r="CR101" s="128">
        <v>1</v>
      </c>
      <c r="CS101" s="128">
        <v>1</v>
      </c>
      <c r="CT101" s="128">
        <v>1</v>
      </c>
      <c r="CU101" s="128">
        <v>1</v>
      </c>
      <c r="CV101" s="128">
        <v>1</v>
      </c>
      <c r="CW101" s="128">
        <v>1</v>
      </c>
      <c r="CX101" s="128">
        <v>1</v>
      </c>
      <c r="CZ101" s="126">
        <f>SUMIF(MatrixF0[[1]:[2]],MatrixF0[[#This Row],[Столбец1]])/MatrixF0[[#This Row],[Столбец1]]</f>
        <v>0</v>
      </c>
    </row>
    <row r="102" spans="1:104" ht="21" customHeight="1" x14ac:dyDescent="0.25">
      <c r="A102" s="127">
        <v>1.99</v>
      </c>
      <c r="B102" s="128">
        <v>1</v>
      </c>
      <c r="C102" s="128">
        <v>1</v>
      </c>
      <c r="D102" s="128">
        <v>1</v>
      </c>
      <c r="E102" s="128">
        <v>1</v>
      </c>
      <c r="F102" s="128">
        <v>1</v>
      </c>
      <c r="G102" s="128">
        <v>1</v>
      </c>
      <c r="H102" s="128">
        <v>1</v>
      </c>
      <c r="I102" s="128">
        <v>1</v>
      </c>
      <c r="J102" s="128">
        <v>1</v>
      </c>
      <c r="K102" s="128">
        <v>1</v>
      </c>
      <c r="L102" s="128">
        <v>1</v>
      </c>
      <c r="M102" s="128">
        <v>1</v>
      </c>
      <c r="N102" s="128">
        <v>1</v>
      </c>
      <c r="O102" s="128">
        <v>1</v>
      </c>
      <c r="P102" s="128">
        <v>1</v>
      </c>
      <c r="Q102" s="128">
        <v>1</v>
      </c>
      <c r="R102" s="128">
        <v>1</v>
      </c>
      <c r="S102" s="128">
        <v>1</v>
      </c>
      <c r="T102" s="128">
        <v>1</v>
      </c>
      <c r="U102" s="128">
        <v>1</v>
      </c>
      <c r="V102" s="128">
        <v>1</v>
      </c>
      <c r="W102" s="128">
        <v>1</v>
      </c>
      <c r="X102" s="128">
        <v>1</v>
      </c>
      <c r="Y102" s="128">
        <v>1</v>
      </c>
      <c r="Z102" s="128">
        <v>1</v>
      </c>
      <c r="AA102" s="128">
        <v>1</v>
      </c>
      <c r="AB102" s="128">
        <v>1</v>
      </c>
      <c r="AC102" s="128">
        <v>1</v>
      </c>
      <c r="AD102" s="128">
        <v>1</v>
      </c>
      <c r="AE102" s="128">
        <v>1</v>
      </c>
      <c r="AF102" s="128">
        <v>1</v>
      </c>
      <c r="AG102" s="128">
        <v>1</v>
      </c>
      <c r="AH102" s="128">
        <v>1</v>
      </c>
      <c r="AI102" s="128">
        <v>1</v>
      </c>
      <c r="AJ102" s="128">
        <v>1</v>
      </c>
      <c r="AK102" s="128">
        <v>1</v>
      </c>
      <c r="AL102" s="128">
        <v>1</v>
      </c>
      <c r="AM102" s="128">
        <v>1</v>
      </c>
      <c r="AN102" s="128">
        <v>1</v>
      </c>
      <c r="AO102" s="128">
        <v>1</v>
      </c>
      <c r="AP102" s="128">
        <v>1</v>
      </c>
      <c r="AQ102" s="128">
        <v>1</v>
      </c>
      <c r="AR102" s="128">
        <v>1</v>
      </c>
      <c r="AS102" s="128">
        <v>1</v>
      </c>
      <c r="AT102" s="128">
        <v>1</v>
      </c>
      <c r="AU102" s="128">
        <v>1</v>
      </c>
      <c r="AV102" s="128">
        <v>1</v>
      </c>
      <c r="AW102" s="128">
        <v>1</v>
      </c>
      <c r="AX102" s="128">
        <v>1</v>
      </c>
      <c r="AY102" s="128">
        <v>1</v>
      </c>
      <c r="AZ102" s="128">
        <v>1</v>
      </c>
      <c r="BA102" s="128">
        <v>1</v>
      </c>
      <c r="BB102" s="128">
        <v>1</v>
      </c>
      <c r="BC102" s="128">
        <v>1</v>
      </c>
      <c r="BD102" s="128">
        <v>1</v>
      </c>
      <c r="BE102" s="128">
        <v>1</v>
      </c>
      <c r="BF102" s="128">
        <v>1</v>
      </c>
      <c r="BG102" s="128">
        <v>1</v>
      </c>
      <c r="BH102" s="128">
        <v>1</v>
      </c>
      <c r="BI102" s="128">
        <v>1</v>
      </c>
      <c r="BJ102" s="128">
        <v>1</v>
      </c>
      <c r="BK102" s="128">
        <v>1</v>
      </c>
      <c r="BL102" s="128">
        <v>1</v>
      </c>
      <c r="BM102" s="128">
        <v>1</v>
      </c>
      <c r="BN102" s="128">
        <v>1</v>
      </c>
      <c r="BO102" s="128">
        <v>1</v>
      </c>
      <c r="BP102" s="128">
        <v>1</v>
      </c>
      <c r="BQ102" s="128">
        <v>1</v>
      </c>
      <c r="BR102" s="128">
        <v>1</v>
      </c>
      <c r="BS102" s="128">
        <v>1</v>
      </c>
      <c r="BT102" s="128">
        <v>1</v>
      </c>
      <c r="BU102" s="128">
        <v>1</v>
      </c>
      <c r="BV102" s="128">
        <v>1</v>
      </c>
      <c r="BW102" s="128">
        <v>1</v>
      </c>
      <c r="BX102" s="128">
        <v>1</v>
      </c>
      <c r="BY102" s="128">
        <v>1</v>
      </c>
      <c r="BZ102" s="128">
        <v>1</v>
      </c>
      <c r="CA102" s="128">
        <v>1</v>
      </c>
      <c r="CB102" s="128">
        <v>1</v>
      </c>
      <c r="CC102" s="128">
        <v>1</v>
      </c>
      <c r="CD102" s="128">
        <v>1</v>
      </c>
      <c r="CE102" s="128">
        <v>1</v>
      </c>
      <c r="CF102" s="128">
        <v>1</v>
      </c>
      <c r="CG102" s="128">
        <v>1</v>
      </c>
      <c r="CH102" s="128">
        <v>1</v>
      </c>
      <c r="CI102" s="128">
        <v>1</v>
      </c>
      <c r="CJ102" s="128">
        <v>1</v>
      </c>
      <c r="CK102" s="128">
        <v>1</v>
      </c>
      <c r="CL102" s="128">
        <v>1</v>
      </c>
      <c r="CM102" s="128">
        <v>1</v>
      </c>
      <c r="CN102" s="128">
        <v>1</v>
      </c>
      <c r="CO102" s="128">
        <v>1</v>
      </c>
      <c r="CP102" s="128">
        <v>1</v>
      </c>
      <c r="CQ102" s="128">
        <v>1</v>
      </c>
      <c r="CR102" s="128">
        <v>1</v>
      </c>
      <c r="CS102" s="128">
        <v>1</v>
      </c>
      <c r="CT102" s="128">
        <v>1</v>
      </c>
      <c r="CU102" s="128">
        <v>1</v>
      </c>
      <c r="CV102" s="128">
        <v>1</v>
      </c>
      <c r="CW102" s="128">
        <v>1</v>
      </c>
      <c r="CX102" s="128">
        <v>1</v>
      </c>
      <c r="CZ102" s="126">
        <f>SUMIF(MatrixF0[[1]:[2]],MatrixF0[[#This Row],[Столбец1]])/MatrixF0[[#This Row],[Столбец1]]</f>
        <v>0</v>
      </c>
    </row>
    <row r="103" spans="1:104" s="1" customFormat="1" ht="21" customHeight="1" thickBot="1" x14ac:dyDescent="0.3">
      <c r="A103" s="127">
        <v>2</v>
      </c>
      <c r="B103" s="128">
        <v>1</v>
      </c>
      <c r="C103" s="128">
        <v>1</v>
      </c>
      <c r="D103" s="128">
        <v>1</v>
      </c>
      <c r="E103" s="128">
        <v>1</v>
      </c>
      <c r="F103" s="128">
        <v>1</v>
      </c>
      <c r="G103" s="128">
        <v>1</v>
      </c>
      <c r="H103" s="128">
        <v>1</v>
      </c>
      <c r="I103" s="128">
        <v>1</v>
      </c>
      <c r="J103" s="128">
        <v>1</v>
      </c>
      <c r="K103" s="128">
        <v>1</v>
      </c>
      <c r="L103" s="128">
        <v>1</v>
      </c>
      <c r="M103" s="128">
        <v>1</v>
      </c>
      <c r="N103" s="128">
        <v>1</v>
      </c>
      <c r="O103" s="128">
        <v>1</v>
      </c>
      <c r="P103" s="128">
        <v>1</v>
      </c>
      <c r="Q103" s="128">
        <v>1</v>
      </c>
      <c r="R103" s="128">
        <v>1</v>
      </c>
      <c r="S103" s="128">
        <v>1</v>
      </c>
      <c r="T103" s="128">
        <v>1</v>
      </c>
      <c r="U103" s="128">
        <v>1</v>
      </c>
      <c r="V103" s="128">
        <v>1</v>
      </c>
      <c r="W103" s="128">
        <v>1</v>
      </c>
      <c r="X103" s="128">
        <v>1</v>
      </c>
      <c r="Y103" s="128">
        <v>1</v>
      </c>
      <c r="Z103" s="128">
        <v>1</v>
      </c>
      <c r="AA103" s="128">
        <v>1</v>
      </c>
      <c r="AB103" s="128">
        <v>1</v>
      </c>
      <c r="AC103" s="128">
        <v>1</v>
      </c>
      <c r="AD103" s="128">
        <v>1</v>
      </c>
      <c r="AE103" s="128">
        <v>1</v>
      </c>
      <c r="AF103" s="128">
        <v>1</v>
      </c>
      <c r="AG103" s="128">
        <v>1</v>
      </c>
      <c r="AH103" s="128">
        <v>1</v>
      </c>
      <c r="AI103" s="128">
        <v>1</v>
      </c>
      <c r="AJ103" s="128">
        <v>1</v>
      </c>
      <c r="AK103" s="128">
        <v>1</v>
      </c>
      <c r="AL103" s="128">
        <v>1</v>
      </c>
      <c r="AM103" s="128">
        <v>1</v>
      </c>
      <c r="AN103" s="128">
        <v>1</v>
      </c>
      <c r="AO103" s="128">
        <v>1</v>
      </c>
      <c r="AP103" s="128">
        <v>1</v>
      </c>
      <c r="AQ103" s="128">
        <v>1</v>
      </c>
      <c r="AR103" s="128">
        <v>1</v>
      </c>
      <c r="AS103" s="128">
        <v>1</v>
      </c>
      <c r="AT103" s="128">
        <v>1</v>
      </c>
      <c r="AU103" s="128">
        <v>1</v>
      </c>
      <c r="AV103" s="128">
        <v>1</v>
      </c>
      <c r="AW103" s="128">
        <v>1</v>
      </c>
      <c r="AX103" s="128">
        <v>1</v>
      </c>
      <c r="AY103" s="128">
        <v>1</v>
      </c>
      <c r="AZ103" s="128">
        <v>1</v>
      </c>
      <c r="BA103" s="128">
        <v>1</v>
      </c>
      <c r="BB103" s="128">
        <v>1</v>
      </c>
      <c r="BC103" s="128">
        <v>1</v>
      </c>
      <c r="BD103" s="128">
        <v>1</v>
      </c>
      <c r="BE103" s="128">
        <v>1</v>
      </c>
      <c r="BF103" s="128">
        <v>1</v>
      </c>
      <c r="BG103" s="128">
        <v>1</v>
      </c>
      <c r="BH103" s="128">
        <v>1</v>
      </c>
      <c r="BI103" s="128">
        <v>1</v>
      </c>
      <c r="BJ103" s="128">
        <v>1</v>
      </c>
      <c r="BK103" s="128">
        <v>1</v>
      </c>
      <c r="BL103" s="128">
        <v>1</v>
      </c>
      <c r="BM103" s="128">
        <v>1</v>
      </c>
      <c r="BN103" s="128">
        <v>1</v>
      </c>
      <c r="BO103" s="128">
        <v>1</v>
      </c>
      <c r="BP103" s="128">
        <v>1</v>
      </c>
      <c r="BQ103" s="128">
        <v>1</v>
      </c>
      <c r="BR103" s="128">
        <v>1</v>
      </c>
      <c r="BS103" s="128">
        <v>1</v>
      </c>
      <c r="BT103" s="128">
        <v>1</v>
      </c>
      <c r="BU103" s="128">
        <v>1</v>
      </c>
      <c r="BV103" s="128">
        <v>1</v>
      </c>
      <c r="BW103" s="128">
        <v>1</v>
      </c>
      <c r="BX103" s="128">
        <v>1</v>
      </c>
      <c r="BY103" s="128">
        <v>1</v>
      </c>
      <c r="BZ103" s="128">
        <v>1</v>
      </c>
      <c r="CA103" s="128">
        <v>1</v>
      </c>
      <c r="CB103" s="128">
        <v>1</v>
      </c>
      <c r="CC103" s="128">
        <v>1</v>
      </c>
      <c r="CD103" s="128">
        <v>1</v>
      </c>
      <c r="CE103" s="128">
        <v>1</v>
      </c>
      <c r="CF103" s="128">
        <v>1</v>
      </c>
      <c r="CG103" s="128">
        <v>1</v>
      </c>
      <c r="CH103" s="128">
        <v>1</v>
      </c>
      <c r="CI103" s="128">
        <v>1</v>
      </c>
      <c r="CJ103" s="128">
        <v>1</v>
      </c>
      <c r="CK103" s="128">
        <v>1</v>
      </c>
      <c r="CL103" s="128">
        <v>1</v>
      </c>
      <c r="CM103" s="128">
        <v>1</v>
      </c>
      <c r="CN103" s="128">
        <v>1</v>
      </c>
      <c r="CO103" s="128">
        <v>1</v>
      </c>
      <c r="CP103" s="128">
        <v>1</v>
      </c>
      <c r="CQ103" s="128">
        <v>1</v>
      </c>
      <c r="CR103" s="128">
        <v>1</v>
      </c>
      <c r="CS103" s="128">
        <v>1</v>
      </c>
      <c r="CT103" s="128">
        <v>1</v>
      </c>
      <c r="CU103" s="128">
        <v>1</v>
      </c>
      <c r="CV103" s="128">
        <v>1</v>
      </c>
      <c r="CW103" s="128">
        <v>1</v>
      </c>
      <c r="CX103" s="128">
        <v>1</v>
      </c>
      <c r="CZ103" s="126">
        <f>SUMIF(MatrixF0[[1]:[2]],MatrixF0[[#This Row],[Столбец1]])/MatrixF0[[#This Row],[Столбец1]]</f>
        <v>0</v>
      </c>
    </row>
    <row r="105" spans="1:104" s="126" customFormat="1" ht="21" customHeight="1" x14ac:dyDescent="0.25">
      <c r="B105" s="126">
        <f>SUMIF(MatrixF0[[1]:[2]],MatrixF0[[#Headers],[1]])/MatrixF0[[#Headers],[1]]</f>
        <v>10201</v>
      </c>
      <c r="C105" s="126">
        <f>SUMIF(MatrixF0[[1]:[2]],MatrixF0[[#Headers],[1,01]])/MatrixF0[[#Headers],[1,01]]</f>
        <v>0</v>
      </c>
      <c r="D105" s="126">
        <f>SUMIF(MatrixF0[[1]:[2]],MatrixF0[[#Headers],[1,02]])/MatrixF0[[#Headers],[1,02]]</f>
        <v>0</v>
      </c>
      <c r="E105" s="126">
        <f>SUMIF(MatrixF0[[1]:[2]],MatrixF0[[#Headers],[1,03]])/MatrixF0[[#Headers],[1,03]]</f>
        <v>0</v>
      </c>
      <c r="F105" s="126">
        <f>SUMIF(MatrixF0[[1]:[2]],MatrixF0[[#Headers],[1,04]])/MatrixF0[[#Headers],[1,04]]</f>
        <v>0</v>
      </c>
      <c r="G105" s="126">
        <f>SUMIF(MatrixF0[[1]:[2]],MatrixF0[[#Headers],[1,05]])/MatrixF0[[#Headers],[1,05]]</f>
        <v>0</v>
      </c>
      <c r="H105" s="126">
        <f>SUMIF(MatrixF0[[1]:[2]],MatrixF0[[#Headers],[1,06]])/MatrixF0[[#Headers],[1,06]]</f>
        <v>0</v>
      </c>
      <c r="I105" s="126">
        <f>SUMIF(MatrixF0[[1]:[2]],MatrixF0[[#Headers],[1,07]])/MatrixF0[[#Headers],[1,07]]</f>
        <v>0</v>
      </c>
      <c r="J105" s="126">
        <f>SUMIF(MatrixF0[[1]:[2]],MatrixF0[[#Headers],[1,08]])/MatrixF0[[#Headers],[1,08]]</f>
        <v>0</v>
      </c>
      <c r="K105" s="126">
        <f>SUMIF(MatrixF0[[1]:[2]],MatrixF0[[#Headers],[1,09]])/MatrixF0[[#Headers],[1,09]]</f>
        <v>0</v>
      </c>
      <c r="L105" s="126">
        <f>SUMIF(MatrixF0[[1]:[2]],MatrixF0[[#Headers],[1,1]])/MatrixF0[[#Headers],[1,1]]</f>
        <v>0</v>
      </c>
      <c r="M105" s="126">
        <f>SUMIF(MatrixF0[[1]:[2]],MatrixF0[[#Headers],[1,11]])/MatrixF0[[#Headers],[1,11]]</f>
        <v>0</v>
      </c>
      <c r="N105" s="126">
        <f>SUMIF(MatrixF0[[1]:[2]],MatrixF0[[#Headers],[1,12]])/MatrixF0[[#Headers],[1,12]]</f>
        <v>0</v>
      </c>
      <c r="O105" s="126">
        <f>SUMIF(MatrixF0[[1]:[2]],MatrixF0[[#Headers],[1,13]])/MatrixF0[[#Headers],[1,13]]</f>
        <v>0</v>
      </c>
      <c r="P105" s="126">
        <f>SUMIF(MatrixF0[[1]:[2]],MatrixF0[[#Headers],[1,14]])/MatrixF0[[#Headers],[1,14]]</f>
        <v>0</v>
      </c>
      <c r="Q105" s="126">
        <f>SUMIF(MatrixF0[[1]:[2]],MatrixF0[[#Headers],[1,15]])/MatrixF0[[#Headers],[1,15]]</f>
        <v>0</v>
      </c>
      <c r="R105" s="126">
        <f>SUMIF(MatrixF0[[1]:[2]],MatrixF0[[#Headers],[1,16]])/MatrixF0[[#Headers],[1,16]]</f>
        <v>0</v>
      </c>
      <c r="S105" s="126">
        <f>SUMIF(MatrixF0[[1]:[2]],MatrixF0[[#Headers],[1,17]])/MatrixF0[[#Headers],[1,17]]</f>
        <v>0</v>
      </c>
      <c r="T105" s="126">
        <f>SUMIF(MatrixF0[[1]:[2]],MatrixF0[[#Headers],[1,18]])/MatrixF0[[#Headers],[1,18]]</f>
        <v>0</v>
      </c>
      <c r="U105" s="126">
        <f>SUMIF(MatrixF0[[1]:[2]],MatrixF0[[#Headers],[1,19]])/MatrixF0[[#Headers],[1,19]]</f>
        <v>0</v>
      </c>
      <c r="V105" s="126">
        <f>SUMIF(MatrixF0[[1]:[2]],MatrixF0[[#Headers],[1,2]])/MatrixF0[[#Headers],[1,2]]</f>
        <v>0</v>
      </c>
      <c r="W105" s="126">
        <f>SUMIF(MatrixF0[[1]:[2]],MatrixF0[[#Headers],[1,21]])/MatrixF0[[#Headers],[1,21]]</f>
        <v>0</v>
      </c>
      <c r="X105" s="126">
        <f>SUMIF(MatrixF0[[1]:[2]],MatrixF0[[#Headers],[1,22]])/MatrixF0[[#Headers],[1,22]]</f>
        <v>0</v>
      </c>
      <c r="Y105" s="126">
        <f>SUMIF(MatrixF0[[1]:[2]],MatrixF0[[#Headers],[1,23]])/MatrixF0[[#Headers],[1,23]]</f>
        <v>0</v>
      </c>
      <c r="Z105" s="126">
        <f>SUMIF(MatrixF0[[1]:[2]],MatrixF0[[#Headers],[1,24]])/MatrixF0[[#Headers],[1,24]]</f>
        <v>0</v>
      </c>
      <c r="AA105" s="126">
        <f>SUMIF(MatrixF0[[1]:[2]],MatrixF0[[#Headers],[1,25]])/MatrixF0[[#Headers],[1,25]]</f>
        <v>0</v>
      </c>
      <c r="AB105" s="126">
        <f>SUMIF(MatrixF0[[1]:[2]],MatrixF0[[#Headers],[1,26]])/MatrixF0[[#Headers],[1,26]]</f>
        <v>0</v>
      </c>
      <c r="AC105" s="126">
        <f>SUMIF(MatrixF0[[1]:[2]],MatrixF0[[#Headers],[1,27]])/MatrixF0[[#Headers],[1,27]]</f>
        <v>0</v>
      </c>
      <c r="AD105" s="126">
        <f>SUMIF(MatrixF0[[1]:[2]],MatrixF0[[#Headers],[1,28]])/MatrixF0[[#Headers],[1,28]]</f>
        <v>0</v>
      </c>
      <c r="AE105" s="126">
        <f>SUMIF(MatrixF0[[1]:[2]],MatrixF0[[#Headers],[1,29]])/MatrixF0[[#Headers],[1,29]]</f>
        <v>0</v>
      </c>
      <c r="AF105" s="126">
        <f>SUMIF(MatrixF0[[1]:[2]],MatrixF0[[#Headers],[1,3]])/MatrixF0[[#Headers],[1,3]]</f>
        <v>0</v>
      </c>
      <c r="AG105" s="126">
        <f>SUMIF(MatrixF0[[1]:[2]],MatrixF0[[#Headers],[1,31]])/MatrixF0[[#Headers],[1,31]]</f>
        <v>0</v>
      </c>
      <c r="AH105" s="126">
        <f>SUMIF(MatrixF0[[1]:[2]],MatrixF0[[#Headers],[1,32]])/MatrixF0[[#Headers],[1,32]]</f>
        <v>0</v>
      </c>
      <c r="AI105" s="126">
        <f>SUMIF(MatrixF0[[1]:[2]],MatrixF0[[#Headers],[1,33]])/MatrixF0[[#Headers],[1,33]]</f>
        <v>0</v>
      </c>
      <c r="AJ105" s="126">
        <f>SUMIF(MatrixF0[[1]:[2]],MatrixF0[[#Headers],[1,34]])/MatrixF0[[#Headers],[1,34]]</f>
        <v>0</v>
      </c>
      <c r="AK105" s="126">
        <f>SUMIF(MatrixF0[[1]:[2]],MatrixF0[[#Headers],[1,35]])/MatrixF0[[#Headers],[1,35]]</f>
        <v>0</v>
      </c>
      <c r="AL105" s="126">
        <f>SUMIF(MatrixF0[[1]:[2]],MatrixF0[[#Headers],[1,36]])/MatrixF0[[#Headers],[1,36]]</f>
        <v>0</v>
      </c>
      <c r="AM105" s="126">
        <f>SUMIF(MatrixF0[[1]:[2]],MatrixF0[[#Headers],[1,37]])/MatrixF0[[#Headers],[1,37]]</f>
        <v>0</v>
      </c>
      <c r="AN105" s="126">
        <f>SUMIF(MatrixF0[[1]:[2]],MatrixF0[[#Headers],[1,38]])/MatrixF0[[#Headers],[1,38]]</f>
        <v>0</v>
      </c>
      <c r="AO105" s="126">
        <f>SUMIF(MatrixF0[[1]:[2]],MatrixF0[[#Headers],[1,39]])/MatrixF0[[#Headers],[1,39]]</f>
        <v>0</v>
      </c>
      <c r="AP105" s="126">
        <f>SUMIF(MatrixF0[[1]:[2]],MatrixF0[[#Headers],[1,4]])/MatrixF0[[#Headers],[1,4]]</f>
        <v>0</v>
      </c>
      <c r="AQ105" s="126">
        <f>SUMIF(MatrixF0[[1]:[2]],MatrixF0[[#Headers],[1,41]])/MatrixF0[[#Headers],[1,41]]</f>
        <v>0</v>
      </c>
      <c r="AR105" s="126">
        <f>SUMIF(MatrixF0[[1]:[2]],MatrixF0[[#Headers],[1,42]])/MatrixF0[[#Headers],[1,42]]</f>
        <v>0</v>
      </c>
      <c r="AS105" s="126">
        <f>SUMIF(MatrixF0[[1]:[2]],MatrixF0[[#Headers],[1,43]])/MatrixF0[[#Headers],[1,43]]</f>
        <v>0</v>
      </c>
      <c r="AT105" s="126">
        <f>SUMIF(MatrixF0[[1]:[2]],MatrixF0[[#Headers],[1,44]])/MatrixF0[[#Headers],[1,44]]</f>
        <v>0</v>
      </c>
      <c r="AU105" s="126">
        <f>SUMIF(MatrixF0[[1]:[2]],MatrixF0[[#Headers],[1,45]])/MatrixF0[[#Headers],[1,45]]</f>
        <v>0</v>
      </c>
      <c r="AV105" s="126">
        <f>SUMIF(MatrixF0[[1]:[2]],MatrixF0[[#Headers],[1,46]])/MatrixF0[[#Headers],[1,46]]</f>
        <v>0</v>
      </c>
      <c r="AW105" s="126">
        <f>SUMIF(MatrixF0[[1]:[2]],MatrixF0[[#Headers],[1,47]])/MatrixF0[[#Headers],[1,47]]</f>
        <v>0</v>
      </c>
      <c r="AX105" s="126">
        <f>SUMIF(MatrixF0[[1]:[2]],MatrixF0[[#Headers],[1,48]])/MatrixF0[[#Headers],[1,48]]</f>
        <v>0</v>
      </c>
      <c r="AY105" s="126">
        <f>SUMIF(MatrixF0[[1]:[2]],MatrixF0[[#Headers],[1,49]])/MatrixF0[[#Headers],[1,49]]</f>
        <v>0</v>
      </c>
      <c r="AZ105" s="126">
        <f>SUMIF(MatrixF0[[1]:[2]],MatrixF0[[#Headers],[1,5]])/MatrixF0[[#Headers],[1,5]]</f>
        <v>0</v>
      </c>
      <c r="BA105" s="126">
        <f>SUMIF(MatrixF0[[1]:[2]],MatrixF0[[#Headers],[1,51]])/MatrixF0[[#Headers],[1,51]]</f>
        <v>0</v>
      </c>
      <c r="BB105" s="126">
        <f>SUMIF(MatrixF0[[1]:[2]],MatrixF0[[#Headers],[1,52]])/MatrixF0[[#Headers],[1,52]]</f>
        <v>0</v>
      </c>
      <c r="BC105" s="126">
        <f>SUMIF(MatrixF0[[1]:[2]],MatrixF0[[#Headers],[1,53]])/MatrixF0[[#Headers],[1,53]]</f>
        <v>0</v>
      </c>
      <c r="BD105" s="126">
        <f>SUMIF(MatrixF0[[1]:[2]],MatrixF0[[#Headers],[1,54]])/MatrixF0[[#Headers],[1,54]]</f>
        <v>0</v>
      </c>
      <c r="BE105" s="126">
        <f>SUMIF(MatrixF0[[1]:[2]],MatrixF0[[#Headers],[1,55]])/MatrixF0[[#Headers],[1,55]]</f>
        <v>0</v>
      </c>
      <c r="BF105" s="126">
        <f>SUMIF(MatrixF0[[1]:[2]],MatrixF0[[#Headers],[1,56]])/MatrixF0[[#Headers],[1,56]]</f>
        <v>0</v>
      </c>
      <c r="BG105" s="126">
        <f>SUMIF(MatrixF0[[1]:[2]],MatrixF0[[#Headers],[1,57]])/MatrixF0[[#Headers],[1,57]]</f>
        <v>0</v>
      </c>
      <c r="BH105" s="126">
        <f>SUMIF(MatrixF0[[1]:[2]],MatrixF0[[#Headers],[1,58]])/MatrixF0[[#Headers],[1,58]]</f>
        <v>0</v>
      </c>
      <c r="BI105" s="126">
        <f>SUMIF(MatrixF0[[1]:[2]],MatrixF0[[#Headers],[1,59]])/MatrixF0[[#Headers],[1,59]]</f>
        <v>0</v>
      </c>
      <c r="BJ105" s="126">
        <f>SUMIF(MatrixF0[[1]:[2]],MatrixF0[[#Headers],[1,6]])/MatrixF0[[#Headers],[1,6]]</f>
        <v>0</v>
      </c>
      <c r="BK105" s="126">
        <f>SUMIF(MatrixF0[[1]:[2]],MatrixF0[[#Headers],[1,61]])/MatrixF0[[#Headers],[1,61]]</f>
        <v>0</v>
      </c>
      <c r="BL105" s="126">
        <f>SUMIF(MatrixF0[[1]:[2]],MatrixF0[[#Headers],[1,62]])/MatrixF0[[#Headers],[1,62]]</f>
        <v>0</v>
      </c>
      <c r="BM105" s="126">
        <f>SUMIF(MatrixF0[[1]:[2]],MatrixF0[[#Headers],[1,63]])/MatrixF0[[#Headers],[1,63]]</f>
        <v>0</v>
      </c>
      <c r="BN105" s="126">
        <f>SUMIF(MatrixF0[[1]:[2]],MatrixF0[[#Headers],[1,64]])/MatrixF0[[#Headers],[1,64]]</f>
        <v>0</v>
      </c>
      <c r="BO105" s="126">
        <f>SUMIF(MatrixF0[[1]:[2]],MatrixF0[[#Headers],[1,65]])/MatrixF0[[#Headers],[1,65]]</f>
        <v>0</v>
      </c>
      <c r="BP105" s="126">
        <f>SUMIF(MatrixF0[[1]:[2]],MatrixF0[[#Headers],[1,66]])/MatrixF0[[#Headers],[1,66]]</f>
        <v>0</v>
      </c>
      <c r="BQ105" s="126">
        <f>SUMIF(MatrixF0[[1]:[2]],MatrixF0[[#Headers],[1,67]])/MatrixF0[[#Headers],[1,67]]</f>
        <v>0</v>
      </c>
      <c r="BR105" s="126">
        <f>SUMIF(MatrixF0[[1]:[2]],MatrixF0[[#Headers],[1,68]])/MatrixF0[[#Headers],[1,68]]</f>
        <v>0</v>
      </c>
      <c r="BS105" s="126">
        <f>SUMIF(MatrixF0[[1]:[2]],MatrixF0[[#Headers],[1,69]])/MatrixF0[[#Headers],[1,69]]</f>
        <v>0</v>
      </c>
      <c r="BT105" s="126">
        <f>SUMIF(MatrixF0[[1]:[2]],MatrixF0[[#Headers],[1,7]])/MatrixF0[[#Headers],[1,7]]</f>
        <v>0</v>
      </c>
      <c r="BU105" s="126">
        <f>SUMIF(MatrixF0[[1]:[2]],MatrixF0[[#Headers],[1,71]])/MatrixF0[[#Headers],[1,71]]</f>
        <v>0</v>
      </c>
      <c r="BV105" s="126">
        <f>SUMIF(MatrixF0[[1]:[2]],MatrixF0[[#Headers],[1,72]])/MatrixF0[[#Headers],[1,72]]</f>
        <v>0</v>
      </c>
      <c r="BW105" s="126">
        <f>SUMIF(MatrixF0[[1]:[2]],MatrixF0[[#Headers],[1,73]])/MatrixF0[[#Headers],[1,73]]</f>
        <v>0</v>
      </c>
      <c r="BX105" s="126">
        <f>SUMIF(MatrixF0[[1]:[2]],MatrixF0[[#Headers],[1,74]])/MatrixF0[[#Headers],[1,74]]</f>
        <v>0</v>
      </c>
      <c r="BY105" s="126">
        <f>SUMIF(MatrixF0[[1]:[2]],MatrixF0[[#Headers],[1,75]])/MatrixF0[[#Headers],[1,75]]</f>
        <v>0</v>
      </c>
      <c r="BZ105" s="126">
        <f>SUMIF(MatrixF0[[1]:[2]],MatrixF0[[#Headers],[1,76]])/MatrixF0[[#Headers],[1,76]]</f>
        <v>0</v>
      </c>
      <c r="CA105" s="126">
        <f>SUMIF(MatrixF0[[1]:[2]],MatrixF0[[#Headers],[1,77]])/MatrixF0[[#Headers],[1,77]]</f>
        <v>0</v>
      </c>
      <c r="CB105" s="126">
        <f>SUMIF(MatrixF0[[1]:[2]],MatrixF0[[#Headers],[1,78]])/MatrixF0[[#Headers],[1,78]]</f>
        <v>0</v>
      </c>
      <c r="CC105" s="126">
        <f>SUMIF(MatrixF0[[1]:[2]],MatrixF0[[#Headers],[1,79]])/MatrixF0[[#Headers],[1,79]]</f>
        <v>0</v>
      </c>
      <c r="CD105" s="126">
        <f>SUMIF(MatrixF0[[1]:[2]],MatrixF0[[#Headers],[1,8]])/MatrixF0[[#Headers],[1,8]]</f>
        <v>0</v>
      </c>
      <c r="CE105" s="126">
        <f>SUMIF(MatrixF0[[1]:[2]],MatrixF0[[#Headers],[1,81]])/MatrixF0[[#Headers],[1,81]]</f>
        <v>0</v>
      </c>
      <c r="CF105" s="126">
        <f>SUMIF(MatrixF0[[1]:[2]],MatrixF0[[#Headers],[1,82]])/MatrixF0[[#Headers],[1,82]]</f>
        <v>0</v>
      </c>
      <c r="CG105" s="126">
        <f>SUMIF(MatrixF0[[1]:[2]],MatrixF0[[#Headers],[1,83]])/MatrixF0[[#Headers],[1,83]]</f>
        <v>0</v>
      </c>
      <c r="CH105" s="126">
        <f>SUMIF(MatrixF0[[1]:[2]],MatrixF0[[#Headers],[1,84]])/MatrixF0[[#Headers],[1,84]]</f>
        <v>0</v>
      </c>
      <c r="CI105" s="126">
        <f>SUMIF(MatrixF0[[1]:[2]],MatrixF0[[#Headers],[1,85]])/MatrixF0[[#Headers],[1,85]]</f>
        <v>0</v>
      </c>
      <c r="CJ105" s="126">
        <f>SUMIF(MatrixF0[[1]:[2]],MatrixF0[[#Headers],[1,86]])/MatrixF0[[#Headers],[1,86]]</f>
        <v>0</v>
      </c>
      <c r="CK105" s="126">
        <f>SUMIF(MatrixF0[[1]:[2]],MatrixF0[[#Headers],[1,87]])/MatrixF0[[#Headers],[1,87]]</f>
        <v>0</v>
      </c>
      <c r="CL105" s="126">
        <f>SUMIF(MatrixF0[[1]:[2]],MatrixF0[[#Headers],[1,88]])/MatrixF0[[#Headers],[1,88]]</f>
        <v>0</v>
      </c>
      <c r="CM105" s="126">
        <f>SUMIF(MatrixF0[[1]:[2]],MatrixF0[[#Headers],[1,89]])/MatrixF0[[#Headers],[1,89]]</f>
        <v>0</v>
      </c>
      <c r="CN105" s="126">
        <f>SUMIF(MatrixF0[[1]:[2]],MatrixF0[[#Headers],[1,9]])/MatrixF0[[#Headers],[1,9]]</f>
        <v>0</v>
      </c>
      <c r="CO105" s="126">
        <f>SUMIF(MatrixF0[[1]:[2]],MatrixF0[[#Headers],[1,91]])/MatrixF0[[#Headers],[1,91]]</f>
        <v>0</v>
      </c>
      <c r="CP105" s="126">
        <f>SUMIF(MatrixF0[[1]:[2]],MatrixF0[[#Headers],[1,92]])/MatrixF0[[#Headers],[1,92]]</f>
        <v>0</v>
      </c>
      <c r="CQ105" s="126">
        <f>SUMIF(MatrixF0[[1]:[2]],MatrixF0[[#Headers],[1,93]])/MatrixF0[[#Headers],[1,93]]</f>
        <v>0</v>
      </c>
      <c r="CR105" s="126">
        <f>SUMIF(MatrixF0[[1]:[2]],MatrixF0[[#Headers],[1,94]])/MatrixF0[[#Headers],[1,94]]</f>
        <v>0</v>
      </c>
      <c r="CS105" s="126">
        <f>SUMIF(MatrixF0[[1]:[2]],MatrixF0[[#Headers],[1,95]])/MatrixF0[[#Headers],[1,95]]</f>
        <v>0</v>
      </c>
      <c r="CT105" s="126">
        <f>SUMIF(MatrixF0[[1]:[2]],MatrixF0[[#Headers],[1,96]])/MatrixF0[[#Headers],[1,96]]</f>
        <v>0</v>
      </c>
      <c r="CU105" s="126">
        <f>SUMIF(MatrixF0[[1]:[2]],MatrixF0[[#Headers],[1,97]])/MatrixF0[[#Headers],[1,97]]</f>
        <v>0</v>
      </c>
      <c r="CV105" s="126">
        <f>SUMIF(MatrixF0[[1]:[2]],MatrixF0[[#Headers],[1,98]])/MatrixF0[[#Headers],[1,98]]</f>
        <v>0</v>
      </c>
      <c r="CW105" s="126">
        <f>SUMIF(MatrixF0[[1]:[2]],MatrixF0[[#Headers],[1,99]])/MatrixF0[[#Headers],[1,99]]</f>
        <v>0</v>
      </c>
      <c r="CX105" s="126">
        <f>SUMIF(MatrixF0[[1]:[2]],MatrixF0[[#Headers],[2]])/MatrixF0[[#Headers],[2]]</f>
        <v>0</v>
      </c>
      <c r="CZ105" s="126">
        <f>SUM(CZ3:CZ103)</f>
        <v>10201</v>
      </c>
    </row>
  </sheetData>
  <mergeCells count="1">
    <mergeCell ref="A1:C1"/>
  </mergeCells>
  <conditionalFormatting sqref="B3:CX103">
    <cfRule type="colorScale" priority="1">
      <colorScale>
        <cfvo type="min"/>
        <cfvo type="percentile" val="50"/>
        <cfvo type="max"/>
        <color rgb="FFF8696B"/>
        <color rgb="FFFFEB84"/>
        <color rgb="FF63BE7B"/>
      </colorScale>
    </cfRule>
  </conditionalFormatting>
  <hyperlinks>
    <hyperlink ref="A1:C1" location="Содержание!A1" display="&lt;&lt;НАЗАД" xr:uid="{00000000-0004-0000-0C00-000000000000}"/>
  </hyperlinks>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611"/>
  <dimension ref="A1:CZ105"/>
  <sheetViews>
    <sheetView zoomScale="25" zoomScaleNormal="25" workbookViewId="0">
      <pane xSplit="1" ySplit="2" topLeftCell="I3" activePane="bottomRight" state="frozen"/>
      <selection pane="topRight" activeCell="B1" sqref="B1"/>
      <selection pane="bottomLeft" activeCell="A3" sqref="A3"/>
      <selection pane="bottomRight" activeCell="BG94" activeCellId="2" sqref="BG61:BG93 BG60:CX60 BG94:BG103"/>
    </sheetView>
  </sheetViews>
  <sheetFormatPr defaultColWidth="4.7109375" defaultRowHeight="21" customHeight="1" x14ac:dyDescent="0.25"/>
  <cols>
    <col min="1" max="102" width="4.7109375" style="2" customWidth="1"/>
    <col min="103" max="103" width="4.7109375" style="2"/>
    <col min="104" max="104" width="4.7109375" style="126" customWidth="1"/>
    <col min="105" max="16384" width="4.7109375" style="2"/>
  </cols>
  <sheetData>
    <row r="1" spans="1:104" ht="21" customHeight="1" x14ac:dyDescent="0.25">
      <c r="A1" s="261" t="s">
        <v>109</v>
      </c>
      <c r="B1" s="261"/>
      <c r="C1" s="261"/>
      <c r="E1" s="205">
        <v>1.57</v>
      </c>
      <c r="F1" s="206" t="s">
        <v>614</v>
      </c>
      <c r="G1" s="205">
        <f>COUNTIF(MatrixF1[[1]:[2]],"="&amp;E1)</f>
        <v>87</v>
      </c>
    </row>
    <row r="2" spans="1:104" ht="21" customHeight="1" x14ac:dyDescent="0.25">
      <c r="A2" s="2" t="s">
        <v>99</v>
      </c>
      <c r="B2" s="5" t="s">
        <v>100</v>
      </c>
      <c r="C2" s="5" t="s">
        <v>0</v>
      </c>
      <c r="D2" s="5" t="s">
        <v>1</v>
      </c>
      <c r="E2" s="5" t="s">
        <v>2</v>
      </c>
      <c r="F2" s="5" t="s">
        <v>3</v>
      </c>
      <c r="G2" s="5" t="s">
        <v>4</v>
      </c>
      <c r="H2" s="5" t="s">
        <v>5</v>
      </c>
      <c r="I2" s="5" t="s">
        <v>6</v>
      </c>
      <c r="J2" s="5" t="s">
        <v>7</v>
      </c>
      <c r="K2" s="5" t="s">
        <v>8</v>
      </c>
      <c r="L2" s="5" t="s">
        <v>9</v>
      </c>
      <c r="M2" s="5" t="s">
        <v>10</v>
      </c>
      <c r="N2" s="5" t="s">
        <v>11</v>
      </c>
      <c r="O2" s="5" t="s">
        <v>12</v>
      </c>
      <c r="P2" s="5" t="s">
        <v>13</v>
      </c>
      <c r="Q2" s="5" t="s">
        <v>14</v>
      </c>
      <c r="R2" s="5" t="s">
        <v>15</v>
      </c>
      <c r="S2" s="5" t="s">
        <v>16</v>
      </c>
      <c r="T2" s="5" t="s">
        <v>17</v>
      </c>
      <c r="U2" s="5" t="s">
        <v>18</v>
      </c>
      <c r="V2" s="5" t="s">
        <v>19</v>
      </c>
      <c r="W2" s="5" t="s">
        <v>20</v>
      </c>
      <c r="X2" s="5" t="s">
        <v>21</v>
      </c>
      <c r="Y2" s="5" t="s">
        <v>22</v>
      </c>
      <c r="Z2" s="5" t="s">
        <v>23</v>
      </c>
      <c r="AA2" s="5" t="s">
        <v>24</v>
      </c>
      <c r="AB2" s="5" t="s">
        <v>25</v>
      </c>
      <c r="AC2" s="5" t="s">
        <v>26</v>
      </c>
      <c r="AD2" s="5" t="s">
        <v>27</v>
      </c>
      <c r="AE2" s="5" t="s">
        <v>28</v>
      </c>
      <c r="AF2" s="5" t="s">
        <v>29</v>
      </c>
      <c r="AG2" s="5" t="s">
        <v>30</v>
      </c>
      <c r="AH2" s="5" t="s">
        <v>31</v>
      </c>
      <c r="AI2" s="5" t="s">
        <v>32</v>
      </c>
      <c r="AJ2" s="5" t="s">
        <v>33</v>
      </c>
      <c r="AK2" s="5" t="s">
        <v>34</v>
      </c>
      <c r="AL2" s="5" t="s">
        <v>35</v>
      </c>
      <c r="AM2" s="5" t="s">
        <v>36</v>
      </c>
      <c r="AN2" s="5" t="s">
        <v>37</v>
      </c>
      <c r="AO2" s="5" t="s">
        <v>38</v>
      </c>
      <c r="AP2" s="5" t="s">
        <v>39</v>
      </c>
      <c r="AQ2" s="5" t="s">
        <v>40</v>
      </c>
      <c r="AR2" s="5" t="s">
        <v>41</v>
      </c>
      <c r="AS2" s="5" t="s">
        <v>42</v>
      </c>
      <c r="AT2" s="5" t="s">
        <v>43</v>
      </c>
      <c r="AU2" s="5" t="s">
        <v>44</v>
      </c>
      <c r="AV2" s="5" t="s">
        <v>45</v>
      </c>
      <c r="AW2" s="5" t="s">
        <v>46</v>
      </c>
      <c r="AX2" s="5" t="s">
        <v>47</v>
      </c>
      <c r="AY2" s="5" t="s">
        <v>48</v>
      </c>
      <c r="AZ2" s="5" t="s">
        <v>49</v>
      </c>
      <c r="BA2" s="5" t="s">
        <v>50</v>
      </c>
      <c r="BB2" s="5" t="s">
        <v>51</v>
      </c>
      <c r="BC2" s="5" t="s">
        <v>52</v>
      </c>
      <c r="BD2" s="5" t="s">
        <v>53</v>
      </c>
      <c r="BE2" s="5" t="s">
        <v>54</v>
      </c>
      <c r="BF2" s="5" t="s">
        <v>55</v>
      </c>
      <c r="BG2" s="5" t="s">
        <v>56</v>
      </c>
      <c r="BH2" s="5" t="s">
        <v>57</v>
      </c>
      <c r="BI2" s="5" t="s">
        <v>58</v>
      </c>
      <c r="BJ2" s="5" t="s">
        <v>59</v>
      </c>
      <c r="BK2" s="5" t="s">
        <v>60</v>
      </c>
      <c r="BL2" s="5" t="s">
        <v>61</v>
      </c>
      <c r="BM2" s="5" t="s">
        <v>62</v>
      </c>
      <c r="BN2" s="5" t="s">
        <v>63</v>
      </c>
      <c r="BO2" s="5" t="s">
        <v>64</v>
      </c>
      <c r="BP2" s="5" t="s">
        <v>65</v>
      </c>
      <c r="BQ2" s="5" t="s">
        <v>66</v>
      </c>
      <c r="BR2" s="5" t="s">
        <v>67</v>
      </c>
      <c r="BS2" s="5" t="s">
        <v>68</v>
      </c>
      <c r="BT2" s="5" t="s">
        <v>69</v>
      </c>
      <c r="BU2" s="5" t="s">
        <v>70</v>
      </c>
      <c r="BV2" s="5" t="s">
        <v>71</v>
      </c>
      <c r="BW2" s="5" t="s">
        <v>72</v>
      </c>
      <c r="BX2" s="5" t="s">
        <v>73</v>
      </c>
      <c r="BY2" s="5" t="s">
        <v>74</v>
      </c>
      <c r="BZ2" s="5" t="s">
        <v>75</v>
      </c>
      <c r="CA2" s="5" t="s">
        <v>76</v>
      </c>
      <c r="CB2" s="5" t="s">
        <v>77</v>
      </c>
      <c r="CC2" s="5" t="s">
        <v>78</v>
      </c>
      <c r="CD2" s="5" t="s">
        <v>79</v>
      </c>
      <c r="CE2" s="5" t="s">
        <v>80</v>
      </c>
      <c r="CF2" s="5" t="s">
        <v>81</v>
      </c>
      <c r="CG2" s="5" t="s">
        <v>82</v>
      </c>
      <c r="CH2" s="5" t="s">
        <v>83</v>
      </c>
      <c r="CI2" s="5" t="s">
        <v>84</v>
      </c>
      <c r="CJ2" s="5" t="s">
        <v>85</v>
      </c>
      <c r="CK2" s="5" t="s">
        <v>86</v>
      </c>
      <c r="CL2" s="5" t="s">
        <v>87</v>
      </c>
      <c r="CM2" s="5" t="s">
        <v>88</v>
      </c>
      <c r="CN2" s="5" t="s">
        <v>89</v>
      </c>
      <c r="CO2" s="5" t="s">
        <v>90</v>
      </c>
      <c r="CP2" s="5" t="s">
        <v>91</v>
      </c>
      <c r="CQ2" s="5" t="s">
        <v>92</v>
      </c>
      <c r="CR2" s="5" t="s">
        <v>93</v>
      </c>
      <c r="CS2" s="5" t="s">
        <v>94</v>
      </c>
      <c r="CT2" s="5" t="s">
        <v>95</v>
      </c>
      <c r="CU2" s="5" t="s">
        <v>96</v>
      </c>
      <c r="CV2" s="5" t="s">
        <v>97</v>
      </c>
      <c r="CW2" s="5" t="s">
        <v>98</v>
      </c>
      <c r="CX2" s="5" t="s">
        <v>101</v>
      </c>
    </row>
    <row r="3" spans="1:104" ht="21" customHeight="1" x14ac:dyDescent="0.25">
      <c r="A3" s="127">
        <v>1</v>
      </c>
      <c r="B3" s="128">
        <v>1</v>
      </c>
      <c r="C3" s="128">
        <v>1</v>
      </c>
      <c r="D3" s="128">
        <v>1</v>
      </c>
      <c r="E3" s="128">
        <v>1</v>
      </c>
      <c r="F3" s="128">
        <v>1</v>
      </c>
      <c r="G3" s="128">
        <v>1</v>
      </c>
      <c r="H3" s="128">
        <v>1</v>
      </c>
      <c r="I3" s="128">
        <v>1</v>
      </c>
      <c r="J3" s="128">
        <v>1</v>
      </c>
      <c r="K3" s="128">
        <v>1</v>
      </c>
      <c r="L3" s="128">
        <v>1</v>
      </c>
      <c r="M3" s="128">
        <v>1</v>
      </c>
      <c r="N3" s="128">
        <v>1</v>
      </c>
      <c r="O3" s="128">
        <v>1</v>
      </c>
      <c r="P3" s="128">
        <v>1</v>
      </c>
      <c r="Q3" s="128">
        <v>1</v>
      </c>
      <c r="R3" s="128">
        <v>1</v>
      </c>
      <c r="S3" s="128">
        <v>1</v>
      </c>
      <c r="T3" s="128">
        <v>1</v>
      </c>
      <c r="U3" s="128">
        <v>1</v>
      </c>
      <c r="V3" s="128">
        <v>1</v>
      </c>
      <c r="W3" s="128">
        <v>1</v>
      </c>
      <c r="X3" s="128">
        <v>1</v>
      </c>
      <c r="Y3" s="128">
        <v>1</v>
      </c>
      <c r="Z3" s="128">
        <v>1</v>
      </c>
      <c r="AA3" s="128">
        <v>1</v>
      </c>
      <c r="AB3" s="128">
        <v>1</v>
      </c>
      <c r="AC3" s="128">
        <v>1</v>
      </c>
      <c r="AD3" s="128">
        <v>1</v>
      </c>
      <c r="AE3" s="128">
        <v>1</v>
      </c>
      <c r="AF3" s="128">
        <v>1</v>
      </c>
      <c r="AG3" s="128">
        <v>1</v>
      </c>
      <c r="AH3" s="128">
        <v>1</v>
      </c>
      <c r="AI3" s="128">
        <v>1</v>
      </c>
      <c r="AJ3" s="128">
        <v>1</v>
      </c>
      <c r="AK3" s="128">
        <v>1</v>
      </c>
      <c r="AL3" s="128">
        <v>1</v>
      </c>
      <c r="AM3" s="128">
        <v>1</v>
      </c>
      <c r="AN3" s="128">
        <v>1</v>
      </c>
      <c r="AO3" s="128">
        <v>1</v>
      </c>
      <c r="AP3" s="128">
        <v>1</v>
      </c>
      <c r="AQ3" s="128">
        <v>1</v>
      </c>
      <c r="AR3" s="128">
        <v>1</v>
      </c>
      <c r="AS3" s="128">
        <v>1</v>
      </c>
      <c r="AT3" s="128">
        <v>1</v>
      </c>
      <c r="AU3" s="128">
        <v>1</v>
      </c>
      <c r="AV3" s="128">
        <v>1</v>
      </c>
      <c r="AW3" s="128">
        <v>1</v>
      </c>
      <c r="AX3" s="128">
        <v>1</v>
      </c>
      <c r="AY3" s="128">
        <v>1</v>
      </c>
      <c r="AZ3" s="128">
        <v>1</v>
      </c>
      <c r="BA3" s="128">
        <v>1</v>
      </c>
      <c r="BB3" s="128">
        <v>1</v>
      </c>
      <c r="BC3" s="128">
        <v>1</v>
      </c>
      <c r="BD3" s="128">
        <v>1</v>
      </c>
      <c r="BE3" s="128">
        <v>1</v>
      </c>
      <c r="BF3" s="128">
        <v>1</v>
      </c>
      <c r="BG3" s="128">
        <v>1</v>
      </c>
      <c r="BH3" s="128">
        <v>1</v>
      </c>
      <c r="BI3" s="128">
        <v>1</v>
      </c>
      <c r="BJ3" s="128">
        <v>1</v>
      </c>
      <c r="BK3" s="128">
        <v>1</v>
      </c>
      <c r="BL3" s="128">
        <v>1</v>
      </c>
      <c r="BM3" s="128">
        <v>1</v>
      </c>
      <c r="BN3" s="128">
        <v>1</v>
      </c>
      <c r="BO3" s="128">
        <v>1</v>
      </c>
      <c r="BP3" s="128">
        <v>1</v>
      </c>
      <c r="BQ3" s="128">
        <v>1</v>
      </c>
      <c r="BR3" s="128">
        <v>1</v>
      </c>
      <c r="BS3" s="128">
        <v>1</v>
      </c>
      <c r="BT3" s="128">
        <v>1</v>
      </c>
      <c r="BU3" s="128">
        <v>1</v>
      </c>
      <c r="BV3" s="128">
        <v>1</v>
      </c>
      <c r="BW3" s="128">
        <v>1</v>
      </c>
      <c r="BX3" s="128">
        <v>1</v>
      </c>
      <c r="BY3" s="128">
        <v>1</v>
      </c>
      <c r="BZ3" s="128">
        <v>1</v>
      </c>
      <c r="CA3" s="128">
        <v>1</v>
      </c>
      <c r="CB3" s="128">
        <v>1</v>
      </c>
      <c r="CC3" s="128">
        <v>1</v>
      </c>
      <c r="CD3" s="128">
        <v>1</v>
      </c>
      <c r="CE3" s="128">
        <v>1</v>
      </c>
      <c r="CF3" s="128">
        <v>1</v>
      </c>
      <c r="CG3" s="128">
        <v>1</v>
      </c>
      <c r="CH3" s="128">
        <v>1</v>
      </c>
      <c r="CI3" s="128">
        <v>1</v>
      </c>
      <c r="CJ3" s="128">
        <v>1</v>
      </c>
      <c r="CK3" s="128">
        <v>1</v>
      </c>
      <c r="CL3" s="128">
        <v>1</v>
      </c>
      <c r="CM3" s="128">
        <v>1</v>
      </c>
      <c r="CN3" s="128">
        <v>1</v>
      </c>
      <c r="CO3" s="128">
        <v>1</v>
      </c>
      <c r="CP3" s="128">
        <v>1</v>
      </c>
      <c r="CQ3" s="128">
        <v>1</v>
      </c>
      <c r="CR3" s="128">
        <v>1</v>
      </c>
      <c r="CS3" s="128">
        <v>1</v>
      </c>
      <c r="CT3" s="128">
        <v>1</v>
      </c>
      <c r="CU3" s="128">
        <v>1</v>
      </c>
      <c r="CV3" s="128">
        <v>1</v>
      </c>
      <c r="CW3" s="128">
        <v>1</v>
      </c>
      <c r="CX3" s="128">
        <v>1</v>
      </c>
      <c r="CZ3" s="126">
        <f>SUMIF(MatrixF1[[1]:[2]],MatrixF1[[#This Row],[Столбец1]])/MatrixF1[[#This Row],[Столбец1]]</f>
        <v>201</v>
      </c>
    </row>
    <row r="4" spans="1:104" ht="21" customHeight="1" x14ac:dyDescent="0.25">
      <c r="A4" s="127">
        <v>1.01</v>
      </c>
      <c r="B4" s="128">
        <v>1</v>
      </c>
      <c r="C4" s="128">
        <v>1.01</v>
      </c>
      <c r="D4" s="128">
        <v>1.01</v>
      </c>
      <c r="E4" s="128">
        <v>1.01</v>
      </c>
      <c r="F4" s="128">
        <v>1.01</v>
      </c>
      <c r="G4" s="128">
        <v>1.01</v>
      </c>
      <c r="H4" s="128">
        <v>1.01</v>
      </c>
      <c r="I4" s="128">
        <v>1.01</v>
      </c>
      <c r="J4" s="128">
        <v>1.01</v>
      </c>
      <c r="K4" s="128">
        <v>1.01</v>
      </c>
      <c r="L4" s="128">
        <v>1.01</v>
      </c>
      <c r="M4" s="128">
        <v>1.01</v>
      </c>
      <c r="N4" s="128">
        <v>1.01</v>
      </c>
      <c r="O4" s="128">
        <v>1.01</v>
      </c>
      <c r="P4" s="128">
        <v>1.01</v>
      </c>
      <c r="Q4" s="128">
        <v>1.01</v>
      </c>
      <c r="R4" s="128">
        <v>1.01</v>
      </c>
      <c r="S4" s="128">
        <v>1.01</v>
      </c>
      <c r="T4" s="128">
        <v>1.01</v>
      </c>
      <c r="U4" s="128">
        <v>1.01</v>
      </c>
      <c r="V4" s="128">
        <v>1.01</v>
      </c>
      <c r="W4" s="128">
        <v>1.01</v>
      </c>
      <c r="X4" s="128">
        <v>1.01</v>
      </c>
      <c r="Y4" s="128">
        <v>1.01</v>
      </c>
      <c r="Z4" s="128">
        <v>1.01</v>
      </c>
      <c r="AA4" s="128">
        <v>1.01</v>
      </c>
      <c r="AB4" s="128">
        <v>1.01</v>
      </c>
      <c r="AC4" s="128">
        <v>1.01</v>
      </c>
      <c r="AD4" s="128">
        <v>1.01</v>
      </c>
      <c r="AE4" s="128">
        <v>1.01</v>
      </c>
      <c r="AF4" s="128">
        <v>1.01</v>
      </c>
      <c r="AG4" s="128">
        <v>1.01</v>
      </c>
      <c r="AH4" s="128">
        <v>1.01</v>
      </c>
      <c r="AI4" s="128">
        <v>1.01</v>
      </c>
      <c r="AJ4" s="128">
        <v>1.01</v>
      </c>
      <c r="AK4" s="128">
        <v>1.02</v>
      </c>
      <c r="AL4" s="128">
        <v>1.02</v>
      </c>
      <c r="AM4" s="128">
        <v>1.02</v>
      </c>
      <c r="AN4" s="128">
        <v>1.02</v>
      </c>
      <c r="AO4" s="128">
        <v>1.02</v>
      </c>
      <c r="AP4" s="128">
        <v>1.02</v>
      </c>
      <c r="AQ4" s="128">
        <v>1.02</v>
      </c>
      <c r="AR4" s="128">
        <v>1.02</v>
      </c>
      <c r="AS4" s="128">
        <v>1.02</v>
      </c>
      <c r="AT4" s="128">
        <v>1.02</v>
      </c>
      <c r="AU4" s="128">
        <v>1.02</v>
      </c>
      <c r="AV4" s="128">
        <v>1.02</v>
      </c>
      <c r="AW4" s="128">
        <v>1.02</v>
      </c>
      <c r="AX4" s="128">
        <v>1.02</v>
      </c>
      <c r="AY4" s="128">
        <v>1.02</v>
      </c>
      <c r="AZ4" s="128">
        <v>1.02</v>
      </c>
      <c r="BA4" s="128">
        <v>1.02</v>
      </c>
      <c r="BB4" s="128">
        <v>1.02</v>
      </c>
      <c r="BC4" s="128">
        <v>1.02</v>
      </c>
      <c r="BD4" s="128">
        <v>1.02</v>
      </c>
      <c r="BE4" s="128">
        <v>1.02</v>
      </c>
      <c r="BF4" s="128">
        <v>1.02</v>
      </c>
      <c r="BG4" s="128">
        <v>1.02</v>
      </c>
      <c r="BH4" s="128">
        <v>1.02</v>
      </c>
      <c r="BI4" s="128">
        <v>1.02</v>
      </c>
      <c r="BJ4" s="128">
        <v>1.02</v>
      </c>
      <c r="BK4" s="128">
        <v>1.02</v>
      </c>
      <c r="BL4" s="128">
        <v>1.02</v>
      </c>
      <c r="BM4" s="128">
        <v>1.02</v>
      </c>
      <c r="BN4" s="128">
        <v>1.02</v>
      </c>
      <c r="BO4" s="128">
        <v>1.02</v>
      </c>
      <c r="BP4" s="128">
        <v>1.01</v>
      </c>
      <c r="BQ4" s="128">
        <v>1.01</v>
      </c>
      <c r="BR4" s="128">
        <v>1.01</v>
      </c>
      <c r="BS4" s="128">
        <v>1.01</v>
      </c>
      <c r="BT4" s="128">
        <v>1.01</v>
      </c>
      <c r="BU4" s="128">
        <v>1.01</v>
      </c>
      <c r="BV4" s="128">
        <v>1.01</v>
      </c>
      <c r="BW4" s="128">
        <v>1.01</v>
      </c>
      <c r="BX4" s="128">
        <v>1.01</v>
      </c>
      <c r="BY4" s="128">
        <v>1.01</v>
      </c>
      <c r="BZ4" s="128">
        <v>1.01</v>
      </c>
      <c r="CA4" s="128">
        <v>1.01</v>
      </c>
      <c r="CB4" s="128">
        <v>1.01</v>
      </c>
      <c r="CC4" s="128">
        <v>1.01</v>
      </c>
      <c r="CD4" s="128">
        <v>1.01</v>
      </c>
      <c r="CE4" s="128">
        <v>1.01</v>
      </c>
      <c r="CF4" s="128">
        <v>1.01</v>
      </c>
      <c r="CG4" s="128">
        <v>1.01</v>
      </c>
      <c r="CH4" s="128">
        <v>1.01</v>
      </c>
      <c r="CI4" s="128">
        <v>1.01</v>
      </c>
      <c r="CJ4" s="128">
        <v>1.01</v>
      </c>
      <c r="CK4" s="128">
        <v>1.01</v>
      </c>
      <c r="CL4" s="128">
        <v>1.01</v>
      </c>
      <c r="CM4" s="128">
        <v>1.01</v>
      </c>
      <c r="CN4" s="128">
        <v>1.01</v>
      </c>
      <c r="CO4" s="128">
        <v>1.01</v>
      </c>
      <c r="CP4" s="128">
        <v>1.01</v>
      </c>
      <c r="CQ4" s="128">
        <v>1.01</v>
      </c>
      <c r="CR4" s="128">
        <v>1.01</v>
      </c>
      <c r="CS4" s="128">
        <v>1.01</v>
      </c>
      <c r="CT4" s="128">
        <v>1.01</v>
      </c>
      <c r="CU4" s="128">
        <v>1.01</v>
      </c>
      <c r="CV4" s="128">
        <v>1.01</v>
      </c>
      <c r="CW4" s="128">
        <v>1.01</v>
      </c>
      <c r="CX4" s="128">
        <v>1.01</v>
      </c>
      <c r="CZ4" s="126">
        <f>SUMIF(MatrixF1[[1]:[2]],MatrixF1[[#This Row],[Столбец1]])/MatrixF1[[#This Row],[Столбец1]]</f>
        <v>137.00000000000017</v>
      </c>
    </row>
    <row r="5" spans="1:104" ht="21" customHeight="1" x14ac:dyDescent="0.25">
      <c r="A5" s="127">
        <v>1.02</v>
      </c>
      <c r="B5" s="128">
        <v>1</v>
      </c>
      <c r="C5" s="128">
        <v>1.01</v>
      </c>
      <c r="D5" s="128">
        <v>1.02</v>
      </c>
      <c r="E5" s="128">
        <v>1.02</v>
      </c>
      <c r="F5" s="128">
        <v>1.02</v>
      </c>
      <c r="G5" s="128">
        <v>1.02</v>
      </c>
      <c r="H5" s="128">
        <v>1.02</v>
      </c>
      <c r="I5" s="128">
        <v>1.02</v>
      </c>
      <c r="J5" s="128">
        <v>1.02</v>
      </c>
      <c r="K5" s="128">
        <v>1.02</v>
      </c>
      <c r="L5" s="128">
        <v>1.02</v>
      </c>
      <c r="M5" s="128">
        <v>1.02</v>
      </c>
      <c r="N5" s="128">
        <v>1.02</v>
      </c>
      <c r="O5" s="128">
        <v>1.02</v>
      </c>
      <c r="P5" s="128">
        <v>1.02</v>
      </c>
      <c r="Q5" s="128">
        <v>1.02</v>
      </c>
      <c r="R5" s="128">
        <v>1.02</v>
      </c>
      <c r="S5" s="128">
        <v>1.02</v>
      </c>
      <c r="T5" s="128">
        <v>1.02</v>
      </c>
      <c r="U5" s="128">
        <v>1.02</v>
      </c>
      <c r="V5" s="128">
        <v>1.02</v>
      </c>
      <c r="W5" s="128">
        <v>1.02</v>
      </c>
      <c r="X5" s="128">
        <v>1.03</v>
      </c>
      <c r="Y5" s="128">
        <v>1.03</v>
      </c>
      <c r="Z5" s="128">
        <v>1.03</v>
      </c>
      <c r="AA5" s="128">
        <v>1.03</v>
      </c>
      <c r="AB5" s="128">
        <v>1.03</v>
      </c>
      <c r="AC5" s="128">
        <v>1.03</v>
      </c>
      <c r="AD5" s="128">
        <v>1.03</v>
      </c>
      <c r="AE5" s="128">
        <v>1.03</v>
      </c>
      <c r="AF5" s="128">
        <v>1.03</v>
      </c>
      <c r="AG5" s="128">
        <v>1.03</v>
      </c>
      <c r="AH5" s="128">
        <v>1.03</v>
      </c>
      <c r="AI5" s="128">
        <v>1.03</v>
      </c>
      <c r="AJ5" s="128">
        <v>1.03</v>
      </c>
      <c r="AK5" s="128">
        <v>1.03</v>
      </c>
      <c r="AL5" s="128">
        <v>1.03</v>
      </c>
      <c r="AM5" s="128">
        <v>1.03</v>
      </c>
      <c r="AN5" s="128">
        <v>1.03</v>
      </c>
      <c r="AO5" s="128">
        <v>1.03</v>
      </c>
      <c r="AP5" s="128">
        <v>1.03</v>
      </c>
      <c r="AQ5" s="128">
        <v>1.03</v>
      </c>
      <c r="AR5" s="128">
        <v>1.03</v>
      </c>
      <c r="AS5" s="128">
        <v>1.03</v>
      </c>
      <c r="AT5" s="128">
        <v>1.03</v>
      </c>
      <c r="AU5" s="128">
        <v>1.04</v>
      </c>
      <c r="AV5" s="128">
        <v>1.04</v>
      </c>
      <c r="AW5" s="128">
        <v>1.04</v>
      </c>
      <c r="AX5" s="128">
        <v>1.04</v>
      </c>
      <c r="AY5" s="128">
        <v>1.04</v>
      </c>
      <c r="AZ5" s="128">
        <v>1.04</v>
      </c>
      <c r="BA5" s="128">
        <v>1.04</v>
      </c>
      <c r="BB5" s="128">
        <v>1.04</v>
      </c>
      <c r="BC5" s="128">
        <v>1.04</v>
      </c>
      <c r="BD5" s="128">
        <v>1.04</v>
      </c>
      <c r="BE5" s="128">
        <v>1.04</v>
      </c>
      <c r="BF5" s="128">
        <v>1.03</v>
      </c>
      <c r="BG5" s="128">
        <v>1.03</v>
      </c>
      <c r="BH5" s="128">
        <v>1.03</v>
      </c>
      <c r="BI5" s="128">
        <v>1.03</v>
      </c>
      <c r="BJ5" s="128">
        <v>1.03</v>
      </c>
      <c r="BK5" s="128">
        <v>1.03</v>
      </c>
      <c r="BL5" s="128">
        <v>1.03</v>
      </c>
      <c r="BM5" s="128">
        <v>1.03</v>
      </c>
      <c r="BN5" s="128">
        <v>1.03</v>
      </c>
      <c r="BO5" s="128">
        <v>1.03</v>
      </c>
      <c r="BP5" s="128">
        <v>1.03</v>
      </c>
      <c r="BQ5" s="128">
        <v>1.03</v>
      </c>
      <c r="BR5" s="128">
        <v>1.03</v>
      </c>
      <c r="BS5" s="128">
        <v>1.03</v>
      </c>
      <c r="BT5" s="128">
        <v>1.03</v>
      </c>
      <c r="BU5" s="128">
        <v>1.03</v>
      </c>
      <c r="BV5" s="128">
        <v>1.03</v>
      </c>
      <c r="BW5" s="128">
        <v>1.03</v>
      </c>
      <c r="BX5" s="128">
        <v>1.03</v>
      </c>
      <c r="BY5" s="128">
        <v>1.03</v>
      </c>
      <c r="BZ5" s="128">
        <v>1.03</v>
      </c>
      <c r="CA5" s="128">
        <v>1.03</v>
      </c>
      <c r="CB5" s="128">
        <v>1.03</v>
      </c>
      <c r="CC5" s="128">
        <v>1.02</v>
      </c>
      <c r="CD5" s="128">
        <v>1.02</v>
      </c>
      <c r="CE5" s="128">
        <v>1.02</v>
      </c>
      <c r="CF5" s="128">
        <v>1.02</v>
      </c>
      <c r="CG5" s="128">
        <v>1.02</v>
      </c>
      <c r="CH5" s="128">
        <v>1.02</v>
      </c>
      <c r="CI5" s="128">
        <v>1.02</v>
      </c>
      <c r="CJ5" s="128">
        <v>1.02</v>
      </c>
      <c r="CK5" s="128">
        <v>1.02</v>
      </c>
      <c r="CL5" s="128">
        <v>1.02</v>
      </c>
      <c r="CM5" s="128">
        <v>1.02</v>
      </c>
      <c r="CN5" s="128">
        <v>1.02</v>
      </c>
      <c r="CO5" s="128">
        <v>1.02</v>
      </c>
      <c r="CP5" s="128">
        <v>1.02</v>
      </c>
      <c r="CQ5" s="128">
        <v>1.02</v>
      </c>
      <c r="CR5" s="128">
        <v>1.02</v>
      </c>
      <c r="CS5" s="128">
        <v>1.02</v>
      </c>
      <c r="CT5" s="128">
        <v>1.02</v>
      </c>
      <c r="CU5" s="128">
        <v>1.02</v>
      </c>
      <c r="CV5" s="128">
        <v>1.02</v>
      </c>
      <c r="CW5" s="128">
        <v>1.02</v>
      </c>
      <c r="CX5" s="128">
        <v>1.02</v>
      </c>
      <c r="CZ5" s="126">
        <f>SUMIF(MatrixF1[[1]:[2]],MatrixF1[[#This Row],[Столбец1]])/MatrixF1[[#This Row],[Столбец1]]</f>
        <v>145.00000000000003</v>
      </c>
    </row>
    <row r="6" spans="1:104" ht="21" customHeight="1" x14ac:dyDescent="0.25">
      <c r="A6" s="127">
        <v>1.03</v>
      </c>
      <c r="B6" s="128">
        <v>1</v>
      </c>
      <c r="C6" s="128">
        <v>1.01</v>
      </c>
      <c r="D6" s="128">
        <v>1.02</v>
      </c>
      <c r="E6" s="128">
        <v>1.03</v>
      </c>
      <c r="F6" s="128">
        <v>1.03</v>
      </c>
      <c r="G6" s="128">
        <v>1.03</v>
      </c>
      <c r="H6" s="128">
        <v>1.03</v>
      </c>
      <c r="I6" s="128">
        <v>1.03</v>
      </c>
      <c r="J6" s="128">
        <v>1.03</v>
      </c>
      <c r="K6" s="128">
        <v>1.03</v>
      </c>
      <c r="L6" s="128">
        <v>1.03</v>
      </c>
      <c r="M6" s="128">
        <v>1.03</v>
      </c>
      <c r="N6" s="128">
        <v>1.03</v>
      </c>
      <c r="O6" s="128">
        <v>1.03</v>
      </c>
      <c r="P6" s="128">
        <v>1.03</v>
      </c>
      <c r="Q6" s="128">
        <v>1.03</v>
      </c>
      <c r="R6" s="128">
        <v>1.03</v>
      </c>
      <c r="S6" s="128">
        <v>1.03</v>
      </c>
      <c r="T6" s="128">
        <v>1.04</v>
      </c>
      <c r="U6" s="128">
        <v>1.04</v>
      </c>
      <c r="V6" s="128">
        <v>1.04</v>
      </c>
      <c r="W6" s="128">
        <v>1.04</v>
      </c>
      <c r="X6" s="128">
        <v>1.04</v>
      </c>
      <c r="Y6" s="128">
        <v>1.04</v>
      </c>
      <c r="Z6" s="128">
        <v>1.04</v>
      </c>
      <c r="AA6" s="128">
        <v>1.04</v>
      </c>
      <c r="AB6" s="128">
        <v>1.04</v>
      </c>
      <c r="AC6" s="128">
        <v>1.04</v>
      </c>
      <c r="AD6" s="128">
        <v>1.04</v>
      </c>
      <c r="AE6" s="128">
        <v>1.04</v>
      </c>
      <c r="AF6" s="128">
        <v>1.04</v>
      </c>
      <c r="AG6" s="128">
        <v>1.04</v>
      </c>
      <c r="AH6" s="128">
        <v>1.04</v>
      </c>
      <c r="AI6" s="128">
        <v>1.04</v>
      </c>
      <c r="AJ6" s="128">
        <v>1.04</v>
      </c>
      <c r="AK6" s="128">
        <v>1.04</v>
      </c>
      <c r="AL6" s="128">
        <v>1.04</v>
      </c>
      <c r="AM6" s="128">
        <v>1.05</v>
      </c>
      <c r="AN6" s="128">
        <v>1.05</v>
      </c>
      <c r="AO6" s="128">
        <v>1.05</v>
      </c>
      <c r="AP6" s="128">
        <v>1.05</v>
      </c>
      <c r="AQ6" s="128">
        <v>1.05</v>
      </c>
      <c r="AR6" s="128">
        <v>1.05</v>
      </c>
      <c r="AS6" s="128">
        <v>1.05</v>
      </c>
      <c r="AT6" s="128">
        <v>1.05</v>
      </c>
      <c r="AU6" s="128">
        <v>1.05</v>
      </c>
      <c r="AV6" s="128">
        <v>1.05</v>
      </c>
      <c r="AW6" s="128">
        <v>1.05</v>
      </c>
      <c r="AX6" s="128">
        <v>1.05</v>
      </c>
      <c r="AY6" s="128">
        <v>1.06</v>
      </c>
      <c r="AZ6" s="128">
        <v>1.06</v>
      </c>
      <c r="BA6" s="128">
        <v>1.06</v>
      </c>
      <c r="BB6" s="128">
        <v>1.05</v>
      </c>
      <c r="BC6" s="128">
        <v>1.05</v>
      </c>
      <c r="BD6" s="128">
        <v>1.05</v>
      </c>
      <c r="BE6" s="128">
        <v>1.05</v>
      </c>
      <c r="BF6" s="128">
        <v>1.05</v>
      </c>
      <c r="BG6" s="128">
        <v>1.05</v>
      </c>
      <c r="BH6" s="128">
        <v>1.05</v>
      </c>
      <c r="BI6" s="128">
        <v>1.05</v>
      </c>
      <c r="BJ6" s="128">
        <v>1.05</v>
      </c>
      <c r="BK6" s="128">
        <v>1.05</v>
      </c>
      <c r="BL6" s="128">
        <v>1.05</v>
      </c>
      <c r="BM6" s="128">
        <v>1.05</v>
      </c>
      <c r="BN6" s="128">
        <v>1.04</v>
      </c>
      <c r="BO6" s="128">
        <v>1.04</v>
      </c>
      <c r="BP6" s="128">
        <v>1.04</v>
      </c>
      <c r="BQ6" s="128">
        <v>1.04</v>
      </c>
      <c r="BR6" s="128">
        <v>1.04</v>
      </c>
      <c r="BS6" s="128">
        <v>1.04</v>
      </c>
      <c r="BT6" s="128">
        <v>1.04</v>
      </c>
      <c r="BU6" s="128">
        <v>1.04</v>
      </c>
      <c r="BV6" s="128">
        <v>1.04</v>
      </c>
      <c r="BW6" s="128">
        <v>1.04</v>
      </c>
      <c r="BX6" s="128">
        <v>1.04</v>
      </c>
      <c r="BY6" s="128">
        <v>1.04</v>
      </c>
      <c r="BZ6" s="128">
        <v>1.04</v>
      </c>
      <c r="CA6" s="128">
        <v>1.04</v>
      </c>
      <c r="CB6" s="128">
        <v>1.04</v>
      </c>
      <c r="CC6" s="128">
        <v>1.04</v>
      </c>
      <c r="CD6" s="128">
        <v>1.04</v>
      </c>
      <c r="CE6" s="128">
        <v>1.04</v>
      </c>
      <c r="CF6" s="128">
        <v>1.04</v>
      </c>
      <c r="CG6" s="128">
        <v>1.03</v>
      </c>
      <c r="CH6" s="128">
        <v>1.03</v>
      </c>
      <c r="CI6" s="128">
        <v>1.03</v>
      </c>
      <c r="CJ6" s="128">
        <v>1.03</v>
      </c>
      <c r="CK6" s="128">
        <v>1.03</v>
      </c>
      <c r="CL6" s="128">
        <v>1.03</v>
      </c>
      <c r="CM6" s="128">
        <v>1.03</v>
      </c>
      <c r="CN6" s="128">
        <v>1.03</v>
      </c>
      <c r="CO6" s="128">
        <v>1.03</v>
      </c>
      <c r="CP6" s="128">
        <v>1.03</v>
      </c>
      <c r="CQ6" s="128">
        <v>1.03</v>
      </c>
      <c r="CR6" s="128">
        <v>1.03</v>
      </c>
      <c r="CS6" s="128">
        <v>1.03</v>
      </c>
      <c r="CT6" s="128">
        <v>1.03</v>
      </c>
      <c r="CU6" s="128">
        <v>1.03</v>
      </c>
      <c r="CV6" s="128">
        <v>1.03</v>
      </c>
      <c r="CW6" s="128">
        <v>1.03</v>
      </c>
      <c r="CX6" s="128">
        <v>1.03</v>
      </c>
      <c r="CZ6" s="126">
        <f>SUMIF(MatrixF1[[1]:[2]],MatrixF1[[#This Row],[Столбец1]])/MatrixF1[[#This Row],[Столбец1]]</f>
        <v>157.00000000000014</v>
      </c>
    </row>
    <row r="7" spans="1:104" ht="21" customHeight="1" x14ac:dyDescent="0.25">
      <c r="A7" s="127">
        <v>1.04</v>
      </c>
      <c r="B7" s="128">
        <v>1</v>
      </c>
      <c r="C7" s="128">
        <v>1.01</v>
      </c>
      <c r="D7" s="128">
        <v>1.02</v>
      </c>
      <c r="E7" s="128">
        <v>1.03</v>
      </c>
      <c r="F7" s="128">
        <v>1.04</v>
      </c>
      <c r="G7" s="128">
        <v>1.04</v>
      </c>
      <c r="H7" s="128">
        <v>1.04</v>
      </c>
      <c r="I7" s="128">
        <v>1.04</v>
      </c>
      <c r="J7" s="128">
        <v>1.04</v>
      </c>
      <c r="K7" s="128">
        <v>1.04</v>
      </c>
      <c r="L7" s="128">
        <v>1.04</v>
      </c>
      <c r="M7" s="128">
        <v>1.04</v>
      </c>
      <c r="N7" s="128">
        <v>1.04</v>
      </c>
      <c r="O7" s="128">
        <v>1.04</v>
      </c>
      <c r="P7" s="128">
        <v>1.04</v>
      </c>
      <c r="Q7" s="128">
        <v>1.04</v>
      </c>
      <c r="R7" s="128">
        <v>1.05</v>
      </c>
      <c r="S7" s="128">
        <v>1.05</v>
      </c>
      <c r="T7" s="128">
        <v>1.05</v>
      </c>
      <c r="U7" s="128">
        <v>1.05</v>
      </c>
      <c r="V7" s="128">
        <v>1.05</v>
      </c>
      <c r="W7" s="128">
        <v>1.05</v>
      </c>
      <c r="X7" s="128">
        <v>1.05</v>
      </c>
      <c r="Y7" s="128">
        <v>1.05</v>
      </c>
      <c r="Z7" s="128">
        <v>1.05</v>
      </c>
      <c r="AA7" s="128">
        <v>1.05</v>
      </c>
      <c r="AB7" s="128">
        <v>1.05</v>
      </c>
      <c r="AC7" s="128">
        <v>1.05</v>
      </c>
      <c r="AD7" s="128">
        <v>1.05</v>
      </c>
      <c r="AE7" s="128">
        <v>1.05</v>
      </c>
      <c r="AF7" s="128">
        <v>1.05</v>
      </c>
      <c r="AG7" s="128">
        <v>1.05</v>
      </c>
      <c r="AH7" s="128">
        <v>1.06</v>
      </c>
      <c r="AI7" s="128">
        <v>1.06</v>
      </c>
      <c r="AJ7" s="128">
        <v>1.06</v>
      </c>
      <c r="AK7" s="128">
        <v>1.06</v>
      </c>
      <c r="AL7" s="128">
        <v>1.06</v>
      </c>
      <c r="AM7" s="128">
        <v>1.06</v>
      </c>
      <c r="AN7" s="128">
        <v>1.06</v>
      </c>
      <c r="AO7" s="128">
        <v>1.06</v>
      </c>
      <c r="AP7" s="128">
        <v>1.06</v>
      </c>
      <c r="AQ7" s="128">
        <v>1.06</v>
      </c>
      <c r="AR7" s="128">
        <v>1.06</v>
      </c>
      <c r="AS7" s="128">
        <v>1.07</v>
      </c>
      <c r="AT7" s="128">
        <v>1.07</v>
      </c>
      <c r="AU7" s="128">
        <v>1.07</v>
      </c>
      <c r="AV7" s="128">
        <v>1.07</v>
      </c>
      <c r="AW7" s="128">
        <v>1.07</v>
      </c>
      <c r="AX7" s="128">
        <v>1.07</v>
      </c>
      <c r="AY7" s="128">
        <v>1.07</v>
      </c>
      <c r="AZ7" s="128">
        <v>1.07</v>
      </c>
      <c r="BA7" s="128">
        <v>1.07</v>
      </c>
      <c r="BB7" s="128">
        <v>1.07</v>
      </c>
      <c r="BC7" s="128">
        <v>1.07</v>
      </c>
      <c r="BD7" s="128">
        <v>1.07</v>
      </c>
      <c r="BE7" s="128">
        <v>1.07</v>
      </c>
      <c r="BF7" s="128">
        <v>1.07</v>
      </c>
      <c r="BG7" s="128">
        <v>1.07</v>
      </c>
      <c r="BH7" s="128">
        <v>1.06</v>
      </c>
      <c r="BI7" s="128">
        <v>1.06</v>
      </c>
      <c r="BJ7" s="128">
        <v>1.06</v>
      </c>
      <c r="BK7" s="128">
        <v>1.06</v>
      </c>
      <c r="BL7" s="128">
        <v>1.06</v>
      </c>
      <c r="BM7" s="128">
        <v>1.06</v>
      </c>
      <c r="BN7" s="128">
        <v>1.06</v>
      </c>
      <c r="BO7" s="128">
        <v>1.06</v>
      </c>
      <c r="BP7" s="128">
        <v>1.06</v>
      </c>
      <c r="BQ7" s="128">
        <v>1.06</v>
      </c>
      <c r="BR7" s="128">
        <v>1.06</v>
      </c>
      <c r="BS7" s="128">
        <v>1.05</v>
      </c>
      <c r="BT7" s="128">
        <v>1.05</v>
      </c>
      <c r="BU7" s="128">
        <v>1.05</v>
      </c>
      <c r="BV7" s="128">
        <v>1.05</v>
      </c>
      <c r="BW7" s="128">
        <v>1.05</v>
      </c>
      <c r="BX7" s="128">
        <v>1.05</v>
      </c>
      <c r="BY7" s="128">
        <v>1.05</v>
      </c>
      <c r="BZ7" s="128">
        <v>1.05</v>
      </c>
      <c r="CA7" s="128">
        <v>1.05</v>
      </c>
      <c r="CB7" s="128">
        <v>1.05</v>
      </c>
      <c r="CC7" s="128">
        <v>1.05</v>
      </c>
      <c r="CD7" s="128">
        <v>1.05</v>
      </c>
      <c r="CE7" s="128">
        <v>1.05</v>
      </c>
      <c r="CF7" s="128">
        <v>1.05</v>
      </c>
      <c r="CG7" s="128">
        <v>1.05</v>
      </c>
      <c r="CH7" s="128">
        <v>1.05</v>
      </c>
      <c r="CI7" s="128">
        <v>1.04</v>
      </c>
      <c r="CJ7" s="128">
        <v>1.04</v>
      </c>
      <c r="CK7" s="128">
        <v>1.04</v>
      </c>
      <c r="CL7" s="128">
        <v>1.04</v>
      </c>
      <c r="CM7" s="128">
        <v>1.04</v>
      </c>
      <c r="CN7" s="128">
        <v>1.04</v>
      </c>
      <c r="CO7" s="128">
        <v>1.04</v>
      </c>
      <c r="CP7" s="128">
        <v>1.04</v>
      </c>
      <c r="CQ7" s="128">
        <v>1.04</v>
      </c>
      <c r="CR7" s="128">
        <v>1.04</v>
      </c>
      <c r="CS7" s="128">
        <v>1.04</v>
      </c>
      <c r="CT7" s="128">
        <v>1.04</v>
      </c>
      <c r="CU7" s="128">
        <v>1.04</v>
      </c>
      <c r="CV7" s="128">
        <v>1.04</v>
      </c>
      <c r="CW7" s="128">
        <v>1.04</v>
      </c>
      <c r="CX7" s="128">
        <v>1.04</v>
      </c>
      <c r="CZ7" s="126">
        <f>SUMIF(MatrixF1[[1]:[2]],MatrixF1[[#This Row],[Столбец1]])/MatrixF1[[#This Row],[Столбец1]]</f>
        <v>153.00000000000011</v>
      </c>
    </row>
    <row r="8" spans="1:104" ht="21" customHeight="1" x14ac:dyDescent="0.25">
      <c r="A8" s="127">
        <v>1.05</v>
      </c>
      <c r="B8" s="128">
        <v>1</v>
      </c>
      <c r="C8" s="128">
        <v>1.01</v>
      </c>
      <c r="D8" s="128">
        <v>1.02</v>
      </c>
      <c r="E8" s="128">
        <v>1.03</v>
      </c>
      <c r="F8" s="128">
        <v>1.04</v>
      </c>
      <c r="G8" s="128">
        <v>1.05</v>
      </c>
      <c r="H8" s="128">
        <v>1.05</v>
      </c>
      <c r="I8" s="128">
        <v>1.05</v>
      </c>
      <c r="J8" s="128">
        <v>1.05</v>
      </c>
      <c r="K8" s="128">
        <v>1.05</v>
      </c>
      <c r="L8" s="128">
        <v>1.05</v>
      </c>
      <c r="M8" s="128">
        <v>1.05</v>
      </c>
      <c r="N8" s="128">
        <v>1.05</v>
      </c>
      <c r="O8" s="128">
        <v>1.05</v>
      </c>
      <c r="P8" s="128">
        <v>1.05</v>
      </c>
      <c r="Q8" s="128">
        <v>1.06</v>
      </c>
      <c r="R8" s="128">
        <v>1.06</v>
      </c>
      <c r="S8" s="128">
        <v>1.06</v>
      </c>
      <c r="T8" s="128">
        <v>1.06</v>
      </c>
      <c r="U8" s="128">
        <v>1.06</v>
      </c>
      <c r="V8" s="128">
        <v>1.06</v>
      </c>
      <c r="W8" s="128">
        <v>1.06</v>
      </c>
      <c r="X8" s="128">
        <v>1.06</v>
      </c>
      <c r="Y8" s="128">
        <v>1.06</v>
      </c>
      <c r="Z8" s="128">
        <v>1.06</v>
      </c>
      <c r="AA8" s="128">
        <v>1.06</v>
      </c>
      <c r="AB8" s="128">
        <v>1.06</v>
      </c>
      <c r="AC8" s="128">
        <v>1.06</v>
      </c>
      <c r="AD8" s="128">
        <v>1.06</v>
      </c>
      <c r="AE8" s="128">
        <v>1.07</v>
      </c>
      <c r="AF8" s="128">
        <v>1.07</v>
      </c>
      <c r="AG8" s="128">
        <v>1.07</v>
      </c>
      <c r="AH8" s="128">
        <v>1.07</v>
      </c>
      <c r="AI8" s="128">
        <v>1.07</v>
      </c>
      <c r="AJ8" s="128">
        <v>1.07</v>
      </c>
      <c r="AK8" s="128">
        <v>1.07</v>
      </c>
      <c r="AL8" s="128">
        <v>1.07</v>
      </c>
      <c r="AM8" s="128">
        <v>1.07</v>
      </c>
      <c r="AN8" s="128">
        <v>1.07</v>
      </c>
      <c r="AO8" s="128">
        <v>1.08</v>
      </c>
      <c r="AP8" s="128">
        <v>1.08</v>
      </c>
      <c r="AQ8" s="128">
        <v>1.08</v>
      </c>
      <c r="AR8" s="128">
        <v>1.08</v>
      </c>
      <c r="AS8" s="128">
        <v>1.08</v>
      </c>
      <c r="AT8" s="128">
        <v>1.08</v>
      </c>
      <c r="AU8" s="128">
        <v>1.08</v>
      </c>
      <c r="AV8" s="128">
        <v>1.08</v>
      </c>
      <c r="AW8" s="128">
        <v>1.0900000000000001</v>
      </c>
      <c r="AX8" s="128">
        <v>1.0900000000000001</v>
      </c>
      <c r="AY8" s="128">
        <v>1.0900000000000001</v>
      </c>
      <c r="AZ8" s="128">
        <v>1.0900000000000001</v>
      </c>
      <c r="BA8" s="128">
        <v>1.0900000000000001</v>
      </c>
      <c r="BB8" s="128">
        <v>1.0900000000000001</v>
      </c>
      <c r="BC8" s="128">
        <v>1.0900000000000001</v>
      </c>
      <c r="BD8" s="128">
        <v>1.08</v>
      </c>
      <c r="BE8" s="128">
        <v>1.08</v>
      </c>
      <c r="BF8" s="128">
        <v>1.08</v>
      </c>
      <c r="BG8" s="128">
        <v>1.08</v>
      </c>
      <c r="BH8" s="128">
        <v>1.08</v>
      </c>
      <c r="BI8" s="128">
        <v>1.08</v>
      </c>
      <c r="BJ8" s="128">
        <v>1.08</v>
      </c>
      <c r="BK8" s="128">
        <v>1.08</v>
      </c>
      <c r="BL8" s="128">
        <v>1.07</v>
      </c>
      <c r="BM8" s="128">
        <v>1.07</v>
      </c>
      <c r="BN8" s="128">
        <v>1.07</v>
      </c>
      <c r="BO8" s="128">
        <v>1.07</v>
      </c>
      <c r="BP8" s="128">
        <v>1.07</v>
      </c>
      <c r="BQ8" s="128">
        <v>1.07</v>
      </c>
      <c r="BR8" s="128">
        <v>1.07</v>
      </c>
      <c r="BS8" s="128">
        <v>1.07</v>
      </c>
      <c r="BT8" s="128">
        <v>1.07</v>
      </c>
      <c r="BU8" s="128">
        <v>1.07</v>
      </c>
      <c r="BV8" s="128">
        <v>1.06</v>
      </c>
      <c r="BW8" s="128">
        <v>1.06</v>
      </c>
      <c r="BX8" s="128">
        <v>1.06</v>
      </c>
      <c r="BY8" s="128">
        <v>1.06</v>
      </c>
      <c r="BZ8" s="128">
        <v>1.06</v>
      </c>
      <c r="CA8" s="128">
        <v>1.06</v>
      </c>
      <c r="CB8" s="128">
        <v>1.06</v>
      </c>
      <c r="CC8" s="128">
        <v>1.06</v>
      </c>
      <c r="CD8" s="128">
        <v>1.06</v>
      </c>
      <c r="CE8" s="128">
        <v>1.06</v>
      </c>
      <c r="CF8" s="128">
        <v>1.06</v>
      </c>
      <c r="CG8" s="128">
        <v>1.06</v>
      </c>
      <c r="CH8" s="128">
        <v>1.06</v>
      </c>
      <c r="CI8" s="128">
        <v>1.06</v>
      </c>
      <c r="CJ8" s="128">
        <v>1.05</v>
      </c>
      <c r="CK8" s="128">
        <v>1.05</v>
      </c>
      <c r="CL8" s="128">
        <v>1.05</v>
      </c>
      <c r="CM8" s="128">
        <v>1.05</v>
      </c>
      <c r="CN8" s="128">
        <v>1.05</v>
      </c>
      <c r="CO8" s="128">
        <v>1.05</v>
      </c>
      <c r="CP8" s="128">
        <v>1.05</v>
      </c>
      <c r="CQ8" s="128">
        <v>1.05</v>
      </c>
      <c r="CR8" s="128">
        <v>1.05</v>
      </c>
      <c r="CS8" s="128">
        <v>1.05</v>
      </c>
      <c r="CT8" s="128">
        <v>1.05</v>
      </c>
      <c r="CU8" s="128">
        <v>1.05</v>
      </c>
      <c r="CV8" s="128">
        <v>1.05</v>
      </c>
      <c r="CW8" s="128">
        <v>1.05</v>
      </c>
      <c r="CX8" s="128">
        <v>1.05</v>
      </c>
      <c r="CZ8" s="126">
        <f>SUMIF(MatrixF1[[1]:[2]],MatrixF1[[#This Row],[Столбец1]])/MatrixF1[[#This Row],[Столбец1]]</f>
        <v>161.0000000000002</v>
      </c>
    </row>
    <row r="9" spans="1:104" ht="21" customHeight="1" x14ac:dyDescent="0.25">
      <c r="A9" s="127">
        <v>1.06</v>
      </c>
      <c r="B9" s="128">
        <v>1</v>
      </c>
      <c r="C9" s="128">
        <v>1.01</v>
      </c>
      <c r="D9" s="128">
        <v>1.02</v>
      </c>
      <c r="E9" s="128">
        <v>1.03</v>
      </c>
      <c r="F9" s="128">
        <v>1.04</v>
      </c>
      <c r="G9" s="128">
        <v>1.05</v>
      </c>
      <c r="H9" s="128">
        <v>1.06</v>
      </c>
      <c r="I9" s="128">
        <v>1.06</v>
      </c>
      <c r="J9" s="128">
        <v>1.06</v>
      </c>
      <c r="K9" s="128">
        <v>1.06</v>
      </c>
      <c r="L9" s="128">
        <v>1.06</v>
      </c>
      <c r="M9" s="128">
        <v>1.06</v>
      </c>
      <c r="N9" s="128">
        <v>1.06</v>
      </c>
      <c r="O9" s="128">
        <v>1.06</v>
      </c>
      <c r="P9" s="128">
        <v>1.07</v>
      </c>
      <c r="Q9" s="128">
        <v>1.07</v>
      </c>
      <c r="R9" s="128">
        <v>1.07</v>
      </c>
      <c r="S9" s="128">
        <v>1.07</v>
      </c>
      <c r="T9" s="128">
        <v>1.07</v>
      </c>
      <c r="U9" s="128">
        <v>1.07</v>
      </c>
      <c r="V9" s="128">
        <v>1.07</v>
      </c>
      <c r="W9" s="128">
        <v>1.07</v>
      </c>
      <c r="X9" s="128">
        <v>1.07</v>
      </c>
      <c r="Y9" s="128">
        <v>1.07</v>
      </c>
      <c r="Z9" s="128">
        <v>1.07</v>
      </c>
      <c r="AA9" s="128">
        <v>1.07</v>
      </c>
      <c r="AB9" s="128">
        <v>1.08</v>
      </c>
      <c r="AC9" s="128">
        <v>1.08</v>
      </c>
      <c r="AD9" s="128">
        <v>1.08</v>
      </c>
      <c r="AE9" s="128">
        <v>1.08</v>
      </c>
      <c r="AF9" s="128">
        <v>1.08</v>
      </c>
      <c r="AG9" s="128">
        <v>1.08</v>
      </c>
      <c r="AH9" s="128">
        <v>1.08</v>
      </c>
      <c r="AI9" s="128">
        <v>1.08</v>
      </c>
      <c r="AJ9" s="128">
        <v>1.08</v>
      </c>
      <c r="AK9" s="128">
        <v>1.08</v>
      </c>
      <c r="AL9" s="128">
        <v>1.0900000000000001</v>
      </c>
      <c r="AM9" s="128">
        <v>1.0900000000000001</v>
      </c>
      <c r="AN9" s="128">
        <v>1.0900000000000001</v>
      </c>
      <c r="AO9" s="128">
        <v>1.0900000000000001</v>
      </c>
      <c r="AP9" s="128">
        <v>1.0900000000000001</v>
      </c>
      <c r="AQ9" s="128">
        <v>1.0900000000000001</v>
      </c>
      <c r="AR9" s="128">
        <v>1.0900000000000001</v>
      </c>
      <c r="AS9" s="128">
        <v>1.1000000000000001</v>
      </c>
      <c r="AT9" s="128">
        <v>1.1000000000000001</v>
      </c>
      <c r="AU9" s="128">
        <v>1.1000000000000001</v>
      </c>
      <c r="AV9" s="128">
        <v>1.1000000000000001</v>
      </c>
      <c r="AW9" s="128">
        <v>1.1000000000000001</v>
      </c>
      <c r="AX9" s="128">
        <v>1.1000000000000001</v>
      </c>
      <c r="AY9" s="128">
        <v>1.1100000000000001</v>
      </c>
      <c r="AZ9" s="128">
        <v>1.1100000000000001</v>
      </c>
      <c r="BA9" s="128">
        <v>1.1100000000000001</v>
      </c>
      <c r="BB9" s="128">
        <v>1.1000000000000001</v>
      </c>
      <c r="BC9" s="128">
        <v>1.1000000000000001</v>
      </c>
      <c r="BD9" s="128">
        <v>1.1000000000000001</v>
      </c>
      <c r="BE9" s="128">
        <v>1.1000000000000001</v>
      </c>
      <c r="BF9" s="128">
        <v>1.1000000000000001</v>
      </c>
      <c r="BG9" s="128">
        <v>1.1000000000000001</v>
      </c>
      <c r="BH9" s="128">
        <v>1.0900000000000001</v>
      </c>
      <c r="BI9" s="128">
        <v>1.0900000000000001</v>
      </c>
      <c r="BJ9" s="128">
        <v>1.0900000000000001</v>
      </c>
      <c r="BK9" s="128">
        <v>1.0900000000000001</v>
      </c>
      <c r="BL9" s="128">
        <v>1.0900000000000001</v>
      </c>
      <c r="BM9" s="128">
        <v>1.0900000000000001</v>
      </c>
      <c r="BN9" s="128">
        <v>1.0900000000000001</v>
      </c>
      <c r="BO9" s="128">
        <v>1.08</v>
      </c>
      <c r="BP9" s="128">
        <v>1.08</v>
      </c>
      <c r="BQ9" s="128">
        <v>1.08</v>
      </c>
      <c r="BR9" s="128">
        <v>1.08</v>
      </c>
      <c r="BS9" s="128">
        <v>1.08</v>
      </c>
      <c r="BT9" s="128">
        <v>1.08</v>
      </c>
      <c r="BU9" s="128">
        <v>1.08</v>
      </c>
      <c r="BV9" s="128">
        <v>1.08</v>
      </c>
      <c r="BW9" s="128">
        <v>1.08</v>
      </c>
      <c r="BX9" s="128">
        <v>1.08</v>
      </c>
      <c r="BY9" s="128">
        <v>1.07</v>
      </c>
      <c r="BZ9" s="128">
        <v>1.07</v>
      </c>
      <c r="CA9" s="128">
        <v>1.07</v>
      </c>
      <c r="CB9" s="128">
        <v>1.07</v>
      </c>
      <c r="CC9" s="128">
        <v>1.07</v>
      </c>
      <c r="CD9" s="128">
        <v>1.07</v>
      </c>
      <c r="CE9" s="128">
        <v>1.07</v>
      </c>
      <c r="CF9" s="128">
        <v>1.07</v>
      </c>
      <c r="CG9" s="128">
        <v>1.07</v>
      </c>
      <c r="CH9" s="128">
        <v>1.07</v>
      </c>
      <c r="CI9" s="128">
        <v>1.07</v>
      </c>
      <c r="CJ9" s="128">
        <v>1.07</v>
      </c>
      <c r="CK9" s="128">
        <v>1.06</v>
      </c>
      <c r="CL9" s="128">
        <v>1.06</v>
      </c>
      <c r="CM9" s="128">
        <v>1.06</v>
      </c>
      <c r="CN9" s="128">
        <v>1.06</v>
      </c>
      <c r="CO9" s="128">
        <v>1.06</v>
      </c>
      <c r="CP9" s="128">
        <v>1.06</v>
      </c>
      <c r="CQ9" s="128">
        <v>1.06</v>
      </c>
      <c r="CR9" s="128">
        <v>1.06</v>
      </c>
      <c r="CS9" s="128">
        <v>1.06</v>
      </c>
      <c r="CT9" s="128">
        <v>1.06</v>
      </c>
      <c r="CU9" s="128">
        <v>1.06</v>
      </c>
      <c r="CV9" s="128">
        <v>1.06</v>
      </c>
      <c r="CW9" s="128">
        <v>1.06</v>
      </c>
      <c r="CX9" s="128">
        <v>1.06</v>
      </c>
      <c r="CZ9" s="126">
        <f>SUMIF(MatrixF1[[1]:[2]],MatrixF1[[#This Row],[Столбец1]])/MatrixF1[[#This Row],[Столбец1]]</f>
        <v>149.00000000000023</v>
      </c>
    </row>
    <row r="10" spans="1:104" ht="21" customHeight="1" x14ac:dyDescent="0.25">
      <c r="A10" s="127">
        <v>1.07</v>
      </c>
      <c r="B10" s="128">
        <v>1</v>
      </c>
      <c r="C10" s="128">
        <v>1.01</v>
      </c>
      <c r="D10" s="128">
        <v>1.02</v>
      </c>
      <c r="E10" s="128">
        <v>1.03</v>
      </c>
      <c r="F10" s="128">
        <v>1.04</v>
      </c>
      <c r="G10" s="128">
        <v>1.05</v>
      </c>
      <c r="H10" s="128">
        <v>1.06</v>
      </c>
      <c r="I10" s="128">
        <v>1.07</v>
      </c>
      <c r="J10" s="128">
        <v>1.07</v>
      </c>
      <c r="K10" s="128">
        <v>1.07</v>
      </c>
      <c r="L10" s="128">
        <v>1.07</v>
      </c>
      <c r="M10" s="128">
        <v>1.07</v>
      </c>
      <c r="N10" s="128">
        <v>1.07</v>
      </c>
      <c r="O10" s="128">
        <v>1.07</v>
      </c>
      <c r="P10" s="128">
        <v>1.08</v>
      </c>
      <c r="Q10" s="128">
        <v>1.08</v>
      </c>
      <c r="R10" s="128">
        <v>1.08</v>
      </c>
      <c r="S10" s="128">
        <v>1.08</v>
      </c>
      <c r="T10" s="128">
        <v>1.08</v>
      </c>
      <c r="U10" s="128">
        <v>1.08</v>
      </c>
      <c r="V10" s="128">
        <v>1.08</v>
      </c>
      <c r="W10" s="128">
        <v>1.08</v>
      </c>
      <c r="X10" s="128">
        <v>1.08</v>
      </c>
      <c r="Y10" s="128">
        <v>1.08</v>
      </c>
      <c r="Z10" s="128">
        <v>1.08</v>
      </c>
      <c r="AA10" s="128">
        <v>1.0900000000000001</v>
      </c>
      <c r="AB10" s="128">
        <v>1.0900000000000001</v>
      </c>
      <c r="AC10" s="128">
        <v>1.0900000000000001</v>
      </c>
      <c r="AD10" s="128">
        <v>1.0900000000000001</v>
      </c>
      <c r="AE10" s="128">
        <v>1.0900000000000001</v>
      </c>
      <c r="AF10" s="128">
        <v>1.0900000000000001</v>
      </c>
      <c r="AG10" s="128">
        <v>1.0900000000000001</v>
      </c>
      <c r="AH10" s="128">
        <v>1.0900000000000001</v>
      </c>
      <c r="AI10" s="128">
        <v>1.0900000000000001</v>
      </c>
      <c r="AJ10" s="128">
        <v>1.1000000000000001</v>
      </c>
      <c r="AK10" s="128">
        <v>1.1000000000000001</v>
      </c>
      <c r="AL10" s="128">
        <v>1.1000000000000001</v>
      </c>
      <c r="AM10" s="128">
        <v>1.1000000000000001</v>
      </c>
      <c r="AN10" s="128">
        <v>1.1000000000000001</v>
      </c>
      <c r="AO10" s="128">
        <v>1.1000000000000001</v>
      </c>
      <c r="AP10" s="128">
        <v>1.1000000000000001</v>
      </c>
      <c r="AQ10" s="128">
        <v>1.1100000000000001</v>
      </c>
      <c r="AR10" s="128">
        <v>1.1100000000000001</v>
      </c>
      <c r="AS10" s="128">
        <v>1.1100000000000001</v>
      </c>
      <c r="AT10" s="128">
        <v>1.1100000000000001</v>
      </c>
      <c r="AU10" s="128">
        <v>1.1100000000000001</v>
      </c>
      <c r="AV10" s="128">
        <v>1.1100000000000001</v>
      </c>
      <c r="AW10" s="128">
        <v>1.1200000000000001</v>
      </c>
      <c r="AX10" s="128">
        <v>1.1200000000000001</v>
      </c>
      <c r="AY10" s="128">
        <v>1.1200000000000001</v>
      </c>
      <c r="AZ10" s="128">
        <v>1.1200000000000001</v>
      </c>
      <c r="BA10" s="128">
        <v>1.1200000000000001</v>
      </c>
      <c r="BB10" s="128">
        <v>1.1200000000000001</v>
      </c>
      <c r="BC10" s="128">
        <v>1.1200000000000001</v>
      </c>
      <c r="BD10" s="128">
        <v>1.1100000000000001</v>
      </c>
      <c r="BE10" s="128">
        <v>1.1100000000000001</v>
      </c>
      <c r="BF10" s="128">
        <v>1.1100000000000001</v>
      </c>
      <c r="BG10" s="128">
        <v>1.1100000000000001</v>
      </c>
      <c r="BH10" s="128">
        <v>1.1100000000000001</v>
      </c>
      <c r="BI10" s="128">
        <v>1.1100000000000001</v>
      </c>
      <c r="BJ10" s="128">
        <v>1.1000000000000001</v>
      </c>
      <c r="BK10" s="128">
        <v>1.1000000000000001</v>
      </c>
      <c r="BL10" s="128">
        <v>1.1000000000000001</v>
      </c>
      <c r="BM10" s="128">
        <v>1.1000000000000001</v>
      </c>
      <c r="BN10" s="128">
        <v>1.1000000000000001</v>
      </c>
      <c r="BO10" s="128">
        <v>1.1000000000000001</v>
      </c>
      <c r="BP10" s="128">
        <v>1.1000000000000001</v>
      </c>
      <c r="BQ10" s="128">
        <v>1.0900000000000001</v>
      </c>
      <c r="BR10" s="128">
        <v>1.0900000000000001</v>
      </c>
      <c r="BS10" s="128">
        <v>1.0900000000000001</v>
      </c>
      <c r="BT10" s="128">
        <v>1.0900000000000001</v>
      </c>
      <c r="BU10" s="128">
        <v>1.0900000000000001</v>
      </c>
      <c r="BV10" s="128">
        <v>1.0900000000000001</v>
      </c>
      <c r="BW10" s="128">
        <v>1.0900000000000001</v>
      </c>
      <c r="BX10" s="128">
        <v>1.0900000000000001</v>
      </c>
      <c r="BY10" s="128">
        <v>1.0900000000000001</v>
      </c>
      <c r="BZ10" s="128">
        <v>1.08</v>
      </c>
      <c r="CA10" s="128">
        <v>1.08</v>
      </c>
      <c r="CB10" s="128">
        <v>1.08</v>
      </c>
      <c r="CC10" s="128">
        <v>1.08</v>
      </c>
      <c r="CD10" s="128">
        <v>1.08</v>
      </c>
      <c r="CE10" s="128">
        <v>1.08</v>
      </c>
      <c r="CF10" s="128">
        <v>1.08</v>
      </c>
      <c r="CG10" s="128">
        <v>1.08</v>
      </c>
      <c r="CH10" s="128">
        <v>1.08</v>
      </c>
      <c r="CI10" s="128">
        <v>1.08</v>
      </c>
      <c r="CJ10" s="128">
        <v>1.08</v>
      </c>
      <c r="CK10" s="128">
        <v>1.07</v>
      </c>
      <c r="CL10" s="128">
        <v>1.07</v>
      </c>
      <c r="CM10" s="128">
        <v>1.07</v>
      </c>
      <c r="CN10" s="128">
        <v>1.07</v>
      </c>
      <c r="CO10" s="128">
        <v>1.07</v>
      </c>
      <c r="CP10" s="128">
        <v>1.07</v>
      </c>
      <c r="CQ10" s="128">
        <v>1.07</v>
      </c>
      <c r="CR10" s="128">
        <v>1.07</v>
      </c>
      <c r="CS10" s="128">
        <v>1.07</v>
      </c>
      <c r="CT10" s="128">
        <v>1.07</v>
      </c>
      <c r="CU10" s="128">
        <v>1.07</v>
      </c>
      <c r="CV10" s="128">
        <v>1.07</v>
      </c>
      <c r="CW10" s="128">
        <v>1.07</v>
      </c>
      <c r="CX10" s="128">
        <v>1.07</v>
      </c>
      <c r="CZ10" s="126">
        <f>SUMIF(MatrixF1[[1]:[2]],MatrixF1[[#This Row],[Столбец1]])/MatrixF1[[#This Row],[Столбец1]]</f>
        <v>158.99999999999937</v>
      </c>
    </row>
    <row r="11" spans="1:104" ht="21" customHeight="1" x14ac:dyDescent="0.25">
      <c r="A11" s="127">
        <v>1.08</v>
      </c>
      <c r="B11" s="128">
        <v>1</v>
      </c>
      <c r="C11" s="128">
        <v>1.01</v>
      </c>
      <c r="D11" s="128">
        <v>1.02</v>
      </c>
      <c r="E11" s="128">
        <v>1.03</v>
      </c>
      <c r="F11" s="128">
        <v>1.04</v>
      </c>
      <c r="G11" s="128">
        <v>1.05</v>
      </c>
      <c r="H11" s="128">
        <v>1.06</v>
      </c>
      <c r="I11" s="128">
        <v>1.07</v>
      </c>
      <c r="J11" s="128">
        <v>1.08</v>
      </c>
      <c r="K11" s="128">
        <v>1.08</v>
      </c>
      <c r="L11" s="128">
        <v>1.08</v>
      </c>
      <c r="M11" s="128">
        <v>1.08</v>
      </c>
      <c r="N11" s="128">
        <v>1.08</v>
      </c>
      <c r="O11" s="128">
        <v>1.08</v>
      </c>
      <c r="P11" s="128">
        <v>1.0900000000000001</v>
      </c>
      <c r="Q11" s="128">
        <v>1.0900000000000001</v>
      </c>
      <c r="R11" s="128">
        <v>1.0900000000000001</v>
      </c>
      <c r="S11" s="128">
        <v>1.0900000000000001</v>
      </c>
      <c r="T11" s="128">
        <v>1.0900000000000001</v>
      </c>
      <c r="U11" s="128">
        <v>1.0900000000000001</v>
      </c>
      <c r="V11" s="128">
        <v>1.0900000000000001</v>
      </c>
      <c r="W11" s="128">
        <v>1.0900000000000001</v>
      </c>
      <c r="X11" s="128">
        <v>1.0900000000000001</v>
      </c>
      <c r="Y11" s="128">
        <v>1.0900000000000001</v>
      </c>
      <c r="Z11" s="128">
        <v>1.1000000000000001</v>
      </c>
      <c r="AA11" s="128">
        <v>1.1000000000000001</v>
      </c>
      <c r="AB11" s="128">
        <v>1.1000000000000001</v>
      </c>
      <c r="AC11" s="128">
        <v>1.1000000000000001</v>
      </c>
      <c r="AD11" s="128">
        <v>1.1000000000000001</v>
      </c>
      <c r="AE11" s="128">
        <v>1.1000000000000001</v>
      </c>
      <c r="AF11" s="128">
        <v>1.1000000000000001</v>
      </c>
      <c r="AG11" s="128">
        <v>1.1000000000000001</v>
      </c>
      <c r="AH11" s="128">
        <v>1.1100000000000001</v>
      </c>
      <c r="AI11" s="128">
        <v>1.1100000000000001</v>
      </c>
      <c r="AJ11" s="128">
        <v>1.1100000000000001</v>
      </c>
      <c r="AK11" s="128">
        <v>1.1100000000000001</v>
      </c>
      <c r="AL11" s="128">
        <v>1.1100000000000001</v>
      </c>
      <c r="AM11" s="128">
        <v>1.1100000000000001</v>
      </c>
      <c r="AN11" s="128">
        <v>1.1100000000000001</v>
      </c>
      <c r="AO11" s="128">
        <v>1.1200000000000001</v>
      </c>
      <c r="AP11" s="128">
        <v>1.1200000000000001</v>
      </c>
      <c r="AQ11" s="128">
        <v>1.1200000000000001</v>
      </c>
      <c r="AR11" s="128">
        <v>1.1200000000000001</v>
      </c>
      <c r="AS11" s="128">
        <v>1.1200000000000001</v>
      </c>
      <c r="AT11" s="128">
        <v>1.1299999999999999</v>
      </c>
      <c r="AU11" s="128">
        <v>1.1299999999999999</v>
      </c>
      <c r="AV11" s="128">
        <v>1.1299999999999999</v>
      </c>
      <c r="AW11" s="128">
        <v>1.1299999999999999</v>
      </c>
      <c r="AX11" s="128">
        <v>1.1299999999999999</v>
      </c>
      <c r="AY11" s="128">
        <v>1.1399999999999999</v>
      </c>
      <c r="AZ11" s="128">
        <v>1.1399999999999999</v>
      </c>
      <c r="BA11" s="128">
        <v>1.1399999999999999</v>
      </c>
      <c r="BB11" s="128">
        <v>1.1299999999999999</v>
      </c>
      <c r="BC11" s="128">
        <v>1.1299999999999999</v>
      </c>
      <c r="BD11" s="128">
        <v>1.1299999999999999</v>
      </c>
      <c r="BE11" s="128">
        <v>1.1299999999999999</v>
      </c>
      <c r="BF11" s="128">
        <v>1.1299999999999999</v>
      </c>
      <c r="BG11" s="128">
        <v>1.1200000000000001</v>
      </c>
      <c r="BH11" s="128">
        <v>1.1200000000000001</v>
      </c>
      <c r="BI11" s="128">
        <v>1.1200000000000001</v>
      </c>
      <c r="BJ11" s="128">
        <v>1.1200000000000001</v>
      </c>
      <c r="BK11" s="128">
        <v>1.1200000000000001</v>
      </c>
      <c r="BL11" s="128">
        <v>1.1100000000000001</v>
      </c>
      <c r="BM11" s="128">
        <v>1.1100000000000001</v>
      </c>
      <c r="BN11" s="128">
        <v>1.1100000000000001</v>
      </c>
      <c r="BO11" s="128">
        <v>1.1100000000000001</v>
      </c>
      <c r="BP11" s="128">
        <v>1.1100000000000001</v>
      </c>
      <c r="BQ11" s="128">
        <v>1.1100000000000001</v>
      </c>
      <c r="BR11" s="128">
        <v>1.1100000000000001</v>
      </c>
      <c r="BS11" s="128">
        <v>1.1000000000000001</v>
      </c>
      <c r="BT11" s="128">
        <v>1.1000000000000001</v>
      </c>
      <c r="BU11" s="128">
        <v>1.1000000000000001</v>
      </c>
      <c r="BV11" s="128">
        <v>1.1000000000000001</v>
      </c>
      <c r="BW11" s="128">
        <v>1.1000000000000001</v>
      </c>
      <c r="BX11" s="128">
        <v>1.1000000000000001</v>
      </c>
      <c r="BY11" s="128">
        <v>1.1000000000000001</v>
      </c>
      <c r="BZ11" s="128">
        <v>1.1000000000000001</v>
      </c>
      <c r="CA11" s="128">
        <v>1.0900000000000001</v>
      </c>
      <c r="CB11" s="128">
        <v>1.0900000000000001</v>
      </c>
      <c r="CC11" s="128">
        <v>1.0900000000000001</v>
      </c>
      <c r="CD11" s="128">
        <v>1.0900000000000001</v>
      </c>
      <c r="CE11" s="128">
        <v>1.0900000000000001</v>
      </c>
      <c r="CF11" s="128">
        <v>1.0900000000000001</v>
      </c>
      <c r="CG11" s="128">
        <v>1.0900000000000001</v>
      </c>
      <c r="CH11" s="128">
        <v>1.0900000000000001</v>
      </c>
      <c r="CI11" s="128">
        <v>1.0900000000000001</v>
      </c>
      <c r="CJ11" s="128">
        <v>1.0900000000000001</v>
      </c>
      <c r="CK11" s="128">
        <v>1.08</v>
      </c>
      <c r="CL11" s="128">
        <v>1.08</v>
      </c>
      <c r="CM11" s="128">
        <v>1.08</v>
      </c>
      <c r="CN11" s="128">
        <v>1.08</v>
      </c>
      <c r="CO11" s="128">
        <v>1.08</v>
      </c>
      <c r="CP11" s="128">
        <v>1.08</v>
      </c>
      <c r="CQ11" s="128">
        <v>1.08</v>
      </c>
      <c r="CR11" s="128">
        <v>1.08</v>
      </c>
      <c r="CS11" s="128">
        <v>1.08</v>
      </c>
      <c r="CT11" s="128">
        <v>1.08</v>
      </c>
      <c r="CU11" s="128">
        <v>1.08</v>
      </c>
      <c r="CV11" s="128">
        <v>1.08</v>
      </c>
      <c r="CW11" s="128">
        <v>1.08</v>
      </c>
      <c r="CX11" s="128">
        <v>1.08</v>
      </c>
      <c r="CZ11" s="126">
        <f>SUMIF(MatrixF1[[1]:[2]],MatrixF1[[#This Row],[Столбец1]])/MatrixF1[[#This Row],[Столбец1]]</f>
        <v>155.00000000000026</v>
      </c>
    </row>
    <row r="12" spans="1:104" ht="21" customHeight="1" x14ac:dyDescent="0.25">
      <c r="A12" s="127">
        <v>1.0900000000000001</v>
      </c>
      <c r="B12" s="128">
        <v>1</v>
      </c>
      <c r="C12" s="128">
        <v>1.01</v>
      </c>
      <c r="D12" s="128">
        <v>1.02</v>
      </c>
      <c r="E12" s="128">
        <v>1.03</v>
      </c>
      <c r="F12" s="128">
        <v>1.04</v>
      </c>
      <c r="G12" s="128">
        <v>1.05</v>
      </c>
      <c r="H12" s="128">
        <v>1.06</v>
      </c>
      <c r="I12" s="128">
        <v>1.07</v>
      </c>
      <c r="J12" s="128">
        <v>1.08</v>
      </c>
      <c r="K12" s="128">
        <v>1.0900000000000001</v>
      </c>
      <c r="L12" s="128">
        <v>1.0900000000000001</v>
      </c>
      <c r="M12" s="128">
        <v>1.0900000000000001</v>
      </c>
      <c r="N12" s="128">
        <v>1.0900000000000001</v>
      </c>
      <c r="O12" s="128">
        <v>1.0900000000000001</v>
      </c>
      <c r="P12" s="128">
        <v>1.0900000000000001</v>
      </c>
      <c r="Q12" s="128">
        <v>1.1000000000000001</v>
      </c>
      <c r="R12" s="128">
        <v>1.1000000000000001</v>
      </c>
      <c r="S12" s="128">
        <v>1.1000000000000001</v>
      </c>
      <c r="T12" s="128">
        <v>1.1000000000000001</v>
      </c>
      <c r="U12" s="128">
        <v>1.1000000000000001</v>
      </c>
      <c r="V12" s="128">
        <v>1.1000000000000001</v>
      </c>
      <c r="W12" s="128">
        <v>1.1000000000000001</v>
      </c>
      <c r="X12" s="128">
        <v>1.1000000000000001</v>
      </c>
      <c r="Y12" s="128">
        <v>1.1000000000000001</v>
      </c>
      <c r="Z12" s="128">
        <v>1.1100000000000001</v>
      </c>
      <c r="AA12" s="128">
        <v>1.1100000000000001</v>
      </c>
      <c r="AB12" s="128">
        <v>1.1100000000000001</v>
      </c>
      <c r="AC12" s="128">
        <v>1.1100000000000001</v>
      </c>
      <c r="AD12" s="128">
        <v>1.1100000000000001</v>
      </c>
      <c r="AE12" s="128">
        <v>1.1100000000000001</v>
      </c>
      <c r="AF12" s="128">
        <v>1.1100000000000001</v>
      </c>
      <c r="AG12" s="128">
        <v>1.1200000000000001</v>
      </c>
      <c r="AH12" s="128">
        <v>1.1200000000000001</v>
      </c>
      <c r="AI12" s="128">
        <v>1.1200000000000001</v>
      </c>
      <c r="AJ12" s="128">
        <v>1.1200000000000001</v>
      </c>
      <c r="AK12" s="128">
        <v>1.1200000000000001</v>
      </c>
      <c r="AL12" s="128">
        <v>1.1200000000000001</v>
      </c>
      <c r="AM12" s="128">
        <v>1.1200000000000001</v>
      </c>
      <c r="AN12" s="128">
        <v>1.1299999999999999</v>
      </c>
      <c r="AO12" s="128">
        <v>1.1299999999999999</v>
      </c>
      <c r="AP12" s="128">
        <v>1.1299999999999999</v>
      </c>
      <c r="AQ12" s="128">
        <v>1.1299999999999999</v>
      </c>
      <c r="AR12" s="128">
        <v>1.1299999999999999</v>
      </c>
      <c r="AS12" s="128">
        <v>1.1399999999999999</v>
      </c>
      <c r="AT12" s="128">
        <v>1.1399999999999999</v>
      </c>
      <c r="AU12" s="128">
        <v>1.1399999999999999</v>
      </c>
      <c r="AV12" s="128">
        <v>1.1399999999999999</v>
      </c>
      <c r="AW12" s="128">
        <v>1.1499999999999999</v>
      </c>
      <c r="AX12" s="128">
        <v>1.1499999999999999</v>
      </c>
      <c r="AY12" s="128">
        <v>1.1499999999999999</v>
      </c>
      <c r="AZ12" s="128">
        <v>1.1499999999999999</v>
      </c>
      <c r="BA12" s="128">
        <v>1.1499999999999999</v>
      </c>
      <c r="BB12" s="128">
        <v>1.1499999999999999</v>
      </c>
      <c r="BC12" s="128">
        <v>1.1499999999999999</v>
      </c>
      <c r="BD12" s="128">
        <v>1.1399999999999999</v>
      </c>
      <c r="BE12" s="128">
        <v>1.1399999999999999</v>
      </c>
      <c r="BF12" s="128">
        <v>1.1399999999999999</v>
      </c>
      <c r="BG12" s="128">
        <v>1.1399999999999999</v>
      </c>
      <c r="BH12" s="128">
        <v>1.1299999999999999</v>
      </c>
      <c r="BI12" s="128">
        <v>1.1299999999999999</v>
      </c>
      <c r="BJ12" s="128">
        <v>1.1299999999999999</v>
      </c>
      <c r="BK12" s="128">
        <v>1.1299999999999999</v>
      </c>
      <c r="BL12" s="128">
        <v>1.1299999999999999</v>
      </c>
      <c r="BM12" s="128">
        <v>1.1200000000000001</v>
      </c>
      <c r="BN12" s="128">
        <v>1.1200000000000001</v>
      </c>
      <c r="BO12" s="128">
        <v>1.1200000000000001</v>
      </c>
      <c r="BP12" s="128">
        <v>1.1200000000000001</v>
      </c>
      <c r="BQ12" s="128">
        <v>1.1200000000000001</v>
      </c>
      <c r="BR12" s="128">
        <v>1.1200000000000001</v>
      </c>
      <c r="BS12" s="128">
        <v>1.1200000000000001</v>
      </c>
      <c r="BT12" s="128">
        <v>1.1100000000000001</v>
      </c>
      <c r="BU12" s="128">
        <v>1.1100000000000001</v>
      </c>
      <c r="BV12" s="128">
        <v>1.1100000000000001</v>
      </c>
      <c r="BW12" s="128">
        <v>1.1100000000000001</v>
      </c>
      <c r="BX12" s="128">
        <v>1.1100000000000001</v>
      </c>
      <c r="BY12" s="128">
        <v>1.1100000000000001</v>
      </c>
      <c r="BZ12" s="128">
        <v>1.1100000000000001</v>
      </c>
      <c r="CA12" s="128">
        <v>1.1000000000000001</v>
      </c>
      <c r="CB12" s="128">
        <v>1.1000000000000001</v>
      </c>
      <c r="CC12" s="128">
        <v>1.1000000000000001</v>
      </c>
      <c r="CD12" s="128">
        <v>1.1000000000000001</v>
      </c>
      <c r="CE12" s="128">
        <v>1.1000000000000001</v>
      </c>
      <c r="CF12" s="128">
        <v>1.1000000000000001</v>
      </c>
      <c r="CG12" s="128">
        <v>1.1000000000000001</v>
      </c>
      <c r="CH12" s="128">
        <v>1.1000000000000001</v>
      </c>
      <c r="CI12" s="128">
        <v>1.1000000000000001</v>
      </c>
      <c r="CJ12" s="128">
        <v>1.0900000000000001</v>
      </c>
      <c r="CK12" s="128">
        <v>1.0900000000000001</v>
      </c>
      <c r="CL12" s="128">
        <v>1.0900000000000001</v>
      </c>
      <c r="CM12" s="128">
        <v>1.0900000000000001</v>
      </c>
      <c r="CN12" s="128">
        <v>1.0900000000000001</v>
      </c>
      <c r="CO12" s="128">
        <v>1.0900000000000001</v>
      </c>
      <c r="CP12" s="128">
        <v>1.0900000000000001</v>
      </c>
      <c r="CQ12" s="128">
        <v>1.0900000000000001</v>
      </c>
      <c r="CR12" s="128">
        <v>1.0900000000000001</v>
      </c>
      <c r="CS12" s="128">
        <v>1.0900000000000001</v>
      </c>
      <c r="CT12" s="128">
        <v>1.0900000000000001</v>
      </c>
      <c r="CU12" s="128">
        <v>1.0900000000000001</v>
      </c>
      <c r="CV12" s="128">
        <v>1.0900000000000001</v>
      </c>
      <c r="CW12" s="128">
        <v>1.0900000000000001</v>
      </c>
      <c r="CX12" s="128">
        <v>1.0900000000000001</v>
      </c>
      <c r="CZ12" s="126">
        <f>SUMIF(MatrixF1[[1]:[2]],MatrixF1[[#This Row],[Столбец1]])/MatrixF1[[#This Row],[Столбец1]]</f>
        <v>159.00000000000037</v>
      </c>
    </row>
    <row r="13" spans="1:104" ht="21" customHeight="1" x14ac:dyDescent="0.25">
      <c r="A13" s="127">
        <v>1.1000000000000001</v>
      </c>
      <c r="B13" s="128">
        <v>1</v>
      </c>
      <c r="C13" s="128">
        <v>1.01</v>
      </c>
      <c r="D13" s="128">
        <v>1.02</v>
      </c>
      <c r="E13" s="128">
        <v>1.03</v>
      </c>
      <c r="F13" s="128">
        <v>1.04</v>
      </c>
      <c r="G13" s="128">
        <v>1.05</v>
      </c>
      <c r="H13" s="128">
        <v>1.06</v>
      </c>
      <c r="I13" s="128">
        <v>1.07</v>
      </c>
      <c r="J13" s="128">
        <v>1.08</v>
      </c>
      <c r="K13" s="128">
        <v>1.0900000000000001</v>
      </c>
      <c r="L13" s="128">
        <v>1.1000000000000001</v>
      </c>
      <c r="M13" s="128">
        <v>1.1000000000000001</v>
      </c>
      <c r="N13" s="128">
        <v>1.1000000000000001</v>
      </c>
      <c r="O13" s="128">
        <v>1.1000000000000001</v>
      </c>
      <c r="P13" s="128">
        <v>1.1000000000000001</v>
      </c>
      <c r="Q13" s="128">
        <v>1.1100000000000001</v>
      </c>
      <c r="R13" s="128">
        <v>1.1100000000000001</v>
      </c>
      <c r="S13" s="128">
        <v>1.1100000000000001</v>
      </c>
      <c r="T13" s="128">
        <v>1.1100000000000001</v>
      </c>
      <c r="U13" s="128">
        <v>1.1100000000000001</v>
      </c>
      <c r="V13" s="128">
        <v>1.1100000000000001</v>
      </c>
      <c r="W13" s="128">
        <v>1.1100000000000001</v>
      </c>
      <c r="X13" s="128">
        <v>1.1100000000000001</v>
      </c>
      <c r="Y13" s="128">
        <v>1.1100000000000001</v>
      </c>
      <c r="Z13" s="128">
        <v>1.1200000000000001</v>
      </c>
      <c r="AA13" s="128">
        <v>1.1200000000000001</v>
      </c>
      <c r="AB13" s="128">
        <v>1.1200000000000001</v>
      </c>
      <c r="AC13" s="128">
        <v>1.1200000000000001</v>
      </c>
      <c r="AD13" s="128">
        <v>1.1200000000000001</v>
      </c>
      <c r="AE13" s="128">
        <v>1.1200000000000001</v>
      </c>
      <c r="AF13" s="128">
        <v>1.1200000000000001</v>
      </c>
      <c r="AG13" s="128">
        <v>1.1299999999999999</v>
      </c>
      <c r="AH13" s="128">
        <v>1.1299999999999999</v>
      </c>
      <c r="AI13" s="128">
        <v>1.1299999999999999</v>
      </c>
      <c r="AJ13" s="128">
        <v>1.1299999999999999</v>
      </c>
      <c r="AK13" s="128">
        <v>1.1299999999999999</v>
      </c>
      <c r="AL13" s="128">
        <v>1.1399999999999999</v>
      </c>
      <c r="AM13" s="128">
        <v>1.1399999999999999</v>
      </c>
      <c r="AN13" s="128">
        <v>1.1399999999999999</v>
      </c>
      <c r="AO13" s="128">
        <v>1.1399999999999999</v>
      </c>
      <c r="AP13" s="128">
        <v>1.1399999999999999</v>
      </c>
      <c r="AQ13" s="128">
        <v>1.1399999999999999</v>
      </c>
      <c r="AR13" s="128">
        <v>1.1499999999999999</v>
      </c>
      <c r="AS13" s="128">
        <v>1.1499999999999999</v>
      </c>
      <c r="AT13" s="128">
        <v>1.1499999999999999</v>
      </c>
      <c r="AU13" s="128">
        <v>1.1499999999999999</v>
      </c>
      <c r="AV13" s="128">
        <v>1.1599999999999999</v>
      </c>
      <c r="AW13" s="128">
        <v>1.1599999999999999</v>
      </c>
      <c r="AX13" s="128">
        <v>1.1599999999999999</v>
      </c>
      <c r="AY13" s="128">
        <v>1.1599999999999999</v>
      </c>
      <c r="AZ13" s="128">
        <v>1.17</v>
      </c>
      <c r="BA13" s="128">
        <v>1.1599999999999999</v>
      </c>
      <c r="BB13" s="128">
        <v>1.1599999999999999</v>
      </c>
      <c r="BC13" s="128">
        <v>1.1599999999999999</v>
      </c>
      <c r="BD13" s="128">
        <v>1.1599999999999999</v>
      </c>
      <c r="BE13" s="128">
        <v>1.1499999999999999</v>
      </c>
      <c r="BF13" s="128">
        <v>1.1499999999999999</v>
      </c>
      <c r="BG13" s="128">
        <v>1.1499999999999999</v>
      </c>
      <c r="BH13" s="128">
        <v>1.1499999999999999</v>
      </c>
      <c r="BI13" s="128">
        <v>1.1399999999999999</v>
      </c>
      <c r="BJ13" s="128">
        <v>1.1399999999999999</v>
      </c>
      <c r="BK13" s="128">
        <v>1.1399999999999999</v>
      </c>
      <c r="BL13" s="128">
        <v>1.1399999999999999</v>
      </c>
      <c r="BM13" s="128">
        <v>1.1399999999999999</v>
      </c>
      <c r="BN13" s="128">
        <v>1.1399999999999999</v>
      </c>
      <c r="BO13" s="128">
        <v>1.1299999999999999</v>
      </c>
      <c r="BP13" s="128">
        <v>1.1299999999999999</v>
      </c>
      <c r="BQ13" s="128">
        <v>1.1299999999999999</v>
      </c>
      <c r="BR13" s="128">
        <v>1.1299999999999999</v>
      </c>
      <c r="BS13" s="128">
        <v>1.1299999999999999</v>
      </c>
      <c r="BT13" s="128">
        <v>1.1200000000000001</v>
      </c>
      <c r="BU13" s="128">
        <v>1.1200000000000001</v>
      </c>
      <c r="BV13" s="128">
        <v>1.1200000000000001</v>
      </c>
      <c r="BW13" s="128">
        <v>1.1200000000000001</v>
      </c>
      <c r="BX13" s="128">
        <v>1.1200000000000001</v>
      </c>
      <c r="BY13" s="128">
        <v>1.1200000000000001</v>
      </c>
      <c r="BZ13" s="128">
        <v>1.1200000000000001</v>
      </c>
      <c r="CA13" s="128">
        <v>1.1100000000000001</v>
      </c>
      <c r="CB13" s="128">
        <v>1.1100000000000001</v>
      </c>
      <c r="CC13" s="128">
        <v>1.1100000000000001</v>
      </c>
      <c r="CD13" s="128">
        <v>1.1100000000000001</v>
      </c>
      <c r="CE13" s="128">
        <v>1.1100000000000001</v>
      </c>
      <c r="CF13" s="128">
        <v>1.1100000000000001</v>
      </c>
      <c r="CG13" s="128">
        <v>1.1100000000000001</v>
      </c>
      <c r="CH13" s="128">
        <v>1.1100000000000001</v>
      </c>
      <c r="CI13" s="128">
        <v>1.1100000000000001</v>
      </c>
      <c r="CJ13" s="128">
        <v>1.1000000000000001</v>
      </c>
      <c r="CK13" s="128">
        <v>1.1000000000000001</v>
      </c>
      <c r="CL13" s="128">
        <v>1.1000000000000001</v>
      </c>
      <c r="CM13" s="128">
        <v>1.1000000000000001</v>
      </c>
      <c r="CN13" s="128">
        <v>1.1000000000000001</v>
      </c>
      <c r="CO13" s="128">
        <v>1.1000000000000001</v>
      </c>
      <c r="CP13" s="128">
        <v>1.1000000000000001</v>
      </c>
      <c r="CQ13" s="128">
        <v>1.1000000000000001</v>
      </c>
      <c r="CR13" s="128">
        <v>1.1000000000000001</v>
      </c>
      <c r="CS13" s="128">
        <v>1.1000000000000001</v>
      </c>
      <c r="CT13" s="128">
        <v>1.1000000000000001</v>
      </c>
      <c r="CU13" s="128">
        <v>1.1000000000000001</v>
      </c>
      <c r="CV13" s="128">
        <v>1.1000000000000001</v>
      </c>
      <c r="CW13" s="128">
        <v>1.1000000000000001</v>
      </c>
      <c r="CX13" s="128">
        <v>1.1000000000000001</v>
      </c>
      <c r="CZ13" s="126">
        <f>SUMIF(MatrixF1[[1]:[2]],MatrixF1[[#This Row],[Столбец1]])/MatrixF1[[#This Row],[Столбец1]]</f>
        <v>158.99999999999952</v>
      </c>
    </row>
    <row r="14" spans="1:104" ht="21" customHeight="1" x14ac:dyDescent="0.25">
      <c r="A14" s="127">
        <v>1.1100000000000001</v>
      </c>
      <c r="B14" s="128">
        <v>1</v>
      </c>
      <c r="C14" s="128">
        <v>1.01</v>
      </c>
      <c r="D14" s="128">
        <v>1.02</v>
      </c>
      <c r="E14" s="128">
        <v>1.03</v>
      </c>
      <c r="F14" s="128">
        <v>1.04</v>
      </c>
      <c r="G14" s="128">
        <v>1.05</v>
      </c>
      <c r="H14" s="128">
        <v>1.06</v>
      </c>
      <c r="I14" s="128">
        <v>1.07</v>
      </c>
      <c r="J14" s="128">
        <v>1.08</v>
      </c>
      <c r="K14" s="128">
        <v>1.0900000000000001</v>
      </c>
      <c r="L14" s="128">
        <v>1.1000000000000001</v>
      </c>
      <c r="M14" s="128">
        <v>1.1100000000000001</v>
      </c>
      <c r="N14" s="128">
        <v>1.1100000000000001</v>
      </c>
      <c r="O14" s="128">
        <v>1.1100000000000001</v>
      </c>
      <c r="P14" s="128">
        <v>1.1100000000000001</v>
      </c>
      <c r="Q14" s="128">
        <v>1.1100000000000001</v>
      </c>
      <c r="R14" s="128">
        <v>1.1200000000000001</v>
      </c>
      <c r="S14" s="128">
        <v>1.1200000000000001</v>
      </c>
      <c r="T14" s="128">
        <v>1.1200000000000001</v>
      </c>
      <c r="U14" s="128">
        <v>1.1200000000000001</v>
      </c>
      <c r="V14" s="128">
        <v>1.1200000000000001</v>
      </c>
      <c r="W14" s="128">
        <v>1.1200000000000001</v>
      </c>
      <c r="X14" s="128">
        <v>1.1200000000000001</v>
      </c>
      <c r="Y14" s="128">
        <v>1.1200000000000001</v>
      </c>
      <c r="Z14" s="128">
        <v>1.1299999999999999</v>
      </c>
      <c r="AA14" s="128">
        <v>1.1299999999999999</v>
      </c>
      <c r="AB14" s="128">
        <v>1.1299999999999999</v>
      </c>
      <c r="AC14" s="128">
        <v>1.1299999999999999</v>
      </c>
      <c r="AD14" s="128">
        <v>1.1299999999999999</v>
      </c>
      <c r="AE14" s="128">
        <v>1.1299999999999999</v>
      </c>
      <c r="AF14" s="128">
        <v>1.1399999999999999</v>
      </c>
      <c r="AG14" s="128">
        <v>1.1399999999999999</v>
      </c>
      <c r="AH14" s="128">
        <v>1.1399999999999999</v>
      </c>
      <c r="AI14" s="128">
        <v>1.1399999999999999</v>
      </c>
      <c r="AJ14" s="128">
        <v>1.1399999999999999</v>
      </c>
      <c r="AK14" s="128">
        <v>1.1399999999999999</v>
      </c>
      <c r="AL14" s="128">
        <v>1.1499999999999999</v>
      </c>
      <c r="AM14" s="128">
        <v>1.1499999999999999</v>
      </c>
      <c r="AN14" s="128">
        <v>1.1499999999999999</v>
      </c>
      <c r="AO14" s="128">
        <v>1.1499999999999999</v>
      </c>
      <c r="AP14" s="128">
        <v>1.1499999999999999</v>
      </c>
      <c r="AQ14" s="128">
        <v>1.1599999999999999</v>
      </c>
      <c r="AR14" s="128">
        <v>1.1599999999999999</v>
      </c>
      <c r="AS14" s="128">
        <v>1.1599999999999999</v>
      </c>
      <c r="AT14" s="128">
        <v>1.1599999999999999</v>
      </c>
      <c r="AU14" s="128">
        <v>1.17</v>
      </c>
      <c r="AV14" s="128">
        <v>1.17</v>
      </c>
      <c r="AW14" s="128">
        <v>1.17</v>
      </c>
      <c r="AX14" s="128">
        <v>1.17</v>
      </c>
      <c r="AY14" s="128">
        <v>1.18</v>
      </c>
      <c r="AZ14" s="128">
        <v>1.18</v>
      </c>
      <c r="BA14" s="128">
        <v>1.18</v>
      </c>
      <c r="BB14" s="128">
        <v>1.17</v>
      </c>
      <c r="BC14" s="128">
        <v>1.17</v>
      </c>
      <c r="BD14" s="128">
        <v>1.17</v>
      </c>
      <c r="BE14" s="128">
        <v>1.17</v>
      </c>
      <c r="BF14" s="128">
        <v>1.1599999999999999</v>
      </c>
      <c r="BG14" s="128">
        <v>1.1599999999999999</v>
      </c>
      <c r="BH14" s="128">
        <v>1.1599999999999999</v>
      </c>
      <c r="BI14" s="128">
        <v>1.1599999999999999</v>
      </c>
      <c r="BJ14" s="128">
        <v>1.1499999999999999</v>
      </c>
      <c r="BK14" s="128">
        <v>1.1499999999999999</v>
      </c>
      <c r="BL14" s="128">
        <v>1.1499999999999999</v>
      </c>
      <c r="BM14" s="128">
        <v>1.1499999999999999</v>
      </c>
      <c r="BN14" s="128">
        <v>1.1499999999999999</v>
      </c>
      <c r="BO14" s="128">
        <v>1.1399999999999999</v>
      </c>
      <c r="BP14" s="128">
        <v>1.1399999999999999</v>
      </c>
      <c r="BQ14" s="128">
        <v>1.1399999999999999</v>
      </c>
      <c r="BR14" s="128">
        <v>1.1399999999999999</v>
      </c>
      <c r="BS14" s="128">
        <v>1.1399999999999999</v>
      </c>
      <c r="BT14" s="128">
        <v>1.1399999999999999</v>
      </c>
      <c r="BU14" s="128">
        <v>1.1299999999999999</v>
      </c>
      <c r="BV14" s="128">
        <v>1.1299999999999999</v>
      </c>
      <c r="BW14" s="128">
        <v>1.1299999999999999</v>
      </c>
      <c r="BX14" s="128">
        <v>1.1299999999999999</v>
      </c>
      <c r="BY14" s="128">
        <v>1.1299999999999999</v>
      </c>
      <c r="BZ14" s="128">
        <v>1.1299999999999999</v>
      </c>
      <c r="CA14" s="128">
        <v>1.1200000000000001</v>
      </c>
      <c r="CB14" s="128">
        <v>1.1200000000000001</v>
      </c>
      <c r="CC14" s="128">
        <v>1.1200000000000001</v>
      </c>
      <c r="CD14" s="128">
        <v>1.1200000000000001</v>
      </c>
      <c r="CE14" s="128">
        <v>1.1200000000000001</v>
      </c>
      <c r="CF14" s="128">
        <v>1.1200000000000001</v>
      </c>
      <c r="CG14" s="128">
        <v>1.1200000000000001</v>
      </c>
      <c r="CH14" s="128">
        <v>1.1200000000000001</v>
      </c>
      <c r="CI14" s="128">
        <v>1.1100000000000001</v>
      </c>
      <c r="CJ14" s="128">
        <v>1.1100000000000001</v>
      </c>
      <c r="CK14" s="128">
        <v>1.1100000000000001</v>
      </c>
      <c r="CL14" s="128">
        <v>1.1100000000000001</v>
      </c>
      <c r="CM14" s="128">
        <v>1.1100000000000001</v>
      </c>
      <c r="CN14" s="128">
        <v>1.1100000000000001</v>
      </c>
      <c r="CO14" s="128">
        <v>1.1100000000000001</v>
      </c>
      <c r="CP14" s="128">
        <v>1.1100000000000001</v>
      </c>
      <c r="CQ14" s="128">
        <v>1.1100000000000001</v>
      </c>
      <c r="CR14" s="128">
        <v>1.1100000000000001</v>
      </c>
      <c r="CS14" s="128">
        <v>1.1100000000000001</v>
      </c>
      <c r="CT14" s="128">
        <v>1.1100000000000001</v>
      </c>
      <c r="CU14" s="128">
        <v>1.1100000000000001</v>
      </c>
      <c r="CV14" s="128">
        <v>1.1100000000000001</v>
      </c>
      <c r="CW14" s="128">
        <v>1.1100000000000001</v>
      </c>
      <c r="CX14" s="128">
        <v>1.1100000000000001</v>
      </c>
      <c r="CZ14" s="126">
        <f>SUMIF(MatrixF1[[1]:[2]],MatrixF1[[#This Row],[Столбец1]])/MatrixF1[[#This Row],[Столбец1]]</f>
        <v>163.00000000000054</v>
      </c>
    </row>
    <row r="15" spans="1:104" ht="21" customHeight="1" x14ac:dyDescent="0.25">
      <c r="A15" s="127">
        <v>1.1200000000000001</v>
      </c>
      <c r="B15" s="128">
        <v>1</v>
      </c>
      <c r="C15" s="128">
        <v>1.01</v>
      </c>
      <c r="D15" s="128">
        <v>1.02</v>
      </c>
      <c r="E15" s="128">
        <v>1.03</v>
      </c>
      <c r="F15" s="128">
        <v>1.04</v>
      </c>
      <c r="G15" s="128">
        <v>1.05</v>
      </c>
      <c r="H15" s="128">
        <v>1.06</v>
      </c>
      <c r="I15" s="128">
        <v>1.07</v>
      </c>
      <c r="J15" s="128">
        <v>1.08</v>
      </c>
      <c r="K15" s="128">
        <v>1.0900000000000001</v>
      </c>
      <c r="L15" s="128">
        <v>1.1000000000000001</v>
      </c>
      <c r="M15" s="128">
        <v>1.1100000000000001</v>
      </c>
      <c r="N15" s="128">
        <v>1.1200000000000001</v>
      </c>
      <c r="O15" s="128">
        <v>1.1200000000000001</v>
      </c>
      <c r="P15" s="128">
        <v>1.1200000000000001</v>
      </c>
      <c r="Q15" s="128">
        <v>1.1200000000000001</v>
      </c>
      <c r="R15" s="128">
        <v>1.1200000000000001</v>
      </c>
      <c r="S15" s="128">
        <v>1.1299999999999999</v>
      </c>
      <c r="T15" s="128">
        <v>1.1299999999999999</v>
      </c>
      <c r="U15" s="128">
        <v>1.1299999999999999</v>
      </c>
      <c r="V15" s="128">
        <v>1.1299999999999999</v>
      </c>
      <c r="W15" s="128">
        <v>1.1299999999999999</v>
      </c>
      <c r="X15" s="128">
        <v>1.1299999999999999</v>
      </c>
      <c r="Y15" s="128">
        <v>1.1299999999999999</v>
      </c>
      <c r="Z15" s="128">
        <v>1.1399999999999999</v>
      </c>
      <c r="AA15" s="128">
        <v>1.1399999999999999</v>
      </c>
      <c r="AB15" s="128">
        <v>1.1399999999999999</v>
      </c>
      <c r="AC15" s="128">
        <v>1.1399999999999999</v>
      </c>
      <c r="AD15" s="128">
        <v>1.1399999999999999</v>
      </c>
      <c r="AE15" s="128">
        <v>1.1399999999999999</v>
      </c>
      <c r="AF15" s="128">
        <v>1.1499999999999999</v>
      </c>
      <c r="AG15" s="128">
        <v>1.1499999999999999</v>
      </c>
      <c r="AH15" s="128">
        <v>1.1499999999999999</v>
      </c>
      <c r="AI15" s="128">
        <v>1.1499999999999999</v>
      </c>
      <c r="AJ15" s="128">
        <v>1.1499999999999999</v>
      </c>
      <c r="AK15" s="128">
        <v>1.1599999999999999</v>
      </c>
      <c r="AL15" s="128">
        <v>1.1599999999999999</v>
      </c>
      <c r="AM15" s="128">
        <v>1.1599999999999999</v>
      </c>
      <c r="AN15" s="128">
        <v>1.1599999999999999</v>
      </c>
      <c r="AO15" s="128">
        <v>1.1599999999999999</v>
      </c>
      <c r="AP15" s="128">
        <v>1.17</v>
      </c>
      <c r="AQ15" s="128">
        <v>1.17</v>
      </c>
      <c r="AR15" s="128">
        <v>1.17</v>
      </c>
      <c r="AS15" s="128">
        <v>1.17</v>
      </c>
      <c r="AT15" s="128">
        <v>1.18</v>
      </c>
      <c r="AU15" s="128">
        <v>1.18</v>
      </c>
      <c r="AV15" s="128">
        <v>1.18</v>
      </c>
      <c r="AW15" s="128">
        <v>1.18</v>
      </c>
      <c r="AX15" s="128">
        <v>1.19</v>
      </c>
      <c r="AY15" s="128">
        <v>1.19</v>
      </c>
      <c r="AZ15" s="128">
        <v>1.19</v>
      </c>
      <c r="BA15" s="128">
        <v>1.19</v>
      </c>
      <c r="BB15" s="128">
        <v>1.19</v>
      </c>
      <c r="BC15" s="128">
        <v>1.18</v>
      </c>
      <c r="BD15" s="128">
        <v>1.18</v>
      </c>
      <c r="BE15" s="128">
        <v>1.18</v>
      </c>
      <c r="BF15" s="128">
        <v>1.18</v>
      </c>
      <c r="BG15" s="128">
        <v>1.17</v>
      </c>
      <c r="BH15" s="128">
        <v>1.17</v>
      </c>
      <c r="BI15" s="128">
        <v>1.17</v>
      </c>
      <c r="BJ15" s="128">
        <v>1.17</v>
      </c>
      <c r="BK15" s="128">
        <v>1.1599999999999999</v>
      </c>
      <c r="BL15" s="128">
        <v>1.1599999999999999</v>
      </c>
      <c r="BM15" s="128">
        <v>1.1599999999999999</v>
      </c>
      <c r="BN15" s="128">
        <v>1.1599999999999999</v>
      </c>
      <c r="BO15" s="128">
        <v>1.1599999999999999</v>
      </c>
      <c r="BP15" s="128">
        <v>1.1499999999999999</v>
      </c>
      <c r="BQ15" s="128">
        <v>1.1499999999999999</v>
      </c>
      <c r="BR15" s="128">
        <v>1.1499999999999999</v>
      </c>
      <c r="BS15" s="128">
        <v>1.1499999999999999</v>
      </c>
      <c r="BT15" s="128">
        <v>1.1499999999999999</v>
      </c>
      <c r="BU15" s="128">
        <v>1.1399999999999999</v>
      </c>
      <c r="BV15" s="128">
        <v>1.1399999999999999</v>
      </c>
      <c r="BW15" s="128">
        <v>1.1399999999999999</v>
      </c>
      <c r="BX15" s="128">
        <v>1.1399999999999999</v>
      </c>
      <c r="BY15" s="128">
        <v>1.1399999999999999</v>
      </c>
      <c r="BZ15" s="128">
        <v>1.1399999999999999</v>
      </c>
      <c r="CA15" s="128">
        <v>1.1299999999999999</v>
      </c>
      <c r="CB15" s="128">
        <v>1.1299999999999999</v>
      </c>
      <c r="CC15" s="128">
        <v>1.1299999999999999</v>
      </c>
      <c r="CD15" s="128">
        <v>1.1299999999999999</v>
      </c>
      <c r="CE15" s="128">
        <v>1.1299999999999999</v>
      </c>
      <c r="CF15" s="128">
        <v>1.1299999999999999</v>
      </c>
      <c r="CG15" s="128">
        <v>1.1299999999999999</v>
      </c>
      <c r="CH15" s="128">
        <v>1.1200000000000001</v>
      </c>
      <c r="CI15" s="128">
        <v>1.1200000000000001</v>
      </c>
      <c r="CJ15" s="128">
        <v>1.1200000000000001</v>
      </c>
      <c r="CK15" s="128">
        <v>1.1200000000000001</v>
      </c>
      <c r="CL15" s="128">
        <v>1.1200000000000001</v>
      </c>
      <c r="CM15" s="128">
        <v>1.1200000000000001</v>
      </c>
      <c r="CN15" s="128">
        <v>1.1200000000000001</v>
      </c>
      <c r="CO15" s="128">
        <v>1.1200000000000001</v>
      </c>
      <c r="CP15" s="128">
        <v>1.1200000000000001</v>
      </c>
      <c r="CQ15" s="128">
        <v>1.1200000000000001</v>
      </c>
      <c r="CR15" s="128">
        <v>1.1200000000000001</v>
      </c>
      <c r="CS15" s="128">
        <v>1.1200000000000001</v>
      </c>
      <c r="CT15" s="128">
        <v>1.1200000000000001</v>
      </c>
      <c r="CU15" s="128">
        <v>1.1200000000000001</v>
      </c>
      <c r="CV15" s="128">
        <v>1.1200000000000001</v>
      </c>
      <c r="CW15" s="128">
        <v>1.1200000000000001</v>
      </c>
      <c r="CX15" s="128">
        <v>1.1200000000000001</v>
      </c>
      <c r="CZ15" s="126">
        <f>SUMIF(MatrixF1[[1]:[2]],MatrixF1[[#This Row],[Столбец1]])/MatrixF1[[#This Row],[Столбец1]]</f>
        <v>165.00000000000037</v>
      </c>
    </row>
    <row r="16" spans="1:104" ht="21" customHeight="1" x14ac:dyDescent="0.25">
      <c r="A16" s="127">
        <v>1.1299999999999999</v>
      </c>
      <c r="B16" s="128">
        <v>1</v>
      </c>
      <c r="C16" s="128">
        <v>1.01</v>
      </c>
      <c r="D16" s="128">
        <v>1.02</v>
      </c>
      <c r="E16" s="128">
        <v>1.03</v>
      </c>
      <c r="F16" s="128">
        <v>1.04</v>
      </c>
      <c r="G16" s="128">
        <v>1.05</v>
      </c>
      <c r="H16" s="128">
        <v>1.06</v>
      </c>
      <c r="I16" s="128">
        <v>1.07</v>
      </c>
      <c r="J16" s="128">
        <v>1.08</v>
      </c>
      <c r="K16" s="128">
        <v>1.0900000000000001</v>
      </c>
      <c r="L16" s="128">
        <v>1.1000000000000001</v>
      </c>
      <c r="M16" s="128">
        <v>1.1100000000000001</v>
      </c>
      <c r="N16" s="128">
        <v>1.1200000000000001</v>
      </c>
      <c r="O16" s="128">
        <v>1.1299999999999999</v>
      </c>
      <c r="P16" s="128">
        <v>1.1299999999999999</v>
      </c>
      <c r="Q16" s="128">
        <v>1.1299999999999999</v>
      </c>
      <c r="R16" s="128">
        <v>1.1299999999999999</v>
      </c>
      <c r="S16" s="128">
        <v>1.1399999999999999</v>
      </c>
      <c r="T16" s="128">
        <v>1.1399999999999999</v>
      </c>
      <c r="U16" s="128">
        <v>1.1399999999999999</v>
      </c>
      <c r="V16" s="128">
        <v>1.1399999999999999</v>
      </c>
      <c r="W16" s="128">
        <v>1.1399999999999999</v>
      </c>
      <c r="X16" s="128">
        <v>1.1399999999999999</v>
      </c>
      <c r="Y16" s="128">
        <v>1.1399999999999999</v>
      </c>
      <c r="Z16" s="128">
        <v>1.1499999999999999</v>
      </c>
      <c r="AA16" s="128">
        <v>1.1499999999999999</v>
      </c>
      <c r="AB16" s="128">
        <v>1.1499999999999999</v>
      </c>
      <c r="AC16" s="128">
        <v>1.1499999999999999</v>
      </c>
      <c r="AD16" s="128">
        <v>1.1499999999999999</v>
      </c>
      <c r="AE16" s="128">
        <v>1.1499999999999999</v>
      </c>
      <c r="AF16" s="128">
        <v>1.1599999999999999</v>
      </c>
      <c r="AG16" s="128">
        <v>1.1599999999999999</v>
      </c>
      <c r="AH16" s="128">
        <v>1.1599999999999999</v>
      </c>
      <c r="AI16" s="128">
        <v>1.1599999999999999</v>
      </c>
      <c r="AJ16" s="128">
        <v>1.1599999999999999</v>
      </c>
      <c r="AK16" s="128">
        <v>1.17</v>
      </c>
      <c r="AL16" s="128">
        <v>1.17</v>
      </c>
      <c r="AM16" s="128">
        <v>1.17</v>
      </c>
      <c r="AN16" s="128">
        <v>1.17</v>
      </c>
      <c r="AO16" s="128">
        <v>1.18</v>
      </c>
      <c r="AP16" s="128">
        <v>1.18</v>
      </c>
      <c r="AQ16" s="128">
        <v>1.18</v>
      </c>
      <c r="AR16" s="128">
        <v>1.18</v>
      </c>
      <c r="AS16" s="128">
        <v>1.19</v>
      </c>
      <c r="AT16" s="128">
        <v>1.19</v>
      </c>
      <c r="AU16" s="128">
        <v>1.19</v>
      </c>
      <c r="AV16" s="128">
        <v>1.19</v>
      </c>
      <c r="AW16" s="128">
        <v>1.2</v>
      </c>
      <c r="AX16" s="128">
        <v>1.2</v>
      </c>
      <c r="AY16" s="128">
        <v>1.2</v>
      </c>
      <c r="AZ16" s="128">
        <v>1.21</v>
      </c>
      <c r="BA16" s="128">
        <v>1.2</v>
      </c>
      <c r="BB16" s="128">
        <v>1.2</v>
      </c>
      <c r="BC16" s="128">
        <v>1.2</v>
      </c>
      <c r="BD16" s="128">
        <v>1.19</v>
      </c>
      <c r="BE16" s="128">
        <v>1.19</v>
      </c>
      <c r="BF16" s="128">
        <v>1.19</v>
      </c>
      <c r="BG16" s="128">
        <v>1.19</v>
      </c>
      <c r="BH16" s="128">
        <v>1.18</v>
      </c>
      <c r="BI16" s="128">
        <v>1.18</v>
      </c>
      <c r="BJ16" s="128">
        <v>1.18</v>
      </c>
      <c r="BK16" s="128">
        <v>1.18</v>
      </c>
      <c r="BL16" s="128">
        <v>1.17</v>
      </c>
      <c r="BM16" s="128">
        <v>1.17</v>
      </c>
      <c r="BN16" s="128">
        <v>1.17</v>
      </c>
      <c r="BO16" s="128">
        <v>1.17</v>
      </c>
      <c r="BP16" s="128">
        <v>1.1599999999999999</v>
      </c>
      <c r="BQ16" s="128">
        <v>1.1599999999999999</v>
      </c>
      <c r="BR16" s="128">
        <v>1.1599999999999999</v>
      </c>
      <c r="BS16" s="128">
        <v>1.1599999999999999</v>
      </c>
      <c r="BT16" s="128">
        <v>1.1599999999999999</v>
      </c>
      <c r="BU16" s="128">
        <v>1.1499999999999999</v>
      </c>
      <c r="BV16" s="128">
        <v>1.1499999999999999</v>
      </c>
      <c r="BW16" s="128">
        <v>1.1499999999999999</v>
      </c>
      <c r="BX16" s="128">
        <v>1.1499999999999999</v>
      </c>
      <c r="BY16" s="128">
        <v>1.1499999999999999</v>
      </c>
      <c r="BZ16" s="128">
        <v>1.1499999999999999</v>
      </c>
      <c r="CA16" s="128">
        <v>1.1399999999999999</v>
      </c>
      <c r="CB16" s="128">
        <v>1.1399999999999999</v>
      </c>
      <c r="CC16" s="128">
        <v>1.1399999999999999</v>
      </c>
      <c r="CD16" s="128">
        <v>1.1399999999999999</v>
      </c>
      <c r="CE16" s="128">
        <v>1.1399999999999999</v>
      </c>
      <c r="CF16" s="128">
        <v>1.1399999999999999</v>
      </c>
      <c r="CG16" s="128">
        <v>1.1399999999999999</v>
      </c>
      <c r="CH16" s="128">
        <v>1.1299999999999999</v>
      </c>
      <c r="CI16" s="128">
        <v>1.1299999999999999</v>
      </c>
      <c r="CJ16" s="128">
        <v>1.1299999999999999</v>
      </c>
      <c r="CK16" s="128">
        <v>1.1299999999999999</v>
      </c>
      <c r="CL16" s="128">
        <v>1.1299999999999999</v>
      </c>
      <c r="CM16" s="128">
        <v>1.1299999999999999</v>
      </c>
      <c r="CN16" s="128">
        <v>1.1299999999999999</v>
      </c>
      <c r="CO16" s="128">
        <v>1.1299999999999999</v>
      </c>
      <c r="CP16" s="128">
        <v>1.1299999999999999</v>
      </c>
      <c r="CQ16" s="128">
        <v>1.1299999999999999</v>
      </c>
      <c r="CR16" s="128">
        <v>1.1299999999999999</v>
      </c>
      <c r="CS16" s="128">
        <v>1.1299999999999999</v>
      </c>
      <c r="CT16" s="128">
        <v>1.1299999999999999</v>
      </c>
      <c r="CU16" s="128">
        <v>1.1299999999999999</v>
      </c>
      <c r="CV16" s="128">
        <v>1.1299999999999999</v>
      </c>
      <c r="CW16" s="128">
        <v>1.1299999999999999</v>
      </c>
      <c r="CX16" s="128">
        <v>1.1299999999999999</v>
      </c>
      <c r="CZ16" s="126">
        <f>SUMIF(MatrixF1[[1]:[2]],MatrixF1[[#This Row],[Столбец1]])/MatrixF1[[#This Row],[Столбец1]]</f>
        <v>152.99999999999969</v>
      </c>
    </row>
    <row r="17" spans="1:104" ht="21" customHeight="1" x14ac:dyDescent="0.25">
      <c r="A17" s="127">
        <v>1.1399999999999999</v>
      </c>
      <c r="B17" s="128">
        <v>1</v>
      </c>
      <c r="C17" s="128">
        <v>1.01</v>
      </c>
      <c r="D17" s="128">
        <v>1.02</v>
      </c>
      <c r="E17" s="128">
        <v>1.03</v>
      </c>
      <c r="F17" s="128">
        <v>1.04</v>
      </c>
      <c r="G17" s="128">
        <v>1.05</v>
      </c>
      <c r="H17" s="128">
        <v>1.07</v>
      </c>
      <c r="I17" s="128">
        <v>1.08</v>
      </c>
      <c r="J17" s="128">
        <v>1.0900000000000001</v>
      </c>
      <c r="K17" s="128">
        <v>1.0900000000000001</v>
      </c>
      <c r="L17" s="128">
        <v>1.1000000000000001</v>
      </c>
      <c r="M17" s="128">
        <v>1.1100000000000001</v>
      </c>
      <c r="N17" s="128">
        <v>1.1200000000000001</v>
      </c>
      <c r="O17" s="128">
        <v>1.1299999999999999</v>
      </c>
      <c r="P17" s="128">
        <v>1.1399999999999999</v>
      </c>
      <c r="Q17" s="128">
        <v>1.1399999999999999</v>
      </c>
      <c r="R17" s="128">
        <v>1.1399999999999999</v>
      </c>
      <c r="S17" s="128">
        <v>1.1399999999999999</v>
      </c>
      <c r="T17" s="128">
        <v>1.1499999999999999</v>
      </c>
      <c r="U17" s="128">
        <v>1.1499999999999999</v>
      </c>
      <c r="V17" s="128">
        <v>1.1499999999999999</v>
      </c>
      <c r="W17" s="128">
        <v>1.1499999999999999</v>
      </c>
      <c r="X17" s="128">
        <v>1.1499999999999999</v>
      </c>
      <c r="Y17" s="128">
        <v>1.1499999999999999</v>
      </c>
      <c r="Z17" s="128">
        <v>1.1599999999999999</v>
      </c>
      <c r="AA17" s="128">
        <v>1.1599999999999999</v>
      </c>
      <c r="AB17" s="128">
        <v>1.1599999999999999</v>
      </c>
      <c r="AC17" s="128">
        <v>1.1599999999999999</v>
      </c>
      <c r="AD17" s="128">
        <v>1.1599999999999999</v>
      </c>
      <c r="AE17" s="128">
        <v>1.1599999999999999</v>
      </c>
      <c r="AF17" s="128">
        <v>1.17</v>
      </c>
      <c r="AG17" s="128">
        <v>1.17</v>
      </c>
      <c r="AH17" s="128">
        <v>1.17</v>
      </c>
      <c r="AI17" s="128">
        <v>1.17</v>
      </c>
      <c r="AJ17" s="128">
        <v>1.18</v>
      </c>
      <c r="AK17" s="128">
        <v>1.18</v>
      </c>
      <c r="AL17" s="128">
        <v>1.18</v>
      </c>
      <c r="AM17" s="128">
        <v>1.18</v>
      </c>
      <c r="AN17" s="128">
        <v>1.18</v>
      </c>
      <c r="AO17" s="128">
        <v>1.19</v>
      </c>
      <c r="AP17" s="128">
        <v>1.19</v>
      </c>
      <c r="AQ17" s="128">
        <v>1.19</v>
      </c>
      <c r="AR17" s="128">
        <v>1.19</v>
      </c>
      <c r="AS17" s="128">
        <v>1.2</v>
      </c>
      <c r="AT17" s="128">
        <v>1.2</v>
      </c>
      <c r="AU17" s="128">
        <v>1.2</v>
      </c>
      <c r="AV17" s="128">
        <v>1.21</v>
      </c>
      <c r="AW17" s="128">
        <v>1.21</v>
      </c>
      <c r="AX17" s="128">
        <v>1.21</v>
      </c>
      <c r="AY17" s="128">
        <v>1.22</v>
      </c>
      <c r="AZ17" s="128">
        <v>1.22</v>
      </c>
      <c r="BA17" s="128">
        <v>1.22</v>
      </c>
      <c r="BB17" s="128">
        <v>1.21</v>
      </c>
      <c r="BC17" s="128">
        <v>1.21</v>
      </c>
      <c r="BD17" s="128">
        <v>1.21</v>
      </c>
      <c r="BE17" s="128">
        <v>1.2</v>
      </c>
      <c r="BF17" s="128">
        <v>1.2</v>
      </c>
      <c r="BG17" s="128">
        <v>1.2</v>
      </c>
      <c r="BH17" s="128">
        <v>1.19</v>
      </c>
      <c r="BI17" s="128">
        <v>1.19</v>
      </c>
      <c r="BJ17" s="128">
        <v>1.19</v>
      </c>
      <c r="BK17" s="128">
        <v>1.19</v>
      </c>
      <c r="BL17" s="128">
        <v>1.18</v>
      </c>
      <c r="BM17" s="128">
        <v>1.18</v>
      </c>
      <c r="BN17" s="128">
        <v>1.18</v>
      </c>
      <c r="BO17" s="128">
        <v>1.18</v>
      </c>
      <c r="BP17" s="128">
        <v>1.18</v>
      </c>
      <c r="BQ17" s="128">
        <v>1.17</v>
      </c>
      <c r="BR17" s="128">
        <v>1.17</v>
      </c>
      <c r="BS17" s="128">
        <v>1.17</v>
      </c>
      <c r="BT17" s="128">
        <v>1.17</v>
      </c>
      <c r="BU17" s="128">
        <v>1.1599999999999999</v>
      </c>
      <c r="BV17" s="128">
        <v>1.1599999999999999</v>
      </c>
      <c r="BW17" s="128">
        <v>1.1599999999999999</v>
      </c>
      <c r="BX17" s="128">
        <v>1.1599999999999999</v>
      </c>
      <c r="BY17" s="128">
        <v>1.1599999999999999</v>
      </c>
      <c r="BZ17" s="128">
        <v>1.1599999999999999</v>
      </c>
      <c r="CA17" s="128">
        <v>1.1499999999999999</v>
      </c>
      <c r="CB17" s="128">
        <v>1.1499999999999999</v>
      </c>
      <c r="CC17" s="128">
        <v>1.1499999999999999</v>
      </c>
      <c r="CD17" s="128">
        <v>1.1499999999999999</v>
      </c>
      <c r="CE17" s="128">
        <v>1.1499999999999999</v>
      </c>
      <c r="CF17" s="128">
        <v>1.1499999999999999</v>
      </c>
      <c r="CG17" s="128">
        <v>1.1399999999999999</v>
      </c>
      <c r="CH17" s="128">
        <v>1.1399999999999999</v>
      </c>
      <c r="CI17" s="128">
        <v>1.1399999999999999</v>
      </c>
      <c r="CJ17" s="128">
        <v>1.1399999999999999</v>
      </c>
      <c r="CK17" s="128">
        <v>1.1399999999999999</v>
      </c>
      <c r="CL17" s="128">
        <v>1.1399999999999999</v>
      </c>
      <c r="CM17" s="128">
        <v>1.1399999999999999</v>
      </c>
      <c r="CN17" s="128">
        <v>1.1399999999999999</v>
      </c>
      <c r="CO17" s="128">
        <v>1.1399999999999999</v>
      </c>
      <c r="CP17" s="128">
        <v>1.1399999999999999</v>
      </c>
      <c r="CQ17" s="128">
        <v>1.1399999999999999</v>
      </c>
      <c r="CR17" s="128">
        <v>1.1399999999999999</v>
      </c>
      <c r="CS17" s="128">
        <v>1.1399999999999999</v>
      </c>
      <c r="CT17" s="128">
        <v>1.1399999999999999</v>
      </c>
      <c r="CU17" s="128">
        <v>1.1399999999999999</v>
      </c>
      <c r="CV17" s="128">
        <v>1.1399999999999999</v>
      </c>
      <c r="CW17" s="128">
        <v>1.1399999999999999</v>
      </c>
      <c r="CX17" s="128">
        <v>1.1399999999999999</v>
      </c>
      <c r="CZ17" s="126">
        <f>SUMIF(MatrixF1[[1]:[2]],MatrixF1[[#This Row],[Столбец1]])/MatrixF1[[#This Row],[Столбец1]]</f>
        <v>164.99999999999943</v>
      </c>
    </row>
    <row r="18" spans="1:104" ht="21" customHeight="1" x14ac:dyDescent="0.25">
      <c r="A18" s="127">
        <v>1.1499999999999999</v>
      </c>
      <c r="B18" s="128">
        <v>1</v>
      </c>
      <c r="C18" s="128">
        <v>1.01</v>
      </c>
      <c r="D18" s="128">
        <v>1.02</v>
      </c>
      <c r="E18" s="128">
        <v>1.03</v>
      </c>
      <c r="F18" s="128">
        <v>1.04</v>
      </c>
      <c r="G18" s="128">
        <v>1.06</v>
      </c>
      <c r="H18" s="128">
        <v>1.07</v>
      </c>
      <c r="I18" s="128">
        <v>1.08</v>
      </c>
      <c r="J18" s="128">
        <v>1.0900000000000001</v>
      </c>
      <c r="K18" s="128">
        <v>1.1000000000000001</v>
      </c>
      <c r="L18" s="128">
        <v>1.1100000000000001</v>
      </c>
      <c r="M18" s="128">
        <v>1.1100000000000001</v>
      </c>
      <c r="N18" s="128">
        <v>1.1200000000000001</v>
      </c>
      <c r="O18" s="128">
        <v>1.1299999999999999</v>
      </c>
      <c r="P18" s="128">
        <v>1.1399999999999999</v>
      </c>
      <c r="Q18" s="128">
        <v>1.1499999999999999</v>
      </c>
      <c r="R18" s="128">
        <v>1.1499999999999999</v>
      </c>
      <c r="S18" s="128">
        <v>1.1499999999999999</v>
      </c>
      <c r="T18" s="128">
        <v>1.1499999999999999</v>
      </c>
      <c r="U18" s="128">
        <v>1.1599999999999999</v>
      </c>
      <c r="V18" s="128">
        <v>1.1599999999999999</v>
      </c>
      <c r="W18" s="128">
        <v>1.1599999999999999</v>
      </c>
      <c r="X18" s="128">
        <v>1.1599999999999999</v>
      </c>
      <c r="Y18" s="128">
        <v>1.1599999999999999</v>
      </c>
      <c r="Z18" s="128">
        <v>1.1599999999999999</v>
      </c>
      <c r="AA18" s="128">
        <v>1.17</v>
      </c>
      <c r="AB18" s="128">
        <v>1.17</v>
      </c>
      <c r="AC18" s="128">
        <v>1.17</v>
      </c>
      <c r="AD18" s="128">
        <v>1.17</v>
      </c>
      <c r="AE18" s="128">
        <v>1.17</v>
      </c>
      <c r="AF18" s="128">
        <v>1.18</v>
      </c>
      <c r="AG18" s="128">
        <v>1.18</v>
      </c>
      <c r="AH18" s="128">
        <v>1.18</v>
      </c>
      <c r="AI18" s="128">
        <v>1.18</v>
      </c>
      <c r="AJ18" s="128">
        <v>1.19</v>
      </c>
      <c r="AK18" s="128">
        <v>1.19</v>
      </c>
      <c r="AL18" s="128">
        <v>1.19</v>
      </c>
      <c r="AM18" s="128">
        <v>1.19</v>
      </c>
      <c r="AN18" s="128">
        <v>1.19</v>
      </c>
      <c r="AO18" s="128">
        <v>1.2</v>
      </c>
      <c r="AP18" s="128">
        <v>1.2</v>
      </c>
      <c r="AQ18" s="128">
        <v>1.2</v>
      </c>
      <c r="AR18" s="128">
        <v>1.21</v>
      </c>
      <c r="AS18" s="128">
        <v>1.21</v>
      </c>
      <c r="AT18" s="128">
        <v>1.21</v>
      </c>
      <c r="AU18" s="128">
        <v>1.21</v>
      </c>
      <c r="AV18" s="128">
        <v>1.22</v>
      </c>
      <c r="AW18" s="128">
        <v>1.22</v>
      </c>
      <c r="AX18" s="128">
        <v>1.22</v>
      </c>
      <c r="AY18" s="128">
        <v>1.23</v>
      </c>
      <c r="AZ18" s="128">
        <v>1.23</v>
      </c>
      <c r="BA18" s="128">
        <v>1.23</v>
      </c>
      <c r="BB18" s="128">
        <v>1.22</v>
      </c>
      <c r="BC18" s="128">
        <v>1.22</v>
      </c>
      <c r="BD18" s="128">
        <v>1.22</v>
      </c>
      <c r="BE18" s="128">
        <v>1.21</v>
      </c>
      <c r="BF18" s="128">
        <v>1.21</v>
      </c>
      <c r="BG18" s="128">
        <v>1.21</v>
      </c>
      <c r="BH18" s="128">
        <v>1.21</v>
      </c>
      <c r="BI18" s="128">
        <v>1.2</v>
      </c>
      <c r="BJ18" s="128">
        <v>1.2</v>
      </c>
      <c r="BK18" s="128">
        <v>1.2</v>
      </c>
      <c r="BL18" s="128">
        <v>1.19</v>
      </c>
      <c r="BM18" s="128">
        <v>1.19</v>
      </c>
      <c r="BN18" s="128">
        <v>1.19</v>
      </c>
      <c r="BO18" s="128">
        <v>1.19</v>
      </c>
      <c r="BP18" s="128">
        <v>1.19</v>
      </c>
      <c r="BQ18" s="128">
        <v>1.18</v>
      </c>
      <c r="BR18" s="128">
        <v>1.18</v>
      </c>
      <c r="BS18" s="128">
        <v>1.18</v>
      </c>
      <c r="BT18" s="128">
        <v>1.18</v>
      </c>
      <c r="BU18" s="128">
        <v>1.17</v>
      </c>
      <c r="BV18" s="128">
        <v>1.17</v>
      </c>
      <c r="BW18" s="128">
        <v>1.17</v>
      </c>
      <c r="BX18" s="128">
        <v>1.17</v>
      </c>
      <c r="BY18" s="128">
        <v>1.17</v>
      </c>
      <c r="BZ18" s="128">
        <v>1.1599999999999999</v>
      </c>
      <c r="CA18" s="128">
        <v>1.1599999999999999</v>
      </c>
      <c r="CB18" s="128">
        <v>1.1599999999999999</v>
      </c>
      <c r="CC18" s="128">
        <v>1.1599999999999999</v>
      </c>
      <c r="CD18" s="128">
        <v>1.1599999999999999</v>
      </c>
      <c r="CE18" s="128">
        <v>1.1599999999999999</v>
      </c>
      <c r="CF18" s="128">
        <v>1.1499999999999999</v>
      </c>
      <c r="CG18" s="128">
        <v>1.1499999999999999</v>
      </c>
      <c r="CH18" s="128">
        <v>1.1499999999999999</v>
      </c>
      <c r="CI18" s="128">
        <v>1.1499999999999999</v>
      </c>
      <c r="CJ18" s="128">
        <v>1.1499999999999999</v>
      </c>
      <c r="CK18" s="128">
        <v>1.1499999999999999</v>
      </c>
      <c r="CL18" s="128">
        <v>1.1499999999999999</v>
      </c>
      <c r="CM18" s="128">
        <v>1.1499999999999999</v>
      </c>
      <c r="CN18" s="128">
        <v>1.1499999999999999</v>
      </c>
      <c r="CO18" s="128">
        <v>1.1499999999999999</v>
      </c>
      <c r="CP18" s="128">
        <v>1.1499999999999999</v>
      </c>
      <c r="CQ18" s="128">
        <v>1.1499999999999999</v>
      </c>
      <c r="CR18" s="128">
        <v>1.1499999999999999</v>
      </c>
      <c r="CS18" s="128">
        <v>1.1499999999999999</v>
      </c>
      <c r="CT18" s="128">
        <v>1.1499999999999999</v>
      </c>
      <c r="CU18" s="128">
        <v>1.1499999999999999</v>
      </c>
      <c r="CV18" s="128">
        <v>1.1499999999999999</v>
      </c>
      <c r="CW18" s="128">
        <v>1.1499999999999999</v>
      </c>
      <c r="CX18" s="128">
        <v>1.1499999999999999</v>
      </c>
      <c r="CZ18" s="126">
        <f>SUMIF(MatrixF1[[1]:[2]],MatrixF1[[#This Row],[Столбец1]])/MatrixF1[[#This Row],[Столбец1]]</f>
        <v>163.00000000000048</v>
      </c>
    </row>
    <row r="19" spans="1:104" ht="21" customHeight="1" x14ac:dyDescent="0.25">
      <c r="A19" s="127">
        <v>1.1599999999999999</v>
      </c>
      <c r="B19" s="128">
        <v>1</v>
      </c>
      <c r="C19" s="128">
        <v>1.01</v>
      </c>
      <c r="D19" s="128">
        <v>1.02</v>
      </c>
      <c r="E19" s="128">
        <v>1.03</v>
      </c>
      <c r="F19" s="128">
        <v>1.05</v>
      </c>
      <c r="G19" s="128">
        <v>1.06</v>
      </c>
      <c r="H19" s="128">
        <v>1.07</v>
      </c>
      <c r="I19" s="128">
        <v>1.08</v>
      </c>
      <c r="J19" s="128">
        <v>1.0900000000000001</v>
      </c>
      <c r="K19" s="128">
        <v>1.1000000000000001</v>
      </c>
      <c r="L19" s="128">
        <v>1.1100000000000001</v>
      </c>
      <c r="M19" s="128">
        <v>1.1200000000000001</v>
      </c>
      <c r="N19" s="128">
        <v>1.1200000000000001</v>
      </c>
      <c r="O19" s="128">
        <v>1.1299999999999999</v>
      </c>
      <c r="P19" s="128">
        <v>1.1399999999999999</v>
      </c>
      <c r="Q19" s="128">
        <v>1.1499999999999999</v>
      </c>
      <c r="R19" s="128">
        <v>1.1599999999999999</v>
      </c>
      <c r="S19" s="128">
        <v>1.1599999999999999</v>
      </c>
      <c r="T19" s="128">
        <v>1.1599999999999999</v>
      </c>
      <c r="U19" s="128">
        <v>1.1599999999999999</v>
      </c>
      <c r="V19" s="128">
        <v>1.17</v>
      </c>
      <c r="W19" s="128">
        <v>1.17</v>
      </c>
      <c r="X19" s="128">
        <v>1.17</v>
      </c>
      <c r="Y19" s="128">
        <v>1.17</v>
      </c>
      <c r="Z19" s="128">
        <v>1.17</v>
      </c>
      <c r="AA19" s="128">
        <v>1.18</v>
      </c>
      <c r="AB19" s="128">
        <v>1.18</v>
      </c>
      <c r="AC19" s="128">
        <v>1.18</v>
      </c>
      <c r="AD19" s="128">
        <v>1.18</v>
      </c>
      <c r="AE19" s="128">
        <v>1.18</v>
      </c>
      <c r="AF19" s="128">
        <v>1.19</v>
      </c>
      <c r="AG19" s="128">
        <v>1.19</v>
      </c>
      <c r="AH19" s="128">
        <v>1.19</v>
      </c>
      <c r="AI19" s="128">
        <v>1.19</v>
      </c>
      <c r="AJ19" s="128">
        <v>1.2</v>
      </c>
      <c r="AK19" s="128">
        <v>1.2</v>
      </c>
      <c r="AL19" s="128">
        <v>1.2</v>
      </c>
      <c r="AM19" s="128">
        <v>1.2</v>
      </c>
      <c r="AN19" s="128">
        <v>1.21</v>
      </c>
      <c r="AO19" s="128">
        <v>1.21</v>
      </c>
      <c r="AP19" s="128">
        <v>1.21</v>
      </c>
      <c r="AQ19" s="128">
        <v>1.21</v>
      </c>
      <c r="AR19" s="128">
        <v>1.22</v>
      </c>
      <c r="AS19" s="128">
        <v>1.22</v>
      </c>
      <c r="AT19" s="128">
        <v>1.22</v>
      </c>
      <c r="AU19" s="128">
        <v>1.23</v>
      </c>
      <c r="AV19" s="128">
        <v>1.23</v>
      </c>
      <c r="AW19" s="128">
        <v>1.23</v>
      </c>
      <c r="AX19" s="128">
        <v>1.24</v>
      </c>
      <c r="AY19" s="128">
        <v>1.24</v>
      </c>
      <c r="AZ19" s="128">
        <v>1.24</v>
      </c>
      <c r="BA19" s="128">
        <v>1.24</v>
      </c>
      <c r="BB19" s="128">
        <v>1.24</v>
      </c>
      <c r="BC19" s="128">
        <v>1.23</v>
      </c>
      <c r="BD19" s="128">
        <v>1.23</v>
      </c>
      <c r="BE19" s="128">
        <v>1.23</v>
      </c>
      <c r="BF19" s="128">
        <v>1.22</v>
      </c>
      <c r="BG19" s="128">
        <v>1.22</v>
      </c>
      <c r="BH19" s="128">
        <v>1.22</v>
      </c>
      <c r="BI19" s="128">
        <v>1.21</v>
      </c>
      <c r="BJ19" s="128">
        <v>1.21</v>
      </c>
      <c r="BK19" s="128">
        <v>1.21</v>
      </c>
      <c r="BL19" s="128">
        <v>1.21</v>
      </c>
      <c r="BM19" s="128">
        <v>1.2</v>
      </c>
      <c r="BN19" s="128">
        <v>1.2</v>
      </c>
      <c r="BO19" s="128">
        <v>1.2</v>
      </c>
      <c r="BP19" s="128">
        <v>1.2</v>
      </c>
      <c r="BQ19" s="128">
        <v>1.19</v>
      </c>
      <c r="BR19" s="128">
        <v>1.19</v>
      </c>
      <c r="BS19" s="128">
        <v>1.19</v>
      </c>
      <c r="BT19" s="128">
        <v>1.19</v>
      </c>
      <c r="BU19" s="128">
        <v>1.18</v>
      </c>
      <c r="BV19" s="128">
        <v>1.18</v>
      </c>
      <c r="BW19" s="128">
        <v>1.18</v>
      </c>
      <c r="BX19" s="128">
        <v>1.18</v>
      </c>
      <c r="BY19" s="128">
        <v>1.18</v>
      </c>
      <c r="BZ19" s="128">
        <v>1.17</v>
      </c>
      <c r="CA19" s="128">
        <v>1.17</v>
      </c>
      <c r="CB19" s="128">
        <v>1.17</v>
      </c>
      <c r="CC19" s="128">
        <v>1.17</v>
      </c>
      <c r="CD19" s="128">
        <v>1.17</v>
      </c>
      <c r="CE19" s="128">
        <v>1.1599999999999999</v>
      </c>
      <c r="CF19" s="128">
        <v>1.1599999999999999</v>
      </c>
      <c r="CG19" s="128">
        <v>1.1599999999999999</v>
      </c>
      <c r="CH19" s="128">
        <v>1.1599999999999999</v>
      </c>
      <c r="CI19" s="128">
        <v>1.1599999999999999</v>
      </c>
      <c r="CJ19" s="128">
        <v>1.1599999999999999</v>
      </c>
      <c r="CK19" s="128">
        <v>1.1599999999999999</v>
      </c>
      <c r="CL19" s="128">
        <v>1.1599999999999999</v>
      </c>
      <c r="CM19" s="128">
        <v>1.1599999999999999</v>
      </c>
      <c r="CN19" s="128">
        <v>1.1599999999999999</v>
      </c>
      <c r="CO19" s="128">
        <v>1.1599999999999999</v>
      </c>
      <c r="CP19" s="128">
        <v>1.1599999999999999</v>
      </c>
      <c r="CQ19" s="128">
        <v>1.1599999999999999</v>
      </c>
      <c r="CR19" s="128">
        <v>1.1599999999999999</v>
      </c>
      <c r="CS19" s="128">
        <v>1.1599999999999999</v>
      </c>
      <c r="CT19" s="128">
        <v>1.1599999999999999</v>
      </c>
      <c r="CU19" s="128">
        <v>1.1599999999999999</v>
      </c>
      <c r="CV19" s="128">
        <v>1.1599999999999999</v>
      </c>
      <c r="CW19" s="128">
        <v>1.1599999999999999</v>
      </c>
      <c r="CX19" s="128">
        <v>1.1599999999999999</v>
      </c>
      <c r="CZ19" s="126">
        <f>SUMIF(MatrixF1[[1]:[2]],MatrixF1[[#This Row],[Столбец1]])/MatrixF1[[#This Row],[Столбец1]]</f>
        <v>166.99999999999963</v>
      </c>
    </row>
    <row r="20" spans="1:104" ht="21" customHeight="1" x14ac:dyDescent="0.25">
      <c r="A20" s="127">
        <v>1.17</v>
      </c>
      <c r="B20" s="128">
        <v>1</v>
      </c>
      <c r="C20" s="128">
        <v>1.01</v>
      </c>
      <c r="D20" s="128">
        <v>1.02</v>
      </c>
      <c r="E20" s="128">
        <v>1.03</v>
      </c>
      <c r="F20" s="128">
        <v>1.05</v>
      </c>
      <c r="G20" s="128">
        <v>1.06</v>
      </c>
      <c r="H20" s="128">
        <v>1.07</v>
      </c>
      <c r="I20" s="128">
        <v>1.08</v>
      </c>
      <c r="J20" s="128">
        <v>1.0900000000000001</v>
      </c>
      <c r="K20" s="128">
        <v>1.1000000000000001</v>
      </c>
      <c r="L20" s="128">
        <v>1.1100000000000001</v>
      </c>
      <c r="M20" s="128">
        <v>1.1200000000000001</v>
      </c>
      <c r="N20" s="128">
        <v>1.1299999999999999</v>
      </c>
      <c r="O20" s="128">
        <v>1.1399999999999999</v>
      </c>
      <c r="P20" s="128">
        <v>1.1399999999999999</v>
      </c>
      <c r="Q20" s="128">
        <v>1.1499999999999999</v>
      </c>
      <c r="R20" s="128">
        <v>1.1599999999999999</v>
      </c>
      <c r="S20" s="128">
        <v>1.17</v>
      </c>
      <c r="T20" s="128">
        <v>1.17</v>
      </c>
      <c r="U20" s="128">
        <v>1.17</v>
      </c>
      <c r="V20" s="128">
        <v>1.18</v>
      </c>
      <c r="W20" s="128">
        <v>1.18</v>
      </c>
      <c r="X20" s="128">
        <v>1.18</v>
      </c>
      <c r="Y20" s="128">
        <v>1.18</v>
      </c>
      <c r="Z20" s="128">
        <v>1.18</v>
      </c>
      <c r="AA20" s="128">
        <v>1.18</v>
      </c>
      <c r="AB20" s="128">
        <v>1.19</v>
      </c>
      <c r="AC20" s="128">
        <v>1.19</v>
      </c>
      <c r="AD20" s="128">
        <v>1.19</v>
      </c>
      <c r="AE20" s="128">
        <v>1.19</v>
      </c>
      <c r="AF20" s="128">
        <v>1.2</v>
      </c>
      <c r="AG20" s="128">
        <v>1.2</v>
      </c>
      <c r="AH20" s="128">
        <v>1.2</v>
      </c>
      <c r="AI20" s="128">
        <v>1.2</v>
      </c>
      <c r="AJ20" s="128">
        <v>1.2</v>
      </c>
      <c r="AK20" s="128">
        <v>1.21</v>
      </c>
      <c r="AL20" s="128">
        <v>1.21</v>
      </c>
      <c r="AM20" s="128">
        <v>1.21</v>
      </c>
      <c r="AN20" s="128">
        <v>1.22</v>
      </c>
      <c r="AO20" s="128">
        <v>1.22</v>
      </c>
      <c r="AP20" s="128">
        <v>1.22</v>
      </c>
      <c r="AQ20" s="128">
        <v>1.22</v>
      </c>
      <c r="AR20" s="128">
        <v>1.23</v>
      </c>
      <c r="AS20" s="128">
        <v>1.23</v>
      </c>
      <c r="AT20" s="128">
        <v>1.23</v>
      </c>
      <c r="AU20" s="128">
        <v>1.24</v>
      </c>
      <c r="AV20" s="128">
        <v>1.24</v>
      </c>
      <c r="AW20" s="128">
        <v>1.24</v>
      </c>
      <c r="AX20" s="128">
        <v>1.25</v>
      </c>
      <c r="AY20" s="128">
        <v>1.25</v>
      </c>
      <c r="AZ20" s="128">
        <v>1.25</v>
      </c>
      <c r="BA20" s="128">
        <v>1.25</v>
      </c>
      <c r="BB20" s="128">
        <v>1.25</v>
      </c>
      <c r="BC20" s="128">
        <v>1.24</v>
      </c>
      <c r="BD20" s="128">
        <v>1.24</v>
      </c>
      <c r="BE20" s="128">
        <v>1.24</v>
      </c>
      <c r="BF20" s="128">
        <v>1.23</v>
      </c>
      <c r="BG20" s="128">
        <v>1.23</v>
      </c>
      <c r="BH20" s="128">
        <v>1.23</v>
      </c>
      <c r="BI20" s="128">
        <v>1.22</v>
      </c>
      <c r="BJ20" s="128">
        <v>1.22</v>
      </c>
      <c r="BK20" s="128">
        <v>1.22</v>
      </c>
      <c r="BL20" s="128">
        <v>1.22</v>
      </c>
      <c r="BM20" s="128">
        <v>1.21</v>
      </c>
      <c r="BN20" s="128">
        <v>1.21</v>
      </c>
      <c r="BO20" s="128">
        <v>1.21</v>
      </c>
      <c r="BP20" s="128">
        <v>1.2</v>
      </c>
      <c r="BQ20" s="128">
        <v>1.2</v>
      </c>
      <c r="BR20" s="128">
        <v>1.2</v>
      </c>
      <c r="BS20" s="128">
        <v>1.2</v>
      </c>
      <c r="BT20" s="128">
        <v>1.2</v>
      </c>
      <c r="BU20" s="128">
        <v>1.19</v>
      </c>
      <c r="BV20" s="128">
        <v>1.19</v>
      </c>
      <c r="BW20" s="128">
        <v>1.19</v>
      </c>
      <c r="BX20" s="128">
        <v>1.19</v>
      </c>
      <c r="BY20" s="128">
        <v>1.18</v>
      </c>
      <c r="BZ20" s="128">
        <v>1.18</v>
      </c>
      <c r="CA20" s="128">
        <v>1.18</v>
      </c>
      <c r="CB20" s="128">
        <v>1.18</v>
      </c>
      <c r="CC20" s="128">
        <v>1.18</v>
      </c>
      <c r="CD20" s="128">
        <v>1.18</v>
      </c>
      <c r="CE20" s="128">
        <v>1.17</v>
      </c>
      <c r="CF20" s="128">
        <v>1.17</v>
      </c>
      <c r="CG20" s="128">
        <v>1.17</v>
      </c>
      <c r="CH20" s="128">
        <v>1.17</v>
      </c>
      <c r="CI20" s="128">
        <v>1.17</v>
      </c>
      <c r="CJ20" s="128">
        <v>1.17</v>
      </c>
      <c r="CK20" s="128">
        <v>1.17</v>
      </c>
      <c r="CL20" s="128">
        <v>1.17</v>
      </c>
      <c r="CM20" s="128">
        <v>1.17</v>
      </c>
      <c r="CN20" s="128">
        <v>1.17</v>
      </c>
      <c r="CO20" s="128">
        <v>1.17</v>
      </c>
      <c r="CP20" s="128">
        <v>1.17</v>
      </c>
      <c r="CQ20" s="128">
        <v>1.17</v>
      </c>
      <c r="CR20" s="128">
        <v>1.17</v>
      </c>
      <c r="CS20" s="128">
        <v>1.17</v>
      </c>
      <c r="CT20" s="128">
        <v>1.17</v>
      </c>
      <c r="CU20" s="128">
        <v>1.17</v>
      </c>
      <c r="CV20" s="128">
        <v>1.17</v>
      </c>
      <c r="CW20" s="128">
        <v>1.17</v>
      </c>
      <c r="CX20" s="128">
        <v>1.17</v>
      </c>
      <c r="CZ20" s="126">
        <f>SUMIF(MatrixF1[[1]:[2]],MatrixF1[[#This Row],[Столбец1]])/MatrixF1[[#This Row],[Столбец1]]</f>
        <v>150.99999999999972</v>
      </c>
    </row>
    <row r="21" spans="1:104" ht="21" customHeight="1" x14ac:dyDescent="0.25">
      <c r="A21" s="127">
        <v>1.18</v>
      </c>
      <c r="B21" s="128">
        <v>1</v>
      </c>
      <c r="C21" s="128">
        <v>1.01</v>
      </c>
      <c r="D21" s="128">
        <v>1.02</v>
      </c>
      <c r="E21" s="128">
        <v>1.04</v>
      </c>
      <c r="F21" s="128">
        <v>1.05</v>
      </c>
      <c r="G21" s="128">
        <v>1.06</v>
      </c>
      <c r="H21" s="128">
        <v>1.07</v>
      </c>
      <c r="I21" s="128">
        <v>1.08</v>
      </c>
      <c r="J21" s="128">
        <v>1.0900000000000001</v>
      </c>
      <c r="K21" s="128">
        <v>1.1000000000000001</v>
      </c>
      <c r="L21" s="128">
        <v>1.1100000000000001</v>
      </c>
      <c r="M21" s="128">
        <v>1.1200000000000001</v>
      </c>
      <c r="N21" s="128">
        <v>1.1299999999999999</v>
      </c>
      <c r="O21" s="128">
        <v>1.1399999999999999</v>
      </c>
      <c r="P21" s="128">
        <v>1.1499999999999999</v>
      </c>
      <c r="Q21" s="128">
        <v>1.1499999999999999</v>
      </c>
      <c r="R21" s="128">
        <v>1.1599999999999999</v>
      </c>
      <c r="S21" s="128">
        <v>1.17</v>
      </c>
      <c r="T21" s="128">
        <v>1.18</v>
      </c>
      <c r="U21" s="128">
        <v>1.18</v>
      </c>
      <c r="V21" s="128">
        <v>1.18</v>
      </c>
      <c r="W21" s="128">
        <v>1.19</v>
      </c>
      <c r="X21" s="128">
        <v>1.19</v>
      </c>
      <c r="Y21" s="128">
        <v>1.19</v>
      </c>
      <c r="Z21" s="128">
        <v>1.19</v>
      </c>
      <c r="AA21" s="128">
        <v>1.19</v>
      </c>
      <c r="AB21" s="128">
        <v>1.2</v>
      </c>
      <c r="AC21" s="128">
        <v>1.2</v>
      </c>
      <c r="AD21" s="128">
        <v>1.2</v>
      </c>
      <c r="AE21" s="128">
        <v>1.2</v>
      </c>
      <c r="AF21" s="128">
        <v>1.2</v>
      </c>
      <c r="AG21" s="128">
        <v>1.21</v>
      </c>
      <c r="AH21" s="128">
        <v>1.21</v>
      </c>
      <c r="AI21" s="128">
        <v>1.21</v>
      </c>
      <c r="AJ21" s="128">
        <v>1.21</v>
      </c>
      <c r="AK21" s="128">
        <v>1.22</v>
      </c>
      <c r="AL21" s="128">
        <v>1.22</v>
      </c>
      <c r="AM21" s="128">
        <v>1.22</v>
      </c>
      <c r="AN21" s="128">
        <v>1.22</v>
      </c>
      <c r="AO21" s="128">
        <v>1.23</v>
      </c>
      <c r="AP21" s="128">
        <v>1.23</v>
      </c>
      <c r="AQ21" s="128">
        <v>1.23</v>
      </c>
      <c r="AR21" s="128">
        <v>1.24</v>
      </c>
      <c r="AS21" s="128">
        <v>1.24</v>
      </c>
      <c r="AT21" s="128">
        <v>1.24</v>
      </c>
      <c r="AU21" s="128">
        <v>1.25</v>
      </c>
      <c r="AV21" s="128">
        <v>1.25</v>
      </c>
      <c r="AW21" s="128">
        <v>1.25</v>
      </c>
      <c r="AX21" s="128">
        <v>1.26</v>
      </c>
      <c r="AY21" s="128">
        <v>1.26</v>
      </c>
      <c r="AZ21" s="128">
        <v>1.26</v>
      </c>
      <c r="BA21" s="128">
        <v>1.26</v>
      </c>
      <c r="BB21" s="128">
        <v>1.26</v>
      </c>
      <c r="BC21" s="128">
        <v>1.25</v>
      </c>
      <c r="BD21" s="128">
        <v>1.25</v>
      </c>
      <c r="BE21" s="128">
        <v>1.25</v>
      </c>
      <c r="BF21" s="128">
        <v>1.24</v>
      </c>
      <c r="BG21" s="128">
        <v>1.24</v>
      </c>
      <c r="BH21" s="128">
        <v>1.24</v>
      </c>
      <c r="BI21" s="128">
        <v>1.23</v>
      </c>
      <c r="BJ21" s="128">
        <v>1.23</v>
      </c>
      <c r="BK21" s="128">
        <v>1.23</v>
      </c>
      <c r="BL21" s="128">
        <v>1.22</v>
      </c>
      <c r="BM21" s="128">
        <v>1.22</v>
      </c>
      <c r="BN21" s="128">
        <v>1.22</v>
      </c>
      <c r="BO21" s="128">
        <v>1.22</v>
      </c>
      <c r="BP21" s="128">
        <v>1.21</v>
      </c>
      <c r="BQ21" s="128">
        <v>1.21</v>
      </c>
      <c r="BR21" s="128">
        <v>1.21</v>
      </c>
      <c r="BS21" s="128">
        <v>1.21</v>
      </c>
      <c r="BT21" s="128">
        <v>1.2</v>
      </c>
      <c r="BU21" s="128">
        <v>1.2</v>
      </c>
      <c r="BV21" s="128">
        <v>1.2</v>
      </c>
      <c r="BW21" s="128">
        <v>1.2</v>
      </c>
      <c r="BX21" s="128">
        <v>1.2</v>
      </c>
      <c r="BY21" s="128">
        <v>1.19</v>
      </c>
      <c r="BZ21" s="128">
        <v>1.19</v>
      </c>
      <c r="CA21" s="128">
        <v>1.19</v>
      </c>
      <c r="CB21" s="128">
        <v>1.19</v>
      </c>
      <c r="CC21" s="128">
        <v>1.19</v>
      </c>
      <c r="CD21" s="128">
        <v>1.18</v>
      </c>
      <c r="CE21" s="128">
        <v>1.18</v>
      </c>
      <c r="CF21" s="128">
        <v>1.18</v>
      </c>
      <c r="CG21" s="128">
        <v>1.18</v>
      </c>
      <c r="CH21" s="128">
        <v>1.18</v>
      </c>
      <c r="CI21" s="128">
        <v>1.18</v>
      </c>
      <c r="CJ21" s="128">
        <v>1.18</v>
      </c>
      <c r="CK21" s="128">
        <v>1.18</v>
      </c>
      <c r="CL21" s="128">
        <v>1.18</v>
      </c>
      <c r="CM21" s="128">
        <v>1.18</v>
      </c>
      <c r="CN21" s="128">
        <v>1.18</v>
      </c>
      <c r="CO21" s="128">
        <v>1.18</v>
      </c>
      <c r="CP21" s="128">
        <v>1.18</v>
      </c>
      <c r="CQ21" s="128">
        <v>1.18</v>
      </c>
      <c r="CR21" s="128">
        <v>1.18</v>
      </c>
      <c r="CS21" s="128">
        <v>1.18</v>
      </c>
      <c r="CT21" s="128">
        <v>1.18</v>
      </c>
      <c r="CU21" s="128">
        <v>1.18</v>
      </c>
      <c r="CV21" s="128">
        <v>1.18</v>
      </c>
      <c r="CW21" s="128">
        <v>1.18</v>
      </c>
      <c r="CX21" s="128">
        <v>1.18</v>
      </c>
      <c r="CZ21" s="126">
        <f>SUMIF(MatrixF1[[1]:[2]],MatrixF1[[#This Row],[Столбец1]])/MatrixF1[[#This Row],[Столбец1]]</f>
        <v>165.00000000000063</v>
      </c>
    </row>
    <row r="22" spans="1:104" ht="21" customHeight="1" x14ac:dyDescent="0.25">
      <c r="A22" s="127">
        <v>1.19</v>
      </c>
      <c r="B22" s="128">
        <v>1</v>
      </c>
      <c r="C22" s="128">
        <v>1.01</v>
      </c>
      <c r="D22" s="128">
        <v>1.02</v>
      </c>
      <c r="E22" s="128">
        <v>1.04</v>
      </c>
      <c r="F22" s="128">
        <v>1.05</v>
      </c>
      <c r="G22" s="128">
        <v>1.06</v>
      </c>
      <c r="H22" s="128">
        <v>1.07</v>
      </c>
      <c r="I22" s="128">
        <v>1.08</v>
      </c>
      <c r="J22" s="128">
        <v>1.0900000000000001</v>
      </c>
      <c r="K22" s="128">
        <v>1.1000000000000001</v>
      </c>
      <c r="L22" s="128">
        <v>1.1100000000000001</v>
      </c>
      <c r="M22" s="128">
        <v>1.1200000000000001</v>
      </c>
      <c r="N22" s="128">
        <v>1.1299999999999999</v>
      </c>
      <c r="O22" s="128">
        <v>1.1399999999999999</v>
      </c>
      <c r="P22" s="128">
        <v>1.1499999999999999</v>
      </c>
      <c r="Q22" s="128">
        <v>1.1599999999999999</v>
      </c>
      <c r="R22" s="128">
        <v>1.1599999999999999</v>
      </c>
      <c r="S22" s="128">
        <v>1.17</v>
      </c>
      <c r="T22" s="128">
        <v>1.18</v>
      </c>
      <c r="U22" s="128">
        <v>1.19</v>
      </c>
      <c r="V22" s="128">
        <v>1.19</v>
      </c>
      <c r="W22" s="128">
        <v>1.19</v>
      </c>
      <c r="X22" s="128">
        <v>1.2</v>
      </c>
      <c r="Y22" s="128">
        <v>1.2</v>
      </c>
      <c r="Z22" s="128">
        <v>1.2</v>
      </c>
      <c r="AA22" s="128">
        <v>1.2</v>
      </c>
      <c r="AB22" s="128">
        <v>1.2</v>
      </c>
      <c r="AC22" s="128">
        <v>1.21</v>
      </c>
      <c r="AD22" s="128">
        <v>1.21</v>
      </c>
      <c r="AE22" s="128">
        <v>1.21</v>
      </c>
      <c r="AF22" s="128">
        <v>1.21</v>
      </c>
      <c r="AG22" s="128">
        <v>1.22</v>
      </c>
      <c r="AH22" s="128">
        <v>1.22</v>
      </c>
      <c r="AI22" s="128">
        <v>1.22</v>
      </c>
      <c r="AJ22" s="128">
        <v>1.22</v>
      </c>
      <c r="AK22" s="128">
        <v>1.23</v>
      </c>
      <c r="AL22" s="128">
        <v>1.23</v>
      </c>
      <c r="AM22" s="128">
        <v>1.23</v>
      </c>
      <c r="AN22" s="128">
        <v>1.23</v>
      </c>
      <c r="AO22" s="128">
        <v>1.24</v>
      </c>
      <c r="AP22" s="128">
        <v>1.24</v>
      </c>
      <c r="AQ22" s="128">
        <v>1.24</v>
      </c>
      <c r="AR22" s="128">
        <v>1.25</v>
      </c>
      <c r="AS22" s="128">
        <v>1.25</v>
      </c>
      <c r="AT22" s="128">
        <v>1.25</v>
      </c>
      <c r="AU22" s="128">
        <v>1.26</v>
      </c>
      <c r="AV22" s="128">
        <v>1.26</v>
      </c>
      <c r="AW22" s="128">
        <v>1.26</v>
      </c>
      <c r="AX22" s="128">
        <v>1.27</v>
      </c>
      <c r="AY22" s="128">
        <v>1.27</v>
      </c>
      <c r="AZ22" s="128">
        <v>1.28</v>
      </c>
      <c r="BA22" s="128">
        <v>1.27</v>
      </c>
      <c r="BB22" s="128">
        <v>1.27</v>
      </c>
      <c r="BC22" s="128">
        <v>1.26</v>
      </c>
      <c r="BD22" s="128">
        <v>1.26</v>
      </c>
      <c r="BE22" s="128">
        <v>1.26</v>
      </c>
      <c r="BF22" s="128">
        <v>1.25</v>
      </c>
      <c r="BG22" s="128">
        <v>1.25</v>
      </c>
      <c r="BH22" s="128">
        <v>1.25</v>
      </c>
      <c r="BI22" s="128">
        <v>1.24</v>
      </c>
      <c r="BJ22" s="128">
        <v>1.24</v>
      </c>
      <c r="BK22" s="128">
        <v>1.24</v>
      </c>
      <c r="BL22" s="128">
        <v>1.23</v>
      </c>
      <c r="BM22" s="128">
        <v>1.23</v>
      </c>
      <c r="BN22" s="128">
        <v>1.23</v>
      </c>
      <c r="BO22" s="128">
        <v>1.23</v>
      </c>
      <c r="BP22" s="128">
        <v>1.22</v>
      </c>
      <c r="BQ22" s="128">
        <v>1.22</v>
      </c>
      <c r="BR22" s="128">
        <v>1.22</v>
      </c>
      <c r="BS22" s="128">
        <v>1.22</v>
      </c>
      <c r="BT22" s="128">
        <v>1.21</v>
      </c>
      <c r="BU22" s="128">
        <v>1.21</v>
      </c>
      <c r="BV22" s="128">
        <v>1.21</v>
      </c>
      <c r="BW22" s="128">
        <v>1.21</v>
      </c>
      <c r="BX22" s="128">
        <v>1.2</v>
      </c>
      <c r="BY22" s="128">
        <v>1.2</v>
      </c>
      <c r="BZ22" s="128">
        <v>1.2</v>
      </c>
      <c r="CA22" s="128">
        <v>1.2</v>
      </c>
      <c r="CB22" s="128">
        <v>1.2</v>
      </c>
      <c r="CC22" s="128">
        <v>1.19</v>
      </c>
      <c r="CD22" s="128">
        <v>1.19</v>
      </c>
      <c r="CE22" s="128">
        <v>1.19</v>
      </c>
      <c r="CF22" s="128">
        <v>1.19</v>
      </c>
      <c r="CG22" s="128">
        <v>1.19</v>
      </c>
      <c r="CH22" s="128">
        <v>1.19</v>
      </c>
      <c r="CI22" s="128">
        <v>1.19</v>
      </c>
      <c r="CJ22" s="128">
        <v>1.19</v>
      </c>
      <c r="CK22" s="128">
        <v>1.19</v>
      </c>
      <c r="CL22" s="128">
        <v>1.19</v>
      </c>
      <c r="CM22" s="128">
        <v>1.19</v>
      </c>
      <c r="CN22" s="128">
        <v>1.19</v>
      </c>
      <c r="CO22" s="128">
        <v>1.19</v>
      </c>
      <c r="CP22" s="128">
        <v>1.19</v>
      </c>
      <c r="CQ22" s="128">
        <v>1.19</v>
      </c>
      <c r="CR22" s="128">
        <v>1.19</v>
      </c>
      <c r="CS22" s="128">
        <v>1.19</v>
      </c>
      <c r="CT22" s="128">
        <v>1.19</v>
      </c>
      <c r="CU22" s="128">
        <v>1.19</v>
      </c>
      <c r="CV22" s="128">
        <v>1.19</v>
      </c>
      <c r="CW22" s="128">
        <v>1.19</v>
      </c>
      <c r="CX22" s="128">
        <v>1.19</v>
      </c>
      <c r="CZ22" s="126">
        <f>SUMIF(MatrixF1[[1]:[2]],MatrixF1[[#This Row],[Столбец1]])/MatrixF1[[#This Row],[Столбец1]]</f>
        <v>162.99999999999977</v>
      </c>
    </row>
    <row r="23" spans="1:104" ht="21" customHeight="1" x14ac:dyDescent="0.25">
      <c r="A23" s="127">
        <v>1.2</v>
      </c>
      <c r="B23" s="128">
        <v>1</v>
      </c>
      <c r="C23" s="128">
        <v>1.01</v>
      </c>
      <c r="D23" s="128">
        <v>1.02</v>
      </c>
      <c r="E23" s="128">
        <v>1.04</v>
      </c>
      <c r="F23" s="128">
        <v>1.05</v>
      </c>
      <c r="G23" s="128">
        <v>1.06</v>
      </c>
      <c r="H23" s="128">
        <v>1.07</v>
      </c>
      <c r="I23" s="128">
        <v>1.08</v>
      </c>
      <c r="J23" s="128">
        <v>1.0900000000000001</v>
      </c>
      <c r="K23" s="128">
        <v>1.1000000000000001</v>
      </c>
      <c r="L23" s="128">
        <v>1.1100000000000001</v>
      </c>
      <c r="M23" s="128">
        <v>1.1200000000000001</v>
      </c>
      <c r="N23" s="128">
        <v>1.1299999999999999</v>
      </c>
      <c r="O23" s="128">
        <v>1.1399999999999999</v>
      </c>
      <c r="P23" s="128">
        <v>1.1499999999999999</v>
      </c>
      <c r="Q23" s="128">
        <v>1.1599999999999999</v>
      </c>
      <c r="R23" s="128">
        <v>1.17</v>
      </c>
      <c r="S23" s="128">
        <v>1.18</v>
      </c>
      <c r="T23" s="128">
        <v>1.18</v>
      </c>
      <c r="U23" s="128">
        <v>1.19</v>
      </c>
      <c r="V23" s="128">
        <v>1.2</v>
      </c>
      <c r="W23" s="128">
        <v>1.2</v>
      </c>
      <c r="X23" s="128">
        <v>1.2</v>
      </c>
      <c r="Y23" s="128">
        <v>1.21</v>
      </c>
      <c r="Z23" s="128">
        <v>1.21</v>
      </c>
      <c r="AA23" s="128">
        <v>1.21</v>
      </c>
      <c r="AB23" s="128">
        <v>1.21</v>
      </c>
      <c r="AC23" s="128">
        <v>1.22</v>
      </c>
      <c r="AD23" s="128">
        <v>1.22</v>
      </c>
      <c r="AE23" s="128">
        <v>1.22</v>
      </c>
      <c r="AF23" s="128">
        <v>1.22</v>
      </c>
      <c r="AG23" s="128">
        <v>1.22</v>
      </c>
      <c r="AH23" s="128">
        <v>1.23</v>
      </c>
      <c r="AI23" s="128">
        <v>1.23</v>
      </c>
      <c r="AJ23" s="128">
        <v>1.23</v>
      </c>
      <c r="AK23" s="128">
        <v>1.24</v>
      </c>
      <c r="AL23" s="128">
        <v>1.24</v>
      </c>
      <c r="AM23" s="128">
        <v>1.24</v>
      </c>
      <c r="AN23" s="128">
        <v>1.24</v>
      </c>
      <c r="AO23" s="128">
        <v>1.25</v>
      </c>
      <c r="AP23" s="128">
        <v>1.25</v>
      </c>
      <c r="AQ23" s="128">
        <v>1.25</v>
      </c>
      <c r="AR23" s="128">
        <v>1.26</v>
      </c>
      <c r="AS23" s="128">
        <v>1.26</v>
      </c>
      <c r="AT23" s="128">
        <v>1.26</v>
      </c>
      <c r="AU23" s="128">
        <v>1.27</v>
      </c>
      <c r="AV23" s="128">
        <v>1.27</v>
      </c>
      <c r="AW23" s="128">
        <v>1.27</v>
      </c>
      <c r="AX23" s="128">
        <v>1.28</v>
      </c>
      <c r="AY23" s="128">
        <v>1.28</v>
      </c>
      <c r="AZ23" s="128">
        <v>1.29</v>
      </c>
      <c r="BA23" s="128">
        <v>1.28</v>
      </c>
      <c r="BB23" s="128">
        <v>1.28</v>
      </c>
      <c r="BC23" s="128">
        <v>1.27</v>
      </c>
      <c r="BD23" s="128">
        <v>1.27</v>
      </c>
      <c r="BE23" s="128">
        <v>1.27</v>
      </c>
      <c r="BF23" s="128">
        <v>1.26</v>
      </c>
      <c r="BG23" s="128">
        <v>1.26</v>
      </c>
      <c r="BH23" s="128">
        <v>1.26</v>
      </c>
      <c r="BI23" s="128">
        <v>1.25</v>
      </c>
      <c r="BJ23" s="128">
        <v>1.25</v>
      </c>
      <c r="BK23" s="128">
        <v>1.25</v>
      </c>
      <c r="BL23" s="128">
        <v>1.24</v>
      </c>
      <c r="BM23" s="128">
        <v>1.24</v>
      </c>
      <c r="BN23" s="128">
        <v>1.24</v>
      </c>
      <c r="BO23" s="128">
        <v>1.24</v>
      </c>
      <c r="BP23" s="128">
        <v>1.23</v>
      </c>
      <c r="BQ23" s="128">
        <v>1.23</v>
      </c>
      <c r="BR23" s="128">
        <v>1.23</v>
      </c>
      <c r="BS23" s="128">
        <v>1.22</v>
      </c>
      <c r="BT23" s="128">
        <v>1.22</v>
      </c>
      <c r="BU23" s="128">
        <v>1.22</v>
      </c>
      <c r="BV23" s="128">
        <v>1.22</v>
      </c>
      <c r="BW23" s="128">
        <v>1.22</v>
      </c>
      <c r="BX23" s="128">
        <v>1.21</v>
      </c>
      <c r="BY23" s="128">
        <v>1.21</v>
      </c>
      <c r="BZ23" s="128">
        <v>1.21</v>
      </c>
      <c r="CA23" s="128">
        <v>1.21</v>
      </c>
      <c r="CB23" s="128">
        <v>1.2</v>
      </c>
      <c r="CC23" s="128">
        <v>1.2</v>
      </c>
      <c r="CD23" s="128">
        <v>1.2</v>
      </c>
      <c r="CE23" s="128">
        <v>1.2</v>
      </c>
      <c r="CF23" s="128">
        <v>1.2</v>
      </c>
      <c r="CG23" s="128">
        <v>1.2</v>
      </c>
      <c r="CH23" s="128">
        <v>1.2</v>
      </c>
      <c r="CI23" s="128">
        <v>1.2</v>
      </c>
      <c r="CJ23" s="128">
        <v>1.2</v>
      </c>
      <c r="CK23" s="128">
        <v>1.2</v>
      </c>
      <c r="CL23" s="128">
        <v>1.2</v>
      </c>
      <c r="CM23" s="128">
        <v>1.2</v>
      </c>
      <c r="CN23" s="128">
        <v>1.2</v>
      </c>
      <c r="CO23" s="128">
        <v>1.2</v>
      </c>
      <c r="CP23" s="128">
        <v>1.2</v>
      </c>
      <c r="CQ23" s="128">
        <v>1.2</v>
      </c>
      <c r="CR23" s="128">
        <v>1.2</v>
      </c>
      <c r="CS23" s="128">
        <v>1.2</v>
      </c>
      <c r="CT23" s="128">
        <v>1.2</v>
      </c>
      <c r="CU23" s="128">
        <v>1.2</v>
      </c>
      <c r="CV23" s="128">
        <v>1.2</v>
      </c>
      <c r="CW23" s="128">
        <v>1.2</v>
      </c>
      <c r="CX23" s="128">
        <v>1.2</v>
      </c>
      <c r="CZ23" s="126">
        <f>SUMIF(MatrixF1[[1]:[2]],MatrixF1[[#This Row],[Столбец1]])/MatrixF1[[#This Row],[Столбец1]]</f>
        <v>162.99999999999966</v>
      </c>
    </row>
    <row r="24" spans="1:104" ht="21" customHeight="1" x14ac:dyDescent="0.25">
      <c r="A24" s="127">
        <v>1.21</v>
      </c>
      <c r="B24" s="128">
        <v>1</v>
      </c>
      <c r="C24" s="128">
        <v>1.01</v>
      </c>
      <c r="D24" s="128">
        <v>1.02</v>
      </c>
      <c r="E24" s="128">
        <v>1.04</v>
      </c>
      <c r="F24" s="128">
        <v>1.05</v>
      </c>
      <c r="G24" s="128">
        <v>1.06</v>
      </c>
      <c r="H24" s="128">
        <v>1.07</v>
      </c>
      <c r="I24" s="128">
        <v>1.08</v>
      </c>
      <c r="J24" s="128">
        <v>1.0900000000000001</v>
      </c>
      <c r="K24" s="128">
        <v>1.1000000000000001</v>
      </c>
      <c r="L24" s="128">
        <v>1.1100000000000001</v>
      </c>
      <c r="M24" s="128">
        <v>1.1200000000000001</v>
      </c>
      <c r="N24" s="128">
        <v>1.1299999999999999</v>
      </c>
      <c r="O24" s="128">
        <v>1.1399999999999999</v>
      </c>
      <c r="P24" s="128">
        <v>1.1499999999999999</v>
      </c>
      <c r="Q24" s="128">
        <v>1.1599999999999999</v>
      </c>
      <c r="R24" s="128">
        <v>1.17</v>
      </c>
      <c r="S24" s="128">
        <v>1.18</v>
      </c>
      <c r="T24" s="128">
        <v>1.19</v>
      </c>
      <c r="U24" s="128">
        <v>1.19</v>
      </c>
      <c r="V24" s="128">
        <v>1.2</v>
      </c>
      <c r="W24" s="128">
        <v>1.21</v>
      </c>
      <c r="X24" s="128">
        <v>1.21</v>
      </c>
      <c r="Y24" s="128">
        <v>1.21</v>
      </c>
      <c r="Z24" s="128">
        <v>1.22</v>
      </c>
      <c r="AA24" s="128">
        <v>1.22</v>
      </c>
      <c r="AB24" s="128">
        <v>1.22</v>
      </c>
      <c r="AC24" s="128">
        <v>1.22</v>
      </c>
      <c r="AD24" s="128">
        <v>1.23</v>
      </c>
      <c r="AE24" s="128">
        <v>1.23</v>
      </c>
      <c r="AF24" s="128">
        <v>1.23</v>
      </c>
      <c r="AG24" s="128">
        <v>1.23</v>
      </c>
      <c r="AH24" s="128">
        <v>1.24</v>
      </c>
      <c r="AI24" s="128">
        <v>1.24</v>
      </c>
      <c r="AJ24" s="128">
        <v>1.24</v>
      </c>
      <c r="AK24" s="128">
        <v>1.24</v>
      </c>
      <c r="AL24" s="128">
        <v>1.25</v>
      </c>
      <c r="AM24" s="128">
        <v>1.25</v>
      </c>
      <c r="AN24" s="128">
        <v>1.25</v>
      </c>
      <c r="AO24" s="128">
        <v>1.26</v>
      </c>
      <c r="AP24" s="128">
        <v>1.26</v>
      </c>
      <c r="AQ24" s="128">
        <v>1.26</v>
      </c>
      <c r="AR24" s="128">
        <v>1.27</v>
      </c>
      <c r="AS24" s="128">
        <v>1.27</v>
      </c>
      <c r="AT24" s="128">
        <v>1.27</v>
      </c>
      <c r="AU24" s="128">
        <v>1.28</v>
      </c>
      <c r="AV24" s="128">
        <v>1.28</v>
      </c>
      <c r="AW24" s="128">
        <v>1.28</v>
      </c>
      <c r="AX24" s="128">
        <v>1.29</v>
      </c>
      <c r="AY24" s="128">
        <v>1.29</v>
      </c>
      <c r="AZ24" s="128">
        <v>1.3</v>
      </c>
      <c r="BA24" s="128">
        <v>1.29</v>
      </c>
      <c r="BB24" s="128">
        <v>1.29</v>
      </c>
      <c r="BC24" s="128">
        <v>1.28</v>
      </c>
      <c r="BD24" s="128">
        <v>1.28</v>
      </c>
      <c r="BE24" s="128">
        <v>1.28</v>
      </c>
      <c r="BF24" s="128">
        <v>1.27</v>
      </c>
      <c r="BG24" s="128">
        <v>1.27</v>
      </c>
      <c r="BH24" s="128">
        <v>1.27</v>
      </c>
      <c r="BI24" s="128">
        <v>1.26</v>
      </c>
      <c r="BJ24" s="128">
        <v>1.26</v>
      </c>
      <c r="BK24" s="128">
        <v>1.26</v>
      </c>
      <c r="BL24" s="128">
        <v>1.25</v>
      </c>
      <c r="BM24" s="128">
        <v>1.25</v>
      </c>
      <c r="BN24" s="128">
        <v>1.25</v>
      </c>
      <c r="BO24" s="128">
        <v>1.24</v>
      </c>
      <c r="BP24" s="128">
        <v>1.24</v>
      </c>
      <c r="BQ24" s="128">
        <v>1.24</v>
      </c>
      <c r="BR24" s="128">
        <v>1.24</v>
      </c>
      <c r="BS24" s="128">
        <v>1.23</v>
      </c>
      <c r="BT24" s="128">
        <v>1.23</v>
      </c>
      <c r="BU24" s="128">
        <v>1.23</v>
      </c>
      <c r="BV24" s="128">
        <v>1.23</v>
      </c>
      <c r="BW24" s="128">
        <v>1.22</v>
      </c>
      <c r="BX24" s="128">
        <v>1.22</v>
      </c>
      <c r="BY24" s="128">
        <v>1.22</v>
      </c>
      <c r="BZ24" s="128">
        <v>1.22</v>
      </c>
      <c r="CA24" s="128">
        <v>1.21</v>
      </c>
      <c r="CB24" s="128">
        <v>1.21</v>
      </c>
      <c r="CC24" s="128">
        <v>1.21</v>
      </c>
      <c r="CD24" s="128">
        <v>1.21</v>
      </c>
      <c r="CE24" s="128">
        <v>1.21</v>
      </c>
      <c r="CF24" s="128">
        <v>1.21</v>
      </c>
      <c r="CG24" s="128">
        <v>1.21</v>
      </c>
      <c r="CH24" s="128">
        <v>1.21</v>
      </c>
      <c r="CI24" s="128">
        <v>1.21</v>
      </c>
      <c r="CJ24" s="128">
        <v>1.21</v>
      </c>
      <c r="CK24" s="128">
        <v>1.21</v>
      </c>
      <c r="CL24" s="128">
        <v>1.21</v>
      </c>
      <c r="CM24" s="128">
        <v>1.21</v>
      </c>
      <c r="CN24" s="128">
        <v>1.21</v>
      </c>
      <c r="CO24" s="128">
        <v>1.21</v>
      </c>
      <c r="CP24" s="128">
        <v>1.21</v>
      </c>
      <c r="CQ24" s="128">
        <v>1.21</v>
      </c>
      <c r="CR24" s="128">
        <v>1.21</v>
      </c>
      <c r="CS24" s="128">
        <v>1.21</v>
      </c>
      <c r="CT24" s="128">
        <v>1.21</v>
      </c>
      <c r="CU24" s="128">
        <v>1.21</v>
      </c>
      <c r="CV24" s="128">
        <v>1.21</v>
      </c>
      <c r="CW24" s="128">
        <v>1.21</v>
      </c>
      <c r="CX24" s="128">
        <v>1.21</v>
      </c>
      <c r="CZ24" s="126">
        <f>SUMIF(MatrixF1[[1]:[2]],MatrixF1[[#This Row],[Столбец1]])/MatrixF1[[#This Row],[Столбец1]]</f>
        <v>159.00000000000011</v>
      </c>
    </row>
    <row r="25" spans="1:104" ht="21" customHeight="1" x14ac:dyDescent="0.25">
      <c r="A25" s="127">
        <v>1.22</v>
      </c>
      <c r="B25" s="128">
        <v>1</v>
      </c>
      <c r="C25" s="128">
        <v>1.01</v>
      </c>
      <c r="D25" s="128">
        <v>1.03</v>
      </c>
      <c r="E25" s="128">
        <v>1.04</v>
      </c>
      <c r="F25" s="128">
        <v>1.05</v>
      </c>
      <c r="G25" s="128">
        <v>1.06</v>
      </c>
      <c r="H25" s="128">
        <v>1.07</v>
      </c>
      <c r="I25" s="128">
        <v>1.08</v>
      </c>
      <c r="J25" s="128">
        <v>1.0900000000000001</v>
      </c>
      <c r="K25" s="128">
        <v>1.1000000000000001</v>
      </c>
      <c r="L25" s="128">
        <v>1.1100000000000001</v>
      </c>
      <c r="M25" s="128">
        <v>1.1200000000000001</v>
      </c>
      <c r="N25" s="128">
        <v>1.1299999999999999</v>
      </c>
      <c r="O25" s="128">
        <v>1.1399999999999999</v>
      </c>
      <c r="P25" s="128">
        <v>1.1499999999999999</v>
      </c>
      <c r="Q25" s="128">
        <v>1.1599999999999999</v>
      </c>
      <c r="R25" s="128">
        <v>1.17</v>
      </c>
      <c r="S25" s="128">
        <v>1.18</v>
      </c>
      <c r="T25" s="128">
        <v>1.19</v>
      </c>
      <c r="U25" s="128">
        <v>1.2</v>
      </c>
      <c r="V25" s="128">
        <v>1.2</v>
      </c>
      <c r="W25" s="128">
        <v>1.21</v>
      </c>
      <c r="X25" s="128">
        <v>1.22</v>
      </c>
      <c r="Y25" s="128">
        <v>1.22</v>
      </c>
      <c r="Z25" s="128">
        <v>1.22</v>
      </c>
      <c r="AA25" s="128">
        <v>1.23</v>
      </c>
      <c r="AB25" s="128">
        <v>1.23</v>
      </c>
      <c r="AC25" s="128">
        <v>1.23</v>
      </c>
      <c r="AD25" s="128">
        <v>1.23</v>
      </c>
      <c r="AE25" s="128">
        <v>1.24</v>
      </c>
      <c r="AF25" s="128">
        <v>1.24</v>
      </c>
      <c r="AG25" s="128">
        <v>1.24</v>
      </c>
      <c r="AH25" s="128">
        <v>1.24</v>
      </c>
      <c r="AI25" s="128">
        <v>1.25</v>
      </c>
      <c r="AJ25" s="128">
        <v>1.25</v>
      </c>
      <c r="AK25" s="128">
        <v>1.25</v>
      </c>
      <c r="AL25" s="128">
        <v>1.26</v>
      </c>
      <c r="AM25" s="128">
        <v>1.26</v>
      </c>
      <c r="AN25" s="128">
        <v>1.26</v>
      </c>
      <c r="AO25" s="128">
        <v>1.27</v>
      </c>
      <c r="AP25" s="128">
        <v>1.27</v>
      </c>
      <c r="AQ25" s="128">
        <v>1.27</v>
      </c>
      <c r="AR25" s="128">
        <v>1.28</v>
      </c>
      <c r="AS25" s="128">
        <v>1.28</v>
      </c>
      <c r="AT25" s="128">
        <v>1.28</v>
      </c>
      <c r="AU25" s="128">
        <v>1.29</v>
      </c>
      <c r="AV25" s="128">
        <v>1.29</v>
      </c>
      <c r="AW25" s="128">
        <v>1.29</v>
      </c>
      <c r="AX25" s="128">
        <v>1.3</v>
      </c>
      <c r="AY25" s="128">
        <v>1.3</v>
      </c>
      <c r="AZ25" s="128">
        <v>1.31</v>
      </c>
      <c r="BA25" s="128">
        <v>1.3</v>
      </c>
      <c r="BB25" s="128">
        <v>1.3</v>
      </c>
      <c r="BC25" s="128">
        <v>1.29</v>
      </c>
      <c r="BD25" s="128">
        <v>1.29</v>
      </c>
      <c r="BE25" s="128">
        <v>1.29</v>
      </c>
      <c r="BF25" s="128">
        <v>1.28</v>
      </c>
      <c r="BG25" s="128">
        <v>1.28</v>
      </c>
      <c r="BH25" s="128">
        <v>1.28</v>
      </c>
      <c r="BI25" s="128">
        <v>1.27</v>
      </c>
      <c r="BJ25" s="128">
        <v>1.27</v>
      </c>
      <c r="BK25" s="128">
        <v>1.27</v>
      </c>
      <c r="BL25" s="128">
        <v>1.26</v>
      </c>
      <c r="BM25" s="128">
        <v>1.26</v>
      </c>
      <c r="BN25" s="128">
        <v>1.26</v>
      </c>
      <c r="BO25" s="128">
        <v>1.25</v>
      </c>
      <c r="BP25" s="128">
        <v>1.25</v>
      </c>
      <c r="BQ25" s="128">
        <v>1.25</v>
      </c>
      <c r="BR25" s="128">
        <v>1.24</v>
      </c>
      <c r="BS25" s="128">
        <v>1.24</v>
      </c>
      <c r="BT25" s="128">
        <v>1.24</v>
      </c>
      <c r="BU25" s="128">
        <v>1.24</v>
      </c>
      <c r="BV25" s="128">
        <v>1.23</v>
      </c>
      <c r="BW25" s="128">
        <v>1.23</v>
      </c>
      <c r="BX25" s="128">
        <v>1.23</v>
      </c>
      <c r="BY25" s="128">
        <v>1.23</v>
      </c>
      <c r="BZ25" s="128">
        <v>1.22</v>
      </c>
      <c r="CA25" s="128">
        <v>1.22</v>
      </c>
      <c r="CB25" s="128">
        <v>1.22</v>
      </c>
      <c r="CC25" s="128">
        <v>1.22</v>
      </c>
      <c r="CD25" s="128">
        <v>1.22</v>
      </c>
      <c r="CE25" s="128">
        <v>1.22</v>
      </c>
      <c r="CF25" s="128">
        <v>1.22</v>
      </c>
      <c r="CG25" s="128">
        <v>1.22</v>
      </c>
      <c r="CH25" s="128">
        <v>1.22</v>
      </c>
      <c r="CI25" s="128">
        <v>1.22</v>
      </c>
      <c r="CJ25" s="128">
        <v>1.22</v>
      </c>
      <c r="CK25" s="128">
        <v>1.22</v>
      </c>
      <c r="CL25" s="128">
        <v>1.22</v>
      </c>
      <c r="CM25" s="128">
        <v>1.22</v>
      </c>
      <c r="CN25" s="128">
        <v>1.22</v>
      </c>
      <c r="CO25" s="128">
        <v>1.22</v>
      </c>
      <c r="CP25" s="128">
        <v>1.22</v>
      </c>
      <c r="CQ25" s="128">
        <v>1.22</v>
      </c>
      <c r="CR25" s="128">
        <v>1.22</v>
      </c>
      <c r="CS25" s="128">
        <v>1.22</v>
      </c>
      <c r="CT25" s="128">
        <v>1.22</v>
      </c>
      <c r="CU25" s="128">
        <v>1.22</v>
      </c>
      <c r="CV25" s="128">
        <v>1.22</v>
      </c>
      <c r="CW25" s="128">
        <v>1.22</v>
      </c>
      <c r="CX25" s="128">
        <v>1.22</v>
      </c>
      <c r="CZ25" s="126">
        <f>SUMIF(MatrixF1[[1]:[2]],MatrixF1[[#This Row],[Столбец1]])/MatrixF1[[#This Row],[Столбец1]]</f>
        <v>168.99999999999986</v>
      </c>
    </row>
    <row r="26" spans="1:104" ht="21" customHeight="1" x14ac:dyDescent="0.25">
      <c r="A26" s="127">
        <v>1.23</v>
      </c>
      <c r="B26" s="128">
        <v>1</v>
      </c>
      <c r="C26" s="128">
        <v>1.01</v>
      </c>
      <c r="D26" s="128">
        <v>1.03</v>
      </c>
      <c r="E26" s="128">
        <v>1.04</v>
      </c>
      <c r="F26" s="128">
        <v>1.05</v>
      </c>
      <c r="G26" s="128">
        <v>1.06</v>
      </c>
      <c r="H26" s="128">
        <v>1.07</v>
      </c>
      <c r="I26" s="128">
        <v>1.08</v>
      </c>
      <c r="J26" s="128">
        <v>1.0900000000000001</v>
      </c>
      <c r="K26" s="128">
        <v>1.1000000000000001</v>
      </c>
      <c r="L26" s="128">
        <v>1.1100000000000001</v>
      </c>
      <c r="M26" s="128">
        <v>1.1200000000000001</v>
      </c>
      <c r="N26" s="128">
        <v>1.1299999999999999</v>
      </c>
      <c r="O26" s="128">
        <v>1.1399999999999999</v>
      </c>
      <c r="P26" s="128">
        <v>1.1499999999999999</v>
      </c>
      <c r="Q26" s="128">
        <v>1.1599999999999999</v>
      </c>
      <c r="R26" s="128">
        <v>1.17</v>
      </c>
      <c r="S26" s="128">
        <v>1.18</v>
      </c>
      <c r="T26" s="128">
        <v>1.19</v>
      </c>
      <c r="U26" s="128">
        <v>1.2</v>
      </c>
      <c r="V26" s="128">
        <v>1.21</v>
      </c>
      <c r="W26" s="128">
        <v>1.21</v>
      </c>
      <c r="X26" s="128">
        <v>1.22</v>
      </c>
      <c r="Y26" s="128">
        <v>1.23</v>
      </c>
      <c r="Z26" s="128">
        <v>1.23</v>
      </c>
      <c r="AA26" s="128">
        <v>1.23</v>
      </c>
      <c r="AB26" s="128">
        <v>1.24</v>
      </c>
      <c r="AC26" s="128">
        <v>1.24</v>
      </c>
      <c r="AD26" s="128">
        <v>1.24</v>
      </c>
      <c r="AE26" s="128">
        <v>1.24</v>
      </c>
      <c r="AF26" s="128">
        <v>1.25</v>
      </c>
      <c r="AG26" s="128">
        <v>1.25</v>
      </c>
      <c r="AH26" s="128">
        <v>1.25</v>
      </c>
      <c r="AI26" s="128">
        <v>1.26</v>
      </c>
      <c r="AJ26" s="128">
        <v>1.26</v>
      </c>
      <c r="AK26" s="128">
        <v>1.26</v>
      </c>
      <c r="AL26" s="128">
        <v>1.26</v>
      </c>
      <c r="AM26" s="128">
        <v>1.27</v>
      </c>
      <c r="AN26" s="128">
        <v>1.27</v>
      </c>
      <c r="AO26" s="128">
        <v>1.27</v>
      </c>
      <c r="AP26" s="128">
        <v>1.28</v>
      </c>
      <c r="AQ26" s="128">
        <v>1.28</v>
      </c>
      <c r="AR26" s="128">
        <v>1.28</v>
      </c>
      <c r="AS26" s="128">
        <v>1.29</v>
      </c>
      <c r="AT26" s="128">
        <v>1.29</v>
      </c>
      <c r="AU26" s="128">
        <v>1.29</v>
      </c>
      <c r="AV26" s="128">
        <v>1.3</v>
      </c>
      <c r="AW26" s="128">
        <v>1.3</v>
      </c>
      <c r="AX26" s="128">
        <v>1.31</v>
      </c>
      <c r="AY26" s="128">
        <v>1.31</v>
      </c>
      <c r="AZ26" s="128">
        <v>1.32</v>
      </c>
      <c r="BA26" s="128">
        <v>1.31</v>
      </c>
      <c r="BB26" s="128">
        <v>1.31</v>
      </c>
      <c r="BC26" s="128">
        <v>1.3</v>
      </c>
      <c r="BD26" s="128">
        <v>1.3</v>
      </c>
      <c r="BE26" s="128">
        <v>1.29</v>
      </c>
      <c r="BF26" s="128">
        <v>1.29</v>
      </c>
      <c r="BG26" s="128">
        <v>1.29</v>
      </c>
      <c r="BH26" s="128">
        <v>1.28</v>
      </c>
      <c r="BI26" s="128">
        <v>1.28</v>
      </c>
      <c r="BJ26" s="128">
        <v>1.28</v>
      </c>
      <c r="BK26" s="128">
        <v>1.27</v>
      </c>
      <c r="BL26" s="128">
        <v>1.27</v>
      </c>
      <c r="BM26" s="128">
        <v>1.27</v>
      </c>
      <c r="BN26" s="128">
        <v>1.26</v>
      </c>
      <c r="BO26" s="128">
        <v>1.26</v>
      </c>
      <c r="BP26" s="128">
        <v>1.26</v>
      </c>
      <c r="BQ26" s="128">
        <v>1.26</v>
      </c>
      <c r="BR26" s="128">
        <v>1.25</v>
      </c>
      <c r="BS26" s="128">
        <v>1.25</v>
      </c>
      <c r="BT26" s="128">
        <v>1.25</v>
      </c>
      <c r="BU26" s="128">
        <v>1.24</v>
      </c>
      <c r="BV26" s="128">
        <v>1.24</v>
      </c>
      <c r="BW26" s="128">
        <v>1.24</v>
      </c>
      <c r="BX26" s="128">
        <v>1.24</v>
      </c>
      <c r="BY26" s="128">
        <v>1.23</v>
      </c>
      <c r="BZ26" s="128">
        <v>1.23</v>
      </c>
      <c r="CA26" s="128">
        <v>1.23</v>
      </c>
      <c r="CB26" s="128">
        <v>1.23</v>
      </c>
      <c r="CC26" s="128">
        <v>1.23</v>
      </c>
      <c r="CD26" s="128">
        <v>1.23</v>
      </c>
      <c r="CE26" s="128">
        <v>1.23</v>
      </c>
      <c r="CF26" s="128">
        <v>1.23</v>
      </c>
      <c r="CG26" s="128">
        <v>1.23</v>
      </c>
      <c r="CH26" s="128">
        <v>1.23</v>
      </c>
      <c r="CI26" s="128">
        <v>1.23</v>
      </c>
      <c r="CJ26" s="128">
        <v>1.23</v>
      </c>
      <c r="CK26" s="128">
        <v>1.23</v>
      </c>
      <c r="CL26" s="128">
        <v>1.23</v>
      </c>
      <c r="CM26" s="128">
        <v>1.23</v>
      </c>
      <c r="CN26" s="128">
        <v>1.23</v>
      </c>
      <c r="CO26" s="128">
        <v>1.23</v>
      </c>
      <c r="CP26" s="128">
        <v>1.23</v>
      </c>
      <c r="CQ26" s="128">
        <v>1.23</v>
      </c>
      <c r="CR26" s="128">
        <v>1.23</v>
      </c>
      <c r="CS26" s="128">
        <v>1.23</v>
      </c>
      <c r="CT26" s="128">
        <v>1.23</v>
      </c>
      <c r="CU26" s="128">
        <v>1.23</v>
      </c>
      <c r="CV26" s="128">
        <v>1.23</v>
      </c>
      <c r="CW26" s="128">
        <v>1.23</v>
      </c>
      <c r="CX26" s="128">
        <v>1.23</v>
      </c>
      <c r="CZ26" s="126">
        <f>SUMIF(MatrixF1[[1]:[2]],MatrixF1[[#This Row],[Столбец1]])/MatrixF1[[#This Row],[Столбец1]]</f>
        <v>158.99999999999966</v>
      </c>
    </row>
    <row r="27" spans="1:104" ht="21" customHeight="1" x14ac:dyDescent="0.25">
      <c r="A27" s="127">
        <v>1.24</v>
      </c>
      <c r="B27" s="128">
        <v>1</v>
      </c>
      <c r="C27" s="128">
        <v>1.01</v>
      </c>
      <c r="D27" s="128">
        <v>1.03</v>
      </c>
      <c r="E27" s="128">
        <v>1.04</v>
      </c>
      <c r="F27" s="128">
        <v>1.05</v>
      </c>
      <c r="G27" s="128">
        <v>1.06</v>
      </c>
      <c r="H27" s="128">
        <v>1.07</v>
      </c>
      <c r="I27" s="128">
        <v>1.08</v>
      </c>
      <c r="J27" s="128">
        <v>1.1000000000000001</v>
      </c>
      <c r="K27" s="128">
        <v>1.1100000000000001</v>
      </c>
      <c r="L27" s="128">
        <v>1.1200000000000001</v>
      </c>
      <c r="M27" s="128">
        <v>1.1299999999999999</v>
      </c>
      <c r="N27" s="128">
        <v>1.1399999999999999</v>
      </c>
      <c r="O27" s="128">
        <v>1.1499999999999999</v>
      </c>
      <c r="P27" s="128">
        <v>1.1599999999999999</v>
      </c>
      <c r="Q27" s="128">
        <v>1.1599999999999999</v>
      </c>
      <c r="R27" s="128">
        <v>1.17</v>
      </c>
      <c r="S27" s="128">
        <v>1.18</v>
      </c>
      <c r="T27" s="128">
        <v>1.19</v>
      </c>
      <c r="U27" s="128">
        <v>1.2</v>
      </c>
      <c r="V27" s="128">
        <v>1.21</v>
      </c>
      <c r="W27" s="128">
        <v>1.22</v>
      </c>
      <c r="X27" s="128">
        <v>1.22</v>
      </c>
      <c r="Y27" s="128">
        <v>1.23</v>
      </c>
      <c r="Z27" s="128">
        <v>1.24</v>
      </c>
      <c r="AA27" s="128">
        <v>1.24</v>
      </c>
      <c r="AB27" s="128">
        <v>1.24</v>
      </c>
      <c r="AC27" s="128">
        <v>1.25</v>
      </c>
      <c r="AD27" s="128">
        <v>1.25</v>
      </c>
      <c r="AE27" s="128">
        <v>1.25</v>
      </c>
      <c r="AF27" s="128">
        <v>1.26</v>
      </c>
      <c r="AG27" s="128">
        <v>1.26</v>
      </c>
      <c r="AH27" s="128">
        <v>1.26</v>
      </c>
      <c r="AI27" s="128">
        <v>1.26</v>
      </c>
      <c r="AJ27" s="128">
        <v>1.27</v>
      </c>
      <c r="AK27" s="128">
        <v>1.27</v>
      </c>
      <c r="AL27" s="128">
        <v>1.27</v>
      </c>
      <c r="AM27" s="128">
        <v>1.28</v>
      </c>
      <c r="AN27" s="128">
        <v>1.28</v>
      </c>
      <c r="AO27" s="128">
        <v>1.28</v>
      </c>
      <c r="AP27" s="128">
        <v>1.29</v>
      </c>
      <c r="AQ27" s="128">
        <v>1.29</v>
      </c>
      <c r="AR27" s="128">
        <v>1.29</v>
      </c>
      <c r="AS27" s="128">
        <v>1.3</v>
      </c>
      <c r="AT27" s="128">
        <v>1.3</v>
      </c>
      <c r="AU27" s="128">
        <v>1.3</v>
      </c>
      <c r="AV27" s="128">
        <v>1.31</v>
      </c>
      <c r="AW27" s="128">
        <v>1.31</v>
      </c>
      <c r="AX27" s="128">
        <v>1.32</v>
      </c>
      <c r="AY27" s="128">
        <v>1.32</v>
      </c>
      <c r="AZ27" s="128">
        <v>1.32</v>
      </c>
      <c r="BA27" s="128">
        <v>1.32</v>
      </c>
      <c r="BB27" s="128">
        <v>1.32</v>
      </c>
      <c r="BC27" s="128">
        <v>1.31</v>
      </c>
      <c r="BD27" s="128">
        <v>1.31</v>
      </c>
      <c r="BE27" s="128">
        <v>1.3</v>
      </c>
      <c r="BF27" s="128">
        <v>1.3</v>
      </c>
      <c r="BG27" s="128">
        <v>1.3</v>
      </c>
      <c r="BH27" s="128">
        <v>1.29</v>
      </c>
      <c r="BI27" s="128">
        <v>1.29</v>
      </c>
      <c r="BJ27" s="128">
        <v>1.29</v>
      </c>
      <c r="BK27" s="128">
        <v>1.28</v>
      </c>
      <c r="BL27" s="128">
        <v>1.28</v>
      </c>
      <c r="BM27" s="128">
        <v>1.28</v>
      </c>
      <c r="BN27" s="128">
        <v>1.27</v>
      </c>
      <c r="BO27" s="128">
        <v>1.27</v>
      </c>
      <c r="BP27" s="128">
        <v>1.27</v>
      </c>
      <c r="BQ27" s="128">
        <v>1.26</v>
      </c>
      <c r="BR27" s="128">
        <v>1.26</v>
      </c>
      <c r="BS27" s="128">
        <v>1.26</v>
      </c>
      <c r="BT27" s="128">
        <v>1.26</v>
      </c>
      <c r="BU27" s="128">
        <v>1.25</v>
      </c>
      <c r="BV27" s="128">
        <v>1.25</v>
      </c>
      <c r="BW27" s="128">
        <v>1.25</v>
      </c>
      <c r="BX27" s="128">
        <v>1.24</v>
      </c>
      <c r="BY27" s="128">
        <v>1.24</v>
      </c>
      <c r="BZ27" s="128">
        <v>1.24</v>
      </c>
      <c r="CA27" s="128">
        <v>1.24</v>
      </c>
      <c r="CB27" s="128">
        <v>1.24</v>
      </c>
      <c r="CC27" s="128">
        <v>1.24</v>
      </c>
      <c r="CD27" s="128">
        <v>1.24</v>
      </c>
      <c r="CE27" s="128">
        <v>1.24</v>
      </c>
      <c r="CF27" s="128">
        <v>1.24</v>
      </c>
      <c r="CG27" s="128">
        <v>1.24</v>
      </c>
      <c r="CH27" s="128">
        <v>1.24</v>
      </c>
      <c r="CI27" s="128">
        <v>1.24</v>
      </c>
      <c r="CJ27" s="128">
        <v>1.24</v>
      </c>
      <c r="CK27" s="128">
        <v>1.24</v>
      </c>
      <c r="CL27" s="128">
        <v>1.24</v>
      </c>
      <c r="CM27" s="128">
        <v>1.24</v>
      </c>
      <c r="CN27" s="128">
        <v>1.24</v>
      </c>
      <c r="CO27" s="128">
        <v>1.24</v>
      </c>
      <c r="CP27" s="128">
        <v>1.24</v>
      </c>
      <c r="CQ27" s="128">
        <v>1.24</v>
      </c>
      <c r="CR27" s="128">
        <v>1.24</v>
      </c>
      <c r="CS27" s="128">
        <v>1.24</v>
      </c>
      <c r="CT27" s="128">
        <v>1.24</v>
      </c>
      <c r="CU27" s="128">
        <v>1.24</v>
      </c>
      <c r="CV27" s="128">
        <v>1.24</v>
      </c>
      <c r="CW27" s="128">
        <v>1.24</v>
      </c>
      <c r="CX27" s="128">
        <v>1.24</v>
      </c>
      <c r="CZ27" s="126">
        <f>SUMIF(MatrixF1[[1]:[2]],MatrixF1[[#This Row],[Столбец1]])/MatrixF1[[#This Row],[Столбец1]]</f>
        <v>169.00000000000031</v>
      </c>
    </row>
    <row r="28" spans="1:104" ht="21" customHeight="1" x14ac:dyDescent="0.25">
      <c r="A28" s="127">
        <v>1.25</v>
      </c>
      <c r="B28" s="128">
        <v>1</v>
      </c>
      <c r="C28" s="128">
        <v>1.01</v>
      </c>
      <c r="D28" s="128">
        <v>1.03</v>
      </c>
      <c r="E28" s="128">
        <v>1.04</v>
      </c>
      <c r="F28" s="128">
        <v>1.05</v>
      </c>
      <c r="G28" s="128">
        <v>1.06</v>
      </c>
      <c r="H28" s="128">
        <v>1.07</v>
      </c>
      <c r="I28" s="128">
        <v>1.0900000000000001</v>
      </c>
      <c r="J28" s="128">
        <v>1.1000000000000001</v>
      </c>
      <c r="K28" s="128">
        <v>1.1100000000000001</v>
      </c>
      <c r="L28" s="128">
        <v>1.1200000000000001</v>
      </c>
      <c r="M28" s="128">
        <v>1.1299999999999999</v>
      </c>
      <c r="N28" s="128">
        <v>1.1399999999999999</v>
      </c>
      <c r="O28" s="128">
        <v>1.1499999999999999</v>
      </c>
      <c r="P28" s="128">
        <v>1.1599999999999999</v>
      </c>
      <c r="Q28" s="128">
        <v>1.17</v>
      </c>
      <c r="R28" s="128">
        <v>1.18</v>
      </c>
      <c r="S28" s="128">
        <v>1.18</v>
      </c>
      <c r="T28" s="128">
        <v>1.19</v>
      </c>
      <c r="U28" s="128">
        <v>1.2</v>
      </c>
      <c r="V28" s="128">
        <v>1.21</v>
      </c>
      <c r="W28" s="128">
        <v>1.22</v>
      </c>
      <c r="X28" s="128">
        <v>1.23</v>
      </c>
      <c r="Y28" s="128">
        <v>1.23</v>
      </c>
      <c r="Z28" s="128">
        <v>1.24</v>
      </c>
      <c r="AA28" s="128">
        <v>1.25</v>
      </c>
      <c r="AB28" s="128">
        <v>1.25</v>
      </c>
      <c r="AC28" s="128">
        <v>1.26</v>
      </c>
      <c r="AD28" s="128">
        <v>1.26</v>
      </c>
      <c r="AE28" s="128">
        <v>1.26</v>
      </c>
      <c r="AF28" s="128">
        <v>1.26</v>
      </c>
      <c r="AG28" s="128">
        <v>1.27</v>
      </c>
      <c r="AH28" s="128">
        <v>1.27</v>
      </c>
      <c r="AI28" s="128">
        <v>1.27</v>
      </c>
      <c r="AJ28" s="128">
        <v>1.27</v>
      </c>
      <c r="AK28" s="128">
        <v>1.28</v>
      </c>
      <c r="AL28" s="128">
        <v>1.28</v>
      </c>
      <c r="AM28" s="128">
        <v>1.28</v>
      </c>
      <c r="AN28" s="128">
        <v>1.29</v>
      </c>
      <c r="AO28" s="128">
        <v>1.29</v>
      </c>
      <c r="AP28" s="128">
        <v>1.29</v>
      </c>
      <c r="AQ28" s="128">
        <v>1.3</v>
      </c>
      <c r="AR28" s="128">
        <v>1.3</v>
      </c>
      <c r="AS28" s="128">
        <v>1.3</v>
      </c>
      <c r="AT28" s="128">
        <v>1.31</v>
      </c>
      <c r="AU28" s="128">
        <v>1.31</v>
      </c>
      <c r="AV28" s="128">
        <v>1.32</v>
      </c>
      <c r="AW28" s="128">
        <v>1.32</v>
      </c>
      <c r="AX28" s="128">
        <v>1.32</v>
      </c>
      <c r="AY28" s="128">
        <v>1.33</v>
      </c>
      <c r="AZ28" s="128">
        <v>1.33</v>
      </c>
      <c r="BA28" s="128">
        <v>1.33</v>
      </c>
      <c r="BB28" s="128">
        <v>1.32</v>
      </c>
      <c r="BC28" s="128">
        <v>1.32</v>
      </c>
      <c r="BD28" s="128">
        <v>1.32</v>
      </c>
      <c r="BE28" s="128">
        <v>1.31</v>
      </c>
      <c r="BF28" s="128">
        <v>1.31</v>
      </c>
      <c r="BG28" s="128">
        <v>1.3</v>
      </c>
      <c r="BH28" s="128">
        <v>1.3</v>
      </c>
      <c r="BI28" s="128">
        <v>1.3</v>
      </c>
      <c r="BJ28" s="128">
        <v>1.29</v>
      </c>
      <c r="BK28" s="128">
        <v>1.29</v>
      </c>
      <c r="BL28" s="128">
        <v>1.29</v>
      </c>
      <c r="BM28" s="128">
        <v>1.28</v>
      </c>
      <c r="BN28" s="128">
        <v>1.28</v>
      </c>
      <c r="BO28" s="128">
        <v>1.28</v>
      </c>
      <c r="BP28" s="128">
        <v>1.27</v>
      </c>
      <c r="BQ28" s="128">
        <v>1.27</v>
      </c>
      <c r="BR28" s="128">
        <v>1.27</v>
      </c>
      <c r="BS28" s="128">
        <v>1.27</v>
      </c>
      <c r="BT28" s="128">
        <v>1.26</v>
      </c>
      <c r="BU28" s="128">
        <v>1.26</v>
      </c>
      <c r="BV28" s="128">
        <v>1.26</v>
      </c>
      <c r="BW28" s="128">
        <v>1.26</v>
      </c>
      <c r="BX28" s="128">
        <v>1.25</v>
      </c>
      <c r="BY28" s="128">
        <v>1.25</v>
      </c>
      <c r="BZ28" s="128">
        <v>1.25</v>
      </c>
      <c r="CA28" s="128">
        <v>1.25</v>
      </c>
      <c r="CB28" s="128">
        <v>1.25</v>
      </c>
      <c r="CC28" s="128">
        <v>1.25</v>
      </c>
      <c r="CD28" s="128">
        <v>1.25</v>
      </c>
      <c r="CE28" s="128">
        <v>1.25</v>
      </c>
      <c r="CF28" s="128">
        <v>1.25</v>
      </c>
      <c r="CG28" s="128">
        <v>1.25</v>
      </c>
      <c r="CH28" s="128">
        <v>1.25</v>
      </c>
      <c r="CI28" s="128">
        <v>1.25</v>
      </c>
      <c r="CJ28" s="128">
        <v>1.25</v>
      </c>
      <c r="CK28" s="128">
        <v>1.25</v>
      </c>
      <c r="CL28" s="128">
        <v>1.25</v>
      </c>
      <c r="CM28" s="128">
        <v>1.25</v>
      </c>
      <c r="CN28" s="128">
        <v>1.25</v>
      </c>
      <c r="CO28" s="128">
        <v>1.25</v>
      </c>
      <c r="CP28" s="128">
        <v>1.25</v>
      </c>
      <c r="CQ28" s="128">
        <v>1.25</v>
      </c>
      <c r="CR28" s="128">
        <v>1.25</v>
      </c>
      <c r="CS28" s="128">
        <v>1.25</v>
      </c>
      <c r="CT28" s="128">
        <v>1.25</v>
      </c>
      <c r="CU28" s="128">
        <v>1.25</v>
      </c>
      <c r="CV28" s="128">
        <v>1.25</v>
      </c>
      <c r="CW28" s="128">
        <v>1.25</v>
      </c>
      <c r="CX28" s="128">
        <v>1.25</v>
      </c>
      <c r="CZ28" s="126">
        <f>SUMIF(MatrixF1[[1]:[2]],MatrixF1[[#This Row],[Столбец1]])/MatrixF1[[#This Row],[Столбец1]]</f>
        <v>151</v>
      </c>
    </row>
    <row r="29" spans="1:104" ht="21" customHeight="1" x14ac:dyDescent="0.25">
      <c r="A29" s="127">
        <v>1.26</v>
      </c>
      <c r="B29" s="128">
        <v>1</v>
      </c>
      <c r="C29" s="128">
        <v>1.01</v>
      </c>
      <c r="D29" s="128">
        <v>1.03</v>
      </c>
      <c r="E29" s="128">
        <v>1.04</v>
      </c>
      <c r="F29" s="128">
        <v>1.05</v>
      </c>
      <c r="G29" s="128">
        <v>1.06</v>
      </c>
      <c r="H29" s="128">
        <v>1.08</v>
      </c>
      <c r="I29" s="128">
        <v>1.0900000000000001</v>
      </c>
      <c r="J29" s="128">
        <v>1.1000000000000001</v>
      </c>
      <c r="K29" s="128">
        <v>1.1100000000000001</v>
      </c>
      <c r="L29" s="128">
        <v>1.1200000000000001</v>
      </c>
      <c r="M29" s="128">
        <v>1.1299999999999999</v>
      </c>
      <c r="N29" s="128">
        <v>1.1399999999999999</v>
      </c>
      <c r="O29" s="128">
        <v>1.1499999999999999</v>
      </c>
      <c r="P29" s="128">
        <v>1.1599999999999999</v>
      </c>
      <c r="Q29" s="128">
        <v>1.17</v>
      </c>
      <c r="R29" s="128">
        <v>1.18</v>
      </c>
      <c r="S29" s="128">
        <v>1.19</v>
      </c>
      <c r="T29" s="128">
        <v>1.2</v>
      </c>
      <c r="U29" s="128">
        <v>1.2</v>
      </c>
      <c r="V29" s="128">
        <v>1.21</v>
      </c>
      <c r="W29" s="128">
        <v>1.22</v>
      </c>
      <c r="X29" s="128">
        <v>1.23</v>
      </c>
      <c r="Y29" s="128">
        <v>1.24</v>
      </c>
      <c r="Z29" s="128">
        <v>1.24</v>
      </c>
      <c r="AA29" s="128">
        <v>1.25</v>
      </c>
      <c r="AB29" s="128">
        <v>1.26</v>
      </c>
      <c r="AC29" s="128">
        <v>1.26</v>
      </c>
      <c r="AD29" s="128">
        <v>1.27</v>
      </c>
      <c r="AE29" s="128">
        <v>1.27</v>
      </c>
      <c r="AF29" s="128">
        <v>1.27</v>
      </c>
      <c r="AG29" s="128">
        <v>1.27</v>
      </c>
      <c r="AH29" s="128">
        <v>1.28</v>
      </c>
      <c r="AI29" s="128">
        <v>1.28</v>
      </c>
      <c r="AJ29" s="128">
        <v>1.28</v>
      </c>
      <c r="AK29" s="128">
        <v>1.29</v>
      </c>
      <c r="AL29" s="128">
        <v>1.29</v>
      </c>
      <c r="AM29" s="128">
        <v>1.29</v>
      </c>
      <c r="AN29" s="128">
        <v>1.3</v>
      </c>
      <c r="AO29" s="128">
        <v>1.3</v>
      </c>
      <c r="AP29" s="128">
        <v>1.3</v>
      </c>
      <c r="AQ29" s="128">
        <v>1.31</v>
      </c>
      <c r="AR29" s="128">
        <v>1.31</v>
      </c>
      <c r="AS29" s="128">
        <v>1.31</v>
      </c>
      <c r="AT29" s="128">
        <v>1.32</v>
      </c>
      <c r="AU29" s="128">
        <v>1.32</v>
      </c>
      <c r="AV29" s="128">
        <v>1.32</v>
      </c>
      <c r="AW29" s="128">
        <v>1.33</v>
      </c>
      <c r="AX29" s="128">
        <v>1.33</v>
      </c>
      <c r="AY29" s="128">
        <v>1.34</v>
      </c>
      <c r="AZ29" s="128">
        <v>1.34</v>
      </c>
      <c r="BA29" s="128">
        <v>1.34</v>
      </c>
      <c r="BB29" s="128">
        <v>1.33</v>
      </c>
      <c r="BC29" s="128">
        <v>1.33</v>
      </c>
      <c r="BD29" s="128">
        <v>1.32</v>
      </c>
      <c r="BE29" s="128">
        <v>1.32</v>
      </c>
      <c r="BF29" s="128">
        <v>1.32</v>
      </c>
      <c r="BG29" s="128">
        <v>1.31</v>
      </c>
      <c r="BH29" s="128">
        <v>1.31</v>
      </c>
      <c r="BI29" s="128">
        <v>1.31</v>
      </c>
      <c r="BJ29" s="128">
        <v>1.3</v>
      </c>
      <c r="BK29" s="128">
        <v>1.3</v>
      </c>
      <c r="BL29" s="128">
        <v>1.3</v>
      </c>
      <c r="BM29" s="128">
        <v>1.29</v>
      </c>
      <c r="BN29" s="128">
        <v>1.29</v>
      </c>
      <c r="BO29" s="128">
        <v>1.29</v>
      </c>
      <c r="BP29" s="128">
        <v>1.28</v>
      </c>
      <c r="BQ29" s="128">
        <v>1.28</v>
      </c>
      <c r="BR29" s="128">
        <v>1.28</v>
      </c>
      <c r="BS29" s="128">
        <v>1.27</v>
      </c>
      <c r="BT29" s="128">
        <v>1.27</v>
      </c>
      <c r="BU29" s="128">
        <v>1.27</v>
      </c>
      <c r="BV29" s="128">
        <v>1.27</v>
      </c>
      <c r="BW29" s="128">
        <v>1.26</v>
      </c>
      <c r="BX29" s="128">
        <v>1.26</v>
      </c>
      <c r="BY29" s="128">
        <v>1.26</v>
      </c>
      <c r="BZ29" s="128">
        <v>1.26</v>
      </c>
      <c r="CA29" s="128">
        <v>1.26</v>
      </c>
      <c r="CB29" s="128">
        <v>1.26</v>
      </c>
      <c r="CC29" s="128">
        <v>1.26</v>
      </c>
      <c r="CD29" s="128">
        <v>1.26</v>
      </c>
      <c r="CE29" s="128">
        <v>1.26</v>
      </c>
      <c r="CF29" s="128">
        <v>1.26</v>
      </c>
      <c r="CG29" s="128">
        <v>1.26</v>
      </c>
      <c r="CH29" s="128">
        <v>1.26</v>
      </c>
      <c r="CI29" s="128">
        <v>1.26</v>
      </c>
      <c r="CJ29" s="128">
        <v>1.26</v>
      </c>
      <c r="CK29" s="128">
        <v>1.26</v>
      </c>
      <c r="CL29" s="128">
        <v>1.26</v>
      </c>
      <c r="CM29" s="128">
        <v>1.26</v>
      </c>
      <c r="CN29" s="128">
        <v>1.26</v>
      </c>
      <c r="CO29" s="128">
        <v>1.26</v>
      </c>
      <c r="CP29" s="128">
        <v>1.26</v>
      </c>
      <c r="CQ29" s="128">
        <v>1.26</v>
      </c>
      <c r="CR29" s="128">
        <v>1.26</v>
      </c>
      <c r="CS29" s="128">
        <v>1.26</v>
      </c>
      <c r="CT29" s="128">
        <v>1.26</v>
      </c>
      <c r="CU29" s="128">
        <v>1.26</v>
      </c>
      <c r="CV29" s="128">
        <v>1.26</v>
      </c>
      <c r="CW29" s="128">
        <v>1.26</v>
      </c>
      <c r="CX29" s="128">
        <v>1.26</v>
      </c>
      <c r="CZ29" s="126">
        <f>SUMIF(MatrixF1[[1]:[2]],MatrixF1[[#This Row],[Столбец1]])/MatrixF1[[#This Row],[Столбец1]]</f>
        <v>164.99999999999974</v>
      </c>
    </row>
    <row r="30" spans="1:104" ht="21" customHeight="1" x14ac:dyDescent="0.25">
      <c r="A30" s="127">
        <v>1.27</v>
      </c>
      <c r="B30" s="128">
        <v>1</v>
      </c>
      <c r="C30" s="128">
        <v>1.01</v>
      </c>
      <c r="D30" s="128">
        <v>1.03</v>
      </c>
      <c r="E30" s="128">
        <v>1.04</v>
      </c>
      <c r="F30" s="128">
        <v>1.05</v>
      </c>
      <c r="G30" s="128">
        <v>1.06</v>
      </c>
      <c r="H30" s="128">
        <v>1.08</v>
      </c>
      <c r="I30" s="128">
        <v>1.0900000000000001</v>
      </c>
      <c r="J30" s="128">
        <v>1.1000000000000001</v>
      </c>
      <c r="K30" s="128">
        <v>1.1100000000000001</v>
      </c>
      <c r="L30" s="128">
        <v>1.1200000000000001</v>
      </c>
      <c r="M30" s="128">
        <v>1.1299999999999999</v>
      </c>
      <c r="N30" s="128">
        <v>1.1399999999999999</v>
      </c>
      <c r="O30" s="128">
        <v>1.1499999999999999</v>
      </c>
      <c r="P30" s="128">
        <v>1.1599999999999999</v>
      </c>
      <c r="Q30" s="128">
        <v>1.17</v>
      </c>
      <c r="R30" s="128">
        <v>1.18</v>
      </c>
      <c r="S30" s="128">
        <v>1.19</v>
      </c>
      <c r="T30" s="128">
        <v>1.2</v>
      </c>
      <c r="U30" s="128">
        <v>1.21</v>
      </c>
      <c r="V30" s="128">
        <v>1.22</v>
      </c>
      <c r="W30" s="128">
        <v>1.22</v>
      </c>
      <c r="X30" s="128">
        <v>1.23</v>
      </c>
      <c r="Y30" s="128">
        <v>1.24</v>
      </c>
      <c r="Z30" s="128">
        <v>1.25</v>
      </c>
      <c r="AA30" s="128">
        <v>1.26</v>
      </c>
      <c r="AB30" s="128">
        <v>1.26</v>
      </c>
      <c r="AC30" s="128">
        <v>1.27</v>
      </c>
      <c r="AD30" s="128">
        <v>1.27</v>
      </c>
      <c r="AE30" s="128">
        <v>1.28</v>
      </c>
      <c r="AF30" s="128">
        <v>1.28</v>
      </c>
      <c r="AG30" s="128">
        <v>1.28</v>
      </c>
      <c r="AH30" s="128">
        <v>1.28</v>
      </c>
      <c r="AI30" s="128">
        <v>1.29</v>
      </c>
      <c r="AJ30" s="128">
        <v>1.29</v>
      </c>
      <c r="AK30" s="128">
        <v>1.29</v>
      </c>
      <c r="AL30" s="128">
        <v>1.3</v>
      </c>
      <c r="AM30" s="128">
        <v>1.3</v>
      </c>
      <c r="AN30" s="128">
        <v>1.3</v>
      </c>
      <c r="AO30" s="128">
        <v>1.31</v>
      </c>
      <c r="AP30" s="128">
        <v>1.31</v>
      </c>
      <c r="AQ30" s="128">
        <v>1.31</v>
      </c>
      <c r="AR30" s="128">
        <v>1.32</v>
      </c>
      <c r="AS30" s="128">
        <v>1.32</v>
      </c>
      <c r="AT30" s="128">
        <v>1.33</v>
      </c>
      <c r="AU30" s="128">
        <v>1.33</v>
      </c>
      <c r="AV30" s="128">
        <v>1.33</v>
      </c>
      <c r="AW30" s="128">
        <v>1.34</v>
      </c>
      <c r="AX30" s="128">
        <v>1.34</v>
      </c>
      <c r="AY30" s="128">
        <v>1.35</v>
      </c>
      <c r="AZ30" s="128">
        <v>1.35</v>
      </c>
      <c r="BA30" s="128">
        <v>1.35</v>
      </c>
      <c r="BB30" s="128">
        <v>1.34</v>
      </c>
      <c r="BC30" s="128">
        <v>1.34</v>
      </c>
      <c r="BD30" s="128">
        <v>1.33</v>
      </c>
      <c r="BE30" s="128">
        <v>1.33</v>
      </c>
      <c r="BF30" s="128">
        <v>1.33</v>
      </c>
      <c r="BG30" s="128">
        <v>1.32</v>
      </c>
      <c r="BH30" s="128">
        <v>1.32</v>
      </c>
      <c r="BI30" s="128">
        <v>1.31</v>
      </c>
      <c r="BJ30" s="128">
        <v>1.31</v>
      </c>
      <c r="BK30" s="128">
        <v>1.31</v>
      </c>
      <c r="BL30" s="128">
        <v>1.3</v>
      </c>
      <c r="BM30" s="128">
        <v>1.3</v>
      </c>
      <c r="BN30" s="128">
        <v>1.3</v>
      </c>
      <c r="BO30" s="128">
        <v>1.29</v>
      </c>
      <c r="BP30" s="128">
        <v>1.29</v>
      </c>
      <c r="BQ30" s="128">
        <v>1.29</v>
      </c>
      <c r="BR30" s="128">
        <v>1.28</v>
      </c>
      <c r="BS30" s="128">
        <v>1.28</v>
      </c>
      <c r="BT30" s="128">
        <v>1.28</v>
      </c>
      <c r="BU30" s="128">
        <v>1.28</v>
      </c>
      <c r="BV30" s="128">
        <v>1.27</v>
      </c>
      <c r="BW30" s="128">
        <v>1.27</v>
      </c>
      <c r="BX30" s="128">
        <v>1.27</v>
      </c>
      <c r="BY30" s="128">
        <v>1.27</v>
      </c>
      <c r="BZ30" s="128">
        <v>1.27</v>
      </c>
      <c r="CA30" s="128">
        <v>1.27</v>
      </c>
      <c r="CB30" s="128">
        <v>1.27</v>
      </c>
      <c r="CC30" s="128">
        <v>1.27</v>
      </c>
      <c r="CD30" s="128">
        <v>1.27</v>
      </c>
      <c r="CE30" s="128">
        <v>1.27</v>
      </c>
      <c r="CF30" s="128">
        <v>1.27</v>
      </c>
      <c r="CG30" s="128">
        <v>1.27</v>
      </c>
      <c r="CH30" s="128">
        <v>1.27</v>
      </c>
      <c r="CI30" s="128">
        <v>1.27</v>
      </c>
      <c r="CJ30" s="128">
        <v>1.27</v>
      </c>
      <c r="CK30" s="128">
        <v>1.27</v>
      </c>
      <c r="CL30" s="128">
        <v>1.27</v>
      </c>
      <c r="CM30" s="128">
        <v>1.27</v>
      </c>
      <c r="CN30" s="128">
        <v>1.27</v>
      </c>
      <c r="CO30" s="128">
        <v>1.27</v>
      </c>
      <c r="CP30" s="128">
        <v>1.27</v>
      </c>
      <c r="CQ30" s="128">
        <v>1.27</v>
      </c>
      <c r="CR30" s="128">
        <v>1.27</v>
      </c>
      <c r="CS30" s="128">
        <v>1.27</v>
      </c>
      <c r="CT30" s="128">
        <v>1.27</v>
      </c>
      <c r="CU30" s="128">
        <v>1.27</v>
      </c>
      <c r="CV30" s="128">
        <v>1.27</v>
      </c>
      <c r="CW30" s="128">
        <v>1.27</v>
      </c>
      <c r="CX30" s="128">
        <v>1.27</v>
      </c>
      <c r="CZ30" s="126">
        <f>SUMIF(MatrixF1[[1]:[2]],MatrixF1[[#This Row],[Столбец1]])/MatrixF1[[#This Row],[Столбец1]]</f>
        <v>161.00000000000037</v>
      </c>
    </row>
    <row r="31" spans="1:104" ht="21" customHeight="1" x14ac:dyDescent="0.25">
      <c r="A31" s="127">
        <v>1.28</v>
      </c>
      <c r="B31" s="128">
        <v>1</v>
      </c>
      <c r="C31" s="128">
        <v>1.01</v>
      </c>
      <c r="D31" s="128">
        <v>1.03</v>
      </c>
      <c r="E31" s="128">
        <v>1.04</v>
      </c>
      <c r="F31" s="128">
        <v>1.05</v>
      </c>
      <c r="G31" s="128">
        <v>1.06</v>
      </c>
      <c r="H31" s="128">
        <v>1.08</v>
      </c>
      <c r="I31" s="128">
        <v>1.0900000000000001</v>
      </c>
      <c r="J31" s="128">
        <v>1.1000000000000001</v>
      </c>
      <c r="K31" s="128">
        <v>1.1100000000000001</v>
      </c>
      <c r="L31" s="128">
        <v>1.1200000000000001</v>
      </c>
      <c r="M31" s="128">
        <v>1.1299999999999999</v>
      </c>
      <c r="N31" s="128">
        <v>1.1399999999999999</v>
      </c>
      <c r="O31" s="128">
        <v>1.1499999999999999</v>
      </c>
      <c r="P31" s="128">
        <v>1.1599999999999999</v>
      </c>
      <c r="Q31" s="128">
        <v>1.17</v>
      </c>
      <c r="R31" s="128">
        <v>1.18</v>
      </c>
      <c r="S31" s="128">
        <v>1.19</v>
      </c>
      <c r="T31" s="128">
        <v>1.2</v>
      </c>
      <c r="U31" s="128">
        <v>1.21</v>
      </c>
      <c r="V31" s="128">
        <v>1.22</v>
      </c>
      <c r="W31" s="128">
        <v>1.23</v>
      </c>
      <c r="X31" s="128">
        <v>1.23</v>
      </c>
      <c r="Y31" s="128">
        <v>1.24</v>
      </c>
      <c r="Z31" s="128">
        <v>1.25</v>
      </c>
      <c r="AA31" s="128">
        <v>1.26</v>
      </c>
      <c r="AB31" s="128">
        <v>1.27</v>
      </c>
      <c r="AC31" s="128">
        <v>1.27</v>
      </c>
      <c r="AD31" s="128">
        <v>1.28</v>
      </c>
      <c r="AE31" s="128">
        <v>1.28</v>
      </c>
      <c r="AF31" s="128">
        <v>1.29</v>
      </c>
      <c r="AG31" s="128">
        <v>1.29</v>
      </c>
      <c r="AH31" s="128">
        <v>1.29</v>
      </c>
      <c r="AI31" s="128">
        <v>1.29</v>
      </c>
      <c r="AJ31" s="128">
        <v>1.3</v>
      </c>
      <c r="AK31" s="128">
        <v>1.3</v>
      </c>
      <c r="AL31" s="128">
        <v>1.3</v>
      </c>
      <c r="AM31" s="128">
        <v>1.31</v>
      </c>
      <c r="AN31" s="128">
        <v>1.31</v>
      </c>
      <c r="AO31" s="128">
        <v>1.31</v>
      </c>
      <c r="AP31" s="128">
        <v>1.32</v>
      </c>
      <c r="AQ31" s="128">
        <v>1.32</v>
      </c>
      <c r="AR31" s="128">
        <v>1.33</v>
      </c>
      <c r="AS31" s="128">
        <v>1.33</v>
      </c>
      <c r="AT31" s="128">
        <v>1.33</v>
      </c>
      <c r="AU31" s="128">
        <v>1.34</v>
      </c>
      <c r="AV31" s="128">
        <v>1.34</v>
      </c>
      <c r="AW31" s="128">
        <v>1.35</v>
      </c>
      <c r="AX31" s="128">
        <v>1.35</v>
      </c>
      <c r="AY31" s="128">
        <v>1.35</v>
      </c>
      <c r="AZ31" s="128">
        <v>1.36</v>
      </c>
      <c r="BA31" s="128">
        <v>1.35</v>
      </c>
      <c r="BB31" s="128">
        <v>1.35</v>
      </c>
      <c r="BC31" s="128">
        <v>1.35</v>
      </c>
      <c r="BD31" s="128">
        <v>1.34</v>
      </c>
      <c r="BE31" s="128">
        <v>1.34</v>
      </c>
      <c r="BF31" s="128">
        <v>1.33</v>
      </c>
      <c r="BG31" s="128">
        <v>1.33</v>
      </c>
      <c r="BH31" s="128">
        <v>1.33</v>
      </c>
      <c r="BI31" s="128">
        <v>1.32</v>
      </c>
      <c r="BJ31" s="128">
        <v>1.32</v>
      </c>
      <c r="BK31" s="128">
        <v>1.31</v>
      </c>
      <c r="BL31" s="128">
        <v>1.31</v>
      </c>
      <c r="BM31" s="128">
        <v>1.31</v>
      </c>
      <c r="BN31" s="128">
        <v>1.3</v>
      </c>
      <c r="BO31" s="128">
        <v>1.3</v>
      </c>
      <c r="BP31" s="128">
        <v>1.3</v>
      </c>
      <c r="BQ31" s="128">
        <v>1.29</v>
      </c>
      <c r="BR31" s="128">
        <v>1.29</v>
      </c>
      <c r="BS31" s="128">
        <v>1.29</v>
      </c>
      <c r="BT31" s="128">
        <v>1.29</v>
      </c>
      <c r="BU31" s="128">
        <v>1.28</v>
      </c>
      <c r="BV31" s="128">
        <v>1.28</v>
      </c>
      <c r="BW31" s="128">
        <v>1.28</v>
      </c>
      <c r="BX31" s="128">
        <v>1.28</v>
      </c>
      <c r="BY31" s="128">
        <v>1.28</v>
      </c>
      <c r="BZ31" s="128">
        <v>1.28</v>
      </c>
      <c r="CA31" s="128">
        <v>1.28</v>
      </c>
      <c r="CB31" s="128">
        <v>1.28</v>
      </c>
      <c r="CC31" s="128">
        <v>1.28</v>
      </c>
      <c r="CD31" s="128">
        <v>1.28</v>
      </c>
      <c r="CE31" s="128">
        <v>1.28</v>
      </c>
      <c r="CF31" s="128">
        <v>1.28</v>
      </c>
      <c r="CG31" s="128">
        <v>1.28</v>
      </c>
      <c r="CH31" s="128">
        <v>1.28</v>
      </c>
      <c r="CI31" s="128">
        <v>1.28</v>
      </c>
      <c r="CJ31" s="128">
        <v>1.28</v>
      </c>
      <c r="CK31" s="128">
        <v>1.28</v>
      </c>
      <c r="CL31" s="128">
        <v>1.28</v>
      </c>
      <c r="CM31" s="128">
        <v>1.28</v>
      </c>
      <c r="CN31" s="128">
        <v>1.28</v>
      </c>
      <c r="CO31" s="128">
        <v>1.28</v>
      </c>
      <c r="CP31" s="128">
        <v>1.28</v>
      </c>
      <c r="CQ31" s="128">
        <v>1.28</v>
      </c>
      <c r="CR31" s="128">
        <v>1.28</v>
      </c>
      <c r="CS31" s="128">
        <v>1.28</v>
      </c>
      <c r="CT31" s="128">
        <v>1.28</v>
      </c>
      <c r="CU31" s="128">
        <v>1.28</v>
      </c>
      <c r="CV31" s="128">
        <v>1.28</v>
      </c>
      <c r="CW31" s="128">
        <v>1.28</v>
      </c>
      <c r="CX31" s="128">
        <v>1.28</v>
      </c>
      <c r="CZ31" s="126">
        <f>SUMIF(MatrixF1[[1]:[2]],MatrixF1[[#This Row],[Столбец1]])/MatrixF1[[#This Row],[Столбец1]]</f>
        <v>161.00000000000011</v>
      </c>
    </row>
    <row r="32" spans="1:104" ht="21" customHeight="1" x14ac:dyDescent="0.25">
      <c r="A32" s="127">
        <v>1.29</v>
      </c>
      <c r="B32" s="128">
        <v>1</v>
      </c>
      <c r="C32" s="128">
        <v>1.01</v>
      </c>
      <c r="D32" s="128">
        <v>1.03</v>
      </c>
      <c r="E32" s="128">
        <v>1.04</v>
      </c>
      <c r="F32" s="128">
        <v>1.05</v>
      </c>
      <c r="G32" s="128">
        <v>1.07</v>
      </c>
      <c r="H32" s="128">
        <v>1.08</v>
      </c>
      <c r="I32" s="128">
        <v>1.0900000000000001</v>
      </c>
      <c r="J32" s="128">
        <v>1.1000000000000001</v>
      </c>
      <c r="K32" s="128">
        <v>1.1100000000000001</v>
      </c>
      <c r="L32" s="128">
        <v>1.1200000000000001</v>
      </c>
      <c r="M32" s="128">
        <v>1.1299999999999999</v>
      </c>
      <c r="N32" s="128">
        <v>1.1399999999999999</v>
      </c>
      <c r="O32" s="128">
        <v>1.1499999999999999</v>
      </c>
      <c r="P32" s="128">
        <v>1.1599999999999999</v>
      </c>
      <c r="Q32" s="128">
        <v>1.17</v>
      </c>
      <c r="R32" s="128">
        <v>1.18</v>
      </c>
      <c r="S32" s="128">
        <v>1.19</v>
      </c>
      <c r="T32" s="128">
        <v>1.2</v>
      </c>
      <c r="U32" s="128">
        <v>1.21</v>
      </c>
      <c r="V32" s="128">
        <v>1.22</v>
      </c>
      <c r="W32" s="128">
        <v>1.23</v>
      </c>
      <c r="X32" s="128">
        <v>1.24</v>
      </c>
      <c r="Y32" s="128">
        <v>1.24</v>
      </c>
      <c r="Z32" s="128">
        <v>1.25</v>
      </c>
      <c r="AA32" s="128">
        <v>1.26</v>
      </c>
      <c r="AB32" s="128">
        <v>1.27</v>
      </c>
      <c r="AC32" s="128">
        <v>1.28</v>
      </c>
      <c r="AD32" s="128">
        <v>1.28</v>
      </c>
      <c r="AE32" s="128">
        <v>1.29</v>
      </c>
      <c r="AF32" s="128">
        <v>1.29</v>
      </c>
      <c r="AG32" s="128">
        <v>1.3</v>
      </c>
      <c r="AH32" s="128">
        <v>1.3</v>
      </c>
      <c r="AI32" s="128">
        <v>1.3</v>
      </c>
      <c r="AJ32" s="128">
        <v>1.31</v>
      </c>
      <c r="AK32" s="128">
        <v>1.31</v>
      </c>
      <c r="AL32" s="128">
        <v>1.31</v>
      </c>
      <c r="AM32" s="128">
        <v>1.32</v>
      </c>
      <c r="AN32" s="128">
        <v>1.32</v>
      </c>
      <c r="AO32" s="128">
        <v>1.32</v>
      </c>
      <c r="AP32" s="128">
        <v>1.33</v>
      </c>
      <c r="AQ32" s="128">
        <v>1.33</v>
      </c>
      <c r="AR32" s="128">
        <v>1.33</v>
      </c>
      <c r="AS32" s="128">
        <v>1.34</v>
      </c>
      <c r="AT32" s="128">
        <v>1.34</v>
      </c>
      <c r="AU32" s="128">
        <v>1.35</v>
      </c>
      <c r="AV32" s="128">
        <v>1.35</v>
      </c>
      <c r="AW32" s="128">
        <v>1.35</v>
      </c>
      <c r="AX32" s="128">
        <v>1.36</v>
      </c>
      <c r="AY32" s="128">
        <v>1.36</v>
      </c>
      <c r="AZ32" s="128">
        <v>1.37</v>
      </c>
      <c r="BA32" s="128">
        <v>1.36</v>
      </c>
      <c r="BB32" s="128">
        <v>1.36</v>
      </c>
      <c r="BC32" s="128">
        <v>1.35</v>
      </c>
      <c r="BD32" s="128">
        <v>1.35</v>
      </c>
      <c r="BE32" s="128">
        <v>1.35</v>
      </c>
      <c r="BF32" s="128">
        <v>1.34</v>
      </c>
      <c r="BG32" s="128">
        <v>1.34</v>
      </c>
      <c r="BH32" s="128">
        <v>1.33</v>
      </c>
      <c r="BI32" s="128">
        <v>1.33</v>
      </c>
      <c r="BJ32" s="128">
        <v>1.33</v>
      </c>
      <c r="BK32" s="128">
        <v>1.32</v>
      </c>
      <c r="BL32" s="128">
        <v>1.32</v>
      </c>
      <c r="BM32" s="128">
        <v>1.32</v>
      </c>
      <c r="BN32" s="128">
        <v>1.31</v>
      </c>
      <c r="BO32" s="128">
        <v>1.31</v>
      </c>
      <c r="BP32" s="128">
        <v>1.31</v>
      </c>
      <c r="BQ32" s="128">
        <v>1.3</v>
      </c>
      <c r="BR32" s="128">
        <v>1.3</v>
      </c>
      <c r="BS32" s="128">
        <v>1.3</v>
      </c>
      <c r="BT32" s="128">
        <v>1.29</v>
      </c>
      <c r="BU32" s="128">
        <v>1.29</v>
      </c>
      <c r="BV32" s="128">
        <v>1.29</v>
      </c>
      <c r="BW32" s="128">
        <v>1.29</v>
      </c>
      <c r="BX32" s="128">
        <v>1.29</v>
      </c>
      <c r="BY32" s="128">
        <v>1.29</v>
      </c>
      <c r="BZ32" s="128">
        <v>1.29</v>
      </c>
      <c r="CA32" s="128">
        <v>1.29</v>
      </c>
      <c r="CB32" s="128">
        <v>1.29</v>
      </c>
      <c r="CC32" s="128">
        <v>1.29</v>
      </c>
      <c r="CD32" s="128">
        <v>1.29</v>
      </c>
      <c r="CE32" s="128">
        <v>1.29</v>
      </c>
      <c r="CF32" s="128">
        <v>1.29</v>
      </c>
      <c r="CG32" s="128">
        <v>1.29</v>
      </c>
      <c r="CH32" s="128">
        <v>1.29</v>
      </c>
      <c r="CI32" s="128">
        <v>1.29</v>
      </c>
      <c r="CJ32" s="128">
        <v>1.29</v>
      </c>
      <c r="CK32" s="128">
        <v>1.29</v>
      </c>
      <c r="CL32" s="128">
        <v>1.29</v>
      </c>
      <c r="CM32" s="128">
        <v>1.29</v>
      </c>
      <c r="CN32" s="128">
        <v>1.29</v>
      </c>
      <c r="CO32" s="128">
        <v>1.29</v>
      </c>
      <c r="CP32" s="128">
        <v>1.29</v>
      </c>
      <c r="CQ32" s="128">
        <v>1.29</v>
      </c>
      <c r="CR32" s="128">
        <v>1.29</v>
      </c>
      <c r="CS32" s="128">
        <v>1.29</v>
      </c>
      <c r="CT32" s="128">
        <v>1.29</v>
      </c>
      <c r="CU32" s="128">
        <v>1.29</v>
      </c>
      <c r="CV32" s="128">
        <v>1.29</v>
      </c>
      <c r="CW32" s="128">
        <v>1.29</v>
      </c>
      <c r="CX32" s="128">
        <v>1.29</v>
      </c>
      <c r="CZ32" s="126">
        <f>SUMIF(MatrixF1[[1]:[2]],MatrixF1[[#This Row],[Столбец1]])/MatrixF1[[#This Row],[Столбец1]]</f>
        <v>162.99999999999983</v>
      </c>
    </row>
    <row r="33" spans="1:104" ht="21" customHeight="1" x14ac:dyDescent="0.25">
      <c r="A33" s="127">
        <v>1.3</v>
      </c>
      <c r="B33" s="128">
        <v>1</v>
      </c>
      <c r="C33" s="128">
        <v>1.01</v>
      </c>
      <c r="D33" s="128">
        <v>1.03</v>
      </c>
      <c r="E33" s="128">
        <v>1.04</v>
      </c>
      <c r="F33" s="128">
        <v>1.05</v>
      </c>
      <c r="G33" s="128">
        <v>1.07</v>
      </c>
      <c r="H33" s="128">
        <v>1.08</v>
      </c>
      <c r="I33" s="128">
        <v>1.0900000000000001</v>
      </c>
      <c r="J33" s="128">
        <v>1.1000000000000001</v>
      </c>
      <c r="K33" s="128">
        <v>1.1100000000000001</v>
      </c>
      <c r="L33" s="128">
        <v>1.1200000000000001</v>
      </c>
      <c r="M33" s="128">
        <v>1.1399999999999999</v>
      </c>
      <c r="N33" s="128">
        <v>1.1499999999999999</v>
      </c>
      <c r="O33" s="128">
        <v>1.1599999999999999</v>
      </c>
      <c r="P33" s="128">
        <v>1.17</v>
      </c>
      <c r="Q33" s="128">
        <v>1.18</v>
      </c>
      <c r="R33" s="128">
        <v>1.19</v>
      </c>
      <c r="S33" s="128">
        <v>1.2</v>
      </c>
      <c r="T33" s="128">
        <v>1.2</v>
      </c>
      <c r="U33" s="128">
        <v>1.21</v>
      </c>
      <c r="V33" s="128">
        <v>1.22</v>
      </c>
      <c r="W33" s="128">
        <v>1.23</v>
      </c>
      <c r="X33" s="128">
        <v>1.24</v>
      </c>
      <c r="Y33" s="128">
        <v>1.25</v>
      </c>
      <c r="Z33" s="128">
        <v>1.26</v>
      </c>
      <c r="AA33" s="128">
        <v>1.26</v>
      </c>
      <c r="AB33" s="128">
        <v>1.27</v>
      </c>
      <c r="AC33" s="128">
        <v>1.28</v>
      </c>
      <c r="AD33" s="128">
        <v>1.29</v>
      </c>
      <c r="AE33" s="128">
        <v>1.29</v>
      </c>
      <c r="AF33" s="128">
        <v>1.3</v>
      </c>
      <c r="AG33" s="128">
        <v>1.3</v>
      </c>
      <c r="AH33" s="128">
        <v>1.31</v>
      </c>
      <c r="AI33" s="128">
        <v>1.31</v>
      </c>
      <c r="AJ33" s="128">
        <v>1.31</v>
      </c>
      <c r="AK33" s="128">
        <v>1.32</v>
      </c>
      <c r="AL33" s="128">
        <v>1.32</v>
      </c>
      <c r="AM33" s="128">
        <v>1.32</v>
      </c>
      <c r="AN33" s="128">
        <v>1.33</v>
      </c>
      <c r="AO33" s="128">
        <v>1.33</v>
      </c>
      <c r="AP33" s="128">
        <v>1.33</v>
      </c>
      <c r="AQ33" s="128">
        <v>1.34</v>
      </c>
      <c r="AR33" s="128">
        <v>1.34</v>
      </c>
      <c r="AS33" s="128">
        <v>1.34</v>
      </c>
      <c r="AT33" s="128">
        <v>1.35</v>
      </c>
      <c r="AU33" s="128">
        <v>1.35</v>
      </c>
      <c r="AV33" s="128">
        <v>1.36</v>
      </c>
      <c r="AW33" s="128">
        <v>1.36</v>
      </c>
      <c r="AX33" s="128">
        <v>1.37</v>
      </c>
      <c r="AY33" s="128">
        <v>1.37</v>
      </c>
      <c r="AZ33" s="128">
        <v>1.38</v>
      </c>
      <c r="BA33" s="128">
        <v>1.37</v>
      </c>
      <c r="BB33" s="128">
        <v>1.37</v>
      </c>
      <c r="BC33" s="128">
        <v>1.36</v>
      </c>
      <c r="BD33" s="128">
        <v>1.36</v>
      </c>
      <c r="BE33" s="128">
        <v>1.35</v>
      </c>
      <c r="BF33" s="128">
        <v>1.35</v>
      </c>
      <c r="BG33" s="128">
        <v>1.34</v>
      </c>
      <c r="BH33" s="128">
        <v>1.34</v>
      </c>
      <c r="BI33" s="128">
        <v>1.34</v>
      </c>
      <c r="BJ33" s="128">
        <v>1.33</v>
      </c>
      <c r="BK33" s="128">
        <v>1.33</v>
      </c>
      <c r="BL33" s="128">
        <v>1.33</v>
      </c>
      <c r="BM33" s="128">
        <v>1.32</v>
      </c>
      <c r="BN33" s="128">
        <v>1.32</v>
      </c>
      <c r="BO33" s="128">
        <v>1.32</v>
      </c>
      <c r="BP33" s="128">
        <v>1.31</v>
      </c>
      <c r="BQ33" s="128">
        <v>1.31</v>
      </c>
      <c r="BR33" s="128">
        <v>1.31</v>
      </c>
      <c r="BS33" s="128">
        <v>1.3</v>
      </c>
      <c r="BT33" s="128">
        <v>1.3</v>
      </c>
      <c r="BU33" s="128">
        <v>1.3</v>
      </c>
      <c r="BV33" s="128">
        <v>1.3</v>
      </c>
      <c r="BW33" s="128">
        <v>1.3</v>
      </c>
      <c r="BX33" s="128">
        <v>1.3</v>
      </c>
      <c r="BY33" s="128">
        <v>1.3</v>
      </c>
      <c r="BZ33" s="128">
        <v>1.3</v>
      </c>
      <c r="CA33" s="128">
        <v>1.3</v>
      </c>
      <c r="CB33" s="128">
        <v>1.3</v>
      </c>
      <c r="CC33" s="128">
        <v>1.3</v>
      </c>
      <c r="CD33" s="128">
        <v>1.3</v>
      </c>
      <c r="CE33" s="128">
        <v>1.3</v>
      </c>
      <c r="CF33" s="128">
        <v>1.3</v>
      </c>
      <c r="CG33" s="128">
        <v>1.3</v>
      </c>
      <c r="CH33" s="128">
        <v>1.3</v>
      </c>
      <c r="CI33" s="128">
        <v>1.3</v>
      </c>
      <c r="CJ33" s="128">
        <v>1.3</v>
      </c>
      <c r="CK33" s="128">
        <v>1.3</v>
      </c>
      <c r="CL33" s="128">
        <v>1.3</v>
      </c>
      <c r="CM33" s="128">
        <v>1.3</v>
      </c>
      <c r="CN33" s="128">
        <v>1.3</v>
      </c>
      <c r="CO33" s="128">
        <v>1.3</v>
      </c>
      <c r="CP33" s="128">
        <v>1.3</v>
      </c>
      <c r="CQ33" s="128">
        <v>1.3</v>
      </c>
      <c r="CR33" s="128">
        <v>1.3</v>
      </c>
      <c r="CS33" s="128">
        <v>1.3</v>
      </c>
      <c r="CT33" s="128">
        <v>1.3</v>
      </c>
      <c r="CU33" s="128">
        <v>1.3</v>
      </c>
      <c r="CV33" s="128">
        <v>1.3</v>
      </c>
      <c r="CW33" s="128">
        <v>1.3</v>
      </c>
      <c r="CX33" s="128">
        <v>1.3</v>
      </c>
      <c r="CZ33" s="126">
        <f>SUMIF(MatrixF1[[1]:[2]],MatrixF1[[#This Row],[Столбец1]])/MatrixF1[[#This Row],[Столбец1]]</f>
        <v>157.00000000000037</v>
      </c>
    </row>
    <row r="34" spans="1:104" ht="21" customHeight="1" x14ac:dyDescent="0.25">
      <c r="A34" s="127">
        <v>1.31</v>
      </c>
      <c r="B34" s="128">
        <v>1</v>
      </c>
      <c r="C34" s="128">
        <v>1.01</v>
      </c>
      <c r="D34" s="128">
        <v>1.03</v>
      </c>
      <c r="E34" s="128">
        <v>1.04</v>
      </c>
      <c r="F34" s="128">
        <v>1.05</v>
      </c>
      <c r="G34" s="128">
        <v>1.07</v>
      </c>
      <c r="H34" s="128">
        <v>1.08</v>
      </c>
      <c r="I34" s="128">
        <v>1.0900000000000001</v>
      </c>
      <c r="J34" s="128">
        <v>1.1000000000000001</v>
      </c>
      <c r="K34" s="128">
        <v>1.1200000000000001</v>
      </c>
      <c r="L34" s="128">
        <v>1.1299999999999999</v>
      </c>
      <c r="M34" s="128">
        <v>1.1399999999999999</v>
      </c>
      <c r="N34" s="128">
        <v>1.1499999999999999</v>
      </c>
      <c r="O34" s="128">
        <v>1.1599999999999999</v>
      </c>
      <c r="P34" s="128">
        <v>1.17</v>
      </c>
      <c r="Q34" s="128">
        <v>1.18</v>
      </c>
      <c r="R34" s="128">
        <v>1.19</v>
      </c>
      <c r="S34" s="128">
        <v>1.2</v>
      </c>
      <c r="T34" s="128">
        <v>1.21</v>
      </c>
      <c r="U34" s="128">
        <v>1.22</v>
      </c>
      <c r="V34" s="128">
        <v>1.22</v>
      </c>
      <c r="W34" s="128">
        <v>1.23</v>
      </c>
      <c r="X34" s="128">
        <v>1.24</v>
      </c>
      <c r="Y34" s="128">
        <v>1.25</v>
      </c>
      <c r="Z34" s="128">
        <v>1.26</v>
      </c>
      <c r="AA34" s="128">
        <v>1.27</v>
      </c>
      <c r="AB34" s="128">
        <v>1.27</v>
      </c>
      <c r="AC34" s="128">
        <v>1.28</v>
      </c>
      <c r="AD34" s="128">
        <v>1.29</v>
      </c>
      <c r="AE34" s="128">
        <v>1.3</v>
      </c>
      <c r="AF34" s="128">
        <v>1.3</v>
      </c>
      <c r="AG34" s="128">
        <v>1.31</v>
      </c>
      <c r="AH34" s="128">
        <v>1.31</v>
      </c>
      <c r="AI34" s="128">
        <v>1.32</v>
      </c>
      <c r="AJ34" s="128">
        <v>1.32</v>
      </c>
      <c r="AK34" s="128">
        <v>1.32</v>
      </c>
      <c r="AL34" s="128">
        <v>1.33</v>
      </c>
      <c r="AM34" s="128">
        <v>1.33</v>
      </c>
      <c r="AN34" s="128">
        <v>1.33</v>
      </c>
      <c r="AO34" s="128">
        <v>1.34</v>
      </c>
      <c r="AP34" s="128">
        <v>1.34</v>
      </c>
      <c r="AQ34" s="128">
        <v>1.34</v>
      </c>
      <c r="AR34" s="128">
        <v>1.35</v>
      </c>
      <c r="AS34" s="128">
        <v>1.35</v>
      </c>
      <c r="AT34" s="128">
        <v>1.36</v>
      </c>
      <c r="AU34" s="128">
        <v>1.36</v>
      </c>
      <c r="AV34" s="128">
        <v>1.36</v>
      </c>
      <c r="AW34" s="128">
        <v>1.37</v>
      </c>
      <c r="AX34" s="128">
        <v>1.37</v>
      </c>
      <c r="AY34" s="128">
        <v>1.38</v>
      </c>
      <c r="AZ34" s="128">
        <v>1.38</v>
      </c>
      <c r="BA34" s="128">
        <v>1.38</v>
      </c>
      <c r="BB34" s="128">
        <v>1.37</v>
      </c>
      <c r="BC34" s="128">
        <v>1.37</v>
      </c>
      <c r="BD34" s="128">
        <v>1.36</v>
      </c>
      <c r="BE34" s="128">
        <v>1.36</v>
      </c>
      <c r="BF34" s="128">
        <v>1.36</v>
      </c>
      <c r="BG34" s="128">
        <v>1.35</v>
      </c>
      <c r="BH34" s="128">
        <v>1.35</v>
      </c>
      <c r="BI34" s="128">
        <v>1.34</v>
      </c>
      <c r="BJ34" s="128">
        <v>1.34</v>
      </c>
      <c r="BK34" s="128">
        <v>1.34</v>
      </c>
      <c r="BL34" s="128">
        <v>1.33</v>
      </c>
      <c r="BM34" s="128">
        <v>1.33</v>
      </c>
      <c r="BN34" s="128">
        <v>1.33</v>
      </c>
      <c r="BO34" s="128">
        <v>1.32</v>
      </c>
      <c r="BP34" s="128">
        <v>1.32</v>
      </c>
      <c r="BQ34" s="128">
        <v>1.32</v>
      </c>
      <c r="BR34" s="128">
        <v>1.31</v>
      </c>
      <c r="BS34" s="128">
        <v>1.31</v>
      </c>
      <c r="BT34" s="128">
        <v>1.31</v>
      </c>
      <c r="BU34" s="128">
        <v>1.31</v>
      </c>
      <c r="BV34" s="128">
        <v>1.31</v>
      </c>
      <c r="BW34" s="128">
        <v>1.31</v>
      </c>
      <c r="BX34" s="128">
        <v>1.31</v>
      </c>
      <c r="BY34" s="128">
        <v>1.31</v>
      </c>
      <c r="BZ34" s="128">
        <v>1.31</v>
      </c>
      <c r="CA34" s="128">
        <v>1.31</v>
      </c>
      <c r="CB34" s="128">
        <v>1.31</v>
      </c>
      <c r="CC34" s="128">
        <v>1.31</v>
      </c>
      <c r="CD34" s="128">
        <v>1.31</v>
      </c>
      <c r="CE34" s="128">
        <v>1.31</v>
      </c>
      <c r="CF34" s="128">
        <v>1.31</v>
      </c>
      <c r="CG34" s="128">
        <v>1.31</v>
      </c>
      <c r="CH34" s="128">
        <v>1.31</v>
      </c>
      <c r="CI34" s="128">
        <v>1.31</v>
      </c>
      <c r="CJ34" s="128">
        <v>1.31</v>
      </c>
      <c r="CK34" s="128">
        <v>1.31</v>
      </c>
      <c r="CL34" s="128">
        <v>1.31</v>
      </c>
      <c r="CM34" s="128">
        <v>1.31</v>
      </c>
      <c r="CN34" s="128">
        <v>1.31</v>
      </c>
      <c r="CO34" s="128">
        <v>1.31</v>
      </c>
      <c r="CP34" s="128">
        <v>1.31</v>
      </c>
      <c r="CQ34" s="128">
        <v>1.31</v>
      </c>
      <c r="CR34" s="128">
        <v>1.31</v>
      </c>
      <c r="CS34" s="128">
        <v>1.31</v>
      </c>
      <c r="CT34" s="128">
        <v>1.31</v>
      </c>
      <c r="CU34" s="128">
        <v>1.31</v>
      </c>
      <c r="CV34" s="128">
        <v>1.31</v>
      </c>
      <c r="CW34" s="128">
        <v>1.31</v>
      </c>
      <c r="CX34" s="128">
        <v>1.31</v>
      </c>
      <c r="CZ34" s="126">
        <f>SUMIF(MatrixF1[[1]:[2]],MatrixF1[[#This Row],[Столбец1]])/MatrixF1[[#This Row],[Столбец1]]</f>
        <v>155.0000000000002</v>
      </c>
    </row>
    <row r="35" spans="1:104" ht="21" customHeight="1" x14ac:dyDescent="0.25">
      <c r="A35" s="127">
        <v>1.32</v>
      </c>
      <c r="B35" s="128">
        <v>1</v>
      </c>
      <c r="C35" s="128">
        <v>1.01</v>
      </c>
      <c r="D35" s="128">
        <v>1.03</v>
      </c>
      <c r="E35" s="128">
        <v>1.04</v>
      </c>
      <c r="F35" s="128">
        <v>1.06</v>
      </c>
      <c r="G35" s="128">
        <v>1.07</v>
      </c>
      <c r="H35" s="128">
        <v>1.08</v>
      </c>
      <c r="I35" s="128">
        <v>1.0900000000000001</v>
      </c>
      <c r="J35" s="128">
        <v>1.1100000000000001</v>
      </c>
      <c r="K35" s="128">
        <v>1.1200000000000001</v>
      </c>
      <c r="L35" s="128">
        <v>1.1299999999999999</v>
      </c>
      <c r="M35" s="128">
        <v>1.1399999999999999</v>
      </c>
      <c r="N35" s="128">
        <v>1.1499999999999999</v>
      </c>
      <c r="O35" s="128">
        <v>1.1599999999999999</v>
      </c>
      <c r="P35" s="128">
        <v>1.17</v>
      </c>
      <c r="Q35" s="128">
        <v>1.18</v>
      </c>
      <c r="R35" s="128">
        <v>1.19</v>
      </c>
      <c r="S35" s="128">
        <v>1.2</v>
      </c>
      <c r="T35" s="128">
        <v>1.21</v>
      </c>
      <c r="U35" s="128">
        <v>1.22</v>
      </c>
      <c r="V35" s="128">
        <v>1.23</v>
      </c>
      <c r="W35" s="128">
        <v>1.24</v>
      </c>
      <c r="X35" s="128">
        <v>1.24</v>
      </c>
      <c r="Y35" s="128">
        <v>1.25</v>
      </c>
      <c r="Z35" s="128">
        <v>1.26</v>
      </c>
      <c r="AA35" s="128">
        <v>1.27</v>
      </c>
      <c r="AB35" s="128">
        <v>1.28</v>
      </c>
      <c r="AC35" s="128">
        <v>1.28</v>
      </c>
      <c r="AD35" s="128">
        <v>1.29</v>
      </c>
      <c r="AE35" s="128">
        <v>1.3</v>
      </c>
      <c r="AF35" s="128">
        <v>1.31</v>
      </c>
      <c r="AG35" s="128">
        <v>1.31</v>
      </c>
      <c r="AH35" s="128">
        <v>1.32</v>
      </c>
      <c r="AI35" s="128">
        <v>1.32</v>
      </c>
      <c r="AJ35" s="128">
        <v>1.33</v>
      </c>
      <c r="AK35" s="128">
        <v>1.33</v>
      </c>
      <c r="AL35" s="128">
        <v>1.33</v>
      </c>
      <c r="AM35" s="128">
        <v>1.34</v>
      </c>
      <c r="AN35" s="128">
        <v>1.34</v>
      </c>
      <c r="AO35" s="128">
        <v>1.34</v>
      </c>
      <c r="AP35" s="128">
        <v>1.35</v>
      </c>
      <c r="AQ35" s="128">
        <v>1.35</v>
      </c>
      <c r="AR35" s="128">
        <v>1.36</v>
      </c>
      <c r="AS35" s="128">
        <v>1.36</v>
      </c>
      <c r="AT35" s="128">
        <v>1.36</v>
      </c>
      <c r="AU35" s="128">
        <v>1.37</v>
      </c>
      <c r="AV35" s="128">
        <v>1.37</v>
      </c>
      <c r="AW35" s="128">
        <v>1.38</v>
      </c>
      <c r="AX35" s="128">
        <v>1.38</v>
      </c>
      <c r="AY35" s="128">
        <v>1.39</v>
      </c>
      <c r="AZ35" s="128">
        <v>1.39</v>
      </c>
      <c r="BA35" s="128">
        <v>1.39</v>
      </c>
      <c r="BB35" s="128">
        <v>1.38</v>
      </c>
      <c r="BC35" s="128">
        <v>1.38</v>
      </c>
      <c r="BD35" s="128">
        <v>1.37</v>
      </c>
      <c r="BE35" s="128">
        <v>1.37</v>
      </c>
      <c r="BF35" s="128">
        <v>1.36</v>
      </c>
      <c r="BG35" s="128">
        <v>1.36</v>
      </c>
      <c r="BH35" s="128">
        <v>1.36</v>
      </c>
      <c r="BI35" s="128">
        <v>1.35</v>
      </c>
      <c r="BJ35" s="128">
        <v>1.35</v>
      </c>
      <c r="BK35" s="128">
        <v>1.34</v>
      </c>
      <c r="BL35" s="128">
        <v>1.34</v>
      </c>
      <c r="BM35" s="128">
        <v>1.34</v>
      </c>
      <c r="BN35" s="128">
        <v>1.33</v>
      </c>
      <c r="BO35" s="128">
        <v>1.33</v>
      </c>
      <c r="BP35" s="128">
        <v>1.33</v>
      </c>
      <c r="BQ35" s="128">
        <v>1.32</v>
      </c>
      <c r="BR35" s="128">
        <v>1.32</v>
      </c>
      <c r="BS35" s="128">
        <v>1.32</v>
      </c>
      <c r="BT35" s="128">
        <v>1.32</v>
      </c>
      <c r="BU35" s="128">
        <v>1.32</v>
      </c>
      <c r="BV35" s="128">
        <v>1.32</v>
      </c>
      <c r="BW35" s="128">
        <v>1.32</v>
      </c>
      <c r="BX35" s="128">
        <v>1.32</v>
      </c>
      <c r="BY35" s="128">
        <v>1.32</v>
      </c>
      <c r="BZ35" s="128">
        <v>1.32</v>
      </c>
      <c r="CA35" s="128">
        <v>1.32</v>
      </c>
      <c r="CB35" s="128">
        <v>1.32</v>
      </c>
      <c r="CC35" s="128">
        <v>1.32</v>
      </c>
      <c r="CD35" s="128">
        <v>1.32</v>
      </c>
      <c r="CE35" s="128">
        <v>1.32</v>
      </c>
      <c r="CF35" s="128">
        <v>1.32</v>
      </c>
      <c r="CG35" s="128">
        <v>1.32</v>
      </c>
      <c r="CH35" s="128">
        <v>1.32</v>
      </c>
      <c r="CI35" s="128">
        <v>1.32</v>
      </c>
      <c r="CJ35" s="128">
        <v>1.32</v>
      </c>
      <c r="CK35" s="128">
        <v>1.32</v>
      </c>
      <c r="CL35" s="128">
        <v>1.32</v>
      </c>
      <c r="CM35" s="128">
        <v>1.32</v>
      </c>
      <c r="CN35" s="128">
        <v>1.32</v>
      </c>
      <c r="CO35" s="128">
        <v>1.32</v>
      </c>
      <c r="CP35" s="128">
        <v>1.32</v>
      </c>
      <c r="CQ35" s="128">
        <v>1.32</v>
      </c>
      <c r="CR35" s="128">
        <v>1.32</v>
      </c>
      <c r="CS35" s="128">
        <v>1.32</v>
      </c>
      <c r="CT35" s="128">
        <v>1.32</v>
      </c>
      <c r="CU35" s="128">
        <v>1.32</v>
      </c>
      <c r="CV35" s="128">
        <v>1.32</v>
      </c>
      <c r="CW35" s="128">
        <v>1.32</v>
      </c>
      <c r="CX35" s="128">
        <v>1.32</v>
      </c>
      <c r="CZ35" s="126">
        <f>SUMIF(MatrixF1[[1]:[2]],MatrixF1[[#This Row],[Столбец1]])/MatrixF1[[#This Row],[Столбец1]]</f>
        <v>158.99999999999943</v>
      </c>
    </row>
    <row r="36" spans="1:104" ht="21" customHeight="1" x14ac:dyDescent="0.25">
      <c r="A36" s="127">
        <v>1.33</v>
      </c>
      <c r="B36" s="128">
        <v>1</v>
      </c>
      <c r="C36" s="128">
        <v>1.01</v>
      </c>
      <c r="D36" s="128">
        <v>1.03</v>
      </c>
      <c r="E36" s="128">
        <v>1.04</v>
      </c>
      <c r="F36" s="128">
        <v>1.06</v>
      </c>
      <c r="G36" s="128">
        <v>1.07</v>
      </c>
      <c r="H36" s="128">
        <v>1.08</v>
      </c>
      <c r="I36" s="128">
        <v>1.0900000000000001</v>
      </c>
      <c r="J36" s="128">
        <v>1.1100000000000001</v>
      </c>
      <c r="K36" s="128">
        <v>1.1200000000000001</v>
      </c>
      <c r="L36" s="128">
        <v>1.1299999999999999</v>
      </c>
      <c r="M36" s="128">
        <v>1.1399999999999999</v>
      </c>
      <c r="N36" s="128">
        <v>1.1499999999999999</v>
      </c>
      <c r="O36" s="128">
        <v>1.1599999999999999</v>
      </c>
      <c r="P36" s="128">
        <v>1.17</v>
      </c>
      <c r="Q36" s="128">
        <v>1.18</v>
      </c>
      <c r="R36" s="128">
        <v>1.19</v>
      </c>
      <c r="S36" s="128">
        <v>1.2</v>
      </c>
      <c r="T36" s="128">
        <v>1.21</v>
      </c>
      <c r="U36" s="128">
        <v>1.22</v>
      </c>
      <c r="V36" s="128">
        <v>1.23</v>
      </c>
      <c r="W36" s="128">
        <v>1.24</v>
      </c>
      <c r="X36" s="128">
        <v>1.25</v>
      </c>
      <c r="Y36" s="128">
        <v>1.26</v>
      </c>
      <c r="Z36" s="128">
        <v>1.26</v>
      </c>
      <c r="AA36" s="128">
        <v>1.27</v>
      </c>
      <c r="AB36" s="128">
        <v>1.28</v>
      </c>
      <c r="AC36" s="128">
        <v>1.29</v>
      </c>
      <c r="AD36" s="128">
        <v>1.29</v>
      </c>
      <c r="AE36" s="128">
        <v>1.3</v>
      </c>
      <c r="AF36" s="128">
        <v>1.31</v>
      </c>
      <c r="AG36" s="128">
        <v>1.32</v>
      </c>
      <c r="AH36" s="128">
        <v>1.32</v>
      </c>
      <c r="AI36" s="128">
        <v>1.33</v>
      </c>
      <c r="AJ36" s="128">
        <v>1.33</v>
      </c>
      <c r="AK36" s="128">
        <v>1.34</v>
      </c>
      <c r="AL36" s="128">
        <v>1.34</v>
      </c>
      <c r="AM36" s="128">
        <v>1.34</v>
      </c>
      <c r="AN36" s="128">
        <v>1.35</v>
      </c>
      <c r="AO36" s="128">
        <v>1.35</v>
      </c>
      <c r="AP36" s="128">
        <v>1.35</v>
      </c>
      <c r="AQ36" s="128">
        <v>1.36</v>
      </c>
      <c r="AR36" s="128">
        <v>1.36</v>
      </c>
      <c r="AS36" s="128">
        <v>1.37</v>
      </c>
      <c r="AT36" s="128">
        <v>1.37</v>
      </c>
      <c r="AU36" s="128">
        <v>1.38</v>
      </c>
      <c r="AV36" s="128">
        <v>1.38</v>
      </c>
      <c r="AW36" s="128">
        <v>1.38</v>
      </c>
      <c r="AX36" s="128">
        <v>1.39</v>
      </c>
      <c r="AY36" s="128">
        <v>1.39</v>
      </c>
      <c r="AZ36" s="128">
        <v>1.4</v>
      </c>
      <c r="BA36" s="128">
        <v>1.39</v>
      </c>
      <c r="BB36" s="128">
        <v>1.39</v>
      </c>
      <c r="BC36" s="128">
        <v>1.38</v>
      </c>
      <c r="BD36" s="128">
        <v>1.38</v>
      </c>
      <c r="BE36" s="128">
        <v>1.38</v>
      </c>
      <c r="BF36" s="128">
        <v>1.37</v>
      </c>
      <c r="BG36" s="128">
        <v>1.37</v>
      </c>
      <c r="BH36" s="128">
        <v>1.36</v>
      </c>
      <c r="BI36" s="128">
        <v>1.36</v>
      </c>
      <c r="BJ36" s="128">
        <v>1.35</v>
      </c>
      <c r="BK36" s="128">
        <v>1.35</v>
      </c>
      <c r="BL36" s="128">
        <v>1.35</v>
      </c>
      <c r="BM36" s="128">
        <v>1.34</v>
      </c>
      <c r="BN36" s="128">
        <v>1.34</v>
      </c>
      <c r="BO36" s="128">
        <v>1.34</v>
      </c>
      <c r="BP36" s="128">
        <v>1.33</v>
      </c>
      <c r="BQ36" s="128">
        <v>1.33</v>
      </c>
      <c r="BR36" s="128">
        <v>1.33</v>
      </c>
      <c r="BS36" s="128">
        <v>1.33</v>
      </c>
      <c r="BT36" s="128">
        <v>1.33</v>
      </c>
      <c r="BU36" s="128">
        <v>1.33</v>
      </c>
      <c r="BV36" s="128">
        <v>1.33</v>
      </c>
      <c r="BW36" s="128">
        <v>1.33</v>
      </c>
      <c r="BX36" s="128">
        <v>1.33</v>
      </c>
      <c r="BY36" s="128">
        <v>1.33</v>
      </c>
      <c r="BZ36" s="128">
        <v>1.33</v>
      </c>
      <c r="CA36" s="128">
        <v>1.33</v>
      </c>
      <c r="CB36" s="128">
        <v>1.33</v>
      </c>
      <c r="CC36" s="128">
        <v>1.33</v>
      </c>
      <c r="CD36" s="128">
        <v>1.33</v>
      </c>
      <c r="CE36" s="128">
        <v>1.33</v>
      </c>
      <c r="CF36" s="128">
        <v>1.33</v>
      </c>
      <c r="CG36" s="128">
        <v>1.33</v>
      </c>
      <c r="CH36" s="128">
        <v>1.33</v>
      </c>
      <c r="CI36" s="128">
        <v>1.33</v>
      </c>
      <c r="CJ36" s="128">
        <v>1.33</v>
      </c>
      <c r="CK36" s="128">
        <v>1.33</v>
      </c>
      <c r="CL36" s="128">
        <v>1.33</v>
      </c>
      <c r="CM36" s="128">
        <v>1.33</v>
      </c>
      <c r="CN36" s="128">
        <v>1.33</v>
      </c>
      <c r="CO36" s="128">
        <v>1.33</v>
      </c>
      <c r="CP36" s="128">
        <v>1.33</v>
      </c>
      <c r="CQ36" s="128">
        <v>1.33</v>
      </c>
      <c r="CR36" s="128">
        <v>1.33</v>
      </c>
      <c r="CS36" s="128">
        <v>1.33</v>
      </c>
      <c r="CT36" s="128">
        <v>1.33</v>
      </c>
      <c r="CU36" s="128">
        <v>1.33</v>
      </c>
      <c r="CV36" s="128">
        <v>1.33</v>
      </c>
      <c r="CW36" s="128">
        <v>1.33</v>
      </c>
      <c r="CX36" s="128">
        <v>1.33</v>
      </c>
      <c r="CZ36" s="126">
        <f>SUMIF(MatrixF1[[1]:[2]],MatrixF1[[#This Row],[Столбец1]])/MatrixF1[[#This Row],[Столбец1]]</f>
        <v>159.00000000000048</v>
      </c>
    </row>
    <row r="37" spans="1:104" ht="21" customHeight="1" x14ac:dyDescent="0.25">
      <c r="A37" s="127">
        <v>1.34</v>
      </c>
      <c r="B37" s="128">
        <v>1</v>
      </c>
      <c r="C37" s="128">
        <v>1.01</v>
      </c>
      <c r="D37" s="128">
        <v>1.03</v>
      </c>
      <c r="E37" s="128">
        <v>1.04</v>
      </c>
      <c r="F37" s="128">
        <v>1.06</v>
      </c>
      <c r="G37" s="128">
        <v>1.07</v>
      </c>
      <c r="H37" s="128">
        <v>1.08</v>
      </c>
      <c r="I37" s="128">
        <v>1.1000000000000001</v>
      </c>
      <c r="J37" s="128">
        <v>1.1100000000000001</v>
      </c>
      <c r="K37" s="128">
        <v>1.1200000000000001</v>
      </c>
      <c r="L37" s="128">
        <v>1.1299999999999999</v>
      </c>
      <c r="M37" s="128">
        <v>1.1399999999999999</v>
      </c>
      <c r="N37" s="128">
        <v>1.1499999999999999</v>
      </c>
      <c r="O37" s="128">
        <v>1.1599999999999999</v>
      </c>
      <c r="P37" s="128">
        <v>1.18</v>
      </c>
      <c r="Q37" s="128">
        <v>1.19</v>
      </c>
      <c r="R37" s="128">
        <v>1.2</v>
      </c>
      <c r="S37" s="128">
        <v>1.2</v>
      </c>
      <c r="T37" s="128">
        <v>1.21</v>
      </c>
      <c r="U37" s="128">
        <v>1.22</v>
      </c>
      <c r="V37" s="128">
        <v>1.23</v>
      </c>
      <c r="W37" s="128">
        <v>1.24</v>
      </c>
      <c r="X37" s="128">
        <v>1.25</v>
      </c>
      <c r="Y37" s="128">
        <v>1.26</v>
      </c>
      <c r="Z37" s="128">
        <v>1.27</v>
      </c>
      <c r="AA37" s="128">
        <v>1.27</v>
      </c>
      <c r="AB37" s="128">
        <v>1.28</v>
      </c>
      <c r="AC37" s="128">
        <v>1.29</v>
      </c>
      <c r="AD37" s="128">
        <v>1.3</v>
      </c>
      <c r="AE37" s="128">
        <v>1.31</v>
      </c>
      <c r="AF37" s="128">
        <v>1.31</v>
      </c>
      <c r="AG37" s="128">
        <v>1.32</v>
      </c>
      <c r="AH37" s="128">
        <v>1.33</v>
      </c>
      <c r="AI37" s="128">
        <v>1.33</v>
      </c>
      <c r="AJ37" s="128">
        <v>1.34</v>
      </c>
      <c r="AK37" s="128">
        <v>1.34</v>
      </c>
      <c r="AL37" s="128">
        <v>1.35</v>
      </c>
      <c r="AM37" s="128">
        <v>1.35</v>
      </c>
      <c r="AN37" s="128">
        <v>1.35</v>
      </c>
      <c r="AO37" s="128">
        <v>1.36</v>
      </c>
      <c r="AP37" s="128">
        <v>1.36</v>
      </c>
      <c r="AQ37" s="128">
        <v>1.37</v>
      </c>
      <c r="AR37" s="128">
        <v>1.37</v>
      </c>
      <c r="AS37" s="128">
        <v>1.37</v>
      </c>
      <c r="AT37" s="128">
        <v>1.38</v>
      </c>
      <c r="AU37" s="128">
        <v>1.38</v>
      </c>
      <c r="AV37" s="128">
        <v>1.39</v>
      </c>
      <c r="AW37" s="128">
        <v>1.39</v>
      </c>
      <c r="AX37" s="128">
        <v>1.4</v>
      </c>
      <c r="AY37" s="128">
        <v>1.4</v>
      </c>
      <c r="AZ37" s="128">
        <v>1.4</v>
      </c>
      <c r="BA37" s="128">
        <v>1.4</v>
      </c>
      <c r="BB37" s="128">
        <v>1.4</v>
      </c>
      <c r="BC37" s="128">
        <v>1.39</v>
      </c>
      <c r="BD37" s="128">
        <v>1.39</v>
      </c>
      <c r="BE37" s="128">
        <v>1.38</v>
      </c>
      <c r="BF37" s="128">
        <v>1.38</v>
      </c>
      <c r="BG37" s="128">
        <v>1.37</v>
      </c>
      <c r="BH37" s="128">
        <v>1.37</v>
      </c>
      <c r="BI37" s="128">
        <v>1.37</v>
      </c>
      <c r="BJ37" s="128">
        <v>1.36</v>
      </c>
      <c r="BK37" s="128">
        <v>1.36</v>
      </c>
      <c r="BL37" s="128">
        <v>1.35</v>
      </c>
      <c r="BM37" s="128">
        <v>1.35</v>
      </c>
      <c r="BN37" s="128">
        <v>1.35</v>
      </c>
      <c r="BO37" s="128">
        <v>1.34</v>
      </c>
      <c r="BP37" s="128">
        <v>1.34</v>
      </c>
      <c r="BQ37" s="128">
        <v>1.34</v>
      </c>
      <c r="BR37" s="128">
        <v>1.34</v>
      </c>
      <c r="BS37" s="128">
        <v>1.34</v>
      </c>
      <c r="BT37" s="128">
        <v>1.34</v>
      </c>
      <c r="BU37" s="128">
        <v>1.34</v>
      </c>
      <c r="BV37" s="128">
        <v>1.34</v>
      </c>
      <c r="BW37" s="128">
        <v>1.34</v>
      </c>
      <c r="BX37" s="128">
        <v>1.34</v>
      </c>
      <c r="BY37" s="128">
        <v>1.34</v>
      </c>
      <c r="BZ37" s="128">
        <v>1.34</v>
      </c>
      <c r="CA37" s="128">
        <v>1.34</v>
      </c>
      <c r="CB37" s="128">
        <v>1.34</v>
      </c>
      <c r="CC37" s="128">
        <v>1.34</v>
      </c>
      <c r="CD37" s="128">
        <v>1.34</v>
      </c>
      <c r="CE37" s="128">
        <v>1.34</v>
      </c>
      <c r="CF37" s="128">
        <v>1.34</v>
      </c>
      <c r="CG37" s="128">
        <v>1.34</v>
      </c>
      <c r="CH37" s="128">
        <v>1.34</v>
      </c>
      <c r="CI37" s="128">
        <v>1.34</v>
      </c>
      <c r="CJ37" s="128">
        <v>1.34</v>
      </c>
      <c r="CK37" s="128">
        <v>1.34</v>
      </c>
      <c r="CL37" s="128">
        <v>1.34</v>
      </c>
      <c r="CM37" s="128">
        <v>1.34</v>
      </c>
      <c r="CN37" s="128">
        <v>1.34</v>
      </c>
      <c r="CO37" s="128">
        <v>1.34</v>
      </c>
      <c r="CP37" s="128">
        <v>1.34</v>
      </c>
      <c r="CQ37" s="128">
        <v>1.34</v>
      </c>
      <c r="CR37" s="128">
        <v>1.34</v>
      </c>
      <c r="CS37" s="128">
        <v>1.34</v>
      </c>
      <c r="CT37" s="128">
        <v>1.34</v>
      </c>
      <c r="CU37" s="128">
        <v>1.34</v>
      </c>
      <c r="CV37" s="128">
        <v>1.34</v>
      </c>
      <c r="CW37" s="128">
        <v>1.34</v>
      </c>
      <c r="CX37" s="128">
        <v>1.34</v>
      </c>
      <c r="CZ37" s="126">
        <f>SUMIF(MatrixF1[[1]:[2]],MatrixF1[[#This Row],[Столбец1]])/MatrixF1[[#This Row],[Столбец1]]</f>
        <v>153.00000000000031</v>
      </c>
    </row>
    <row r="38" spans="1:104" ht="21" customHeight="1" x14ac:dyDescent="0.25">
      <c r="A38" s="127">
        <v>1.35</v>
      </c>
      <c r="B38" s="128">
        <v>1</v>
      </c>
      <c r="C38" s="128">
        <v>1.02</v>
      </c>
      <c r="D38" s="128">
        <v>1.03</v>
      </c>
      <c r="E38" s="128">
        <v>1.04</v>
      </c>
      <c r="F38" s="128">
        <v>1.06</v>
      </c>
      <c r="G38" s="128">
        <v>1.07</v>
      </c>
      <c r="H38" s="128">
        <v>1.08</v>
      </c>
      <c r="I38" s="128">
        <v>1.1000000000000001</v>
      </c>
      <c r="J38" s="128">
        <v>1.1100000000000001</v>
      </c>
      <c r="K38" s="128">
        <v>1.1200000000000001</v>
      </c>
      <c r="L38" s="128">
        <v>1.1299999999999999</v>
      </c>
      <c r="M38" s="128">
        <v>1.1399999999999999</v>
      </c>
      <c r="N38" s="128">
        <v>1.1599999999999999</v>
      </c>
      <c r="O38" s="128">
        <v>1.17</v>
      </c>
      <c r="P38" s="128">
        <v>1.18</v>
      </c>
      <c r="Q38" s="128">
        <v>1.19</v>
      </c>
      <c r="R38" s="128">
        <v>1.2</v>
      </c>
      <c r="S38" s="128">
        <v>1.21</v>
      </c>
      <c r="T38" s="128">
        <v>1.22</v>
      </c>
      <c r="U38" s="128">
        <v>1.23</v>
      </c>
      <c r="V38" s="128">
        <v>1.24</v>
      </c>
      <c r="W38" s="128">
        <v>1.24</v>
      </c>
      <c r="X38" s="128">
        <v>1.25</v>
      </c>
      <c r="Y38" s="128">
        <v>1.26</v>
      </c>
      <c r="Z38" s="128">
        <v>1.27</v>
      </c>
      <c r="AA38" s="128">
        <v>1.28</v>
      </c>
      <c r="AB38" s="128">
        <v>1.29</v>
      </c>
      <c r="AC38" s="128">
        <v>1.29</v>
      </c>
      <c r="AD38" s="128">
        <v>1.3</v>
      </c>
      <c r="AE38" s="128">
        <v>1.31</v>
      </c>
      <c r="AF38" s="128">
        <v>1.32</v>
      </c>
      <c r="AG38" s="128">
        <v>1.32</v>
      </c>
      <c r="AH38" s="128">
        <v>1.33</v>
      </c>
      <c r="AI38" s="128">
        <v>1.34</v>
      </c>
      <c r="AJ38" s="128">
        <v>1.34</v>
      </c>
      <c r="AK38" s="128">
        <v>1.35</v>
      </c>
      <c r="AL38" s="128">
        <v>1.35</v>
      </c>
      <c r="AM38" s="128">
        <v>1.36</v>
      </c>
      <c r="AN38" s="128">
        <v>1.36</v>
      </c>
      <c r="AO38" s="128">
        <v>1.36</v>
      </c>
      <c r="AP38" s="128">
        <v>1.37</v>
      </c>
      <c r="AQ38" s="128">
        <v>1.37</v>
      </c>
      <c r="AR38" s="128">
        <v>1.38</v>
      </c>
      <c r="AS38" s="128">
        <v>1.38</v>
      </c>
      <c r="AT38" s="128">
        <v>1.38</v>
      </c>
      <c r="AU38" s="128">
        <v>1.39</v>
      </c>
      <c r="AV38" s="128">
        <v>1.39</v>
      </c>
      <c r="AW38" s="128">
        <v>1.4</v>
      </c>
      <c r="AX38" s="128">
        <v>1.4</v>
      </c>
      <c r="AY38" s="128">
        <v>1.41</v>
      </c>
      <c r="AZ38" s="128">
        <v>1.41</v>
      </c>
      <c r="BA38" s="128">
        <v>1.41</v>
      </c>
      <c r="BB38" s="128">
        <v>1.4</v>
      </c>
      <c r="BC38" s="128">
        <v>1.4</v>
      </c>
      <c r="BD38" s="128">
        <v>1.39</v>
      </c>
      <c r="BE38" s="128">
        <v>1.39</v>
      </c>
      <c r="BF38" s="128">
        <v>1.38</v>
      </c>
      <c r="BG38" s="128">
        <v>1.38</v>
      </c>
      <c r="BH38" s="128">
        <v>1.38</v>
      </c>
      <c r="BI38" s="128">
        <v>1.37</v>
      </c>
      <c r="BJ38" s="128">
        <v>1.37</v>
      </c>
      <c r="BK38" s="128">
        <v>1.36</v>
      </c>
      <c r="BL38" s="128">
        <v>1.36</v>
      </c>
      <c r="BM38" s="128">
        <v>1.36</v>
      </c>
      <c r="BN38" s="128">
        <v>1.35</v>
      </c>
      <c r="BO38" s="128">
        <v>1.35</v>
      </c>
      <c r="BP38" s="128">
        <v>1.35</v>
      </c>
      <c r="BQ38" s="128">
        <v>1.35</v>
      </c>
      <c r="BR38" s="128">
        <v>1.35</v>
      </c>
      <c r="BS38" s="128">
        <v>1.35</v>
      </c>
      <c r="BT38" s="128">
        <v>1.35</v>
      </c>
      <c r="BU38" s="128">
        <v>1.35</v>
      </c>
      <c r="BV38" s="128">
        <v>1.35</v>
      </c>
      <c r="BW38" s="128">
        <v>1.35</v>
      </c>
      <c r="BX38" s="128">
        <v>1.35</v>
      </c>
      <c r="BY38" s="128">
        <v>1.35</v>
      </c>
      <c r="BZ38" s="128">
        <v>1.35</v>
      </c>
      <c r="CA38" s="128">
        <v>1.35</v>
      </c>
      <c r="CB38" s="128">
        <v>1.35</v>
      </c>
      <c r="CC38" s="128">
        <v>1.35</v>
      </c>
      <c r="CD38" s="128">
        <v>1.35</v>
      </c>
      <c r="CE38" s="128">
        <v>1.35</v>
      </c>
      <c r="CF38" s="128">
        <v>1.35</v>
      </c>
      <c r="CG38" s="128">
        <v>1.35</v>
      </c>
      <c r="CH38" s="128">
        <v>1.35</v>
      </c>
      <c r="CI38" s="128">
        <v>1.35</v>
      </c>
      <c r="CJ38" s="128">
        <v>1.35</v>
      </c>
      <c r="CK38" s="128">
        <v>1.35</v>
      </c>
      <c r="CL38" s="128">
        <v>1.35</v>
      </c>
      <c r="CM38" s="128">
        <v>1.35</v>
      </c>
      <c r="CN38" s="128">
        <v>1.35</v>
      </c>
      <c r="CO38" s="128">
        <v>1.35</v>
      </c>
      <c r="CP38" s="128">
        <v>1.35</v>
      </c>
      <c r="CQ38" s="128">
        <v>1.35</v>
      </c>
      <c r="CR38" s="128">
        <v>1.35</v>
      </c>
      <c r="CS38" s="128">
        <v>1.35</v>
      </c>
      <c r="CT38" s="128">
        <v>1.35</v>
      </c>
      <c r="CU38" s="128">
        <v>1.35</v>
      </c>
      <c r="CV38" s="128">
        <v>1.35</v>
      </c>
      <c r="CW38" s="128">
        <v>1.35</v>
      </c>
      <c r="CX38" s="128">
        <v>1.35</v>
      </c>
      <c r="CZ38" s="126">
        <f>SUMIF(MatrixF1[[1]:[2]],MatrixF1[[#This Row],[Столбец1]])/MatrixF1[[#This Row],[Столбец1]]</f>
        <v>154.99999999999957</v>
      </c>
    </row>
    <row r="39" spans="1:104" ht="21" customHeight="1" x14ac:dyDescent="0.25">
      <c r="A39" s="127">
        <v>1.36</v>
      </c>
      <c r="B39" s="128">
        <v>1</v>
      </c>
      <c r="C39" s="128">
        <v>1.02</v>
      </c>
      <c r="D39" s="128">
        <v>1.03</v>
      </c>
      <c r="E39" s="128">
        <v>1.04</v>
      </c>
      <c r="F39" s="128">
        <v>1.06</v>
      </c>
      <c r="G39" s="128">
        <v>1.07</v>
      </c>
      <c r="H39" s="128">
        <v>1.0900000000000001</v>
      </c>
      <c r="I39" s="128">
        <v>1.1000000000000001</v>
      </c>
      <c r="J39" s="128">
        <v>1.1100000000000001</v>
      </c>
      <c r="K39" s="128">
        <v>1.1200000000000001</v>
      </c>
      <c r="L39" s="128">
        <v>1.1399999999999999</v>
      </c>
      <c r="M39" s="128">
        <v>1.1499999999999999</v>
      </c>
      <c r="N39" s="128">
        <v>1.1599999999999999</v>
      </c>
      <c r="O39" s="128">
        <v>1.17</v>
      </c>
      <c r="P39" s="128">
        <v>1.18</v>
      </c>
      <c r="Q39" s="128">
        <v>1.19</v>
      </c>
      <c r="R39" s="128">
        <v>1.2</v>
      </c>
      <c r="S39" s="128">
        <v>1.21</v>
      </c>
      <c r="T39" s="128">
        <v>1.22</v>
      </c>
      <c r="U39" s="128">
        <v>1.23</v>
      </c>
      <c r="V39" s="128">
        <v>1.24</v>
      </c>
      <c r="W39" s="128">
        <v>1.25</v>
      </c>
      <c r="X39" s="128">
        <v>1.26</v>
      </c>
      <c r="Y39" s="128">
        <v>1.26</v>
      </c>
      <c r="Z39" s="128">
        <v>1.27</v>
      </c>
      <c r="AA39" s="128">
        <v>1.28</v>
      </c>
      <c r="AB39" s="128">
        <v>1.29</v>
      </c>
      <c r="AC39" s="128">
        <v>1.3</v>
      </c>
      <c r="AD39" s="128">
        <v>1.3</v>
      </c>
      <c r="AE39" s="128">
        <v>1.31</v>
      </c>
      <c r="AF39" s="128">
        <v>1.32</v>
      </c>
      <c r="AG39" s="128">
        <v>1.33</v>
      </c>
      <c r="AH39" s="128">
        <v>1.33</v>
      </c>
      <c r="AI39" s="128">
        <v>1.34</v>
      </c>
      <c r="AJ39" s="128">
        <v>1.35</v>
      </c>
      <c r="AK39" s="128">
        <v>1.35</v>
      </c>
      <c r="AL39" s="128">
        <v>1.36</v>
      </c>
      <c r="AM39" s="128">
        <v>1.36</v>
      </c>
      <c r="AN39" s="128">
        <v>1.37</v>
      </c>
      <c r="AO39" s="128">
        <v>1.37</v>
      </c>
      <c r="AP39" s="128">
        <v>1.38</v>
      </c>
      <c r="AQ39" s="128">
        <v>1.38</v>
      </c>
      <c r="AR39" s="128">
        <v>1.38</v>
      </c>
      <c r="AS39" s="128">
        <v>1.39</v>
      </c>
      <c r="AT39" s="128">
        <v>1.39</v>
      </c>
      <c r="AU39" s="128">
        <v>1.4</v>
      </c>
      <c r="AV39" s="128">
        <v>1.4</v>
      </c>
      <c r="AW39" s="128">
        <v>1.4</v>
      </c>
      <c r="AX39" s="128">
        <v>1.41</v>
      </c>
      <c r="AY39" s="128">
        <v>1.41</v>
      </c>
      <c r="AZ39" s="128">
        <v>1.42</v>
      </c>
      <c r="BA39" s="128">
        <v>1.41</v>
      </c>
      <c r="BB39" s="128">
        <v>1.41</v>
      </c>
      <c r="BC39" s="128">
        <v>1.4</v>
      </c>
      <c r="BD39" s="128">
        <v>1.4</v>
      </c>
      <c r="BE39" s="128">
        <v>1.4</v>
      </c>
      <c r="BF39" s="128">
        <v>1.39</v>
      </c>
      <c r="BG39" s="128">
        <v>1.39</v>
      </c>
      <c r="BH39" s="128">
        <v>1.38</v>
      </c>
      <c r="BI39" s="128">
        <v>1.38</v>
      </c>
      <c r="BJ39" s="128">
        <v>1.38</v>
      </c>
      <c r="BK39" s="128">
        <v>1.37</v>
      </c>
      <c r="BL39" s="128">
        <v>1.37</v>
      </c>
      <c r="BM39" s="128">
        <v>1.36</v>
      </c>
      <c r="BN39" s="128">
        <v>1.36</v>
      </c>
      <c r="BO39" s="128">
        <v>1.36</v>
      </c>
      <c r="BP39" s="128">
        <v>1.36</v>
      </c>
      <c r="BQ39" s="128">
        <v>1.36</v>
      </c>
      <c r="BR39" s="128">
        <v>1.36</v>
      </c>
      <c r="BS39" s="128">
        <v>1.36</v>
      </c>
      <c r="BT39" s="128">
        <v>1.36</v>
      </c>
      <c r="BU39" s="128">
        <v>1.36</v>
      </c>
      <c r="BV39" s="128">
        <v>1.36</v>
      </c>
      <c r="BW39" s="128">
        <v>1.36</v>
      </c>
      <c r="BX39" s="128">
        <v>1.36</v>
      </c>
      <c r="BY39" s="128">
        <v>1.36</v>
      </c>
      <c r="BZ39" s="128">
        <v>1.36</v>
      </c>
      <c r="CA39" s="128">
        <v>1.36</v>
      </c>
      <c r="CB39" s="128">
        <v>1.36</v>
      </c>
      <c r="CC39" s="128">
        <v>1.36</v>
      </c>
      <c r="CD39" s="128">
        <v>1.36</v>
      </c>
      <c r="CE39" s="128">
        <v>1.36</v>
      </c>
      <c r="CF39" s="128">
        <v>1.36</v>
      </c>
      <c r="CG39" s="128">
        <v>1.36</v>
      </c>
      <c r="CH39" s="128">
        <v>1.36</v>
      </c>
      <c r="CI39" s="128">
        <v>1.36</v>
      </c>
      <c r="CJ39" s="128">
        <v>1.36</v>
      </c>
      <c r="CK39" s="128">
        <v>1.36</v>
      </c>
      <c r="CL39" s="128">
        <v>1.36</v>
      </c>
      <c r="CM39" s="128">
        <v>1.36</v>
      </c>
      <c r="CN39" s="128">
        <v>1.36</v>
      </c>
      <c r="CO39" s="128">
        <v>1.36</v>
      </c>
      <c r="CP39" s="128">
        <v>1.36</v>
      </c>
      <c r="CQ39" s="128">
        <v>1.36</v>
      </c>
      <c r="CR39" s="128">
        <v>1.36</v>
      </c>
      <c r="CS39" s="128">
        <v>1.36</v>
      </c>
      <c r="CT39" s="128">
        <v>1.36</v>
      </c>
      <c r="CU39" s="128">
        <v>1.36</v>
      </c>
      <c r="CV39" s="128">
        <v>1.36</v>
      </c>
      <c r="CW39" s="128">
        <v>1.36</v>
      </c>
      <c r="CX39" s="128">
        <v>1.36</v>
      </c>
      <c r="CZ39" s="126">
        <f>SUMIF(MatrixF1[[1]:[2]],MatrixF1[[#This Row],[Столбец1]])/MatrixF1[[#This Row],[Столбец1]]</f>
        <v>149.00000000000051</v>
      </c>
    </row>
    <row r="40" spans="1:104" ht="21" customHeight="1" x14ac:dyDescent="0.25">
      <c r="A40" s="127">
        <v>1.37</v>
      </c>
      <c r="B40" s="128">
        <v>1</v>
      </c>
      <c r="C40" s="128">
        <v>1.02</v>
      </c>
      <c r="D40" s="128">
        <v>1.03</v>
      </c>
      <c r="E40" s="128">
        <v>1.05</v>
      </c>
      <c r="F40" s="128">
        <v>1.06</v>
      </c>
      <c r="G40" s="128">
        <v>1.07</v>
      </c>
      <c r="H40" s="128">
        <v>1.0900000000000001</v>
      </c>
      <c r="I40" s="128">
        <v>1.1000000000000001</v>
      </c>
      <c r="J40" s="128">
        <v>1.1100000000000001</v>
      </c>
      <c r="K40" s="128">
        <v>1.1200000000000001</v>
      </c>
      <c r="L40" s="128">
        <v>1.1399999999999999</v>
      </c>
      <c r="M40" s="128">
        <v>1.1499999999999999</v>
      </c>
      <c r="N40" s="128">
        <v>1.1599999999999999</v>
      </c>
      <c r="O40" s="128">
        <v>1.17</v>
      </c>
      <c r="P40" s="128">
        <v>1.18</v>
      </c>
      <c r="Q40" s="128">
        <v>1.19</v>
      </c>
      <c r="R40" s="128">
        <v>1.2</v>
      </c>
      <c r="S40" s="128">
        <v>1.21</v>
      </c>
      <c r="T40" s="128">
        <v>1.22</v>
      </c>
      <c r="U40" s="128">
        <v>1.23</v>
      </c>
      <c r="V40" s="128">
        <v>1.24</v>
      </c>
      <c r="W40" s="128">
        <v>1.25</v>
      </c>
      <c r="X40" s="128">
        <v>1.26</v>
      </c>
      <c r="Y40" s="128">
        <v>1.27</v>
      </c>
      <c r="Z40" s="128">
        <v>1.28</v>
      </c>
      <c r="AA40" s="128">
        <v>1.28</v>
      </c>
      <c r="AB40" s="128">
        <v>1.29</v>
      </c>
      <c r="AC40" s="128">
        <v>1.3</v>
      </c>
      <c r="AD40" s="128">
        <v>1.31</v>
      </c>
      <c r="AE40" s="128">
        <v>1.32</v>
      </c>
      <c r="AF40" s="128">
        <v>1.32</v>
      </c>
      <c r="AG40" s="128">
        <v>1.33</v>
      </c>
      <c r="AH40" s="128">
        <v>1.34</v>
      </c>
      <c r="AI40" s="128">
        <v>1.34</v>
      </c>
      <c r="AJ40" s="128">
        <v>1.35</v>
      </c>
      <c r="AK40" s="128">
        <v>1.36</v>
      </c>
      <c r="AL40" s="128">
        <v>1.36</v>
      </c>
      <c r="AM40" s="128">
        <v>1.37</v>
      </c>
      <c r="AN40" s="128">
        <v>1.37</v>
      </c>
      <c r="AO40" s="128">
        <v>1.38</v>
      </c>
      <c r="AP40" s="128">
        <v>1.38</v>
      </c>
      <c r="AQ40" s="128">
        <v>1.39</v>
      </c>
      <c r="AR40" s="128">
        <v>1.39</v>
      </c>
      <c r="AS40" s="128">
        <v>1.39</v>
      </c>
      <c r="AT40" s="128">
        <v>1.4</v>
      </c>
      <c r="AU40" s="128">
        <v>1.4</v>
      </c>
      <c r="AV40" s="128">
        <v>1.41</v>
      </c>
      <c r="AW40" s="128">
        <v>1.41</v>
      </c>
      <c r="AX40" s="128">
        <v>1.42</v>
      </c>
      <c r="AY40" s="128">
        <v>1.42</v>
      </c>
      <c r="AZ40" s="128">
        <v>1.43</v>
      </c>
      <c r="BA40" s="128">
        <v>1.42</v>
      </c>
      <c r="BB40" s="128">
        <v>1.42</v>
      </c>
      <c r="BC40" s="128">
        <v>1.41</v>
      </c>
      <c r="BD40" s="128">
        <v>1.41</v>
      </c>
      <c r="BE40" s="128">
        <v>1.4</v>
      </c>
      <c r="BF40" s="128">
        <v>1.4</v>
      </c>
      <c r="BG40" s="128">
        <v>1.39</v>
      </c>
      <c r="BH40" s="128">
        <v>1.39</v>
      </c>
      <c r="BI40" s="128">
        <v>1.39</v>
      </c>
      <c r="BJ40" s="128">
        <v>1.38</v>
      </c>
      <c r="BK40" s="128">
        <v>1.38</v>
      </c>
      <c r="BL40" s="128">
        <v>1.37</v>
      </c>
      <c r="BM40" s="128">
        <v>1.37</v>
      </c>
      <c r="BN40" s="128">
        <v>1.37</v>
      </c>
      <c r="BO40" s="128">
        <v>1.37</v>
      </c>
      <c r="BP40" s="128">
        <v>1.37</v>
      </c>
      <c r="BQ40" s="128">
        <v>1.37</v>
      </c>
      <c r="BR40" s="128">
        <v>1.37</v>
      </c>
      <c r="BS40" s="128">
        <v>1.37</v>
      </c>
      <c r="BT40" s="128">
        <v>1.37</v>
      </c>
      <c r="BU40" s="128">
        <v>1.37</v>
      </c>
      <c r="BV40" s="128">
        <v>1.37</v>
      </c>
      <c r="BW40" s="128">
        <v>1.37</v>
      </c>
      <c r="BX40" s="128">
        <v>1.37</v>
      </c>
      <c r="BY40" s="128">
        <v>1.37</v>
      </c>
      <c r="BZ40" s="128">
        <v>1.37</v>
      </c>
      <c r="CA40" s="128">
        <v>1.37</v>
      </c>
      <c r="CB40" s="128">
        <v>1.37</v>
      </c>
      <c r="CC40" s="128">
        <v>1.37</v>
      </c>
      <c r="CD40" s="128">
        <v>1.37</v>
      </c>
      <c r="CE40" s="128">
        <v>1.37</v>
      </c>
      <c r="CF40" s="128">
        <v>1.37</v>
      </c>
      <c r="CG40" s="128">
        <v>1.37</v>
      </c>
      <c r="CH40" s="128">
        <v>1.37</v>
      </c>
      <c r="CI40" s="128">
        <v>1.37</v>
      </c>
      <c r="CJ40" s="128">
        <v>1.37</v>
      </c>
      <c r="CK40" s="128">
        <v>1.37</v>
      </c>
      <c r="CL40" s="128">
        <v>1.37</v>
      </c>
      <c r="CM40" s="128">
        <v>1.37</v>
      </c>
      <c r="CN40" s="128">
        <v>1.37</v>
      </c>
      <c r="CO40" s="128">
        <v>1.37</v>
      </c>
      <c r="CP40" s="128">
        <v>1.37</v>
      </c>
      <c r="CQ40" s="128">
        <v>1.37</v>
      </c>
      <c r="CR40" s="128">
        <v>1.37</v>
      </c>
      <c r="CS40" s="128">
        <v>1.37</v>
      </c>
      <c r="CT40" s="128">
        <v>1.37</v>
      </c>
      <c r="CU40" s="128">
        <v>1.37</v>
      </c>
      <c r="CV40" s="128">
        <v>1.37</v>
      </c>
      <c r="CW40" s="128">
        <v>1.37</v>
      </c>
      <c r="CX40" s="128">
        <v>1.37</v>
      </c>
      <c r="CZ40" s="126">
        <f>SUMIF(MatrixF1[[1]:[2]],MatrixF1[[#This Row],[Столбец1]])/MatrixF1[[#This Row],[Столбец1]]</f>
        <v>143.00000000000028</v>
      </c>
    </row>
    <row r="41" spans="1:104" ht="21" customHeight="1" x14ac:dyDescent="0.25">
      <c r="A41" s="127">
        <v>1.38</v>
      </c>
      <c r="B41" s="128">
        <v>1</v>
      </c>
      <c r="C41" s="128">
        <v>1.02</v>
      </c>
      <c r="D41" s="128">
        <v>1.03</v>
      </c>
      <c r="E41" s="128">
        <v>1.05</v>
      </c>
      <c r="F41" s="128">
        <v>1.06</v>
      </c>
      <c r="G41" s="128">
        <v>1.07</v>
      </c>
      <c r="H41" s="128">
        <v>1.0900000000000001</v>
      </c>
      <c r="I41" s="128">
        <v>1.1000000000000001</v>
      </c>
      <c r="J41" s="128">
        <v>1.1100000000000001</v>
      </c>
      <c r="K41" s="128">
        <v>1.1299999999999999</v>
      </c>
      <c r="L41" s="128">
        <v>1.1399999999999999</v>
      </c>
      <c r="M41" s="128">
        <v>1.1499999999999999</v>
      </c>
      <c r="N41" s="128">
        <v>1.1599999999999999</v>
      </c>
      <c r="O41" s="128">
        <v>1.17</v>
      </c>
      <c r="P41" s="128">
        <v>1.18</v>
      </c>
      <c r="Q41" s="128">
        <v>1.19</v>
      </c>
      <c r="R41" s="128">
        <v>1.21</v>
      </c>
      <c r="S41" s="128">
        <v>1.22</v>
      </c>
      <c r="T41" s="128">
        <v>1.22</v>
      </c>
      <c r="U41" s="128">
        <v>1.23</v>
      </c>
      <c r="V41" s="128">
        <v>1.24</v>
      </c>
      <c r="W41" s="128">
        <v>1.25</v>
      </c>
      <c r="X41" s="128">
        <v>1.26</v>
      </c>
      <c r="Y41" s="128">
        <v>1.27</v>
      </c>
      <c r="Z41" s="128">
        <v>1.28</v>
      </c>
      <c r="AA41" s="128">
        <v>1.29</v>
      </c>
      <c r="AB41" s="128">
        <v>1.3</v>
      </c>
      <c r="AC41" s="128">
        <v>1.3</v>
      </c>
      <c r="AD41" s="128">
        <v>1.31</v>
      </c>
      <c r="AE41" s="128">
        <v>1.32</v>
      </c>
      <c r="AF41" s="128">
        <v>1.33</v>
      </c>
      <c r="AG41" s="128">
        <v>1.33</v>
      </c>
      <c r="AH41" s="128">
        <v>1.34</v>
      </c>
      <c r="AI41" s="128">
        <v>1.35</v>
      </c>
      <c r="AJ41" s="128">
        <v>1.35</v>
      </c>
      <c r="AK41" s="128">
        <v>1.36</v>
      </c>
      <c r="AL41" s="128">
        <v>1.37</v>
      </c>
      <c r="AM41" s="128">
        <v>1.37</v>
      </c>
      <c r="AN41" s="128">
        <v>1.38</v>
      </c>
      <c r="AO41" s="128">
        <v>1.38</v>
      </c>
      <c r="AP41" s="128">
        <v>1.39</v>
      </c>
      <c r="AQ41" s="128">
        <v>1.39</v>
      </c>
      <c r="AR41" s="128">
        <v>1.4</v>
      </c>
      <c r="AS41" s="128">
        <v>1.4</v>
      </c>
      <c r="AT41" s="128">
        <v>1.4</v>
      </c>
      <c r="AU41" s="128">
        <v>1.41</v>
      </c>
      <c r="AV41" s="128">
        <v>1.41</v>
      </c>
      <c r="AW41" s="128">
        <v>1.42</v>
      </c>
      <c r="AX41" s="128">
        <v>1.42</v>
      </c>
      <c r="AY41" s="128">
        <v>1.43</v>
      </c>
      <c r="AZ41" s="128">
        <v>1.43</v>
      </c>
      <c r="BA41" s="128">
        <v>1.43</v>
      </c>
      <c r="BB41" s="128">
        <v>1.42</v>
      </c>
      <c r="BC41" s="128">
        <v>1.42</v>
      </c>
      <c r="BD41" s="128">
        <v>1.41</v>
      </c>
      <c r="BE41" s="128">
        <v>1.41</v>
      </c>
      <c r="BF41" s="128">
        <v>1.4</v>
      </c>
      <c r="BG41" s="128">
        <v>1.4</v>
      </c>
      <c r="BH41" s="128">
        <v>1.4</v>
      </c>
      <c r="BI41" s="128">
        <v>1.39</v>
      </c>
      <c r="BJ41" s="128">
        <v>1.39</v>
      </c>
      <c r="BK41" s="128">
        <v>1.38</v>
      </c>
      <c r="BL41" s="128">
        <v>1.38</v>
      </c>
      <c r="BM41" s="128">
        <v>1.38</v>
      </c>
      <c r="BN41" s="128">
        <v>1.38</v>
      </c>
      <c r="BO41" s="128">
        <v>1.38</v>
      </c>
      <c r="BP41" s="128">
        <v>1.38</v>
      </c>
      <c r="BQ41" s="128">
        <v>1.38</v>
      </c>
      <c r="BR41" s="128">
        <v>1.38</v>
      </c>
      <c r="BS41" s="128">
        <v>1.38</v>
      </c>
      <c r="BT41" s="128">
        <v>1.38</v>
      </c>
      <c r="BU41" s="128">
        <v>1.38</v>
      </c>
      <c r="BV41" s="128">
        <v>1.38</v>
      </c>
      <c r="BW41" s="128">
        <v>1.38</v>
      </c>
      <c r="BX41" s="128">
        <v>1.38</v>
      </c>
      <c r="BY41" s="128">
        <v>1.38</v>
      </c>
      <c r="BZ41" s="128">
        <v>1.38</v>
      </c>
      <c r="CA41" s="128">
        <v>1.38</v>
      </c>
      <c r="CB41" s="128">
        <v>1.38</v>
      </c>
      <c r="CC41" s="128">
        <v>1.38</v>
      </c>
      <c r="CD41" s="128">
        <v>1.38</v>
      </c>
      <c r="CE41" s="128">
        <v>1.38</v>
      </c>
      <c r="CF41" s="128">
        <v>1.38</v>
      </c>
      <c r="CG41" s="128">
        <v>1.38</v>
      </c>
      <c r="CH41" s="128">
        <v>1.38</v>
      </c>
      <c r="CI41" s="128">
        <v>1.38</v>
      </c>
      <c r="CJ41" s="128">
        <v>1.38</v>
      </c>
      <c r="CK41" s="128">
        <v>1.38</v>
      </c>
      <c r="CL41" s="128">
        <v>1.38</v>
      </c>
      <c r="CM41" s="128">
        <v>1.38</v>
      </c>
      <c r="CN41" s="128">
        <v>1.38</v>
      </c>
      <c r="CO41" s="128">
        <v>1.38</v>
      </c>
      <c r="CP41" s="128">
        <v>1.38</v>
      </c>
      <c r="CQ41" s="128">
        <v>1.38</v>
      </c>
      <c r="CR41" s="128">
        <v>1.38</v>
      </c>
      <c r="CS41" s="128">
        <v>1.38</v>
      </c>
      <c r="CT41" s="128">
        <v>1.38</v>
      </c>
      <c r="CU41" s="128">
        <v>1.38</v>
      </c>
      <c r="CV41" s="128">
        <v>1.38</v>
      </c>
      <c r="CW41" s="128">
        <v>1.38</v>
      </c>
      <c r="CX41" s="128">
        <v>1.38</v>
      </c>
      <c r="CZ41" s="126">
        <f>SUMIF(MatrixF1[[1]:[2]],MatrixF1[[#This Row],[Столбец1]])/MatrixF1[[#This Row],[Столбец1]]</f>
        <v>150.99999999999969</v>
      </c>
    </row>
    <row r="42" spans="1:104" ht="21" customHeight="1" x14ac:dyDescent="0.25">
      <c r="A42" s="127">
        <v>1.39</v>
      </c>
      <c r="B42" s="128">
        <v>1</v>
      </c>
      <c r="C42" s="128">
        <v>1.02</v>
      </c>
      <c r="D42" s="128">
        <v>1.03</v>
      </c>
      <c r="E42" s="128">
        <v>1.05</v>
      </c>
      <c r="F42" s="128">
        <v>1.06</v>
      </c>
      <c r="G42" s="128">
        <v>1.08</v>
      </c>
      <c r="H42" s="128">
        <v>1.0900000000000001</v>
      </c>
      <c r="I42" s="128">
        <v>1.1000000000000001</v>
      </c>
      <c r="J42" s="128">
        <v>1.1200000000000001</v>
      </c>
      <c r="K42" s="128">
        <v>1.1299999999999999</v>
      </c>
      <c r="L42" s="128">
        <v>1.1399999999999999</v>
      </c>
      <c r="M42" s="128">
        <v>1.1499999999999999</v>
      </c>
      <c r="N42" s="128">
        <v>1.1599999999999999</v>
      </c>
      <c r="O42" s="128">
        <v>1.18</v>
      </c>
      <c r="P42" s="128">
        <v>1.19</v>
      </c>
      <c r="Q42" s="128">
        <v>1.2</v>
      </c>
      <c r="R42" s="128">
        <v>1.21</v>
      </c>
      <c r="S42" s="128">
        <v>1.22</v>
      </c>
      <c r="T42" s="128">
        <v>1.23</v>
      </c>
      <c r="U42" s="128">
        <v>1.24</v>
      </c>
      <c r="V42" s="128">
        <v>1.25</v>
      </c>
      <c r="W42" s="128">
        <v>1.26</v>
      </c>
      <c r="X42" s="128">
        <v>1.27</v>
      </c>
      <c r="Y42" s="128">
        <v>1.27</v>
      </c>
      <c r="Z42" s="128">
        <v>1.28</v>
      </c>
      <c r="AA42" s="128">
        <v>1.29</v>
      </c>
      <c r="AB42" s="128">
        <v>1.3</v>
      </c>
      <c r="AC42" s="128">
        <v>1.31</v>
      </c>
      <c r="AD42" s="128">
        <v>1.31</v>
      </c>
      <c r="AE42" s="128">
        <v>1.32</v>
      </c>
      <c r="AF42" s="128">
        <v>1.33</v>
      </c>
      <c r="AG42" s="128">
        <v>1.34</v>
      </c>
      <c r="AH42" s="128">
        <v>1.34</v>
      </c>
      <c r="AI42" s="128">
        <v>1.35</v>
      </c>
      <c r="AJ42" s="128">
        <v>1.36</v>
      </c>
      <c r="AK42" s="128">
        <v>1.36</v>
      </c>
      <c r="AL42" s="128">
        <v>1.37</v>
      </c>
      <c r="AM42" s="128">
        <v>1.38</v>
      </c>
      <c r="AN42" s="128">
        <v>1.38</v>
      </c>
      <c r="AO42" s="128">
        <v>1.39</v>
      </c>
      <c r="AP42" s="128">
        <v>1.39</v>
      </c>
      <c r="AQ42" s="128">
        <v>1.4</v>
      </c>
      <c r="AR42" s="128">
        <v>1.4</v>
      </c>
      <c r="AS42" s="128">
        <v>1.41</v>
      </c>
      <c r="AT42" s="128">
        <v>1.41</v>
      </c>
      <c r="AU42" s="128">
        <v>1.41</v>
      </c>
      <c r="AV42" s="128">
        <v>1.42</v>
      </c>
      <c r="AW42" s="128">
        <v>1.42</v>
      </c>
      <c r="AX42" s="128">
        <v>1.43</v>
      </c>
      <c r="AY42" s="128">
        <v>1.43</v>
      </c>
      <c r="AZ42" s="128">
        <v>1.44</v>
      </c>
      <c r="BA42" s="128">
        <v>1.43</v>
      </c>
      <c r="BB42" s="128">
        <v>1.43</v>
      </c>
      <c r="BC42" s="128">
        <v>1.42</v>
      </c>
      <c r="BD42" s="128">
        <v>1.42</v>
      </c>
      <c r="BE42" s="128">
        <v>1.41</v>
      </c>
      <c r="BF42" s="128">
        <v>1.41</v>
      </c>
      <c r="BG42" s="128">
        <v>1.41</v>
      </c>
      <c r="BH42" s="128">
        <v>1.4</v>
      </c>
      <c r="BI42" s="128">
        <v>1.4</v>
      </c>
      <c r="BJ42" s="128">
        <v>1.39</v>
      </c>
      <c r="BK42" s="128">
        <v>1.39</v>
      </c>
      <c r="BL42" s="128">
        <v>1.39</v>
      </c>
      <c r="BM42" s="128">
        <v>1.39</v>
      </c>
      <c r="BN42" s="128">
        <v>1.39</v>
      </c>
      <c r="BO42" s="128">
        <v>1.39</v>
      </c>
      <c r="BP42" s="128">
        <v>1.39</v>
      </c>
      <c r="BQ42" s="128">
        <v>1.39</v>
      </c>
      <c r="BR42" s="128">
        <v>1.39</v>
      </c>
      <c r="BS42" s="128">
        <v>1.39</v>
      </c>
      <c r="BT42" s="128">
        <v>1.39</v>
      </c>
      <c r="BU42" s="128">
        <v>1.39</v>
      </c>
      <c r="BV42" s="128">
        <v>1.39</v>
      </c>
      <c r="BW42" s="128">
        <v>1.39</v>
      </c>
      <c r="BX42" s="128">
        <v>1.39</v>
      </c>
      <c r="BY42" s="128">
        <v>1.39</v>
      </c>
      <c r="BZ42" s="128">
        <v>1.39</v>
      </c>
      <c r="CA42" s="128">
        <v>1.39</v>
      </c>
      <c r="CB42" s="128">
        <v>1.39</v>
      </c>
      <c r="CC42" s="128">
        <v>1.39</v>
      </c>
      <c r="CD42" s="128">
        <v>1.39</v>
      </c>
      <c r="CE42" s="128">
        <v>1.39</v>
      </c>
      <c r="CF42" s="128">
        <v>1.39</v>
      </c>
      <c r="CG42" s="128">
        <v>1.39</v>
      </c>
      <c r="CH42" s="128">
        <v>1.39</v>
      </c>
      <c r="CI42" s="128">
        <v>1.39</v>
      </c>
      <c r="CJ42" s="128">
        <v>1.39</v>
      </c>
      <c r="CK42" s="128">
        <v>1.39</v>
      </c>
      <c r="CL42" s="128">
        <v>1.39</v>
      </c>
      <c r="CM42" s="128">
        <v>1.39</v>
      </c>
      <c r="CN42" s="128">
        <v>1.39</v>
      </c>
      <c r="CO42" s="128">
        <v>1.39</v>
      </c>
      <c r="CP42" s="128">
        <v>1.39</v>
      </c>
      <c r="CQ42" s="128">
        <v>1.39</v>
      </c>
      <c r="CR42" s="128">
        <v>1.39</v>
      </c>
      <c r="CS42" s="128">
        <v>1.39</v>
      </c>
      <c r="CT42" s="128">
        <v>1.39</v>
      </c>
      <c r="CU42" s="128">
        <v>1.39</v>
      </c>
      <c r="CV42" s="128">
        <v>1.39</v>
      </c>
      <c r="CW42" s="128">
        <v>1.39</v>
      </c>
      <c r="CX42" s="128">
        <v>1.39</v>
      </c>
      <c r="CZ42" s="126">
        <f>SUMIF(MatrixF1[[1]:[2]],MatrixF1[[#This Row],[Столбец1]])/MatrixF1[[#This Row],[Столбец1]]</f>
        <v>142.99999999999955</v>
      </c>
    </row>
    <row r="43" spans="1:104" ht="21" customHeight="1" x14ac:dyDescent="0.25">
      <c r="A43" s="127">
        <v>1.4</v>
      </c>
      <c r="B43" s="128">
        <v>1</v>
      </c>
      <c r="C43" s="128">
        <v>1.02</v>
      </c>
      <c r="D43" s="128">
        <v>1.03</v>
      </c>
      <c r="E43" s="128">
        <v>1.05</v>
      </c>
      <c r="F43" s="128">
        <v>1.06</v>
      </c>
      <c r="G43" s="128">
        <v>1.08</v>
      </c>
      <c r="H43" s="128">
        <v>1.0900000000000001</v>
      </c>
      <c r="I43" s="128">
        <v>1.1000000000000001</v>
      </c>
      <c r="J43" s="128">
        <v>1.1200000000000001</v>
      </c>
      <c r="K43" s="128">
        <v>1.1299999999999999</v>
      </c>
      <c r="L43" s="128">
        <v>1.1399999999999999</v>
      </c>
      <c r="M43" s="128">
        <v>1.1499999999999999</v>
      </c>
      <c r="N43" s="128">
        <v>1.17</v>
      </c>
      <c r="O43" s="128">
        <v>1.18</v>
      </c>
      <c r="P43" s="128">
        <v>1.19</v>
      </c>
      <c r="Q43" s="128">
        <v>1.2</v>
      </c>
      <c r="R43" s="128">
        <v>1.21</v>
      </c>
      <c r="S43" s="128">
        <v>1.22</v>
      </c>
      <c r="T43" s="128">
        <v>1.23</v>
      </c>
      <c r="U43" s="128">
        <v>1.24</v>
      </c>
      <c r="V43" s="128">
        <v>1.25</v>
      </c>
      <c r="W43" s="128">
        <v>1.26</v>
      </c>
      <c r="X43" s="128">
        <v>1.27</v>
      </c>
      <c r="Y43" s="128">
        <v>1.28</v>
      </c>
      <c r="Z43" s="128">
        <v>1.29</v>
      </c>
      <c r="AA43" s="128">
        <v>1.29</v>
      </c>
      <c r="AB43" s="128">
        <v>1.3</v>
      </c>
      <c r="AC43" s="128">
        <v>1.31</v>
      </c>
      <c r="AD43" s="128">
        <v>1.32</v>
      </c>
      <c r="AE43" s="128">
        <v>1.33</v>
      </c>
      <c r="AF43" s="128">
        <v>1.33</v>
      </c>
      <c r="AG43" s="128">
        <v>1.34</v>
      </c>
      <c r="AH43" s="128">
        <v>1.35</v>
      </c>
      <c r="AI43" s="128">
        <v>1.35</v>
      </c>
      <c r="AJ43" s="128">
        <v>1.36</v>
      </c>
      <c r="AK43" s="128">
        <v>1.37</v>
      </c>
      <c r="AL43" s="128">
        <v>1.38</v>
      </c>
      <c r="AM43" s="128">
        <v>1.38</v>
      </c>
      <c r="AN43" s="128">
        <v>1.39</v>
      </c>
      <c r="AO43" s="128">
        <v>1.39</v>
      </c>
      <c r="AP43" s="128">
        <v>1.4</v>
      </c>
      <c r="AQ43" s="128">
        <v>1.4</v>
      </c>
      <c r="AR43" s="128">
        <v>1.41</v>
      </c>
      <c r="AS43" s="128">
        <v>1.41</v>
      </c>
      <c r="AT43" s="128">
        <v>1.42</v>
      </c>
      <c r="AU43" s="128">
        <v>1.42</v>
      </c>
      <c r="AV43" s="128">
        <v>1.43</v>
      </c>
      <c r="AW43" s="128">
        <v>1.43</v>
      </c>
      <c r="AX43" s="128">
        <v>1.43</v>
      </c>
      <c r="AY43" s="128">
        <v>1.44</v>
      </c>
      <c r="AZ43" s="128">
        <v>1.44</v>
      </c>
      <c r="BA43" s="128">
        <v>1.44</v>
      </c>
      <c r="BB43" s="128">
        <v>1.43</v>
      </c>
      <c r="BC43" s="128">
        <v>1.43</v>
      </c>
      <c r="BD43" s="128">
        <v>1.43</v>
      </c>
      <c r="BE43" s="128">
        <v>1.42</v>
      </c>
      <c r="BF43" s="128">
        <v>1.42</v>
      </c>
      <c r="BG43" s="128">
        <v>1.41</v>
      </c>
      <c r="BH43" s="128">
        <v>1.41</v>
      </c>
      <c r="BI43" s="128">
        <v>1.4</v>
      </c>
      <c r="BJ43" s="128">
        <v>1.4</v>
      </c>
      <c r="BK43" s="128">
        <v>1.4</v>
      </c>
      <c r="BL43" s="128">
        <v>1.4</v>
      </c>
      <c r="BM43" s="128">
        <v>1.4</v>
      </c>
      <c r="BN43" s="128">
        <v>1.4</v>
      </c>
      <c r="BO43" s="128">
        <v>1.4</v>
      </c>
      <c r="BP43" s="128">
        <v>1.4</v>
      </c>
      <c r="BQ43" s="128">
        <v>1.4</v>
      </c>
      <c r="BR43" s="128">
        <v>1.4</v>
      </c>
      <c r="BS43" s="128">
        <v>1.4</v>
      </c>
      <c r="BT43" s="128">
        <v>1.4</v>
      </c>
      <c r="BU43" s="128">
        <v>1.4</v>
      </c>
      <c r="BV43" s="128">
        <v>1.4</v>
      </c>
      <c r="BW43" s="128">
        <v>1.4</v>
      </c>
      <c r="BX43" s="128">
        <v>1.4</v>
      </c>
      <c r="BY43" s="128">
        <v>1.4</v>
      </c>
      <c r="BZ43" s="128">
        <v>1.4</v>
      </c>
      <c r="CA43" s="128">
        <v>1.4</v>
      </c>
      <c r="CB43" s="128">
        <v>1.4</v>
      </c>
      <c r="CC43" s="128">
        <v>1.4</v>
      </c>
      <c r="CD43" s="128">
        <v>1.4</v>
      </c>
      <c r="CE43" s="128">
        <v>1.4</v>
      </c>
      <c r="CF43" s="128">
        <v>1.4</v>
      </c>
      <c r="CG43" s="128">
        <v>1.4</v>
      </c>
      <c r="CH43" s="128">
        <v>1.4</v>
      </c>
      <c r="CI43" s="128">
        <v>1.4</v>
      </c>
      <c r="CJ43" s="128">
        <v>1.4</v>
      </c>
      <c r="CK43" s="128">
        <v>1.4</v>
      </c>
      <c r="CL43" s="128">
        <v>1.4</v>
      </c>
      <c r="CM43" s="128">
        <v>1.4</v>
      </c>
      <c r="CN43" s="128">
        <v>1.4</v>
      </c>
      <c r="CO43" s="128">
        <v>1.4</v>
      </c>
      <c r="CP43" s="128">
        <v>1.4</v>
      </c>
      <c r="CQ43" s="128">
        <v>1.4</v>
      </c>
      <c r="CR43" s="128">
        <v>1.4</v>
      </c>
      <c r="CS43" s="128">
        <v>1.4</v>
      </c>
      <c r="CT43" s="128">
        <v>1.4</v>
      </c>
      <c r="CU43" s="128">
        <v>1.4</v>
      </c>
      <c r="CV43" s="128">
        <v>1.4</v>
      </c>
      <c r="CW43" s="128">
        <v>1.4</v>
      </c>
      <c r="CX43" s="128">
        <v>1.4</v>
      </c>
      <c r="CZ43" s="126">
        <f>SUMIF(MatrixF1[[1]:[2]],MatrixF1[[#This Row],[Столбец1]])/MatrixF1[[#This Row],[Столбец1]]</f>
        <v>147.00000000000037</v>
      </c>
    </row>
    <row r="44" spans="1:104" ht="21" customHeight="1" x14ac:dyDescent="0.25">
      <c r="A44" s="127">
        <v>1.41</v>
      </c>
      <c r="B44" s="128">
        <v>1</v>
      </c>
      <c r="C44" s="128">
        <v>1.02</v>
      </c>
      <c r="D44" s="128">
        <v>1.03</v>
      </c>
      <c r="E44" s="128">
        <v>1.05</v>
      </c>
      <c r="F44" s="128">
        <v>1.06</v>
      </c>
      <c r="G44" s="128">
        <v>1.08</v>
      </c>
      <c r="H44" s="128">
        <v>1.0900000000000001</v>
      </c>
      <c r="I44" s="128">
        <v>1.1100000000000001</v>
      </c>
      <c r="J44" s="128">
        <v>1.1200000000000001</v>
      </c>
      <c r="K44" s="128">
        <v>1.1299999999999999</v>
      </c>
      <c r="L44" s="128">
        <v>1.1399999999999999</v>
      </c>
      <c r="M44" s="128">
        <v>1.1599999999999999</v>
      </c>
      <c r="N44" s="128">
        <v>1.17</v>
      </c>
      <c r="O44" s="128">
        <v>1.18</v>
      </c>
      <c r="P44" s="128">
        <v>1.19</v>
      </c>
      <c r="Q44" s="128">
        <v>1.2</v>
      </c>
      <c r="R44" s="128">
        <v>1.21</v>
      </c>
      <c r="S44" s="128">
        <v>1.22</v>
      </c>
      <c r="T44" s="128">
        <v>1.23</v>
      </c>
      <c r="U44" s="128">
        <v>1.24</v>
      </c>
      <c r="V44" s="128">
        <v>1.25</v>
      </c>
      <c r="W44" s="128">
        <v>1.26</v>
      </c>
      <c r="X44" s="128">
        <v>1.27</v>
      </c>
      <c r="Y44" s="128">
        <v>1.28</v>
      </c>
      <c r="Z44" s="128">
        <v>1.29</v>
      </c>
      <c r="AA44" s="128">
        <v>1.3</v>
      </c>
      <c r="AB44" s="128">
        <v>1.31</v>
      </c>
      <c r="AC44" s="128">
        <v>1.31</v>
      </c>
      <c r="AD44" s="128">
        <v>1.32</v>
      </c>
      <c r="AE44" s="128">
        <v>1.33</v>
      </c>
      <c r="AF44" s="128">
        <v>1.34</v>
      </c>
      <c r="AG44" s="128">
        <v>1.34</v>
      </c>
      <c r="AH44" s="128">
        <v>1.35</v>
      </c>
      <c r="AI44" s="128">
        <v>1.36</v>
      </c>
      <c r="AJ44" s="128">
        <v>1.37</v>
      </c>
      <c r="AK44" s="128">
        <v>1.37</v>
      </c>
      <c r="AL44" s="128">
        <v>1.38</v>
      </c>
      <c r="AM44" s="128">
        <v>1.39</v>
      </c>
      <c r="AN44" s="128">
        <v>1.39</v>
      </c>
      <c r="AO44" s="128">
        <v>1.4</v>
      </c>
      <c r="AP44" s="128">
        <v>1.4</v>
      </c>
      <c r="AQ44" s="128">
        <v>1.41</v>
      </c>
      <c r="AR44" s="128">
        <v>1.41</v>
      </c>
      <c r="AS44" s="128">
        <v>1.42</v>
      </c>
      <c r="AT44" s="128">
        <v>1.42</v>
      </c>
      <c r="AU44" s="128">
        <v>1.43</v>
      </c>
      <c r="AV44" s="128">
        <v>1.43</v>
      </c>
      <c r="AW44" s="128">
        <v>1.44</v>
      </c>
      <c r="AX44" s="128">
        <v>1.44</v>
      </c>
      <c r="AY44" s="128">
        <v>1.45</v>
      </c>
      <c r="AZ44" s="128">
        <v>1.45</v>
      </c>
      <c r="BA44" s="128">
        <v>1.45</v>
      </c>
      <c r="BB44" s="128">
        <v>1.44</v>
      </c>
      <c r="BC44" s="128">
        <v>1.44</v>
      </c>
      <c r="BD44" s="128">
        <v>1.43</v>
      </c>
      <c r="BE44" s="128">
        <v>1.43</v>
      </c>
      <c r="BF44" s="128">
        <v>1.42</v>
      </c>
      <c r="BG44" s="128">
        <v>1.42</v>
      </c>
      <c r="BH44" s="128">
        <v>1.41</v>
      </c>
      <c r="BI44" s="128">
        <v>1.41</v>
      </c>
      <c r="BJ44" s="128">
        <v>1.41</v>
      </c>
      <c r="BK44" s="128">
        <v>1.41</v>
      </c>
      <c r="BL44" s="128">
        <v>1.41</v>
      </c>
      <c r="BM44" s="128">
        <v>1.41</v>
      </c>
      <c r="BN44" s="128">
        <v>1.41</v>
      </c>
      <c r="BO44" s="128">
        <v>1.41</v>
      </c>
      <c r="BP44" s="128">
        <v>1.41</v>
      </c>
      <c r="BQ44" s="128">
        <v>1.41</v>
      </c>
      <c r="BR44" s="128">
        <v>1.41</v>
      </c>
      <c r="BS44" s="128">
        <v>1.41</v>
      </c>
      <c r="BT44" s="128">
        <v>1.41</v>
      </c>
      <c r="BU44" s="128">
        <v>1.41</v>
      </c>
      <c r="BV44" s="128">
        <v>1.41</v>
      </c>
      <c r="BW44" s="128">
        <v>1.41</v>
      </c>
      <c r="BX44" s="128">
        <v>1.41</v>
      </c>
      <c r="BY44" s="128">
        <v>1.41</v>
      </c>
      <c r="BZ44" s="128">
        <v>1.41</v>
      </c>
      <c r="CA44" s="128">
        <v>1.41</v>
      </c>
      <c r="CB44" s="128">
        <v>1.41</v>
      </c>
      <c r="CC44" s="128">
        <v>1.41</v>
      </c>
      <c r="CD44" s="128">
        <v>1.41</v>
      </c>
      <c r="CE44" s="128">
        <v>1.41</v>
      </c>
      <c r="CF44" s="128">
        <v>1.41</v>
      </c>
      <c r="CG44" s="128">
        <v>1.41</v>
      </c>
      <c r="CH44" s="128">
        <v>1.41</v>
      </c>
      <c r="CI44" s="128">
        <v>1.41</v>
      </c>
      <c r="CJ44" s="128">
        <v>1.41</v>
      </c>
      <c r="CK44" s="128">
        <v>1.41</v>
      </c>
      <c r="CL44" s="128">
        <v>1.41</v>
      </c>
      <c r="CM44" s="128">
        <v>1.41</v>
      </c>
      <c r="CN44" s="128">
        <v>1.41</v>
      </c>
      <c r="CO44" s="128">
        <v>1.41</v>
      </c>
      <c r="CP44" s="128">
        <v>1.41</v>
      </c>
      <c r="CQ44" s="128">
        <v>1.41</v>
      </c>
      <c r="CR44" s="128">
        <v>1.41</v>
      </c>
      <c r="CS44" s="128">
        <v>1.41</v>
      </c>
      <c r="CT44" s="128">
        <v>1.41</v>
      </c>
      <c r="CU44" s="128">
        <v>1.41</v>
      </c>
      <c r="CV44" s="128">
        <v>1.41</v>
      </c>
      <c r="CW44" s="128">
        <v>1.41</v>
      </c>
      <c r="CX44" s="128">
        <v>1.41</v>
      </c>
      <c r="CZ44" s="126">
        <f>SUMIF(MatrixF1[[1]:[2]],MatrixF1[[#This Row],[Столбец1]])/MatrixF1[[#This Row],[Столбец1]]</f>
        <v>138.99999999999974</v>
      </c>
    </row>
    <row r="45" spans="1:104" ht="21" customHeight="1" x14ac:dyDescent="0.25">
      <c r="A45" s="127">
        <v>1.42</v>
      </c>
      <c r="B45" s="128">
        <v>1</v>
      </c>
      <c r="C45" s="128">
        <v>1.02</v>
      </c>
      <c r="D45" s="128">
        <v>1.03</v>
      </c>
      <c r="E45" s="128">
        <v>1.05</v>
      </c>
      <c r="F45" s="128">
        <v>1.06</v>
      </c>
      <c r="G45" s="128">
        <v>1.08</v>
      </c>
      <c r="H45" s="128">
        <v>1.0900000000000001</v>
      </c>
      <c r="I45" s="128">
        <v>1.1100000000000001</v>
      </c>
      <c r="J45" s="128">
        <v>1.1200000000000001</v>
      </c>
      <c r="K45" s="128">
        <v>1.1299999999999999</v>
      </c>
      <c r="L45" s="128">
        <v>1.1499999999999999</v>
      </c>
      <c r="M45" s="128">
        <v>1.1599999999999999</v>
      </c>
      <c r="N45" s="128">
        <v>1.17</v>
      </c>
      <c r="O45" s="128">
        <v>1.18</v>
      </c>
      <c r="P45" s="128">
        <v>1.19</v>
      </c>
      <c r="Q45" s="128">
        <v>1.21</v>
      </c>
      <c r="R45" s="128">
        <v>1.22</v>
      </c>
      <c r="S45" s="128">
        <v>1.23</v>
      </c>
      <c r="T45" s="128">
        <v>1.24</v>
      </c>
      <c r="U45" s="128">
        <v>1.25</v>
      </c>
      <c r="V45" s="128">
        <v>1.26</v>
      </c>
      <c r="W45" s="128">
        <v>1.27</v>
      </c>
      <c r="X45" s="128">
        <v>1.28</v>
      </c>
      <c r="Y45" s="128">
        <v>1.28</v>
      </c>
      <c r="Z45" s="128">
        <v>1.29</v>
      </c>
      <c r="AA45" s="128">
        <v>1.3</v>
      </c>
      <c r="AB45" s="128">
        <v>1.31</v>
      </c>
      <c r="AC45" s="128">
        <v>1.32</v>
      </c>
      <c r="AD45" s="128">
        <v>1.33</v>
      </c>
      <c r="AE45" s="128">
        <v>1.33</v>
      </c>
      <c r="AF45" s="128">
        <v>1.34</v>
      </c>
      <c r="AG45" s="128">
        <v>1.35</v>
      </c>
      <c r="AH45" s="128">
        <v>1.36</v>
      </c>
      <c r="AI45" s="128">
        <v>1.36</v>
      </c>
      <c r="AJ45" s="128">
        <v>1.37</v>
      </c>
      <c r="AK45" s="128">
        <v>1.38</v>
      </c>
      <c r="AL45" s="128">
        <v>1.38</v>
      </c>
      <c r="AM45" s="128">
        <v>1.39</v>
      </c>
      <c r="AN45" s="128">
        <v>1.4</v>
      </c>
      <c r="AO45" s="128">
        <v>1.4</v>
      </c>
      <c r="AP45" s="128">
        <v>1.41</v>
      </c>
      <c r="AQ45" s="128">
        <v>1.41</v>
      </c>
      <c r="AR45" s="128">
        <v>1.42</v>
      </c>
      <c r="AS45" s="128">
        <v>1.42</v>
      </c>
      <c r="AT45" s="128">
        <v>1.43</v>
      </c>
      <c r="AU45" s="128">
        <v>1.43</v>
      </c>
      <c r="AV45" s="128">
        <v>1.44</v>
      </c>
      <c r="AW45" s="128">
        <v>1.44</v>
      </c>
      <c r="AX45" s="128">
        <v>1.45</v>
      </c>
      <c r="AY45" s="128">
        <v>1.45</v>
      </c>
      <c r="AZ45" s="128">
        <v>1.46</v>
      </c>
      <c r="BA45" s="128">
        <v>1.45</v>
      </c>
      <c r="BB45" s="128">
        <v>1.45</v>
      </c>
      <c r="BC45" s="128">
        <v>1.44</v>
      </c>
      <c r="BD45" s="128">
        <v>1.44</v>
      </c>
      <c r="BE45" s="128">
        <v>1.43</v>
      </c>
      <c r="BF45" s="128">
        <v>1.43</v>
      </c>
      <c r="BG45" s="128">
        <v>1.42</v>
      </c>
      <c r="BH45" s="128">
        <v>1.42</v>
      </c>
      <c r="BI45" s="128">
        <v>1.42</v>
      </c>
      <c r="BJ45" s="128">
        <v>1.42</v>
      </c>
      <c r="BK45" s="128">
        <v>1.42</v>
      </c>
      <c r="BL45" s="128">
        <v>1.42</v>
      </c>
      <c r="BM45" s="128">
        <v>1.42</v>
      </c>
      <c r="BN45" s="128">
        <v>1.42</v>
      </c>
      <c r="BO45" s="128">
        <v>1.42</v>
      </c>
      <c r="BP45" s="128">
        <v>1.42</v>
      </c>
      <c r="BQ45" s="128">
        <v>1.42</v>
      </c>
      <c r="BR45" s="128">
        <v>1.42</v>
      </c>
      <c r="BS45" s="128">
        <v>1.42</v>
      </c>
      <c r="BT45" s="128">
        <v>1.42</v>
      </c>
      <c r="BU45" s="128">
        <v>1.42</v>
      </c>
      <c r="BV45" s="128">
        <v>1.42</v>
      </c>
      <c r="BW45" s="128">
        <v>1.42</v>
      </c>
      <c r="BX45" s="128">
        <v>1.42</v>
      </c>
      <c r="BY45" s="128">
        <v>1.42</v>
      </c>
      <c r="BZ45" s="128">
        <v>1.42</v>
      </c>
      <c r="CA45" s="128">
        <v>1.42</v>
      </c>
      <c r="CB45" s="128">
        <v>1.42</v>
      </c>
      <c r="CC45" s="128">
        <v>1.42</v>
      </c>
      <c r="CD45" s="128">
        <v>1.42</v>
      </c>
      <c r="CE45" s="128">
        <v>1.42</v>
      </c>
      <c r="CF45" s="128">
        <v>1.42</v>
      </c>
      <c r="CG45" s="128">
        <v>1.42</v>
      </c>
      <c r="CH45" s="128">
        <v>1.42</v>
      </c>
      <c r="CI45" s="128">
        <v>1.42</v>
      </c>
      <c r="CJ45" s="128">
        <v>1.42</v>
      </c>
      <c r="CK45" s="128">
        <v>1.42</v>
      </c>
      <c r="CL45" s="128">
        <v>1.42</v>
      </c>
      <c r="CM45" s="128">
        <v>1.42</v>
      </c>
      <c r="CN45" s="128">
        <v>1.42</v>
      </c>
      <c r="CO45" s="128">
        <v>1.42</v>
      </c>
      <c r="CP45" s="128">
        <v>1.42</v>
      </c>
      <c r="CQ45" s="128">
        <v>1.42</v>
      </c>
      <c r="CR45" s="128">
        <v>1.42</v>
      </c>
      <c r="CS45" s="128">
        <v>1.42</v>
      </c>
      <c r="CT45" s="128">
        <v>1.42</v>
      </c>
      <c r="CU45" s="128">
        <v>1.42</v>
      </c>
      <c r="CV45" s="128">
        <v>1.42</v>
      </c>
      <c r="CW45" s="128">
        <v>1.42</v>
      </c>
      <c r="CX45" s="128">
        <v>1.42</v>
      </c>
      <c r="CZ45" s="126">
        <f>SUMIF(MatrixF1[[1]:[2]],MatrixF1[[#This Row],[Столбец1]])/MatrixF1[[#This Row],[Столбец1]]</f>
        <v>132.99999999999972</v>
      </c>
    </row>
    <row r="46" spans="1:104" ht="21" customHeight="1" x14ac:dyDescent="0.25">
      <c r="A46" s="127">
        <v>1.43</v>
      </c>
      <c r="B46" s="128">
        <v>1</v>
      </c>
      <c r="C46" s="128">
        <v>1.02</v>
      </c>
      <c r="D46" s="128">
        <v>1.03</v>
      </c>
      <c r="E46" s="128">
        <v>1.05</v>
      </c>
      <c r="F46" s="128">
        <v>1.07</v>
      </c>
      <c r="G46" s="128">
        <v>1.08</v>
      </c>
      <c r="H46" s="128">
        <v>1.1000000000000001</v>
      </c>
      <c r="I46" s="128">
        <v>1.1100000000000001</v>
      </c>
      <c r="J46" s="128">
        <v>1.1200000000000001</v>
      </c>
      <c r="K46" s="128">
        <v>1.1399999999999999</v>
      </c>
      <c r="L46" s="128">
        <v>1.1499999999999999</v>
      </c>
      <c r="M46" s="128">
        <v>1.1599999999999999</v>
      </c>
      <c r="N46" s="128">
        <v>1.17</v>
      </c>
      <c r="O46" s="128">
        <v>1.19</v>
      </c>
      <c r="P46" s="128">
        <v>1.2</v>
      </c>
      <c r="Q46" s="128">
        <v>1.21</v>
      </c>
      <c r="R46" s="128">
        <v>1.22</v>
      </c>
      <c r="S46" s="128">
        <v>1.23</v>
      </c>
      <c r="T46" s="128">
        <v>1.24</v>
      </c>
      <c r="U46" s="128">
        <v>1.25</v>
      </c>
      <c r="V46" s="128">
        <v>1.26</v>
      </c>
      <c r="W46" s="128">
        <v>1.27</v>
      </c>
      <c r="X46" s="128">
        <v>1.28</v>
      </c>
      <c r="Y46" s="128">
        <v>1.29</v>
      </c>
      <c r="Z46" s="128">
        <v>1.3</v>
      </c>
      <c r="AA46" s="128">
        <v>1.3</v>
      </c>
      <c r="AB46" s="128">
        <v>1.31</v>
      </c>
      <c r="AC46" s="128">
        <v>1.32</v>
      </c>
      <c r="AD46" s="128">
        <v>1.33</v>
      </c>
      <c r="AE46" s="128">
        <v>1.34</v>
      </c>
      <c r="AF46" s="128">
        <v>1.34</v>
      </c>
      <c r="AG46" s="128">
        <v>1.35</v>
      </c>
      <c r="AH46" s="128">
        <v>1.36</v>
      </c>
      <c r="AI46" s="128">
        <v>1.37</v>
      </c>
      <c r="AJ46" s="128">
        <v>1.37</v>
      </c>
      <c r="AK46" s="128">
        <v>1.38</v>
      </c>
      <c r="AL46" s="128">
        <v>1.39</v>
      </c>
      <c r="AM46" s="128">
        <v>1.39</v>
      </c>
      <c r="AN46" s="128">
        <v>1.4</v>
      </c>
      <c r="AO46" s="128">
        <v>1.41</v>
      </c>
      <c r="AP46" s="128">
        <v>1.41</v>
      </c>
      <c r="AQ46" s="128">
        <v>1.42</v>
      </c>
      <c r="AR46" s="128">
        <v>1.42</v>
      </c>
      <c r="AS46" s="128">
        <v>1.43</v>
      </c>
      <c r="AT46" s="128">
        <v>1.43</v>
      </c>
      <c r="AU46" s="128">
        <v>1.44</v>
      </c>
      <c r="AV46" s="128">
        <v>1.44</v>
      </c>
      <c r="AW46" s="128">
        <v>1.45</v>
      </c>
      <c r="AX46" s="128">
        <v>1.45</v>
      </c>
      <c r="AY46" s="128">
        <v>1.46</v>
      </c>
      <c r="AZ46" s="128">
        <v>1.46</v>
      </c>
      <c r="BA46" s="128">
        <v>1.46</v>
      </c>
      <c r="BB46" s="128">
        <v>1.45</v>
      </c>
      <c r="BC46" s="128">
        <v>1.45</v>
      </c>
      <c r="BD46" s="128">
        <v>1.44</v>
      </c>
      <c r="BE46" s="128">
        <v>1.44</v>
      </c>
      <c r="BF46" s="128">
        <v>1.43</v>
      </c>
      <c r="BG46" s="128">
        <v>1.43</v>
      </c>
      <c r="BH46" s="128">
        <v>1.43</v>
      </c>
      <c r="BI46" s="128">
        <v>1.43</v>
      </c>
      <c r="BJ46" s="128">
        <v>1.43</v>
      </c>
      <c r="BK46" s="128">
        <v>1.43</v>
      </c>
      <c r="BL46" s="128">
        <v>1.43</v>
      </c>
      <c r="BM46" s="128">
        <v>1.43</v>
      </c>
      <c r="BN46" s="128">
        <v>1.43</v>
      </c>
      <c r="BO46" s="128">
        <v>1.43</v>
      </c>
      <c r="BP46" s="128">
        <v>1.43</v>
      </c>
      <c r="BQ46" s="128">
        <v>1.43</v>
      </c>
      <c r="BR46" s="128">
        <v>1.43</v>
      </c>
      <c r="BS46" s="128">
        <v>1.43</v>
      </c>
      <c r="BT46" s="128">
        <v>1.43</v>
      </c>
      <c r="BU46" s="128">
        <v>1.43</v>
      </c>
      <c r="BV46" s="128">
        <v>1.43</v>
      </c>
      <c r="BW46" s="128">
        <v>1.43</v>
      </c>
      <c r="BX46" s="128">
        <v>1.43</v>
      </c>
      <c r="BY46" s="128">
        <v>1.43</v>
      </c>
      <c r="BZ46" s="128">
        <v>1.43</v>
      </c>
      <c r="CA46" s="128">
        <v>1.43</v>
      </c>
      <c r="CB46" s="128">
        <v>1.43</v>
      </c>
      <c r="CC46" s="128">
        <v>1.43</v>
      </c>
      <c r="CD46" s="128">
        <v>1.43</v>
      </c>
      <c r="CE46" s="128">
        <v>1.43</v>
      </c>
      <c r="CF46" s="128">
        <v>1.43</v>
      </c>
      <c r="CG46" s="128">
        <v>1.43</v>
      </c>
      <c r="CH46" s="128">
        <v>1.43</v>
      </c>
      <c r="CI46" s="128">
        <v>1.43</v>
      </c>
      <c r="CJ46" s="128">
        <v>1.43</v>
      </c>
      <c r="CK46" s="128">
        <v>1.43</v>
      </c>
      <c r="CL46" s="128">
        <v>1.43</v>
      </c>
      <c r="CM46" s="128">
        <v>1.43</v>
      </c>
      <c r="CN46" s="128">
        <v>1.43</v>
      </c>
      <c r="CO46" s="128">
        <v>1.43</v>
      </c>
      <c r="CP46" s="128">
        <v>1.43</v>
      </c>
      <c r="CQ46" s="128">
        <v>1.43</v>
      </c>
      <c r="CR46" s="128">
        <v>1.43</v>
      </c>
      <c r="CS46" s="128">
        <v>1.43</v>
      </c>
      <c r="CT46" s="128">
        <v>1.43</v>
      </c>
      <c r="CU46" s="128">
        <v>1.43</v>
      </c>
      <c r="CV46" s="128">
        <v>1.43</v>
      </c>
      <c r="CW46" s="128">
        <v>1.43</v>
      </c>
      <c r="CX46" s="128">
        <v>1.43</v>
      </c>
      <c r="CZ46" s="126">
        <f>SUMIF(MatrixF1[[1]:[2]],MatrixF1[[#This Row],[Столбец1]])/MatrixF1[[#This Row],[Столбец1]]</f>
        <v>137.00000000000045</v>
      </c>
    </row>
    <row r="47" spans="1:104" ht="21" customHeight="1" x14ac:dyDescent="0.25">
      <c r="A47" s="127">
        <v>1.44</v>
      </c>
      <c r="B47" s="128">
        <v>1</v>
      </c>
      <c r="C47" s="128">
        <v>1.02</v>
      </c>
      <c r="D47" s="128">
        <v>1.03</v>
      </c>
      <c r="E47" s="128">
        <v>1.05</v>
      </c>
      <c r="F47" s="128">
        <v>1.07</v>
      </c>
      <c r="G47" s="128">
        <v>1.08</v>
      </c>
      <c r="H47" s="128">
        <v>1.1000000000000001</v>
      </c>
      <c r="I47" s="128">
        <v>1.1100000000000001</v>
      </c>
      <c r="J47" s="128">
        <v>1.1299999999999999</v>
      </c>
      <c r="K47" s="128">
        <v>1.1399999999999999</v>
      </c>
      <c r="L47" s="128">
        <v>1.1499999999999999</v>
      </c>
      <c r="M47" s="128">
        <v>1.1599999999999999</v>
      </c>
      <c r="N47" s="128">
        <v>1.18</v>
      </c>
      <c r="O47" s="128">
        <v>1.19</v>
      </c>
      <c r="P47" s="128">
        <v>1.2</v>
      </c>
      <c r="Q47" s="128">
        <v>1.21</v>
      </c>
      <c r="R47" s="128">
        <v>1.22</v>
      </c>
      <c r="S47" s="128">
        <v>1.23</v>
      </c>
      <c r="T47" s="128">
        <v>1.24</v>
      </c>
      <c r="U47" s="128">
        <v>1.25</v>
      </c>
      <c r="V47" s="128">
        <v>1.26</v>
      </c>
      <c r="W47" s="128">
        <v>1.27</v>
      </c>
      <c r="X47" s="128">
        <v>1.28</v>
      </c>
      <c r="Y47" s="128">
        <v>1.29</v>
      </c>
      <c r="Z47" s="128">
        <v>1.3</v>
      </c>
      <c r="AA47" s="128">
        <v>1.31</v>
      </c>
      <c r="AB47" s="128">
        <v>1.32</v>
      </c>
      <c r="AC47" s="128">
        <v>1.33</v>
      </c>
      <c r="AD47" s="128">
        <v>1.33</v>
      </c>
      <c r="AE47" s="128">
        <v>1.34</v>
      </c>
      <c r="AF47" s="128">
        <v>1.35</v>
      </c>
      <c r="AG47" s="128">
        <v>1.36</v>
      </c>
      <c r="AH47" s="128">
        <v>1.36</v>
      </c>
      <c r="AI47" s="128">
        <v>1.37</v>
      </c>
      <c r="AJ47" s="128">
        <v>1.38</v>
      </c>
      <c r="AK47" s="128">
        <v>1.38</v>
      </c>
      <c r="AL47" s="128">
        <v>1.39</v>
      </c>
      <c r="AM47" s="128">
        <v>1.4</v>
      </c>
      <c r="AN47" s="128">
        <v>1.4</v>
      </c>
      <c r="AO47" s="128">
        <v>1.41</v>
      </c>
      <c r="AP47" s="128">
        <v>1.42</v>
      </c>
      <c r="AQ47" s="128">
        <v>1.42</v>
      </c>
      <c r="AR47" s="128">
        <v>1.43</v>
      </c>
      <c r="AS47" s="128">
        <v>1.43</v>
      </c>
      <c r="AT47" s="128">
        <v>1.44</v>
      </c>
      <c r="AU47" s="128">
        <v>1.44</v>
      </c>
      <c r="AV47" s="128">
        <v>1.45</v>
      </c>
      <c r="AW47" s="128">
        <v>1.45</v>
      </c>
      <c r="AX47" s="128">
        <v>1.46</v>
      </c>
      <c r="AY47" s="128">
        <v>1.46</v>
      </c>
      <c r="AZ47" s="128">
        <v>1.47</v>
      </c>
      <c r="BA47" s="128">
        <v>1.46</v>
      </c>
      <c r="BB47" s="128">
        <v>1.46</v>
      </c>
      <c r="BC47" s="128">
        <v>1.45</v>
      </c>
      <c r="BD47" s="128">
        <v>1.45</v>
      </c>
      <c r="BE47" s="128">
        <v>1.44</v>
      </c>
      <c r="BF47" s="128">
        <v>1.44</v>
      </c>
      <c r="BG47" s="128">
        <v>1.44</v>
      </c>
      <c r="BH47" s="128">
        <v>1.44</v>
      </c>
      <c r="BI47" s="128">
        <v>1.44</v>
      </c>
      <c r="BJ47" s="128">
        <v>1.44</v>
      </c>
      <c r="BK47" s="128">
        <v>1.44</v>
      </c>
      <c r="BL47" s="128">
        <v>1.44</v>
      </c>
      <c r="BM47" s="128">
        <v>1.44</v>
      </c>
      <c r="BN47" s="128">
        <v>1.44</v>
      </c>
      <c r="BO47" s="128">
        <v>1.44</v>
      </c>
      <c r="BP47" s="128">
        <v>1.44</v>
      </c>
      <c r="BQ47" s="128">
        <v>1.44</v>
      </c>
      <c r="BR47" s="128">
        <v>1.44</v>
      </c>
      <c r="BS47" s="128">
        <v>1.44</v>
      </c>
      <c r="BT47" s="128">
        <v>1.44</v>
      </c>
      <c r="BU47" s="128">
        <v>1.44</v>
      </c>
      <c r="BV47" s="128">
        <v>1.44</v>
      </c>
      <c r="BW47" s="128">
        <v>1.44</v>
      </c>
      <c r="BX47" s="128">
        <v>1.44</v>
      </c>
      <c r="BY47" s="128">
        <v>1.44</v>
      </c>
      <c r="BZ47" s="128">
        <v>1.44</v>
      </c>
      <c r="CA47" s="128">
        <v>1.44</v>
      </c>
      <c r="CB47" s="128">
        <v>1.44</v>
      </c>
      <c r="CC47" s="128">
        <v>1.44</v>
      </c>
      <c r="CD47" s="128">
        <v>1.44</v>
      </c>
      <c r="CE47" s="128">
        <v>1.44</v>
      </c>
      <c r="CF47" s="128">
        <v>1.44</v>
      </c>
      <c r="CG47" s="128">
        <v>1.44</v>
      </c>
      <c r="CH47" s="128">
        <v>1.44</v>
      </c>
      <c r="CI47" s="128">
        <v>1.44</v>
      </c>
      <c r="CJ47" s="128">
        <v>1.44</v>
      </c>
      <c r="CK47" s="128">
        <v>1.44</v>
      </c>
      <c r="CL47" s="128">
        <v>1.44</v>
      </c>
      <c r="CM47" s="128">
        <v>1.44</v>
      </c>
      <c r="CN47" s="128">
        <v>1.44</v>
      </c>
      <c r="CO47" s="128">
        <v>1.44</v>
      </c>
      <c r="CP47" s="128">
        <v>1.44</v>
      </c>
      <c r="CQ47" s="128">
        <v>1.44</v>
      </c>
      <c r="CR47" s="128">
        <v>1.44</v>
      </c>
      <c r="CS47" s="128">
        <v>1.44</v>
      </c>
      <c r="CT47" s="128">
        <v>1.44</v>
      </c>
      <c r="CU47" s="128">
        <v>1.44</v>
      </c>
      <c r="CV47" s="128">
        <v>1.44</v>
      </c>
      <c r="CW47" s="128">
        <v>1.44</v>
      </c>
      <c r="CX47" s="128">
        <v>1.44</v>
      </c>
      <c r="CZ47" s="126">
        <f>SUMIF(MatrixF1[[1]:[2]],MatrixF1[[#This Row],[Столбец1]])/MatrixF1[[#This Row],[Столбец1]]</f>
        <v>126.99999999999986</v>
      </c>
    </row>
    <row r="48" spans="1:104" ht="21" customHeight="1" x14ac:dyDescent="0.25">
      <c r="A48" s="127">
        <v>1.45</v>
      </c>
      <c r="B48" s="128">
        <v>1</v>
      </c>
      <c r="C48" s="128">
        <v>1.02</v>
      </c>
      <c r="D48" s="128">
        <v>1.04</v>
      </c>
      <c r="E48" s="128">
        <v>1.05</v>
      </c>
      <c r="F48" s="128">
        <v>1.07</v>
      </c>
      <c r="G48" s="128">
        <v>1.08</v>
      </c>
      <c r="H48" s="128">
        <v>1.1000000000000001</v>
      </c>
      <c r="I48" s="128">
        <v>1.1100000000000001</v>
      </c>
      <c r="J48" s="128">
        <v>1.1299999999999999</v>
      </c>
      <c r="K48" s="128">
        <v>1.1399999999999999</v>
      </c>
      <c r="L48" s="128">
        <v>1.1499999999999999</v>
      </c>
      <c r="M48" s="128">
        <v>1.17</v>
      </c>
      <c r="N48" s="128">
        <v>1.18</v>
      </c>
      <c r="O48" s="128">
        <v>1.19</v>
      </c>
      <c r="P48" s="128">
        <v>1.2</v>
      </c>
      <c r="Q48" s="128">
        <v>1.21</v>
      </c>
      <c r="R48" s="128">
        <v>1.23</v>
      </c>
      <c r="S48" s="128">
        <v>1.24</v>
      </c>
      <c r="T48" s="128">
        <v>1.25</v>
      </c>
      <c r="U48" s="128">
        <v>1.26</v>
      </c>
      <c r="V48" s="128">
        <v>1.27</v>
      </c>
      <c r="W48" s="128">
        <v>1.28</v>
      </c>
      <c r="X48" s="128">
        <v>1.29</v>
      </c>
      <c r="Y48" s="128">
        <v>1.29</v>
      </c>
      <c r="Z48" s="128">
        <v>1.3</v>
      </c>
      <c r="AA48" s="128">
        <v>1.31</v>
      </c>
      <c r="AB48" s="128">
        <v>1.32</v>
      </c>
      <c r="AC48" s="128">
        <v>1.33</v>
      </c>
      <c r="AD48" s="128">
        <v>1.34</v>
      </c>
      <c r="AE48" s="128">
        <v>1.35</v>
      </c>
      <c r="AF48" s="128">
        <v>1.35</v>
      </c>
      <c r="AG48" s="128">
        <v>1.36</v>
      </c>
      <c r="AH48" s="128">
        <v>1.37</v>
      </c>
      <c r="AI48" s="128">
        <v>1.38</v>
      </c>
      <c r="AJ48" s="128">
        <v>1.38</v>
      </c>
      <c r="AK48" s="128">
        <v>1.39</v>
      </c>
      <c r="AL48" s="128">
        <v>1.4</v>
      </c>
      <c r="AM48" s="128">
        <v>1.4</v>
      </c>
      <c r="AN48" s="128">
        <v>1.41</v>
      </c>
      <c r="AO48" s="128">
        <v>1.41</v>
      </c>
      <c r="AP48" s="128">
        <v>1.42</v>
      </c>
      <c r="AQ48" s="128">
        <v>1.43</v>
      </c>
      <c r="AR48" s="128">
        <v>1.43</v>
      </c>
      <c r="AS48" s="128">
        <v>1.44</v>
      </c>
      <c r="AT48" s="128">
        <v>1.44</v>
      </c>
      <c r="AU48" s="128">
        <v>1.45</v>
      </c>
      <c r="AV48" s="128">
        <v>1.45</v>
      </c>
      <c r="AW48" s="128">
        <v>1.46</v>
      </c>
      <c r="AX48" s="128">
        <v>1.46</v>
      </c>
      <c r="AY48" s="128">
        <v>1.47</v>
      </c>
      <c r="AZ48" s="128">
        <v>1.47</v>
      </c>
      <c r="BA48" s="128">
        <v>1.47</v>
      </c>
      <c r="BB48" s="128">
        <v>1.46</v>
      </c>
      <c r="BC48" s="128">
        <v>1.46</v>
      </c>
      <c r="BD48" s="128">
        <v>1.45</v>
      </c>
      <c r="BE48" s="128">
        <v>1.45</v>
      </c>
      <c r="BF48" s="128">
        <v>1.45</v>
      </c>
      <c r="BG48" s="128">
        <v>1.45</v>
      </c>
      <c r="BH48" s="128">
        <v>1.45</v>
      </c>
      <c r="BI48" s="128">
        <v>1.45</v>
      </c>
      <c r="BJ48" s="128">
        <v>1.45</v>
      </c>
      <c r="BK48" s="128">
        <v>1.45</v>
      </c>
      <c r="BL48" s="128">
        <v>1.45</v>
      </c>
      <c r="BM48" s="128">
        <v>1.45</v>
      </c>
      <c r="BN48" s="128">
        <v>1.45</v>
      </c>
      <c r="BO48" s="128">
        <v>1.45</v>
      </c>
      <c r="BP48" s="128">
        <v>1.45</v>
      </c>
      <c r="BQ48" s="128">
        <v>1.45</v>
      </c>
      <c r="BR48" s="128">
        <v>1.45</v>
      </c>
      <c r="BS48" s="128">
        <v>1.45</v>
      </c>
      <c r="BT48" s="128">
        <v>1.45</v>
      </c>
      <c r="BU48" s="128">
        <v>1.45</v>
      </c>
      <c r="BV48" s="128">
        <v>1.45</v>
      </c>
      <c r="BW48" s="128">
        <v>1.45</v>
      </c>
      <c r="BX48" s="128">
        <v>1.45</v>
      </c>
      <c r="BY48" s="128">
        <v>1.45</v>
      </c>
      <c r="BZ48" s="128">
        <v>1.45</v>
      </c>
      <c r="CA48" s="128">
        <v>1.45</v>
      </c>
      <c r="CB48" s="128">
        <v>1.45</v>
      </c>
      <c r="CC48" s="128">
        <v>1.45</v>
      </c>
      <c r="CD48" s="128">
        <v>1.45</v>
      </c>
      <c r="CE48" s="128">
        <v>1.45</v>
      </c>
      <c r="CF48" s="128">
        <v>1.45</v>
      </c>
      <c r="CG48" s="128">
        <v>1.45</v>
      </c>
      <c r="CH48" s="128">
        <v>1.45</v>
      </c>
      <c r="CI48" s="128">
        <v>1.45</v>
      </c>
      <c r="CJ48" s="128">
        <v>1.45</v>
      </c>
      <c r="CK48" s="128">
        <v>1.45</v>
      </c>
      <c r="CL48" s="128">
        <v>1.45</v>
      </c>
      <c r="CM48" s="128">
        <v>1.45</v>
      </c>
      <c r="CN48" s="128">
        <v>1.45</v>
      </c>
      <c r="CO48" s="128">
        <v>1.45</v>
      </c>
      <c r="CP48" s="128">
        <v>1.45</v>
      </c>
      <c r="CQ48" s="128">
        <v>1.45</v>
      </c>
      <c r="CR48" s="128">
        <v>1.45</v>
      </c>
      <c r="CS48" s="128">
        <v>1.45</v>
      </c>
      <c r="CT48" s="128">
        <v>1.45</v>
      </c>
      <c r="CU48" s="128">
        <v>1.45</v>
      </c>
      <c r="CV48" s="128">
        <v>1.45</v>
      </c>
      <c r="CW48" s="128">
        <v>1.45</v>
      </c>
      <c r="CX48" s="128">
        <v>1.45</v>
      </c>
      <c r="CZ48" s="126">
        <f>SUMIF(MatrixF1[[1]:[2]],MatrixF1[[#This Row],[Столбец1]])/MatrixF1[[#This Row],[Столбец1]]</f>
        <v>126.99999999999982</v>
      </c>
    </row>
    <row r="49" spans="1:104" ht="21" customHeight="1" x14ac:dyDescent="0.25">
      <c r="A49" s="127">
        <v>1.46</v>
      </c>
      <c r="B49" s="128">
        <v>1</v>
      </c>
      <c r="C49" s="128">
        <v>1.02</v>
      </c>
      <c r="D49" s="128">
        <v>1.04</v>
      </c>
      <c r="E49" s="128">
        <v>1.05</v>
      </c>
      <c r="F49" s="128">
        <v>1.07</v>
      </c>
      <c r="G49" s="128">
        <v>1.08</v>
      </c>
      <c r="H49" s="128">
        <v>1.1000000000000001</v>
      </c>
      <c r="I49" s="128">
        <v>1.1100000000000001</v>
      </c>
      <c r="J49" s="128">
        <v>1.1299999999999999</v>
      </c>
      <c r="K49" s="128">
        <v>1.1399999999999999</v>
      </c>
      <c r="L49" s="128">
        <v>1.1599999999999999</v>
      </c>
      <c r="M49" s="128">
        <v>1.17</v>
      </c>
      <c r="N49" s="128">
        <v>1.18</v>
      </c>
      <c r="O49" s="128">
        <v>1.19</v>
      </c>
      <c r="P49" s="128">
        <v>1.21</v>
      </c>
      <c r="Q49" s="128">
        <v>1.22</v>
      </c>
      <c r="R49" s="128">
        <v>1.23</v>
      </c>
      <c r="S49" s="128">
        <v>1.24</v>
      </c>
      <c r="T49" s="128">
        <v>1.25</v>
      </c>
      <c r="U49" s="128">
        <v>1.26</v>
      </c>
      <c r="V49" s="128">
        <v>1.27</v>
      </c>
      <c r="W49" s="128">
        <v>1.28</v>
      </c>
      <c r="X49" s="128">
        <v>1.29</v>
      </c>
      <c r="Y49" s="128">
        <v>1.3</v>
      </c>
      <c r="Z49" s="128">
        <v>1.31</v>
      </c>
      <c r="AA49" s="128">
        <v>1.32</v>
      </c>
      <c r="AB49" s="128">
        <v>1.32</v>
      </c>
      <c r="AC49" s="128">
        <v>1.33</v>
      </c>
      <c r="AD49" s="128">
        <v>1.34</v>
      </c>
      <c r="AE49" s="128">
        <v>1.35</v>
      </c>
      <c r="AF49" s="128">
        <v>1.36</v>
      </c>
      <c r="AG49" s="128">
        <v>1.36</v>
      </c>
      <c r="AH49" s="128">
        <v>1.37</v>
      </c>
      <c r="AI49" s="128">
        <v>1.38</v>
      </c>
      <c r="AJ49" s="128">
        <v>1.39</v>
      </c>
      <c r="AK49" s="128">
        <v>1.39</v>
      </c>
      <c r="AL49" s="128">
        <v>1.4</v>
      </c>
      <c r="AM49" s="128">
        <v>1.41</v>
      </c>
      <c r="AN49" s="128">
        <v>1.41</v>
      </c>
      <c r="AO49" s="128">
        <v>1.42</v>
      </c>
      <c r="AP49" s="128">
        <v>1.43</v>
      </c>
      <c r="AQ49" s="128">
        <v>1.43</v>
      </c>
      <c r="AR49" s="128">
        <v>1.44</v>
      </c>
      <c r="AS49" s="128">
        <v>1.44</v>
      </c>
      <c r="AT49" s="128">
        <v>1.45</v>
      </c>
      <c r="AU49" s="128">
        <v>1.45</v>
      </c>
      <c r="AV49" s="128">
        <v>1.46</v>
      </c>
      <c r="AW49" s="128">
        <v>1.46</v>
      </c>
      <c r="AX49" s="128">
        <v>1.47</v>
      </c>
      <c r="AY49" s="128">
        <v>1.47</v>
      </c>
      <c r="AZ49" s="128">
        <v>1.48</v>
      </c>
      <c r="BA49" s="128">
        <v>1.47</v>
      </c>
      <c r="BB49" s="128">
        <v>1.47</v>
      </c>
      <c r="BC49" s="128">
        <v>1.46</v>
      </c>
      <c r="BD49" s="128">
        <v>1.46</v>
      </c>
      <c r="BE49" s="128">
        <v>1.46</v>
      </c>
      <c r="BF49" s="128">
        <v>1.46</v>
      </c>
      <c r="BG49" s="128">
        <v>1.46</v>
      </c>
      <c r="BH49" s="128">
        <v>1.46</v>
      </c>
      <c r="BI49" s="128">
        <v>1.46</v>
      </c>
      <c r="BJ49" s="128">
        <v>1.46</v>
      </c>
      <c r="BK49" s="128">
        <v>1.46</v>
      </c>
      <c r="BL49" s="128">
        <v>1.46</v>
      </c>
      <c r="BM49" s="128">
        <v>1.46</v>
      </c>
      <c r="BN49" s="128">
        <v>1.46</v>
      </c>
      <c r="BO49" s="128">
        <v>1.46</v>
      </c>
      <c r="BP49" s="128">
        <v>1.46</v>
      </c>
      <c r="BQ49" s="128">
        <v>1.46</v>
      </c>
      <c r="BR49" s="128">
        <v>1.46</v>
      </c>
      <c r="BS49" s="128">
        <v>1.46</v>
      </c>
      <c r="BT49" s="128">
        <v>1.46</v>
      </c>
      <c r="BU49" s="128">
        <v>1.46</v>
      </c>
      <c r="BV49" s="128">
        <v>1.46</v>
      </c>
      <c r="BW49" s="128">
        <v>1.46</v>
      </c>
      <c r="BX49" s="128">
        <v>1.46</v>
      </c>
      <c r="BY49" s="128">
        <v>1.46</v>
      </c>
      <c r="BZ49" s="128">
        <v>1.46</v>
      </c>
      <c r="CA49" s="128">
        <v>1.46</v>
      </c>
      <c r="CB49" s="128">
        <v>1.46</v>
      </c>
      <c r="CC49" s="128">
        <v>1.46</v>
      </c>
      <c r="CD49" s="128">
        <v>1.46</v>
      </c>
      <c r="CE49" s="128">
        <v>1.46</v>
      </c>
      <c r="CF49" s="128">
        <v>1.46</v>
      </c>
      <c r="CG49" s="128">
        <v>1.46</v>
      </c>
      <c r="CH49" s="128">
        <v>1.46</v>
      </c>
      <c r="CI49" s="128">
        <v>1.46</v>
      </c>
      <c r="CJ49" s="128">
        <v>1.46</v>
      </c>
      <c r="CK49" s="128">
        <v>1.46</v>
      </c>
      <c r="CL49" s="128">
        <v>1.46</v>
      </c>
      <c r="CM49" s="128">
        <v>1.46</v>
      </c>
      <c r="CN49" s="128">
        <v>1.46</v>
      </c>
      <c r="CO49" s="128">
        <v>1.46</v>
      </c>
      <c r="CP49" s="128">
        <v>1.46</v>
      </c>
      <c r="CQ49" s="128">
        <v>1.46</v>
      </c>
      <c r="CR49" s="128">
        <v>1.46</v>
      </c>
      <c r="CS49" s="128">
        <v>1.46</v>
      </c>
      <c r="CT49" s="128">
        <v>1.46</v>
      </c>
      <c r="CU49" s="128">
        <v>1.46</v>
      </c>
      <c r="CV49" s="128">
        <v>1.46</v>
      </c>
      <c r="CW49" s="128">
        <v>1.46</v>
      </c>
      <c r="CX49" s="128">
        <v>1.46</v>
      </c>
      <c r="CZ49" s="126">
        <f>SUMIF(MatrixF1[[1]:[2]],MatrixF1[[#This Row],[Столбец1]])/MatrixF1[[#This Row],[Столбец1]]</f>
        <v>123.00000000000003</v>
      </c>
    </row>
    <row r="50" spans="1:104" ht="21" customHeight="1" x14ac:dyDescent="0.25">
      <c r="A50" s="127">
        <v>1.47</v>
      </c>
      <c r="B50" s="128">
        <v>1</v>
      </c>
      <c r="C50" s="128">
        <v>1.02</v>
      </c>
      <c r="D50" s="128">
        <v>1.04</v>
      </c>
      <c r="E50" s="128">
        <v>1.05</v>
      </c>
      <c r="F50" s="128">
        <v>1.07</v>
      </c>
      <c r="G50" s="128">
        <v>1.0900000000000001</v>
      </c>
      <c r="H50" s="128">
        <v>1.1000000000000001</v>
      </c>
      <c r="I50" s="128">
        <v>1.1200000000000001</v>
      </c>
      <c r="J50" s="128">
        <v>1.1299999999999999</v>
      </c>
      <c r="K50" s="128">
        <v>1.1499999999999999</v>
      </c>
      <c r="L50" s="128">
        <v>1.1599999999999999</v>
      </c>
      <c r="M50" s="128">
        <v>1.17</v>
      </c>
      <c r="N50" s="128">
        <v>1.18</v>
      </c>
      <c r="O50" s="128">
        <v>1.2</v>
      </c>
      <c r="P50" s="128">
        <v>1.21</v>
      </c>
      <c r="Q50" s="128">
        <v>1.22</v>
      </c>
      <c r="R50" s="128">
        <v>1.23</v>
      </c>
      <c r="S50" s="128">
        <v>1.24</v>
      </c>
      <c r="T50" s="128">
        <v>1.25</v>
      </c>
      <c r="U50" s="128">
        <v>1.26</v>
      </c>
      <c r="V50" s="128">
        <v>1.27</v>
      </c>
      <c r="W50" s="128">
        <v>1.28</v>
      </c>
      <c r="X50" s="128">
        <v>1.29</v>
      </c>
      <c r="Y50" s="128">
        <v>1.3</v>
      </c>
      <c r="Z50" s="128">
        <v>1.31</v>
      </c>
      <c r="AA50" s="128">
        <v>1.32</v>
      </c>
      <c r="AB50" s="128">
        <v>1.33</v>
      </c>
      <c r="AC50" s="128">
        <v>1.34</v>
      </c>
      <c r="AD50" s="128">
        <v>1.35</v>
      </c>
      <c r="AE50" s="128">
        <v>1.35</v>
      </c>
      <c r="AF50" s="128">
        <v>1.36</v>
      </c>
      <c r="AG50" s="128">
        <v>1.37</v>
      </c>
      <c r="AH50" s="128">
        <v>1.38</v>
      </c>
      <c r="AI50" s="128">
        <v>1.38</v>
      </c>
      <c r="AJ50" s="128">
        <v>1.39</v>
      </c>
      <c r="AK50" s="128">
        <v>1.4</v>
      </c>
      <c r="AL50" s="128">
        <v>1.4</v>
      </c>
      <c r="AM50" s="128">
        <v>1.41</v>
      </c>
      <c r="AN50" s="128">
        <v>1.42</v>
      </c>
      <c r="AO50" s="128">
        <v>1.42</v>
      </c>
      <c r="AP50" s="128">
        <v>1.43</v>
      </c>
      <c r="AQ50" s="128">
        <v>1.44</v>
      </c>
      <c r="AR50" s="128">
        <v>1.44</v>
      </c>
      <c r="AS50" s="128">
        <v>1.45</v>
      </c>
      <c r="AT50" s="128">
        <v>1.45</v>
      </c>
      <c r="AU50" s="128">
        <v>1.46</v>
      </c>
      <c r="AV50" s="128">
        <v>1.46</v>
      </c>
      <c r="AW50" s="128">
        <v>1.47</v>
      </c>
      <c r="AX50" s="128">
        <v>1.47</v>
      </c>
      <c r="AY50" s="128">
        <v>1.48</v>
      </c>
      <c r="AZ50" s="128">
        <v>1.48</v>
      </c>
      <c r="BA50" s="128">
        <v>1.48</v>
      </c>
      <c r="BB50" s="128">
        <v>1.47</v>
      </c>
      <c r="BC50" s="128">
        <v>1.47</v>
      </c>
      <c r="BD50" s="128">
        <v>1.47</v>
      </c>
      <c r="BE50" s="128">
        <v>1.47</v>
      </c>
      <c r="BF50" s="128">
        <v>1.47</v>
      </c>
      <c r="BG50" s="128">
        <v>1.47</v>
      </c>
      <c r="BH50" s="128">
        <v>1.47</v>
      </c>
      <c r="BI50" s="128">
        <v>1.47</v>
      </c>
      <c r="BJ50" s="128">
        <v>1.47</v>
      </c>
      <c r="BK50" s="128">
        <v>1.47</v>
      </c>
      <c r="BL50" s="128">
        <v>1.47</v>
      </c>
      <c r="BM50" s="128">
        <v>1.47</v>
      </c>
      <c r="BN50" s="128">
        <v>1.47</v>
      </c>
      <c r="BO50" s="128">
        <v>1.47</v>
      </c>
      <c r="BP50" s="128">
        <v>1.47</v>
      </c>
      <c r="BQ50" s="128">
        <v>1.47</v>
      </c>
      <c r="BR50" s="128">
        <v>1.47</v>
      </c>
      <c r="BS50" s="128">
        <v>1.47</v>
      </c>
      <c r="BT50" s="128">
        <v>1.47</v>
      </c>
      <c r="BU50" s="128">
        <v>1.47</v>
      </c>
      <c r="BV50" s="128">
        <v>1.47</v>
      </c>
      <c r="BW50" s="128">
        <v>1.47</v>
      </c>
      <c r="BX50" s="128">
        <v>1.47</v>
      </c>
      <c r="BY50" s="128">
        <v>1.47</v>
      </c>
      <c r="BZ50" s="128">
        <v>1.47</v>
      </c>
      <c r="CA50" s="128">
        <v>1.47</v>
      </c>
      <c r="CB50" s="128">
        <v>1.47</v>
      </c>
      <c r="CC50" s="128">
        <v>1.47</v>
      </c>
      <c r="CD50" s="128">
        <v>1.47</v>
      </c>
      <c r="CE50" s="128">
        <v>1.47</v>
      </c>
      <c r="CF50" s="128">
        <v>1.47</v>
      </c>
      <c r="CG50" s="128">
        <v>1.47</v>
      </c>
      <c r="CH50" s="128">
        <v>1.47</v>
      </c>
      <c r="CI50" s="128">
        <v>1.47</v>
      </c>
      <c r="CJ50" s="128">
        <v>1.47</v>
      </c>
      <c r="CK50" s="128">
        <v>1.47</v>
      </c>
      <c r="CL50" s="128">
        <v>1.47</v>
      </c>
      <c r="CM50" s="128">
        <v>1.47</v>
      </c>
      <c r="CN50" s="128">
        <v>1.47</v>
      </c>
      <c r="CO50" s="128">
        <v>1.47</v>
      </c>
      <c r="CP50" s="128">
        <v>1.47</v>
      </c>
      <c r="CQ50" s="128">
        <v>1.47</v>
      </c>
      <c r="CR50" s="128">
        <v>1.47</v>
      </c>
      <c r="CS50" s="128">
        <v>1.47</v>
      </c>
      <c r="CT50" s="128">
        <v>1.47</v>
      </c>
      <c r="CU50" s="128">
        <v>1.47</v>
      </c>
      <c r="CV50" s="128">
        <v>1.47</v>
      </c>
      <c r="CW50" s="128">
        <v>1.47</v>
      </c>
      <c r="CX50" s="128">
        <v>1.47</v>
      </c>
      <c r="CZ50" s="126">
        <f>SUMIF(MatrixF1[[1]:[2]],MatrixF1[[#This Row],[Столбец1]])/MatrixF1[[#This Row],[Столбец1]]</f>
        <v>116.99999999999993</v>
      </c>
    </row>
    <row r="51" spans="1:104" ht="21" customHeight="1" x14ac:dyDescent="0.25">
      <c r="A51" s="127">
        <v>1.48</v>
      </c>
      <c r="B51" s="128">
        <v>1</v>
      </c>
      <c r="C51" s="128">
        <v>1.02</v>
      </c>
      <c r="D51" s="128">
        <v>1.04</v>
      </c>
      <c r="E51" s="128">
        <v>1.05</v>
      </c>
      <c r="F51" s="128">
        <v>1.07</v>
      </c>
      <c r="G51" s="128">
        <v>1.0900000000000001</v>
      </c>
      <c r="H51" s="128">
        <v>1.1000000000000001</v>
      </c>
      <c r="I51" s="128">
        <v>1.1200000000000001</v>
      </c>
      <c r="J51" s="128">
        <v>1.1299999999999999</v>
      </c>
      <c r="K51" s="128">
        <v>1.1499999999999999</v>
      </c>
      <c r="L51" s="128">
        <v>1.1599999999999999</v>
      </c>
      <c r="M51" s="128">
        <v>1.17</v>
      </c>
      <c r="N51" s="128">
        <v>1.19</v>
      </c>
      <c r="O51" s="128">
        <v>1.2</v>
      </c>
      <c r="P51" s="128">
        <v>1.21</v>
      </c>
      <c r="Q51" s="128">
        <v>1.22</v>
      </c>
      <c r="R51" s="128">
        <v>1.24</v>
      </c>
      <c r="S51" s="128">
        <v>1.25</v>
      </c>
      <c r="T51" s="128">
        <v>1.26</v>
      </c>
      <c r="U51" s="128">
        <v>1.27</v>
      </c>
      <c r="V51" s="128">
        <v>1.28</v>
      </c>
      <c r="W51" s="128">
        <v>1.29</v>
      </c>
      <c r="X51" s="128">
        <v>1.3</v>
      </c>
      <c r="Y51" s="128">
        <v>1.31</v>
      </c>
      <c r="Z51" s="128">
        <v>1.32</v>
      </c>
      <c r="AA51" s="128">
        <v>1.32</v>
      </c>
      <c r="AB51" s="128">
        <v>1.33</v>
      </c>
      <c r="AC51" s="128">
        <v>1.34</v>
      </c>
      <c r="AD51" s="128">
        <v>1.35</v>
      </c>
      <c r="AE51" s="128">
        <v>1.36</v>
      </c>
      <c r="AF51" s="128">
        <v>1.37</v>
      </c>
      <c r="AG51" s="128">
        <v>1.37</v>
      </c>
      <c r="AH51" s="128">
        <v>1.38</v>
      </c>
      <c r="AI51" s="128">
        <v>1.39</v>
      </c>
      <c r="AJ51" s="128">
        <v>1.4</v>
      </c>
      <c r="AK51" s="128">
        <v>1.4</v>
      </c>
      <c r="AL51" s="128">
        <v>1.41</v>
      </c>
      <c r="AM51" s="128">
        <v>1.42</v>
      </c>
      <c r="AN51" s="128">
        <v>1.42</v>
      </c>
      <c r="AO51" s="128">
        <v>1.43</v>
      </c>
      <c r="AP51" s="128">
        <v>1.43</v>
      </c>
      <c r="AQ51" s="128">
        <v>1.44</v>
      </c>
      <c r="AR51" s="128">
        <v>1.45</v>
      </c>
      <c r="AS51" s="128">
        <v>1.45</v>
      </c>
      <c r="AT51" s="128">
        <v>1.46</v>
      </c>
      <c r="AU51" s="128">
        <v>1.46</v>
      </c>
      <c r="AV51" s="128">
        <v>1.47</v>
      </c>
      <c r="AW51" s="128">
        <v>1.47</v>
      </c>
      <c r="AX51" s="128">
        <v>1.48</v>
      </c>
      <c r="AY51" s="128">
        <v>1.48</v>
      </c>
      <c r="AZ51" s="128">
        <v>1.49</v>
      </c>
      <c r="BA51" s="128">
        <v>1.48</v>
      </c>
      <c r="BB51" s="128">
        <v>1.48</v>
      </c>
      <c r="BC51" s="128">
        <v>1.48</v>
      </c>
      <c r="BD51" s="128">
        <v>1.48</v>
      </c>
      <c r="BE51" s="128">
        <v>1.48</v>
      </c>
      <c r="BF51" s="128">
        <v>1.48</v>
      </c>
      <c r="BG51" s="128">
        <v>1.48</v>
      </c>
      <c r="BH51" s="128">
        <v>1.48</v>
      </c>
      <c r="BI51" s="128">
        <v>1.48</v>
      </c>
      <c r="BJ51" s="128">
        <v>1.48</v>
      </c>
      <c r="BK51" s="128">
        <v>1.48</v>
      </c>
      <c r="BL51" s="128">
        <v>1.48</v>
      </c>
      <c r="BM51" s="128">
        <v>1.48</v>
      </c>
      <c r="BN51" s="128">
        <v>1.48</v>
      </c>
      <c r="BO51" s="128">
        <v>1.48</v>
      </c>
      <c r="BP51" s="128">
        <v>1.48</v>
      </c>
      <c r="BQ51" s="128">
        <v>1.48</v>
      </c>
      <c r="BR51" s="128">
        <v>1.48</v>
      </c>
      <c r="BS51" s="128">
        <v>1.48</v>
      </c>
      <c r="BT51" s="128">
        <v>1.48</v>
      </c>
      <c r="BU51" s="128">
        <v>1.48</v>
      </c>
      <c r="BV51" s="128">
        <v>1.48</v>
      </c>
      <c r="BW51" s="128">
        <v>1.48</v>
      </c>
      <c r="BX51" s="128">
        <v>1.48</v>
      </c>
      <c r="BY51" s="128">
        <v>1.48</v>
      </c>
      <c r="BZ51" s="128">
        <v>1.48</v>
      </c>
      <c r="CA51" s="128">
        <v>1.48</v>
      </c>
      <c r="CB51" s="128">
        <v>1.48</v>
      </c>
      <c r="CC51" s="128">
        <v>1.48</v>
      </c>
      <c r="CD51" s="128">
        <v>1.48</v>
      </c>
      <c r="CE51" s="128">
        <v>1.48</v>
      </c>
      <c r="CF51" s="128">
        <v>1.48</v>
      </c>
      <c r="CG51" s="128">
        <v>1.48</v>
      </c>
      <c r="CH51" s="128">
        <v>1.48</v>
      </c>
      <c r="CI51" s="128">
        <v>1.48</v>
      </c>
      <c r="CJ51" s="128">
        <v>1.48</v>
      </c>
      <c r="CK51" s="128">
        <v>1.48</v>
      </c>
      <c r="CL51" s="128">
        <v>1.48</v>
      </c>
      <c r="CM51" s="128">
        <v>1.48</v>
      </c>
      <c r="CN51" s="128">
        <v>1.48</v>
      </c>
      <c r="CO51" s="128">
        <v>1.48</v>
      </c>
      <c r="CP51" s="128">
        <v>1.48</v>
      </c>
      <c r="CQ51" s="128">
        <v>1.48</v>
      </c>
      <c r="CR51" s="128">
        <v>1.48</v>
      </c>
      <c r="CS51" s="128">
        <v>1.48</v>
      </c>
      <c r="CT51" s="128">
        <v>1.48</v>
      </c>
      <c r="CU51" s="128">
        <v>1.48</v>
      </c>
      <c r="CV51" s="128">
        <v>1.48</v>
      </c>
      <c r="CW51" s="128">
        <v>1.48</v>
      </c>
      <c r="CX51" s="128">
        <v>1.48</v>
      </c>
      <c r="CZ51" s="126">
        <f>SUMIF(MatrixF1[[1]:[2]],MatrixF1[[#This Row],[Столбец1]])/MatrixF1[[#This Row],[Столбец1]]</f>
        <v>110.9999999999999</v>
      </c>
    </row>
    <row r="52" spans="1:104" ht="21" customHeight="1" x14ac:dyDescent="0.25">
      <c r="A52" s="127">
        <v>1.49</v>
      </c>
      <c r="B52" s="128">
        <v>1</v>
      </c>
      <c r="C52" s="128">
        <v>1.02</v>
      </c>
      <c r="D52" s="128">
        <v>1.04</v>
      </c>
      <c r="E52" s="128">
        <v>1.06</v>
      </c>
      <c r="F52" s="128">
        <v>1.07</v>
      </c>
      <c r="G52" s="128">
        <v>1.0900000000000001</v>
      </c>
      <c r="H52" s="128">
        <v>1.1100000000000001</v>
      </c>
      <c r="I52" s="128">
        <v>1.1200000000000001</v>
      </c>
      <c r="J52" s="128">
        <v>1.1399999999999999</v>
      </c>
      <c r="K52" s="128">
        <v>1.1499999999999999</v>
      </c>
      <c r="L52" s="128">
        <v>1.1599999999999999</v>
      </c>
      <c r="M52" s="128">
        <v>1.18</v>
      </c>
      <c r="N52" s="128">
        <v>1.19</v>
      </c>
      <c r="O52" s="128">
        <v>1.2</v>
      </c>
      <c r="P52" s="128">
        <v>1.22</v>
      </c>
      <c r="Q52" s="128">
        <v>1.23</v>
      </c>
      <c r="R52" s="128">
        <v>1.24</v>
      </c>
      <c r="S52" s="128">
        <v>1.25</v>
      </c>
      <c r="T52" s="128">
        <v>1.26</v>
      </c>
      <c r="U52" s="128">
        <v>1.27</v>
      </c>
      <c r="V52" s="128">
        <v>1.28</v>
      </c>
      <c r="W52" s="128">
        <v>1.29</v>
      </c>
      <c r="X52" s="128">
        <v>1.3</v>
      </c>
      <c r="Y52" s="128">
        <v>1.31</v>
      </c>
      <c r="Z52" s="128">
        <v>1.32</v>
      </c>
      <c r="AA52" s="128">
        <v>1.33</v>
      </c>
      <c r="AB52" s="128">
        <v>1.34</v>
      </c>
      <c r="AC52" s="128">
        <v>1.35</v>
      </c>
      <c r="AD52" s="128">
        <v>1.35</v>
      </c>
      <c r="AE52" s="128">
        <v>1.36</v>
      </c>
      <c r="AF52" s="128">
        <v>1.37</v>
      </c>
      <c r="AG52" s="128">
        <v>1.38</v>
      </c>
      <c r="AH52" s="128">
        <v>1.39</v>
      </c>
      <c r="AI52" s="128">
        <v>1.39</v>
      </c>
      <c r="AJ52" s="128">
        <v>1.4</v>
      </c>
      <c r="AK52" s="128">
        <v>1.41</v>
      </c>
      <c r="AL52" s="128">
        <v>1.41</v>
      </c>
      <c r="AM52" s="128">
        <v>1.42</v>
      </c>
      <c r="AN52" s="128">
        <v>1.43</v>
      </c>
      <c r="AO52" s="128">
        <v>1.43</v>
      </c>
      <c r="AP52" s="128">
        <v>1.44</v>
      </c>
      <c r="AQ52" s="128">
        <v>1.45</v>
      </c>
      <c r="AR52" s="128">
        <v>1.45</v>
      </c>
      <c r="AS52" s="128">
        <v>1.46</v>
      </c>
      <c r="AT52" s="128">
        <v>1.46</v>
      </c>
      <c r="AU52" s="128">
        <v>1.47</v>
      </c>
      <c r="AV52" s="128">
        <v>1.47</v>
      </c>
      <c r="AW52" s="128">
        <v>1.48</v>
      </c>
      <c r="AX52" s="128">
        <v>1.48</v>
      </c>
      <c r="AY52" s="128">
        <v>1.49</v>
      </c>
      <c r="AZ52" s="128">
        <v>1.49</v>
      </c>
      <c r="BA52" s="128">
        <v>1.49</v>
      </c>
      <c r="BB52" s="128">
        <v>1.49</v>
      </c>
      <c r="BC52" s="128">
        <v>1.49</v>
      </c>
      <c r="BD52" s="128">
        <v>1.49</v>
      </c>
      <c r="BE52" s="128">
        <v>1.49</v>
      </c>
      <c r="BF52" s="128">
        <v>1.49</v>
      </c>
      <c r="BG52" s="128">
        <v>1.49</v>
      </c>
      <c r="BH52" s="128">
        <v>1.49</v>
      </c>
      <c r="BI52" s="128">
        <v>1.49</v>
      </c>
      <c r="BJ52" s="128">
        <v>1.49</v>
      </c>
      <c r="BK52" s="128">
        <v>1.49</v>
      </c>
      <c r="BL52" s="128">
        <v>1.49</v>
      </c>
      <c r="BM52" s="128">
        <v>1.49</v>
      </c>
      <c r="BN52" s="128">
        <v>1.49</v>
      </c>
      <c r="BO52" s="128">
        <v>1.49</v>
      </c>
      <c r="BP52" s="128">
        <v>1.49</v>
      </c>
      <c r="BQ52" s="128">
        <v>1.49</v>
      </c>
      <c r="BR52" s="128">
        <v>1.49</v>
      </c>
      <c r="BS52" s="128">
        <v>1.49</v>
      </c>
      <c r="BT52" s="128">
        <v>1.49</v>
      </c>
      <c r="BU52" s="128">
        <v>1.49</v>
      </c>
      <c r="BV52" s="128">
        <v>1.49</v>
      </c>
      <c r="BW52" s="128">
        <v>1.49</v>
      </c>
      <c r="BX52" s="128">
        <v>1.49</v>
      </c>
      <c r="BY52" s="128">
        <v>1.49</v>
      </c>
      <c r="BZ52" s="128">
        <v>1.49</v>
      </c>
      <c r="CA52" s="128">
        <v>1.49</v>
      </c>
      <c r="CB52" s="128">
        <v>1.49</v>
      </c>
      <c r="CC52" s="128">
        <v>1.49</v>
      </c>
      <c r="CD52" s="128">
        <v>1.49</v>
      </c>
      <c r="CE52" s="128">
        <v>1.49</v>
      </c>
      <c r="CF52" s="128">
        <v>1.49</v>
      </c>
      <c r="CG52" s="128">
        <v>1.49</v>
      </c>
      <c r="CH52" s="128">
        <v>1.49</v>
      </c>
      <c r="CI52" s="128">
        <v>1.49</v>
      </c>
      <c r="CJ52" s="128">
        <v>1.49</v>
      </c>
      <c r="CK52" s="128">
        <v>1.49</v>
      </c>
      <c r="CL52" s="128">
        <v>1.49</v>
      </c>
      <c r="CM52" s="128">
        <v>1.49</v>
      </c>
      <c r="CN52" s="128">
        <v>1.49</v>
      </c>
      <c r="CO52" s="128">
        <v>1.49</v>
      </c>
      <c r="CP52" s="128">
        <v>1.49</v>
      </c>
      <c r="CQ52" s="128">
        <v>1.49</v>
      </c>
      <c r="CR52" s="128">
        <v>1.49</v>
      </c>
      <c r="CS52" s="128">
        <v>1.49</v>
      </c>
      <c r="CT52" s="128">
        <v>1.49</v>
      </c>
      <c r="CU52" s="128">
        <v>1.49</v>
      </c>
      <c r="CV52" s="128">
        <v>1.49</v>
      </c>
      <c r="CW52" s="128">
        <v>1.49</v>
      </c>
      <c r="CX52" s="128">
        <v>1.49</v>
      </c>
      <c r="CZ52" s="126">
        <f>SUMIF(MatrixF1[[1]:[2]],MatrixF1[[#This Row],[Столбец1]])/MatrixF1[[#This Row],[Столбец1]]</f>
        <v>105</v>
      </c>
    </row>
    <row r="53" spans="1:104" ht="21" customHeight="1" x14ac:dyDescent="0.25">
      <c r="A53" s="127">
        <v>1.5</v>
      </c>
      <c r="B53" s="128">
        <v>1</v>
      </c>
      <c r="C53" s="128">
        <v>1.02</v>
      </c>
      <c r="D53" s="128">
        <v>1.04</v>
      </c>
      <c r="E53" s="128">
        <v>1.06</v>
      </c>
      <c r="F53" s="128">
        <v>1.07</v>
      </c>
      <c r="G53" s="128">
        <v>1.0900000000000001</v>
      </c>
      <c r="H53" s="128">
        <v>1.1100000000000001</v>
      </c>
      <c r="I53" s="128">
        <v>1.1200000000000001</v>
      </c>
      <c r="J53" s="128">
        <v>1.1399999999999999</v>
      </c>
      <c r="K53" s="128">
        <v>1.1499999999999999</v>
      </c>
      <c r="L53" s="128">
        <v>1.17</v>
      </c>
      <c r="M53" s="128">
        <v>1.18</v>
      </c>
      <c r="N53" s="128">
        <v>1.19</v>
      </c>
      <c r="O53" s="128">
        <v>1.21</v>
      </c>
      <c r="P53" s="128">
        <v>1.22</v>
      </c>
      <c r="Q53" s="128">
        <v>1.23</v>
      </c>
      <c r="R53" s="128">
        <v>1.24</v>
      </c>
      <c r="S53" s="128">
        <v>1.25</v>
      </c>
      <c r="T53" s="128">
        <v>1.26</v>
      </c>
      <c r="U53" s="128">
        <v>1.28</v>
      </c>
      <c r="V53" s="128">
        <v>1.29</v>
      </c>
      <c r="W53" s="128">
        <v>1.3</v>
      </c>
      <c r="X53" s="128">
        <v>1.31</v>
      </c>
      <c r="Y53" s="128">
        <v>1.32</v>
      </c>
      <c r="Z53" s="128">
        <v>1.32</v>
      </c>
      <c r="AA53" s="128">
        <v>1.33</v>
      </c>
      <c r="AB53" s="128">
        <v>1.34</v>
      </c>
      <c r="AC53" s="128">
        <v>1.35</v>
      </c>
      <c r="AD53" s="128">
        <v>1.36</v>
      </c>
      <c r="AE53" s="128">
        <v>1.37</v>
      </c>
      <c r="AF53" s="128">
        <v>1.38</v>
      </c>
      <c r="AG53" s="128">
        <v>1.38</v>
      </c>
      <c r="AH53" s="128">
        <v>1.39</v>
      </c>
      <c r="AI53" s="128">
        <v>1.4</v>
      </c>
      <c r="AJ53" s="128">
        <v>1.4</v>
      </c>
      <c r="AK53" s="128">
        <v>1.41</v>
      </c>
      <c r="AL53" s="128">
        <v>1.42</v>
      </c>
      <c r="AM53" s="128">
        <v>1.43</v>
      </c>
      <c r="AN53" s="128">
        <v>1.43</v>
      </c>
      <c r="AO53" s="128">
        <v>1.44</v>
      </c>
      <c r="AP53" s="128">
        <v>1.44</v>
      </c>
      <c r="AQ53" s="128">
        <v>1.45</v>
      </c>
      <c r="AR53" s="128">
        <v>1.46</v>
      </c>
      <c r="AS53" s="128">
        <v>1.46</v>
      </c>
      <c r="AT53" s="128">
        <v>1.47</v>
      </c>
      <c r="AU53" s="128">
        <v>1.47</v>
      </c>
      <c r="AV53" s="128">
        <v>1.48</v>
      </c>
      <c r="AW53" s="128">
        <v>1.48</v>
      </c>
      <c r="AX53" s="128">
        <v>1.49</v>
      </c>
      <c r="AY53" s="128">
        <v>1.49</v>
      </c>
      <c r="AZ53" s="128">
        <v>1.5</v>
      </c>
      <c r="BA53" s="128">
        <v>1.5</v>
      </c>
      <c r="BB53" s="128">
        <v>1.5</v>
      </c>
      <c r="BC53" s="128">
        <v>1.5</v>
      </c>
      <c r="BD53" s="128">
        <v>1.5</v>
      </c>
      <c r="BE53" s="128">
        <v>1.5</v>
      </c>
      <c r="BF53" s="128">
        <v>1.5</v>
      </c>
      <c r="BG53" s="128">
        <v>1.5</v>
      </c>
      <c r="BH53" s="128">
        <v>1.5</v>
      </c>
      <c r="BI53" s="128">
        <v>1.5</v>
      </c>
      <c r="BJ53" s="128">
        <v>1.5</v>
      </c>
      <c r="BK53" s="128">
        <v>1.5</v>
      </c>
      <c r="BL53" s="128">
        <v>1.5</v>
      </c>
      <c r="BM53" s="128">
        <v>1.5</v>
      </c>
      <c r="BN53" s="128">
        <v>1.5</v>
      </c>
      <c r="BO53" s="128">
        <v>1.5</v>
      </c>
      <c r="BP53" s="128">
        <v>1.5</v>
      </c>
      <c r="BQ53" s="128">
        <v>1.5</v>
      </c>
      <c r="BR53" s="128">
        <v>1.5</v>
      </c>
      <c r="BS53" s="128">
        <v>1.5</v>
      </c>
      <c r="BT53" s="128">
        <v>1.5</v>
      </c>
      <c r="BU53" s="128">
        <v>1.5</v>
      </c>
      <c r="BV53" s="128">
        <v>1.5</v>
      </c>
      <c r="BW53" s="128">
        <v>1.5</v>
      </c>
      <c r="BX53" s="128">
        <v>1.5</v>
      </c>
      <c r="BY53" s="128">
        <v>1.5</v>
      </c>
      <c r="BZ53" s="128">
        <v>1.5</v>
      </c>
      <c r="CA53" s="128">
        <v>1.5</v>
      </c>
      <c r="CB53" s="128">
        <v>1.5</v>
      </c>
      <c r="CC53" s="128">
        <v>1.5</v>
      </c>
      <c r="CD53" s="128">
        <v>1.5</v>
      </c>
      <c r="CE53" s="128">
        <v>1.5</v>
      </c>
      <c r="CF53" s="128">
        <v>1.5</v>
      </c>
      <c r="CG53" s="128">
        <v>1.5</v>
      </c>
      <c r="CH53" s="128">
        <v>1.5</v>
      </c>
      <c r="CI53" s="128">
        <v>1.5</v>
      </c>
      <c r="CJ53" s="128">
        <v>1.5</v>
      </c>
      <c r="CK53" s="128">
        <v>1.5</v>
      </c>
      <c r="CL53" s="128">
        <v>1.5</v>
      </c>
      <c r="CM53" s="128">
        <v>1.5</v>
      </c>
      <c r="CN53" s="128">
        <v>1.5</v>
      </c>
      <c r="CO53" s="128">
        <v>1.5</v>
      </c>
      <c r="CP53" s="128">
        <v>1.5</v>
      </c>
      <c r="CQ53" s="128">
        <v>1.5</v>
      </c>
      <c r="CR53" s="128">
        <v>1.5</v>
      </c>
      <c r="CS53" s="128">
        <v>1.5</v>
      </c>
      <c r="CT53" s="128">
        <v>1.5</v>
      </c>
      <c r="CU53" s="128">
        <v>1.5</v>
      </c>
      <c r="CV53" s="128">
        <v>1.5</v>
      </c>
      <c r="CW53" s="128">
        <v>1.5</v>
      </c>
      <c r="CX53" s="128">
        <v>1.5</v>
      </c>
      <c r="CZ53" s="126">
        <f>SUMIF(MatrixF1[[1]:[2]],MatrixF1[[#This Row],[Столбец1]])/MatrixF1[[#This Row],[Столбец1]]</f>
        <v>101</v>
      </c>
    </row>
    <row r="54" spans="1:104" ht="21" customHeight="1" x14ac:dyDescent="0.25">
      <c r="A54" s="127">
        <v>1.51</v>
      </c>
      <c r="B54" s="128">
        <v>1</v>
      </c>
      <c r="C54" s="128">
        <v>1.02</v>
      </c>
      <c r="D54" s="128">
        <v>1.04</v>
      </c>
      <c r="E54" s="128">
        <v>1.06</v>
      </c>
      <c r="F54" s="128">
        <v>1.07</v>
      </c>
      <c r="G54" s="128">
        <v>1.0900000000000001</v>
      </c>
      <c r="H54" s="128">
        <v>1.1100000000000001</v>
      </c>
      <c r="I54" s="128">
        <v>1.1200000000000001</v>
      </c>
      <c r="J54" s="128">
        <v>1.1399999999999999</v>
      </c>
      <c r="K54" s="128">
        <v>1.1499999999999999</v>
      </c>
      <c r="L54" s="128">
        <v>1.1599999999999999</v>
      </c>
      <c r="M54" s="128">
        <v>1.18</v>
      </c>
      <c r="N54" s="128">
        <v>1.19</v>
      </c>
      <c r="O54" s="128">
        <v>1.2</v>
      </c>
      <c r="P54" s="128">
        <v>1.22</v>
      </c>
      <c r="Q54" s="128">
        <v>1.23</v>
      </c>
      <c r="R54" s="128">
        <v>1.24</v>
      </c>
      <c r="S54" s="128">
        <v>1.25</v>
      </c>
      <c r="T54" s="128">
        <v>1.26</v>
      </c>
      <c r="U54" s="128">
        <v>1.27</v>
      </c>
      <c r="V54" s="128">
        <v>1.28</v>
      </c>
      <c r="W54" s="128">
        <v>1.29</v>
      </c>
      <c r="X54" s="128">
        <v>1.3</v>
      </c>
      <c r="Y54" s="128">
        <v>1.31</v>
      </c>
      <c r="Z54" s="128">
        <v>1.32</v>
      </c>
      <c r="AA54" s="128">
        <v>1.33</v>
      </c>
      <c r="AB54" s="128">
        <v>1.34</v>
      </c>
      <c r="AC54" s="128">
        <v>1.35</v>
      </c>
      <c r="AD54" s="128">
        <v>1.35</v>
      </c>
      <c r="AE54" s="128">
        <v>1.36</v>
      </c>
      <c r="AF54" s="128">
        <v>1.37</v>
      </c>
      <c r="AG54" s="128">
        <v>1.38</v>
      </c>
      <c r="AH54" s="128">
        <v>1.39</v>
      </c>
      <c r="AI54" s="128">
        <v>1.39</v>
      </c>
      <c r="AJ54" s="128">
        <v>1.4</v>
      </c>
      <c r="AK54" s="128">
        <v>1.41</v>
      </c>
      <c r="AL54" s="128">
        <v>1.41</v>
      </c>
      <c r="AM54" s="128">
        <v>1.42</v>
      </c>
      <c r="AN54" s="128">
        <v>1.43</v>
      </c>
      <c r="AO54" s="128">
        <v>1.43</v>
      </c>
      <c r="AP54" s="128">
        <v>1.44</v>
      </c>
      <c r="AQ54" s="128">
        <v>1.45</v>
      </c>
      <c r="AR54" s="128">
        <v>1.45</v>
      </c>
      <c r="AS54" s="128">
        <v>1.46</v>
      </c>
      <c r="AT54" s="128">
        <v>1.46</v>
      </c>
      <c r="AU54" s="128">
        <v>1.47</v>
      </c>
      <c r="AV54" s="128">
        <v>1.47</v>
      </c>
      <c r="AW54" s="128">
        <v>1.48</v>
      </c>
      <c r="AX54" s="128">
        <v>1.48</v>
      </c>
      <c r="AY54" s="128">
        <v>1.49</v>
      </c>
      <c r="AZ54" s="128">
        <v>1.5</v>
      </c>
      <c r="BA54" s="128">
        <v>1.51</v>
      </c>
      <c r="BB54" s="128">
        <v>1.51</v>
      </c>
      <c r="BC54" s="128">
        <v>1.51</v>
      </c>
      <c r="BD54" s="128">
        <v>1.51</v>
      </c>
      <c r="BE54" s="128">
        <v>1.51</v>
      </c>
      <c r="BF54" s="128">
        <v>1.51</v>
      </c>
      <c r="BG54" s="128">
        <v>1.51</v>
      </c>
      <c r="BH54" s="128">
        <v>1.51</v>
      </c>
      <c r="BI54" s="128">
        <v>1.51</v>
      </c>
      <c r="BJ54" s="128">
        <v>1.51</v>
      </c>
      <c r="BK54" s="128">
        <v>1.51</v>
      </c>
      <c r="BL54" s="128">
        <v>1.51</v>
      </c>
      <c r="BM54" s="128">
        <v>1.51</v>
      </c>
      <c r="BN54" s="128">
        <v>1.51</v>
      </c>
      <c r="BO54" s="128">
        <v>1.51</v>
      </c>
      <c r="BP54" s="128">
        <v>1.51</v>
      </c>
      <c r="BQ54" s="128">
        <v>1.51</v>
      </c>
      <c r="BR54" s="128">
        <v>1.51</v>
      </c>
      <c r="BS54" s="128">
        <v>1.51</v>
      </c>
      <c r="BT54" s="128">
        <v>1.51</v>
      </c>
      <c r="BU54" s="128">
        <v>1.51</v>
      </c>
      <c r="BV54" s="128">
        <v>1.51</v>
      </c>
      <c r="BW54" s="128">
        <v>1.51</v>
      </c>
      <c r="BX54" s="128">
        <v>1.51</v>
      </c>
      <c r="BY54" s="128">
        <v>1.51</v>
      </c>
      <c r="BZ54" s="128">
        <v>1.51</v>
      </c>
      <c r="CA54" s="128">
        <v>1.51</v>
      </c>
      <c r="CB54" s="128">
        <v>1.51</v>
      </c>
      <c r="CC54" s="128">
        <v>1.51</v>
      </c>
      <c r="CD54" s="128">
        <v>1.51</v>
      </c>
      <c r="CE54" s="128">
        <v>1.51</v>
      </c>
      <c r="CF54" s="128">
        <v>1.51</v>
      </c>
      <c r="CG54" s="128">
        <v>1.51</v>
      </c>
      <c r="CH54" s="128">
        <v>1.51</v>
      </c>
      <c r="CI54" s="128">
        <v>1.51</v>
      </c>
      <c r="CJ54" s="128">
        <v>1.51</v>
      </c>
      <c r="CK54" s="128">
        <v>1.51</v>
      </c>
      <c r="CL54" s="128">
        <v>1.51</v>
      </c>
      <c r="CM54" s="128">
        <v>1.51</v>
      </c>
      <c r="CN54" s="128">
        <v>1.51</v>
      </c>
      <c r="CO54" s="128">
        <v>1.51</v>
      </c>
      <c r="CP54" s="128">
        <v>1.51</v>
      </c>
      <c r="CQ54" s="128">
        <v>1.51</v>
      </c>
      <c r="CR54" s="128">
        <v>1.51</v>
      </c>
      <c r="CS54" s="128">
        <v>1.51</v>
      </c>
      <c r="CT54" s="128">
        <v>1.51</v>
      </c>
      <c r="CU54" s="128">
        <v>1.51</v>
      </c>
      <c r="CV54" s="128">
        <v>1.51</v>
      </c>
      <c r="CW54" s="128">
        <v>1.51</v>
      </c>
      <c r="CX54" s="128">
        <v>1.51</v>
      </c>
      <c r="CZ54" s="126">
        <f>SUMIF(MatrixF1[[1]:[2]],MatrixF1[[#This Row],[Столбец1]])/MatrixF1[[#This Row],[Столбец1]]</f>
        <v>99.000000000000043</v>
      </c>
    </row>
    <row r="55" spans="1:104" ht="21" customHeight="1" x14ac:dyDescent="0.25">
      <c r="A55" s="127">
        <v>1.52</v>
      </c>
      <c r="B55" s="128">
        <v>1</v>
      </c>
      <c r="C55" s="128">
        <v>1.02</v>
      </c>
      <c r="D55" s="128">
        <v>1.04</v>
      </c>
      <c r="E55" s="128">
        <v>1.05</v>
      </c>
      <c r="F55" s="128">
        <v>1.07</v>
      </c>
      <c r="G55" s="128">
        <v>1.0900000000000001</v>
      </c>
      <c r="H55" s="128">
        <v>1.1000000000000001</v>
      </c>
      <c r="I55" s="128">
        <v>1.1200000000000001</v>
      </c>
      <c r="J55" s="128">
        <v>1.1299999999999999</v>
      </c>
      <c r="K55" s="128">
        <v>1.1499999999999999</v>
      </c>
      <c r="L55" s="128">
        <v>1.1599999999999999</v>
      </c>
      <c r="M55" s="128">
        <v>1.17</v>
      </c>
      <c r="N55" s="128">
        <v>1.19</v>
      </c>
      <c r="O55" s="128">
        <v>1.2</v>
      </c>
      <c r="P55" s="128">
        <v>1.21</v>
      </c>
      <c r="Q55" s="128">
        <v>1.22</v>
      </c>
      <c r="R55" s="128">
        <v>1.24</v>
      </c>
      <c r="S55" s="128">
        <v>1.25</v>
      </c>
      <c r="T55" s="128">
        <v>1.26</v>
      </c>
      <c r="U55" s="128">
        <v>1.27</v>
      </c>
      <c r="V55" s="128">
        <v>1.28</v>
      </c>
      <c r="W55" s="128">
        <v>1.29</v>
      </c>
      <c r="X55" s="128">
        <v>1.3</v>
      </c>
      <c r="Y55" s="128">
        <v>1.31</v>
      </c>
      <c r="Z55" s="128">
        <v>1.32</v>
      </c>
      <c r="AA55" s="128">
        <v>1.32</v>
      </c>
      <c r="AB55" s="128">
        <v>1.33</v>
      </c>
      <c r="AC55" s="128">
        <v>1.34</v>
      </c>
      <c r="AD55" s="128">
        <v>1.35</v>
      </c>
      <c r="AE55" s="128">
        <v>1.36</v>
      </c>
      <c r="AF55" s="128">
        <v>1.37</v>
      </c>
      <c r="AG55" s="128">
        <v>1.37</v>
      </c>
      <c r="AH55" s="128">
        <v>1.38</v>
      </c>
      <c r="AI55" s="128">
        <v>1.39</v>
      </c>
      <c r="AJ55" s="128">
        <v>1.4</v>
      </c>
      <c r="AK55" s="128">
        <v>1.4</v>
      </c>
      <c r="AL55" s="128">
        <v>1.41</v>
      </c>
      <c r="AM55" s="128">
        <v>1.42</v>
      </c>
      <c r="AN55" s="128">
        <v>1.42</v>
      </c>
      <c r="AO55" s="128">
        <v>1.43</v>
      </c>
      <c r="AP55" s="128">
        <v>1.43</v>
      </c>
      <c r="AQ55" s="128">
        <v>1.44</v>
      </c>
      <c r="AR55" s="128">
        <v>1.45</v>
      </c>
      <c r="AS55" s="128">
        <v>1.45</v>
      </c>
      <c r="AT55" s="128">
        <v>1.46</v>
      </c>
      <c r="AU55" s="128">
        <v>1.46</v>
      </c>
      <c r="AV55" s="128">
        <v>1.47</v>
      </c>
      <c r="AW55" s="128">
        <v>1.47</v>
      </c>
      <c r="AX55" s="128">
        <v>1.48</v>
      </c>
      <c r="AY55" s="128">
        <v>1.49</v>
      </c>
      <c r="AZ55" s="128">
        <v>1.5</v>
      </c>
      <c r="BA55" s="128">
        <v>1.51</v>
      </c>
      <c r="BB55" s="128">
        <v>1.52</v>
      </c>
      <c r="BC55" s="128">
        <v>1.52</v>
      </c>
      <c r="BD55" s="128">
        <v>1.52</v>
      </c>
      <c r="BE55" s="128">
        <v>1.52</v>
      </c>
      <c r="BF55" s="128">
        <v>1.52</v>
      </c>
      <c r="BG55" s="128">
        <v>1.52</v>
      </c>
      <c r="BH55" s="128">
        <v>1.52</v>
      </c>
      <c r="BI55" s="128">
        <v>1.52</v>
      </c>
      <c r="BJ55" s="128">
        <v>1.52</v>
      </c>
      <c r="BK55" s="128">
        <v>1.52</v>
      </c>
      <c r="BL55" s="128">
        <v>1.52</v>
      </c>
      <c r="BM55" s="128">
        <v>1.52</v>
      </c>
      <c r="BN55" s="128">
        <v>1.52</v>
      </c>
      <c r="BO55" s="128">
        <v>1.52</v>
      </c>
      <c r="BP55" s="128">
        <v>1.52</v>
      </c>
      <c r="BQ55" s="128">
        <v>1.52</v>
      </c>
      <c r="BR55" s="128">
        <v>1.52</v>
      </c>
      <c r="BS55" s="128">
        <v>1.52</v>
      </c>
      <c r="BT55" s="128">
        <v>1.52</v>
      </c>
      <c r="BU55" s="128">
        <v>1.52</v>
      </c>
      <c r="BV55" s="128">
        <v>1.52</v>
      </c>
      <c r="BW55" s="128">
        <v>1.52</v>
      </c>
      <c r="BX55" s="128">
        <v>1.52</v>
      </c>
      <c r="BY55" s="128">
        <v>1.52</v>
      </c>
      <c r="BZ55" s="128">
        <v>1.52</v>
      </c>
      <c r="CA55" s="128">
        <v>1.52</v>
      </c>
      <c r="CB55" s="128">
        <v>1.52</v>
      </c>
      <c r="CC55" s="128">
        <v>1.52</v>
      </c>
      <c r="CD55" s="128">
        <v>1.52</v>
      </c>
      <c r="CE55" s="128">
        <v>1.52</v>
      </c>
      <c r="CF55" s="128">
        <v>1.52</v>
      </c>
      <c r="CG55" s="128">
        <v>1.52</v>
      </c>
      <c r="CH55" s="128">
        <v>1.52</v>
      </c>
      <c r="CI55" s="128">
        <v>1.52</v>
      </c>
      <c r="CJ55" s="128">
        <v>1.52</v>
      </c>
      <c r="CK55" s="128">
        <v>1.52</v>
      </c>
      <c r="CL55" s="128">
        <v>1.52</v>
      </c>
      <c r="CM55" s="128">
        <v>1.52</v>
      </c>
      <c r="CN55" s="128">
        <v>1.52</v>
      </c>
      <c r="CO55" s="128">
        <v>1.52</v>
      </c>
      <c r="CP55" s="128">
        <v>1.52</v>
      </c>
      <c r="CQ55" s="128">
        <v>1.52</v>
      </c>
      <c r="CR55" s="128">
        <v>1.52</v>
      </c>
      <c r="CS55" s="128">
        <v>1.52</v>
      </c>
      <c r="CT55" s="128">
        <v>1.52</v>
      </c>
      <c r="CU55" s="128">
        <v>1.52</v>
      </c>
      <c r="CV55" s="128">
        <v>1.52</v>
      </c>
      <c r="CW55" s="128">
        <v>1.52</v>
      </c>
      <c r="CX55" s="128">
        <v>1.52</v>
      </c>
      <c r="CZ55" s="126">
        <f>SUMIF(MatrixF1[[1]:[2]],MatrixF1[[#This Row],[Столбец1]])/MatrixF1[[#This Row],[Столбец1]]</f>
        <v>97.000000000000014</v>
      </c>
    </row>
    <row r="56" spans="1:104" ht="21" customHeight="1" x14ac:dyDescent="0.25">
      <c r="A56" s="127">
        <v>1.53</v>
      </c>
      <c r="B56" s="128">
        <v>1</v>
      </c>
      <c r="C56" s="128">
        <v>1.02</v>
      </c>
      <c r="D56" s="128">
        <v>1.04</v>
      </c>
      <c r="E56" s="128">
        <v>1.05</v>
      </c>
      <c r="F56" s="128">
        <v>1.07</v>
      </c>
      <c r="G56" s="128">
        <v>1.0900000000000001</v>
      </c>
      <c r="H56" s="128">
        <v>1.1000000000000001</v>
      </c>
      <c r="I56" s="128">
        <v>1.1200000000000001</v>
      </c>
      <c r="J56" s="128">
        <v>1.1299999999999999</v>
      </c>
      <c r="K56" s="128">
        <v>1.1499999999999999</v>
      </c>
      <c r="L56" s="128">
        <v>1.1599999999999999</v>
      </c>
      <c r="M56" s="128">
        <v>1.17</v>
      </c>
      <c r="N56" s="128">
        <v>1.18</v>
      </c>
      <c r="O56" s="128">
        <v>1.2</v>
      </c>
      <c r="P56" s="128">
        <v>1.21</v>
      </c>
      <c r="Q56" s="128">
        <v>1.22</v>
      </c>
      <c r="R56" s="128">
        <v>1.23</v>
      </c>
      <c r="S56" s="128">
        <v>1.24</v>
      </c>
      <c r="T56" s="128">
        <v>1.25</v>
      </c>
      <c r="U56" s="128">
        <v>1.26</v>
      </c>
      <c r="V56" s="128">
        <v>1.27</v>
      </c>
      <c r="W56" s="128">
        <v>1.28</v>
      </c>
      <c r="X56" s="128">
        <v>1.29</v>
      </c>
      <c r="Y56" s="128">
        <v>1.3</v>
      </c>
      <c r="Z56" s="128">
        <v>1.31</v>
      </c>
      <c r="AA56" s="128">
        <v>1.32</v>
      </c>
      <c r="AB56" s="128">
        <v>1.33</v>
      </c>
      <c r="AC56" s="128">
        <v>1.34</v>
      </c>
      <c r="AD56" s="128">
        <v>1.35</v>
      </c>
      <c r="AE56" s="128">
        <v>1.35</v>
      </c>
      <c r="AF56" s="128">
        <v>1.36</v>
      </c>
      <c r="AG56" s="128">
        <v>1.37</v>
      </c>
      <c r="AH56" s="128">
        <v>1.38</v>
      </c>
      <c r="AI56" s="128">
        <v>1.38</v>
      </c>
      <c r="AJ56" s="128">
        <v>1.39</v>
      </c>
      <c r="AK56" s="128">
        <v>1.4</v>
      </c>
      <c r="AL56" s="128">
        <v>1.4</v>
      </c>
      <c r="AM56" s="128">
        <v>1.41</v>
      </c>
      <c r="AN56" s="128">
        <v>1.42</v>
      </c>
      <c r="AO56" s="128">
        <v>1.42</v>
      </c>
      <c r="AP56" s="128">
        <v>1.43</v>
      </c>
      <c r="AQ56" s="128">
        <v>1.44</v>
      </c>
      <c r="AR56" s="128">
        <v>1.44</v>
      </c>
      <c r="AS56" s="128">
        <v>1.45</v>
      </c>
      <c r="AT56" s="128">
        <v>1.45</v>
      </c>
      <c r="AU56" s="128">
        <v>1.46</v>
      </c>
      <c r="AV56" s="128">
        <v>1.46</v>
      </c>
      <c r="AW56" s="128">
        <v>1.47</v>
      </c>
      <c r="AX56" s="128">
        <v>1.48</v>
      </c>
      <c r="AY56" s="128">
        <v>1.49</v>
      </c>
      <c r="AZ56" s="128">
        <v>1.5</v>
      </c>
      <c r="BA56" s="128">
        <v>1.51</v>
      </c>
      <c r="BB56" s="128">
        <v>1.52</v>
      </c>
      <c r="BC56" s="128">
        <v>1.53</v>
      </c>
      <c r="BD56" s="128">
        <v>1.53</v>
      </c>
      <c r="BE56" s="128">
        <v>1.53</v>
      </c>
      <c r="BF56" s="128">
        <v>1.53</v>
      </c>
      <c r="BG56" s="128">
        <v>1.53</v>
      </c>
      <c r="BH56" s="128">
        <v>1.53</v>
      </c>
      <c r="BI56" s="128">
        <v>1.53</v>
      </c>
      <c r="BJ56" s="128">
        <v>1.53</v>
      </c>
      <c r="BK56" s="128">
        <v>1.53</v>
      </c>
      <c r="BL56" s="128">
        <v>1.53</v>
      </c>
      <c r="BM56" s="128">
        <v>1.53</v>
      </c>
      <c r="BN56" s="128">
        <v>1.53</v>
      </c>
      <c r="BO56" s="128">
        <v>1.53</v>
      </c>
      <c r="BP56" s="128">
        <v>1.53</v>
      </c>
      <c r="BQ56" s="128">
        <v>1.53</v>
      </c>
      <c r="BR56" s="128">
        <v>1.53</v>
      </c>
      <c r="BS56" s="128">
        <v>1.53</v>
      </c>
      <c r="BT56" s="128">
        <v>1.53</v>
      </c>
      <c r="BU56" s="128">
        <v>1.53</v>
      </c>
      <c r="BV56" s="128">
        <v>1.53</v>
      </c>
      <c r="BW56" s="128">
        <v>1.53</v>
      </c>
      <c r="BX56" s="128">
        <v>1.53</v>
      </c>
      <c r="BY56" s="128">
        <v>1.53</v>
      </c>
      <c r="BZ56" s="128">
        <v>1.53</v>
      </c>
      <c r="CA56" s="128">
        <v>1.53</v>
      </c>
      <c r="CB56" s="128">
        <v>1.53</v>
      </c>
      <c r="CC56" s="128">
        <v>1.53</v>
      </c>
      <c r="CD56" s="128">
        <v>1.53</v>
      </c>
      <c r="CE56" s="128">
        <v>1.53</v>
      </c>
      <c r="CF56" s="128">
        <v>1.53</v>
      </c>
      <c r="CG56" s="128">
        <v>1.53</v>
      </c>
      <c r="CH56" s="128">
        <v>1.53</v>
      </c>
      <c r="CI56" s="128">
        <v>1.53</v>
      </c>
      <c r="CJ56" s="128">
        <v>1.53</v>
      </c>
      <c r="CK56" s="128">
        <v>1.53</v>
      </c>
      <c r="CL56" s="128">
        <v>1.53</v>
      </c>
      <c r="CM56" s="128">
        <v>1.53</v>
      </c>
      <c r="CN56" s="128">
        <v>1.53</v>
      </c>
      <c r="CO56" s="128">
        <v>1.53</v>
      </c>
      <c r="CP56" s="128">
        <v>1.53</v>
      </c>
      <c r="CQ56" s="128">
        <v>1.53</v>
      </c>
      <c r="CR56" s="128">
        <v>1.53</v>
      </c>
      <c r="CS56" s="128">
        <v>1.53</v>
      </c>
      <c r="CT56" s="128">
        <v>1.53</v>
      </c>
      <c r="CU56" s="128">
        <v>1.53</v>
      </c>
      <c r="CV56" s="128">
        <v>1.53</v>
      </c>
      <c r="CW56" s="128">
        <v>1.53</v>
      </c>
      <c r="CX56" s="128">
        <v>1.53</v>
      </c>
      <c r="CZ56" s="126">
        <f>SUMIF(MatrixF1[[1]:[2]],MatrixF1[[#This Row],[Столбец1]])/MatrixF1[[#This Row],[Столбец1]]</f>
        <v>95.000000000000057</v>
      </c>
    </row>
    <row r="57" spans="1:104" ht="21" customHeight="1" x14ac:dyDescent="0.25">
      <c r="A57" s="127">
        <v>1.54</v>
      </c>
      <c r="B57" s="128">
        <v>1</v>
      </c>
      <c r="C57" s="128">
        <v>1.02</v>
      </c>
      <c r="D57" s="128">
        <v>1.04</v>
      </c>
      <c r="E57" s="128">
        <v>1.05</v>
      </c>
      <c r="F57" s="128">
        <v>1.07</v>
      </c>
      <c r="G57" s="128">
        <v>1.08</v>
      </c>
      <c r="H57" s="128">
        <v>1.1000000000000001</v>
      </c>
      <c r="I57" s="128">
        <v>1.1100000000000001</v>
      </c>
      <c r="J57" s="128">
        <v>1.1299999999999999</v>
      </c>
      <c r="K57" s="128">
        <v>1.1399999999999999</v>
      </c>
      <c r="L57" s="128">
        <v>1.1599999999999999</v>
      </c>
      <c r="M57" s="128">
        <v>1.17</v>
      </c>
      <c r="N57" s="128">
        <v>1.18</v>
      </c>
      <c r="O57" s="128">
        <v>1.19</v>
      </c>
      <c r="P57" s="128">
        <v>1.21</v>
      </c>
      <c r="Q57" s="128">
        <v>1.22</v>
      </c>
      <c r="R57" s="128">
        <v>1.23</v>
      </c>
      <c r="S57" s="128">
        <v>1.24</v>
      </c>
      <c r="T57" s="128">
        <v>1.25</v>
      </c>
      <c r="U57" s="128">
        <v>1.26</v>
      </c>
      <c r="V57" s="128">
        <v>1.27</v>
      </c>
      <c r="W57" s="128">
        <v>1.28</v>
      </c>
      <c r="X57" s="128">
        <v>1.29</v>
      </c>
      <c r="Y57" s="128">
        <v>1.3</v>
      </c>
      <c r="Z57" s="128">
        <v>1.31</v>
      </c>
      <c r="AA57" s="128">
        <v>1.32</v>
      </c>
      <c r="AB57" s="128">
        <v>1.32</v>
      </c>
      <c r="AC57" s="128">
        <v>1.33</v>
      </c>
      <c r="AD57" s="128">
        <v>1.34</v>
      </c>
      <c r="AE57" s="128">
        <v>1.35</v>
      </c>
      <c r="AF57" s="128">
        <v>1.36</v>
      </c>
      <c r="AG57" s="128">
        <v>1.36</v>
      </c>
      <c r="AH57" s="128">
        <v>1.37</v>
      </c>
      <c r="AI57" s="128">
        <v>1.38</v>
      </c>
      <c r="AJ57" s="128">
        <v>1.39</v>
      </c>
      <c r="AK57" s="128">
        <v>1.39</v>
      </c>
      <c r="AL57" s="128">
        <v>1.4</v>
      </c>
      <c r="AM57" s="128">
        <v>1.41</v>
      </c>
      <c r="AN57" s="128">
        <v>1.41</v>
      </c>
      <c r="AO57" s="128">
        <v>1.42</v>
      </c>
      <c r="AP57" s="128">
        <v>1.43</v>
      </c>
      <c r="AQ57" s="128">
        <v>1.43</v>
      </c>
      <c r="AR57" s="128">
        <v>1.44</v>
      </c>
      <c r="AS57" s="128">
        <v>1.44</v>
      </c>
      <c r="AT57" s="128">
        <v>1.45</v>
      </c>
      <c r="AU57" s="128">
        <v>1.45</v>
      </c>
      <c r="AV57" s="128">
        <v>1.46</v>
      </c>
      <c r="AW57" s="128">
        <v>1.47</v>
      </c>
      <c r="AX57" s="128">
        <v>1.48</v>
      </c>
      <c r="AY57" s="128">
        <v>1.49</v>
      </c>
      <c r="AZ57" s="128">
        <v>1.5</v>
      </c>
      <c r="BA57" s="128">
        <v>1.51</v>
      </c>
      <c r="BB57" s="128">
        <v>1.52</v>
      </c>
      <c r="BC57" s="128">
        <v>1.53</v>
      </c>
      <c r="BD57" s="128">
        <v>1.54</v>
      </c>
      <c r="BE57" s="128">
        <v>1.54</v>
      </c>
      <c r="BF57" s="128">
        <v>1.54</v>
      </c>
      <c r="BG57" s="128">
        <v>1.54</v>
      </c>
      <c r="BH57" s="128">
        <v>1.54</v>
      </c>
      <c r="BI57" s="128">
        <v>1.54</v>
      </c>
      <c r="BJ57" s="128">
        <v>1.54</v>
      </c>
      <c r="BK57" s="128">
        <v>1.54</v>
      </c>
      <c r="BL57" s="128">
        <v>1.54</v>
      </c>
      <c r="BM57" s="128">
        <v>1.54</v>
      </c>
      <c r="BN57" s="128">
        <v>1.54</v>
      </c>
      <c r="BO57" s="128">
        <v>1.54</v>
      </c>
      <c r="BP57" s="128">
        <v>1.54</v>
      </c>
      <c r="BQ57" s="128">
        <v>1.54</v>
      </c>
      <c r="BR57" s="128">
        <v>1.54</v>
      </c>
      <c r="BS57" s="128">
        <v>1.54</v>
      </c>
      <c r="BT57" s="128">
        <v>1.54</v>
      </c>
      <c r="BU57" s="128">
        <v>1.54</v>
      </c>
      <c r="BV57" s="128">
        <v>1.54</v>
      </c>
      <c r="BW57" s="128">
        <v>1.54</v>
      </c>
      <c r="BX57" s="128">
        <v>1.54</v>
      </c>
      <c r="BY57" s="128">
        <v>1.54</v>
      </c>
      <c r="BZ57" s="128">
        <v>1.54</v>
      </c>
      <c r="CA57" s="128">
        <v>1.54</v>
      </c>
      <c r="CB57" s="128">
        <v>1.54</v>
      </c>
      <c r="CC57" s="128">
        <v>1.54</v>
      </c>
      <c r="CD57" s="128">
        <v>1.54</v>
      </c>
      <c r="CE57" s="128">
        <v>1.54</v>
      </c>
      <c r="CF57" s="128">
        <v>1.54</v>
      </c>
      <c r="CG57" s="128">
        <v>1.54</v>
      </c>
      <c r="CH57" s="128">
        <v>1.54</v>
      </c>
      <c r="CI57" s="128">
        <v>1.54</v>
      </c>
      <c r="CJ57" s="128">
        <v>1.54</v>
      </c>
      <c r="CK57" s="128">
        <v>1.54</v>
      </c>
      <c r="CL57" s="128">
        <v>1.54</v>
      </c>
      <c r="CM57" s="128">
        <v>1.54</v>
      </c>
      <c r="CN57" s="128">
        <v>1.54</v>
      </c>
      <c r="CO57" s="128">
        <v>1.54</v>
      </c>
      <c r="CP57" s="128">
        <v>1.54</v>
      </c>
      <c r="CQ57" s="128">
        <v>1.54</v>
      </c>
      <c r="CR57" s="128">
        <v>1.54</v>
      </c>
      <c r="CS57" s="128">
        <v>1.54</v>
      </c>
      <c r="CT57" s="128">
        <v>1.54</v>
      </c>
      <c r="CU57" s="128">
        <v>1.54</v>
      </c>
      <c r="CV57" s="128">
        <v>1.54</v>
      </c>
      <c r="CW57" s="128">
        <v>1.54</v>
      </c>
      <c r="CX57" s="128">
        <v>1.54</v>
      </c>
      <c r="CZ57" s="126">
        <f>SUMIF(MatrixF1[[1]:[2]],MatrixF1[[#This Row],[Столбец1]])/MatrixF1[[#This Row],[Столбец1]]</f>
        <v>93.000000000000114</v>
      </c>
    </row>
    <row r="58" spans="1:104" ht="21" customHeight="1" x14ac:dyDescent="0.25">
      <c r="A58" s="127">
        <v>1.55</v>
      </c>
      <c r="B58" s="128">
        <v>1</v>
      </c>
      <c r="C58" s="128">
        <v>1.02</v>
      </c>
      <c r="D58" s="128">
        <v>1.04</v>
      </c>
      <c r="E58" s="128">
        <v>1.05</v>
      </c>
      <c r="F58" s="128">
        <v>1.07</v>
      </c>
      <c r="G58" s="128">
        <v>1.08</v>
      </c>
      <c r="H58" s="128">
        <v>1.1000000000000001</v>
      </c>
      <c r="I58" s="128">
        <v>1.1100000000000001</v>
      </c>
      <c r="J58" s="128">
        <v>1.1299999999999999</v>
      </c>
      <c r="K58" s="128">
        <v>1.1399999999999999</v>
      </c>
      <c r="L58" s="128">
        <v>1.1499999999999999</v>
      </c>
      <c r="M58" s="128">
        <v>1.17</v>
      </c>
      <c r="N58" s="128">
        <v>1.18</v>
      </c>
      <c r="O58" s="128">
        <v>1.19</v>
      </c>
      <c r="P58" s="128">
        <v>1.2</v>
      </c>
      <c r="Q58" s="128">
        <v>1.21</v>
      </c>
      <c r="R58" s="128">
        <v>1.23</v>
      </c>
      <c r="S58" s="128">
        <v>1.24</v>
      </c>
      <c r="T58" s="128">
        <v>1.25</v>
      </c>
      <c r="U58" s="128">
        <v>1.26</v>
      </c>
      <c r="V58" s="128">
        <v>1.27</v>
      </c>
      <c r="W58" s="128">
        <v>1.28</v>
      </c>
      <c r="X58" s="128">
        <v>1.29</v>
      </c>
      <c r="Y58" s="128">
        <v>1.29</v>
      </c>
      <c r="Z58" s="128">
        <v>1.3</v>
      </c>
      <c r="AA58" s="128">
        <v>1.31</v>
      </c>
      <c r="AB58" s="128">
        <v>1.32</v>
      </c>
      <c r="AC58" s="128">
        <v>1.33</v>
      </c>
      <c r="AD58" s="128">
        <v>1.34</v>
      </c>
      <c r="AE58" s="128">
        <v>1.35</v>
      </c>
      <c r="AF58" s="128">
        <v>1.35</v>
      </c>
      <c r="AG58" s="128">
        <v>1.36</v>
      </c>
      <c r="AH58" s="128">
        <v>1.37</v>
      </c>
      <c r="AI58" s="128">
        <v>1.38</v>
      </c>
      <c r="AJ58" s="128">
        <v>1.38</v>
      </c>
      <c r="AK58" s="128">
        <v>1.39</v>
      </c>
      <c r="AL58" s="128">
        <v>1.4</v>
      </c>
      <c r="AM58" s="128">
        <v>1.4</v>
      </c>
      <c r="AN58" s="128">
        <v>1.41</v>
      </c>
      <c r="AO58" s="128">
        <v>1.41</v>
      </c>
      <c r="AP58" s="128">
        <v>1.42</v>
      </c>
      <c r="AQ58" s="128">
        <v>1.43</v>
      </c>
      <c r="AR58" s="128">
        <v>1.43</v>
      </c>
      <c r="AS58" s="128">
        <v>1.44</v>
      </c>
      <c r="AT58" s="128">
        <v>1.44</v>
      </c>
      <c r="AU58" s="128">
        <v>1.45</v>
      </c>
      <c r="AV58" s="128">
        <v>1.46</v>
      </c>
      <c r="AW58" s="128">
        <v>1.47</v>
      </c>
      <c r="AX58" s="128">
        <v>1.48</v>
      </c>
      <c r="AY58" s="128">
        <v>1.49</v>
      </c>
      <c r="AZ58" s="128">
        <v>1.5</v>
      </c>
      <c r="BA58" s="128">
        <v>1.51</v>
      </c>
      <c r="BB58" s="128">
        <v>1.52</v>
      </c>
      <c r="BC58" s="128">
        <v>1.53</v>
      </c>
      <c r="BD58" s="128">
        <v>1.54</v>
      </c>
      <c r="BE58" s="128">
        <v>1.55</v>
      </c>
      <c r="BF58" s="128">
        <v>1.55</v>
      </c>
      <c r="BG58" s="128">
        <v>1.55</v>
      </c>
      <c r="BH58" s="128">
        <v>1.55</v>
      </c>
      <c r="BI58" s="128">
        <v>1.55</v>
      </c>
      <c r="BJ58" s="128">
        <v>1.55</v>
      </c>
      <c r="BK58" s="128">
        <v>1.55</v>
      </c>
      <c r="BL58" s="128">
        <v>1.55</v>
      </c>
      <c r="BM58" s="128">
        <v>1.55</v>
      </c>
      <c r="BN58" s="128">
        <v>1.55</v>
      </c>
      <c r="BO58" s="128">
        <v>1.55</v>
      </c>
      <c r="BP58" s="128">
        <v>1.55</v>
      </c>
      <c r="BQ58" s="128">
        <v>1.55</v>
      </c>
      <c r="BR58" s="128">
        <v>1.55</v>
      </c>
      <c r="BS58" s="128">
        <v>1.55</v>
      </c>
      <c r="BT58" s="128">
        <v>1.55</v>
      </c>
      <c r="BU58" s="128">
        <v>1.55</v>
      </c>
      <c r="BV58" s="128">
        <v>1.55</v>
      </c>
      <c r="BW58" s="128">
        <v>1.55</v>
      </c>
      <c r="BX58" s="128">
        <v>1.55</v>
      </c>
      <c r="BY58" s="128">
        <v>1.55</v>
      </c>
      <c r="BZ58" s="128">
        <v>1.55</v>
      </c>
      <c r="CA58" s="128">
        <v>1.55</v>
      </c>
      <c r="CB58" s="128">
        <v>1.55</v>
      </c>
      <c r="CC58" s="128">
        <v>1.55</v>
      </c>
      <c r="CD58" s="128">
        <v>1.55</v>
      </c>
      <c r="CE58" s="128">
        <v>1.55</v>
      </c>
      <c r="CF58" s="128">
        <v>1.55</v>
      </c>
      <c r="CG58" s="128">
        <v>1.55</v>
      </c>
      <c r="CH58" s="128">
        <v>1.55</v>
      </c>
      <c r="CI58" s="128">
        <v>1.55</v>
      </c>
      <c r="CJ58" s="128">
        <v>1.55</v>
      </c>
      <c r="CK58" s="128">
        <v>1.55</v>
      </c>
      <c r="CL58" s="128">
        <v>1.55</v>
      </c>
      <c r="CM58" s="128">
        <v>1.55</v>
      </c>
      <c r="CN58" s="128">
        <v>1.55</v>
      </c>
      <c r="CO58" s="128">
        <v>1.55</v>
      </c>
      <c r="CP58" s="128">
        <v>1.55</v>
      </c>
      <c r="CQ58" s="128">
        <v>1.55</v>
      </c>
      <c r="CR58" s="128">
        <v>1.55</v>
      </c>
      <c r="CS58" s="128">
        <v>1.55</v>
      </c>
      <c r="CT58" s="128">
        <v>1.55</v>
      </c>
      <c r="CU58" s="128">
        <v>1.55</v>
      </c>
      <c r="CV58" s="128">
        <v>1.55</v>
      </c>
      <c r="CW58" s="128">
        <v>1.55</v>
      </c>
      <c r="CX58" s="128">
        <v>1.55</v>
      </c>
      <c r="CZ58" s="126">
        <f>SUMIF(MatrixF1[[1]:[2]],MatrixF1[[#This Row],[Столбец1]])/MatrixF1[[#This Row],[Столбец1]]</f>
        <v>90.999999999999943</v>
      </c>
    </row>
    <row r="59" spans="1:104" ht="21" customHeight="1" x14ac:dyDescent="0.25">
      <c r="A59" s="127">
        <v>1.56</v>
      </c>
      <c r="B59" s="128">
        <v>1</v>
      </c>
      <c r="C59" s="128">
        <v>1.02</v>
      </c>
      <c r="D59" s="128">
        <v>1.03</v>
      </c>
      <c r="E59" s="128">
        <v>1.05</v>
      </c>
      <c r="F59" s="128">
        <v>1.07</v>
      </c>
      <c r="G59" s="128">
        <v>1.08</v>
      </c>
      <c r="H59" s="128">
        <v>1.1000000000000001</v>
      </c>
      <c r="I59" s="128">
        <v>1.1100000000000001</v>
      </c>
      <c r="J59" s="128">
        <v>1.1299999999999999</v>
      </c>
      <c r="K59" s="128">
        <v>1.1399999999999999</v>
      </c>
      <c r="L59" s="128">
        <v>1.1499999999999999</v>
      </c>
      <c r="M59" s="128">
        <v>1.1599999999999999</v>
      </c>
      <c r="N59" s="128">
        <v>1.18</v>
      </c>
      <c r="O59" s="128">
        <v>1.19</v>
      </c>
      <c r="P59" s="128">
        <v>1.2</v>
      </c>
      <c r="Q59" s="128">
        <v>1.21</v>
      </c>
      <c r="R59" s="128">
        <v>1.22</v>
      </c>
      <c r="S59" s="128">
        <v>1.23</v>
      </c>
      <c r="T59" s="128">
        <v>1.24</v>
      </c>
      <c r="U59" s="128">
        <v>1.25</v>
      </c>
      <c r="V59" s="128">
        <v>1.26</v>
      </c>
      <c r="W59" s="128">
        <v>1.27</v>
      </c>
      <c r="X59" s="128">
        <v>1.28</v>
      </c>
      <c r="Y59" s="128">
        <v>1.29</v>
      </c>
      <c r="Z59" s="128">
        <v>1.3</v>
      </c>
      <c r="AA59" s="128">
        <v>1.31</v>
      </c>
      <c r="AB59" s="128">
        <v>1.32</v>
      </c>
      <c r="AC59" s="128">
        <v>1.33</v>
      </c>
      <c r="AD59" s="128">
        <v>1.33</v>
      </c>
      <c r="AE59" s="128">
        <v>1.34</v>
      </c>
      <c r="AF59" s="128">
        <v>1.35</v>
      </c>
      <c r="AG59" s="128">
        <v>1.36</v>
      </c>
      <c r="AH59" s="128">
        <v>1.36</v>
      </c>
      <c r="AI59" s="128">
        <v>1.37</v>
      </c>
      <c r="AJ59" s="128">
        <v>1.38</v>
      </c>
      <c r="AK59" s="128">
        <v>1.38</v>
      </c>
      <c r="AL59" s="128">
        <v>1.39</v>
      </c>
      <c r="AM59" s="128">
        <v>1.4</v>
      </c>
      <c r="AN59" s="128">
        <v>1.4</v>
      </c>
      <c r="AO59" s="128">
        <v>1.41</v>
      </c>
      <c r="AP59" s="128">
        <v>1.42</v>
      </c>
      <c r="AQ59" s="128">
        <v>1.42</v>
      </c>
      <c r="AR59" s="128">
        <v>1.43</v>
      </c>
      <c r="AS59" s="128">
        <v>1.43</v>
      </c>
      <c r="AT59" s="128">
        <v>1.44</v>
      </c>
      <c r="AU59" s="128">
        <v>1.45</v>
      </c>
      <c r="AV59" s="128">
        <v>1.46</v>
      </c>
      <c r="AW59" s="128">
        <v>1.47</v>
      </c>
      <c r="AX59" s="128">
        <v>1.48</v>
      </c>
      <c r="AY59" s="128">
        <v>1.49</v>
      </c>
      <c r="AZ59" s="128">
        <v>1.5</v>
      </c>
      <c r="BA59" s="128">
        <v>1.51</v>
      </c>
      <c r="BB59" s="128">
        <v>1.52</v>
      </c>
      <c r="BC59" s="128">
        <v>1.53</v>
      </c>
      <c r="BD59" s="128">
        <v>1.54</v>
      </c>
      <c r="BE59" s="128">
        <v>1.55</v>
      </c>
      <c r="BF59" s="128">
        <v>1.56</v>
      </c>
      <c r="BG59" s="128">
        <v>1.56</v>
      </c>
      <c r="BH59" s="128">
        <v>1.56</v>
      </c>
      <c r="BI59" s="128">
        <v>1.56</v>
      </c>
      <c r="BJ59" s="128">
        <v>1.56</v>
      </c>
      <c r="BK59" s="128">
        <v>1.56</v>
      </c>
      <c r="BL59" s="128">
        <v>1.56</v>
      </c>
      <c r="BM59" s="128">
        <v>1.56</v>
      </c>
      <c r="BN59" s="128">
        <v>1.56</v>
      </c>
      <c r="BO59" s="128">
        <v>1.56</v>
      </c>
      <c r="BP59" s="128">
        <v>1.56</v>
      </c>
      <c r="BQ59" s="128">
        <v>1.56</v>
      </c>
      <c r="BR59" s="128">
        <v>1.56</v>
      </c>
      <c r="BS59" s="128">
        <v>1.56</v>
      </c>
      <c r="BT59" s="128">
        <v>1.56</v>
      </c>
      <c r="BU59" s="128">
        <v>1.56</v>
      </c>
      <c r="BV59" s="128">
        <v>1.56</v>
      </c>
      <c r="BW59" s="128">
        <v>1.56</v>
      </c>
      <c r="BX59" s="128">
        <v>1.56</v>
      </c>
      <c r="BY59" s="128">
        <v>1.56</v>
      </c>
      <c r="BZ59" s="128">
        <v>1.56</v>
      </c>
      <c r="CA59" s="128">
        <v>1.56</v>
      </c>
      <c r="CB59" s="128">
        <v>1.56</v>
      </c>
      <c r="CC59" s="128">
        <v>1.56</v>
      </c>
      <c r="CD59" s="128">
        <v>1.56</v>
      </c>
      <c r="CE59" s="128">
        <v>1.56</v>
      </c>
      <c r="CF59" s="128">
        <v>1.56</v>
      </c>
      <c r="CG59" s="128">
        <v>1.56</v>
      </c>
      <c r="CH59" s="128">
        <v>1.56</v>
      </c>
      <c r="CI59" s="128">
        <v>1.56</v>
      </c>
      <c r="CJ59" s="128">
        <v>1.56</v>
      </c>
      <c r="CK59" s="128">
        <v>1.56</v>
      </c>
      <c r="CL59" s="128">
        <v>1.56</v>
      </c>
      <c r="CM59" s="128">
        <v>1.56</v>
      </c>
      <c r="CN59" s="128">
        <v>1.56</v>
      </c>
      <c r="CO59" s="128">
        <v>1.56</v>
      </c>
      <c r="CP59" s="128">
        <v>1.56</v>
      </c>
      <c r="CQ59" s="128">
        <v>1.56</v>
      </c>
      <c r="CR59" s="128">
        <v>1.56</v>
      </c>
      <c r="CS59" s="128">
        <v>1.56</v>
      </c>
      <c r="CT59" s="128">
        <v>1.56</v>
      </c>
      <c r="CU59" s="128">
        <v>1.56</v>
      </c>
      <c r="CV59" s="128">
        <v>1.56</v>
      </c>
      <c r="CW59" s="128">
        <v>1.56</v>
      </c>
      <c r="CX59" s="128">
        <v>1.56</v>
      </c>
      <c r="CZ59" s="126">
        <f>SUMIF(MatrixF1[[1]:[2]],MatrixF1[[#This Row],[Столбец1]])/MatrixF1[[#This Row],[Столбец1]]</f>
        <v>89.000000000000085</v>
      </c>
    </row>
    <row r="60" spans="1:104" ht="21" customHeight="1" x14ac:dyDescent="0.25">
      <c r="A60" s="127">
        <v>1.57</v>
      </c>
      <c r="B60" s="128">
        <v>1</v>
      </c>
      <c r="C60" s="128">
        <v>1.02</v>
      </c>
      <c r="D60" s="128">
        <v>1.03</v>
      </c>
      <c r="E60" s="128">
        <v>1.05</v>
      </c>
      <c r="F60" s="128">
        <v>1.07</v>
      </c>
      <c r="G60" s="128">
        <v>1.08</v>
      </c>
      <c r="H60" s="128">
        <v>1.1000000000000001</v>
      </c>
      <c r="I60" s="128">
        <v>1.1100000000000001</v>
      </c>
      <c r="J60" s="128">
        <v>1.1200000000000001</v>
      </c>
      <c r="K60" s="128">
        <v>1.1399999999999999</v>
      </c>
      <c r="L60" s="128">
        <v>1.1499999999999999</v>
      </c>
      <c r="M60" s="128">
        <v>1.1599999999999999</v>
      </c>
      <c r="N60" s="128">
        <v>1.17</v>
      </c>
      <c r="O60" s="128">
        <v>1.19</v>
      </c>
      <c r="P60" s="128">
        <v>1.2</v>
      </c>
      <c r="Q60" s="128">
        <v>1.21</v>
      </c>
      <c r="R60" s="128">
        <v>1.22</v>
      </c>
      <c r="S60" s="128">
        <v>1.23</v>
      </c>
      <c r="T60" s="128">
        <v>1.24</v>
      </c>
      <c r="U60" s="128">
        <v>1.25</v>
      </c>
      <c r="V60" s="128">
        <v>1.26</v>
      </c>
      <c r="W60" s="128">
        <v>1.27</v>
      </c>
      <c r="X60" s="128">
        <v>1.28</v>
      </c>
      <c r="Y60" s="128">
        <v>1.29</v>
      </c>
      <c r="Z60" s="128">
        <v>1.3</v>
      </c>
      <c r="AA60" s="128">
        <v>1.3</v>
      </c>
      <c r="AB60" s="128">
        <v>1.31</v>
      </c>
      <c r="AC60" s="128">
        <v>1.32</v>
      </c>
      <c r="AD60" s="128">
        <v>1.33</v>
      </c>
      <c r="AE60" s="128">
        <v>1.34</v>
      </c>
      <c r="AF60" s="128">
        <v>1.34</v>
      </c>
      <c r="AG60" s="128">
        <v>1.35</v>
      </c>
      <c r="AH60" s="128">
        <v>1.36</v>
      </c>
      <c r="AI60" s="128">
        <v>1.37</v>
      </c>
      <c r="AJ60" s="128">
        <v>1.37</v>
      </c>
      <c r="AK60" s="128">
        <v>1.38</v>
      </c>
      <c r="AL60" s="128">
        <v>1.39</v>
      </c>
      <c r="AM60" s="128">
        <v>1.39</v>
      </c>
      <c r="AN60" s="128">
        <v>1.4</v>
      </c>
      <c r="AO60" s="128">
        <v>1.41</v>
      </c>
      <c r="AP60" s="128">
        <v>1.41</v>
      </c>
      <c r="AQ60" s="128">
        <v>1.42</v>
      </c>
      <c r="AR60" s="128">
        <v>1.42</v>
      </c>
      <c r="AS60" s="128">
        <v>1.43</v>
      </c>
      <c r="AT60" s="128">
        <v>1.44</v>
      </c>
      <c r="AU60" s="128">
        <v>1.45</v>
      </c>
      <c r="AV60" s="128">
        <v>1.46</v>
      </c>
      <c r="AW60" s="128">
        <v>1.47</v>
      </c>
      <c r="AX60" s="128">
        <v>1.48</v>
      </c>
      <c r="AY60" s="128">
        <v>1.49</v>
      </c>
      <c r="AZ60" s="128">
        <v>1.5</v>
      </c>
      <c r="BA60" s="128">
        <v>1.51</v>
      </c>
      <c r="BB60" s="128">
        <v>1.52</v>
      </c>
      <c r="BC60" s="128">
        <v>1.53</v>
      </c>
      <c r="BD60" s="128">
        <v>1.54</v>
      </c>
      <c r="BE60" s="128">
        <v>1.55</v>
      </c>
      <c r="BF60" s="128">
        <v>1.56</v>
      </c>
      <c r="BG60" s="128">
        <v>1.57</v>
      </c>
      <c r="BH60" s="128">
        <v>1.57</v>
      </c>
      <c r="BI60" s="128">
        <v>1.57</v>
      </c>
      <c r="BJ60" s="128">
        <v>1.57</v>
      </c>
      <c r="BK60" s="128">
        <v>1.57</v>
      </c>
      <c r="BL60" s="128">
        <v>1.57</v>
      </c>
      <c r="BM60" s="128">
        <v>1.57</v>
      </c>
      <c r="BN60" s="128">
        <v>1.57</v>
      </c>
      <c r="BO60" s="128">
        <v>1.57</v>
      </c>
      <c r="BP60" s="128">
        <v>1.57</v>
      </c>
      <c r="BQ60" s="128">
        <v>1.57</v>
      </c>
      <c r="BR60" s="128">
        <v>1.57</v>
      </c>
      <c r="BS60" s="128">
        <v>1.57</v>
      </c>
      <c r="BT60" s="128">
        <v>1.57</v>
      </c>
      <c r="BU60" s="128">
        <v>1.57</v>
      </c>
      <c r="BV60" s="128">
        <v>1.57</v>
      </c>
      <c r="BW60" s="128">
        <v>1.57</v>
      </c>
      <c r="BX60" s="128">
        <v>1.57</v>
      </c>
      <c r="BY60" s="128">
        <v>1.57</v>
      </c>
      <c r="BZ60" s="128">
        <v>1.57</v>
      </c>
      <c r="CA60" s="128">
        <v>1.57</v>
      </c>
      <c r="CB60" s="128">
        <v>1.57</v>
      </c>
      <c r="CC60" s="128">
        <v>1.57</v>
      </c>
      <c r="CD60" s="128">
        <v>1.57</v>
      </c>
      <c r="CE60" s="128">
        <v>1.57</v>
      </c>
      <c r="CF60" s="128">
        <v>1.57</v>
      </c>
      <c r="CG60" s="128">
        <v>1.57</v>
      </c>
      <c r="CH60" s="128">
        <v>1.57</v>
      </c>
      <c r="CI60" s="128">
        <v>1.57</v>
      </c>
      <c r="CJ60" s="128">
        <v>1.57</v>
      </c>
      <c r="CK60" s="128">
        <v>1.57</v>
      </c>
      <c r="CL60" s="128">
        <v>1.57</v>
      </c>
      <c r="CM60" s="128">
        <v>1.57</v>
      </c>
      <c r="CN60" s="128">
        <v>1.57</v>
      </c>
      <c r="CO60" s="128">
        <v>1.57</v>
      </c>
      <c r="CP60" s="128">
        <v>1.57</v>
      </c>
      <c r="CQ60" s="128">
        <v>1.57</v>
      </c>
      <c r="CR60" s="128">
        <v>1.57</v>
      </c>
      <c r="CS60" s="128">
        <v>1.57</v>
      </c>
      <c r="CT60" s="128">
        <v>1.57</v>
      </c>
      <c r="CU60" s="128">
        <v>1.57</v>
      </c>
      <c r="CV60" s="128">
        <v>1.57</v>
      </c>
      <c r="CW60" s="128">
        <v>1.57</v>
      </c>
      <c r="CX60" s="128">
        <v>1.57</v>
      </c>
      <c r="CZ60" s="126">
        <f>SUMIF(MatrixF1[[1]:[2]],MatrixF1[[#This Row],[Столбец1]])/MatrixF1[[#This Row],[Столбец1]]</f>
        <v>86.999999999999801</v>
      </c>
    </row>
    <row r="61" spans="1:104" ht="21" customHeight="1" x14ac:dyDescent="0.25">
      <c r="A61" s="127">
        <v>1.58</v>
      </c>
      <c r="B61" s="128">
        <v>1</v>
      </c>
      <c r="C61" s="128">
        <v>1.02</v>
      </c>
      <c r="D61" s="128">
        <v>1.03</v>
      </c>
      <c r="E61" s="128">
        <v>1.05</v>
      </c>
      <c r="F61" s="128">
        <v>1.06</v>
      </c>
      <c r="G61" s="128">
        <v>1.08</v>
      </c>
      <c r="H61" s="128">
        <v>1.0900000000000001</v>
      </c>
      <c r="I61" s="128">
        <v>1.1100000000000001</v>
      </c>
      <c r="J61" s="128">
        <v>1.1200000000000001</v>
      </c>
      <c r="K61" s="128">
        <v>1.1299999999999999</v>
      </c>
      <c r="L61" s="128">
        <v>1.1499999999999999</v>
      </c>
      <c r="M61" s="128">
        <v>1.1599999999999999</v>
      </c>
      <c r="N61" s="128">
        <v>1.17</v>
      </c>
      <c r="O61" s="128">
        <v>1.18</v>
      </c>
      <c r="P61" s="128">
        <v>1.19</v>
      </c>
      <c r="Q61" s="128">
        <v>1.21</v>
      </c>
      <c r="R61" s="128">
        <v>1.22</v>
      </c>
      <c r="S61" s="128">
        <v>1.23</v>
      </c>
      <c r="T61" s="128">
        <v>1.24</v>
      </c>
      <c r="U61" s="128">
        <v>1.25</v>
      </c>
      <c r="V61" s="128">
        <v>1.26</v>
      </c>
      <c r="W61" s="128">
        <v>1.27</v>
      </c>
      <c r="X61" s="128">
        <v>1.28</v>
      </c>
      <c r="Y61" s="128">
        <v>1.28</v>
      </c>
      <c r="Z61" s="128">
        <v>1.29</v>
      </c>
      <c r="AA61" s="128">
        <v>1.3</v>
      </c>
      <c r="AB61" s="128">
        <v>1.31</v>
      </c>
      <c r="AC61" s="128">
        <v>1.32</v>
      </c>
      <c r="AD61" s="128">
        <v>1.33</v>
      </c>
      <c r="AE61" s="128">
        <v>1.33</v>
      </c>
      <c r="AF61" s="128">
        <v>1.34</v>
      </c>
      <c r="AG61" s="128">
        <v>1.35</v>
      </c>
      <c r="AH61" s="128">
        <v>1.36</v>
      </c>
      <c r="AI61" s="128">
        <v>1.36</v>
      </c>
      <c r="AJ61" s="128">
        <v>1.37</v>
      </c>
      <c r="AK61" s="128">
        <v>1.38</v>
      </c>
      <c r="AL61" s="128">
        <v>1.38</v>
      </c>
      <c r="AM61" s="128">
        <v>1.39</v>
      </c>
      <c r="AN61" s="128">
        <v>1.4</v>
      </c>
      <c r="AO61" s="128">
        <v>1.4</v>
      </c>
      <c r="AP61" s="128">
        <v>1.41</v>
      </c>
      <c r="AQ61" s="128">
        <v>1.41</v>
      </c>
      <c r="AR61" s="128">
        <v>1.42</v>
      </c>
      <c r="AS61" s="128">
        <v>1.43</v>
      </c>
      <c r="AT61" s="128">
        <v>1.44</v>
      </c>
      <c r="AU61" s="128">
        <v>1.45</v>
      </c>
      <c r="AV61" s="128">
        <v>1.46</v>
      </c>
      <c r="AW61" s="128">
        <v>1.47</v>
      </c>
      <c r="AX61" s="128">
        <v>1.48</v>
      </c>
      <c r="AY61" s="128">
        <v>1.49</v>
      </c>
      <c r="AZ61" s="128">
        <v>1.5</v>
      </c>
      <c r="BA61" s="128">
        <v>1.51</v>
      </c>
      <c r="BB61" s="128">
        <v>1.52</v>
      </c>
      <c r="BC61" s="128">
        <v>1.53</v>
      </c>
      <c r="BD61" s="128">
        <v>1.54</v>
      </c>
      <c r="BE61" s="128">
        <v>1.55</v>
      </c>
      <c r="BF61" s="128">
        <v>1.56</v>
      </c>
      <c r="BG61" s="128">
        <v>1.57</v>
      </c>
      <c r="BH61" s="128">
        <v>1.58</v>
      </c>
      <c r="BI61" s="128">
        <v>1.58</v>
      </c>
      <c r="BJ61" s="128">
        <v>1.58</v>
      </c>
      <c r="BK61" s="128">
        <v>1.58</v>
      </c>
      <c r="BL61" s="128">
        <v>1.58</v>
      </c>
      <c r="BM61" s="128">
        <v>1.58</v>
      </c>
      <c r="BN61" s="128">
        <v>1.58</v>
      </c>
      <c r="BO61" s="128">
        <v>1.58</v>
      </c>
      <c r="BP61" s="128">
        <v>1.58</v>
      </c>
      <c r="BQ61" s="128">
        <v>1.58</v>
      </c>
      <c r="BR61" s="128">
        <v>1.58</v>
      </c>
      <c r="BS61" s="128">
        <v>1.58</v>
      </c>
      <c r="BT61" s="128">
        <v>1.58</v>
      </c>
      <c r="BU61" s="128">
        <v>1.58</v>
      </c>
      <c r="BV61" s="128">
        <v>1.58</v>
      </c>
      <c r="BW61" s="128">
        <v>1.58</v>
      </c>
      <c r="BX61" s="128">
        <v>1.58</v>
      </c>
      <c r="BY61" s="128">
        <v>1.58</v>
      </c>
      <c r="BZ61" s="128">
        <v>1.58</v>
      </c>
      <c r="CA61" s="128">
        <v>1.58</v>
      </c>
      <c r="CB61" s="128">
        <v>1.58</v>
      </c>
      <c r="CC61" s="128">
        <v>1.58</v>
      </c>
      <c r="CD61" s="128">
        <v>1.58</v>
      </c>
      <c r="CE61" s="128">
        <v>1.58</v>
      </c>
      <c r="CF61" s="128">
        <v>1.58</v>
      </c>
      <c r="CG61" s="128">
        <v>1.58</v>
      </c>
      <c r="CH61" s="128">
        <v>1.58</v>
      </c>
      <c r="CI61" s="128">
        <v>1.58</v>
      </c>
      <c r="CJ61" s="128">
        <v>1.58</v>
      </c>
      <c r="CK61" s="128">
        <v>1.58</v>
      </c>
      <c r="CL61" s="128">
        <v>1.58</v>
      </c>
      <c r="CM61" s="128">
        <v>1.58</v>
      </c>
      <c r="CN61" s="128">
        <v>1.58</v>
      </c>
      <c r="CO61" s="128">
        <v>1.58</v>
      </c>
      <c r="CP61" s="128">
        <v>1.58</v>
      </c>
      <c r="CQ61" s="128">
        <v>1.58</v>
      </c>
      <c r="CR61" s="128">
        <v>1.58</v>
      </c>
      <c r="CS61" s="128">
        <v>1.58</v>
      </c>
      <c r="CT61" s="128">
        <v>1.58</v>
      </c>
      <c r="CU61" s="128">
        <v>1.58</v>
      </c>
      <c r="CV61" s="128">
        <v>1.58</v>
      </c>
      <c r="CW61" s="128">
        <v>1.58</v>
      </c>
      <c r="CX61" s="128">
        <v>1.58</v>
      </c>
      <c r="CZ61" s="126">
        <f>SUMIF(MatrixF1[[1]:[2]],MatrixF1[[#This Row],[Столбец1]])/MatrixF1[[#This Row],[Столбец1]]</f>
        <v>84.999999999999943</v>
      </c>
    </row>
    <row r="62" spans="1:104" ht="21" customHeight="1" x14ac:dyDescent="0.25">
      <c r="A62" s="127">
        <v>1.59</v>
      </c>
      <c r="B62" s="128">
        <v>1</v>
      </c>
      <c r="C62" s="128">
        <v>1.02</v>
      </c>
      <c r="D62" s="128">
        <v>1.03</v>
      </c>
      <c r="E62" s="128">
        <v>1.05</v>
      </c>
      <c r="F62" s="128">
        <v>1.06</v>
      </c>
      <c r="G62" s="128">
        <v>1.08</v>
      </c>
      <c r="H62" s="128">
        <v>1.0900000000000001</v>
      </c>
      <c r="I62" s="128">
        <v>1.1100000000000001</v>
      </c>
      <c r="J62" s="128">
        <v>1.1200000000000001</v>
      </c>
      <c r="K62" s="128">
        <v>1.1299999999999999</v>
      </c>
      <c r="L62" s="128">
        <v>1.1399999999999999</v>
      </c>
      <c r="M62" s="128">
        <v>1.1599999999999999</v>
      </c>
      <c r="N62" s="128">
        <v>1.17</v>
      </c>
      <c r="O62" s="128">
        <v>1.18</v>
      </c>
      <c r="P62" s="128">
        <v>1.19</v>
      </c>
      <c r="Q62" s="128">
        <v>1.2</v>
      </c>
      <c r="R62" s="128">
        <v>1.21</v>
      </c>
      <c r="S62" s="128">
        <v>1.22</v>
      </c>
      <c r="T62" s="128">
        <v>1.23</v>
      </c>
      <c r="U62" s="128">
        <v>1.24</v>
      </c>
      <c r="V62" s="128">
        <v>1.25</v>
      </c>
      <c r="W62" s="128">
        <v>1.26</v>
      </c>
      <c r="X62" s="128">
        <v>1.27</v>
      </c>
      <c r="Y62" s="128">
        <v>1.28</v>
      </c>
      <c r="Z62" s="128">
        <v>1.29</v>
      </c>
      <c r="AA62" s="128">
        <v>1.3</v>
      </c>
      <c r="AB62" s="128">
        <v>1.31</v>
      </c>
      <c r="AC62" s="128">
        <v>1.31</v>
      </c>
      <c r="AD62" s="128">
        <v>1.32</v>
      </c>
      <c r="AE62" s="128">
        <v>1.33</v>
      </c>
      <c r="AF62" s="128">
        <v>1.34</v>
      </c>
      <c r="AG62" s="128">
        <v>1.34</v>
      </c>
      <c r="AH62" s="128">
        <v>1.35</v>
      </c>
      <c r="AI62" s="128">
        <v>1.36</v>
      </c>
      <c r="AJ62" s="128">
        <v>1.37</v>
      </c>
      <c r="AK62" s="128">
        <v>1.37</v>
      </c>
      <c r="AL62" s="128">
        <v>1.38</v>
      </c>
      <c r="AM62" s="128">
        <v>1.39</v>
      </c>
      <c r="AN62" s="128">
        <v>1.39</v>
      </c>
      <c r="AO62" s="128">
        <v>1.4</v>
      </c>
      <c r="AP62" s="128">
        <v>1.4</v>
      </c>
      <c r="AQ62" s="128">
        <v>1.41</v>
      </c>
      <c r="AR62" s="128">
        <v>1.42</v>
      </c>
      <c r="AS62" s="128">
        <v>1.43</v>
      </c>
      <c r="AT62" s="128">
        <v>1.44</v>
      </c>
      <c r="AU62" s="128">
        <v>1.45</v>
      </c>
      <c r="AV62" s="128">
        <v>1.46</v>
      </c>
      <c r="AW62" s="128">
        <v>1.47</v>
      </c>
      <c r="AX62" s="128">
        <v>1.48</v>
      </c>
      <c r="AY62" s="128">
        <v>1.49</v>
      </c>
      <c r="AZ62" s="128">
        <v>1.5</v>
      </c>
      <c r="BA62" s="128">
        <v>1.51</v>
      </c>
      <c r="BB62" s="128">
        <v>1.52</v>
      </c>
      <c r="BC62" s="128">
        <v>1.53</v>
      </c>
      <c r="BD62" s="128">
        <v>1.54</v>
      </c>
      <c r="BE62" s="128">
        <v>1.55</v>
      </c>
      <c r="BF62" s="128">
        <v>1.56</v>
      </c>
      <c r="BG62" s="128">
        <v>1.57</v>
      </c>
      <c r="BH62" s="128">
        <v>1.58</v>
      </c>
      <c r="BI62" s="128">
        <v>1.59</v>
      </c>
      <c r="BJ62" s="128">
        <v>1.59</v>
      </c>
      <c r="BK62" s="128">
        <v>1.59</v>
      </c>
      <c r="BL62" s="128">
        <v>1.59</v>
      </c>
      <c r="BM62" s="128">
        <v>1.59</v>
      </c>
      <c r="BN62" s="128">
        <v>1.59</v>
      </c>
      <c r="BO62" s="128">
        <v>1.59</v>
      </c>
      <c r="BP62" s="128">
        <v>1.59</v>
      </c>
      <c r="BQ62" s="128">
        <v>1.59</v>
      </c>
      <c r="BR62" s="128">
        <v>1.59</v>
      </c>
      <c r="BS62" s="128">
        <v>1.59</v>
      </c>
      <c r="BT62" s="128">
        <v>1.59</v>
      </c>
      <c r="BU62" s="128">
        <v>1.59</v>
      </c>
      <c r="BV62" s="128">
        <v>1.59</v>
      </c>
      <c r="BW62" s="128">
        <v>1.59</v>
      </c>
      <c r="BX62" s="128">
        <v>1.59</v>
      </c>
      <c r="BY62" s="128">
        <v>1.59</v>
      </c>
      <c r="BZ62" s="128">
        <v>1.59</v>
      </c>
      <c r="CA62" s="128">
        <v>1.59</v>
      </c>
      <c r="CB62" s="128">
        <v>1.59</v>
      </c>
      <c r="CC62" s="128">
        <v>1.59</v>
      </c>
      <c r="CD62" s="128">
        <v>1.59</v>
      </c>
      <c r="CE62" s="128">
        <v>1.59</v>
      </c>
      <c r="CF62" s="128">
        <v>1.59</v>
      </c>
      <c r="CG62" s="128">
        <v>1.59</v>
      </c>
      <c r="CH62" s="128">
        <v>1.59</v>
      </c>
      <c r="CI62" s="128">
        <v>1.59</v>
      </c>
      <c r="CJ62" s="128">
        <v>1.59</v>
      </c>
      <c r="CK62" s="128">
        <v>1.59</v>
      </c>
      <c r="CL62" s="128">
        <v>1.59</v>
      </c>
      <c r="CM62" s="128">
        <v>1.59</v>
      </c>
      <c r="CN62" s="128">
        <v>1.59</v>
      </c>
      <c r="CO62" s="128">
        <v>1.59</v>
      </c>
      <c r="CP62" s="128">
        <v>1.59</v>
      </c>
      <c r="CQ62" s="128">
        <v>1.59</v>
      </c>
      <c r="CR62" s="128">
        <v>1.59</v>
      </c>
      <c r="CS62" s="128">
        <v>1.59</v>
      </c>
      <c r="CT62" s="128">
        <v>1.59</v>
      </c>
      <c r="CU62" s="128">
        <v>1.59</v>
      </c>
      <c r="CV62" s="128">
        <v>1.59</v>
      </c>
      <c r="CW62" s="128">
        <v>1.59</v>
      </c>
      <c r="CX62" s="128">
        <v>1.59</v>
      </c>
      <c r="CZ62" s="126">
        <f>SUMIF(MatrixF1[[1]:[2]],MatrixF1[[#This Row],[Столбец1]])/MatrixF1[[#This Row],[Столбец1]]</f>
        <v>83.000000000000114</v>
      </c>
    </row>
    <row r="63" spans="1:104" ht="21" customHeight="1" x14ac:dyDescent="0.25">
      <c r="A63" s="127">
        <v>1.6</v>
      </c>
      <c r="B63" s="128">
        <v>1</v>
      </c>
      <c r="C63" s="128">
        <v>1.02</v>
      </c>
      <c r="D63" s="128">
        <v>1.03</v>
      </c>
      <c r="E63" s="128">
        <v>1.05</v>
      </c>
      <c r="F63" s="128">
        <v>1.06</v>
      </c>
      <c r="G63" s="128">
        <v>1.08</v>
      </c>
      <c r="H63" s="128">
        <v>1.0900000000000001</v>
      </c>
      <c r="I63" s="128">
        <v>1.1000000000000001</v>
      </c>
      <c r="J63" s="128">
        <v>1.1200000000000001</v>
      </c>
      <c r="K63" s="128">
        <v>1.1299999999999999</v>
      </c>
      <c r="L63" s="128">
        <v>1.1399999999999999</v>
      </c>
      <c r="M63" s="128">
        <v>1.1499999999999999</v>
      </c>
      <c r="N63" s="128">
        <v>1.17</v>
      </c>
      <c r="O63" s="128">
        <v>1.18</v>
      </c>
      <c r="P63" s="128">
        <v>1.19</v>
      </c>
      <c r="Q63" s="128">
        <v>1.2</v>
      </c>
      <c r="R63" s="128">
        <v>1.21</v>
      </c>
      <c r="S63" s="128">
        <v>1.22</v>
      </c>
      <c r="T63" s="128">
        <v>1.23</v>
      </c>
      <c r="U63" s="128">
        <v>1.24</v>
      </c>
      <c r="V63" s="128">
        <v>1.25</v>
      </c>
      <c r="W63" s="128">
        <v>1.26</v>
      </c>
      <c r="X63" s="128">
        <v>1.27</v>
      </c>
      <c r="Y63" s="128">
        <v>1.28</v>
      </c>
      <c r="Z63" s="128">
        <v>1.29</v>
      </c>
      <c r="AA63" s="128">
        <v>1.29</v>
      </c>
      <c r="AB63" s="128">
        <v>1.3</v>
      </c>
      <c r="AC63" s="128">
        <v>1.31</v>
      </c>
      <c r="AD63" s="128">
        <v>1.32</v>
      </c>
      <c r="AE63" s="128">
        <v>1.33</v>
      </c>
      <c r="AF63" s="128">
        <v>1.33</v>
      </c>
      <c r="AG63" s="128">
        <v>1.34</v>
      </c>
      <c r="AH63" s="128">
        <v>1.35</v>
      </c>
      <c r="AI63" s="128">
        <v>1.35</v>
      </c>
      <c r="AJ63" s="128">
        <v>1.36</v>
      </c>
      <c r="AK63" s="128">
        <v>1.37</v>
      </c>
      <c r="AL63" s="128">
        <v>1.38</v>
      </c>
      <c r="AM63" s="128">
        <v>1.38</v>
      </c>
      <c r="AN63" s="128">
        <v>1.39</v>
      </c>
      <c r="AO63" s="128">
        <v>1.39</v>
      </c>
      <c r="AP63" s="128">
        <v>1.4</v>
      </c>
      <c r="AQ63" s="128">
        <v>1.41</v>
      </c>
      <c r="AR63" s="128">
        <v>1.42</v>
      </c>
      <c r="AS63" s="128">
        <v>1.43</v>
      </c>
      <c r="AT63" s="128">
        <v>1.44</v>
      </c>
      <c r="AU63" s="128">
        <v>1.45</v>
      </c>
      <c r="AV63" s="128">
        <v>1.46</v>
      </c>
      <c r="AW63" s="128">
        <v>1.47</v>
      </c>
      <c r="AX63" s="128">
        <v>1.48</v>
      </c>
      <c r="AY63" s="128">
        <v>1.49</v>
      </c>
      <c r="AZ63" s="128">
        <v>1.5</v>
      </c>
      <c r="BA63" s="128">
        <v>1.51</v>
      </c>
      <c r="BB63" s="128">
        <v>1.52</v>
      </c>
      <c r="BC63" s="128">
        <v>1.53</v>
      </c>
      <c r="BD63" s="128">
        <v>1.54</v>
      </c>
      <c r="BE63" s="128">
        <v>1.55</v>
      </c>
      <c r="BF63" s="128">
        <v>1.56</v>
      </c>
      <c r="BG63" s="128">
        <v>1.57</v>
      </c>
      <c r="BH63" s="128">
        <v>1.58</v>
      </c>
      <c r="BI63" s="128">
        <v>1.59</v>
      </c>
      <c r="BJ63" s="128">
        <v>1.6</v>
      </c>
      <c r="BK63" s="128">
        <v>1.6</v>
      </c>
      <c r="BL63" s="128">
        <v>1.6</v>
      </c>
      <c r="BM63" s="128">
        <v>1.6</v>
      </c>
      <c r="BN63" s="128">
        <v>1.6</v>
      </c>
      <c r="BO63" s="128">
        <v>1.6</v>
      </c>
      <c r="BP63" s="128">
        <v>1.6</v>
      </c>
      <c r="BQ63" s="128">
        <v>1.6</v>
      </c>
      <c r="BR63" s="128">
        <v>1.6</v>
      </c>
      <c r="BS63" s="128">
        <v>1.6</v>
      </c>
      <c r="BT63" s="128">
        <v>1.6</v>
      </c>
      <c r="BU63" s="128">
        <v>1.6</v>
      </c>
      <c r="BV63" s="128">
        <v>1.6</v>
      </c>
      <c r="BW63" s="128">
        <v>1.6</v>
      </c>
      <c r="BX63" s="128">
        <v>1.6</v>
      </c>
      <c r="BY63" s="128">
        <v>1.6</v>
      </c>
      <c r="BZ63" s="128">
        <v>1.6</v>
      </c>
      <c r="CA63" s="128">
        <v>1.6</v>
      </c>
      <c r="CB63" s="128">
        <v>1.6</v>
      </c>
      <c r="CC63" s="128">
        <v>1.6</v>
      </c>
      <c r="CD63" s="128">
        <v>1.6</v>
      </c>
      <c r="CE63" s="128">
        <v>1.6</v>
      </c>
      <c r="CF63" s="128">
        <v>1.6</v>
      </c>
      <c r="CG63" s="128">
        <v>1.6</v>
      </c>
      <c r="CH63" s="128">
        <v>1.6</v>
      </c>
      <c r="CI63" s="128">
        <v>1.6</v>
      </c>
      <c r="CJ63" s="128">
        <v>1.6</v>
      </c>
      <c r="CK63" s="128">
        <v>1.6</v>
      </c>
      <c r="CL63" s="128">
        <v>1.6</v>
      </c>
      <c r="CM63" s="128">
        <v>1.6</v>
      </c>
      <c r="CN63" s="128">
        <v>1.6</v>
      </c>
      <c r="CO63" s="128">
        <v>1.6</v>
      </c>
      <c r="CP63" s="128">
        <v>1.6</v>
      </c>
      <c r="CQ63" s="128">
        <v>1.6</v>
      </c>
      <c r="CR63" s="128">
        <v>1.6</v>
      </c>
      <c r="CS63" s="128">
        <v>1.6</v>
      </c>
      <c r="CT63" s="128">
        <v>1.6</v>
      </c>
      <c r="CU63" s="128">
        <v>1.6</v>
      </c>
      <c r="CV63" s="128">
        <v>1.6</v>
      </c>
      <c r="CW63" s="128">
        <v>1.6</v>
      </c>
      <c r="CX63" s="128">
        <v>1.6</v>
      </c>
      <c r="CZ63" s="126">
        <f>SUMIF(MatrixF1[[1]:[2]],MatrixF1[[#This Row],[Столбец1]])/MatrixF1[[#This Row],[Столбец1]]</f>
        <v>80.999999999999872</v>
      </c>
    </row>
    <row r="64" spans="1:104" ht="21" customHeight="1" x14ac:dyDescent="0.25">
      <c r="A64" s="127">
        <v>1.61</v>
      </c>
      <c r="B64" s="128">
        <v>1</v>
      </c>
      <c r="C64" s="128">
        <v>1.02</v>
      </c>
      <c r="D64" s="128">
        <v>1.03</v>
      </c>
      <c r="E64" s="128">
        <v>1.05</v>
      </c>
      <c r="F64" s="128">
        <v>1.06</v>
      </c>
      <c r="G64" s="128">
        <v>1.08</v>
      </c>
      <c r="H64" s="128">
        <v>1.0900000000000001</v>
      </c>
      <c r="I64" s="128">
        <v>1.1000000000000001</v>
      </c>
      <c r="J64" s="128">
        <v>1.1200000000000001</v>
      </c>
      <c r="K64" s="128">
        <v>1.1299999999999999</v>
      </c>
      <c r="L64" s="128">
        <v>1.1399999999999999</v>
      </c>
      <c r="M64" s="128">
        <v>1.1499999999999999</v>
      </c>
      <c r="N64" s="128">
        <v>1.1599999999999999</v>
      </c>
      <c r="O64" s="128">
        <v>1.18</v>
      </c>
      <c r="P64" s="128">
        <v>1.19</v>
      </c>
      <c r="Q64" s="128">
        <v>1.2</v>
      </c>
      <c r="R64" s="128">
        <v>1.21</v>
      </c>
      <c r="S64" s="128">
        <v>1.22</v>
      </c>
      <c r="T64" s="128">
        <v>1.23</v>
      </c>
      <c r="U64" s="128">
        <v>1.24</v>
      </c>
      <c r="V64" s="128">
        <v>1.25</v>
      </c>
      <c r="W64" s="128">
        <v>1.26</v>
      </c>
      <c r="X64" s="128">
        <v>1.27</v>
      </c>
      <c r="Y64" s="128">
        <v>1.27</v>
      </c>
      <c r="Z64" s="128">
        <v>1.28</v>
      </c>
      <c r="AA64" s="128">
        <v>1.29</v>
      </c>
      <c r="AB64" s="128">
        <v>1.3</v>
      </c>
      <c r="AC64" s="128">
        <v>1.31</v>
      </c>
      <c r="AD64" s="128">
        <v>1.31</v>
      </c>
      <c r="AE64" s="128">
        <v>1.32</v>
      </c>
      <c r="AF64" s="128">
        <v>1.33</v>
      </c>
      <c r="AG64" s="128">
        <v>1.34</v>
      </c>
      <c r="AH64" s="128">
        <v>1.34</v>
      </c>
      <c r="AI64" s="128">
        <v>1.35</v>
      </c>
      <c r="AJ64" s="128">
        <v>1.36</v>
      </c>
      <c r="AK64" s="128">
        <v>1.36</v>
      </c>
      <c r="AL64" s="128">
        <v>1.37</v>
      </c>
      <c r="AM64" s="128">
        <v>1.38</v>
      </c>
      <c r="AN64" s="128">
        <v>1.38</v>
      </c>
      <c r="AO64" s="128">
        <v>1.39</v>
      </c>
      <c r="AP64" s="128">
        <v>1.4</v>
      </c>
      <c r="AQ64" s="128">
        <v>1.41</v>
      </c>
      <c r="AR64" s="128">
        <v>1.42</v>
      </c>
      <c r="AS64" s="128">
        <v>1.43</v>
      </c>
      <c r="AT64" s="128">
        <v>1.44</v>
      </c>
      <c r="AU64" s="128">
        <v>1.45</v>
      </c>
      <c r="AV64" s="128">
        <v>1.46</v>
      </c>
      <c r="AW64" s="128">
        <v>1.47</v>
      </c>
      <c r="AX64" s="128">
        <v>1.48</v>
      </c>
      <c r="AY64" s="128">
        <v>1.49</v>
      </c>
      <c r="AZ64" s="128">
        <v>1.5</v>
      </c>
      <c r="BA64" s="128">
        <v>1.51</v>
      </c>
      <c r="BB64" s="128">
        <v>1.52</v>
      </c>
      <c r="BC64" s="128">
        <v>1.53</v>
      </c>
      <c r="BD64" s="128">
        <v>1.54</v>
      </c>
      <c r="BE64" s="128">
        <v>1.55</v>
      </c>
      <c r="BF64" s="128">
        <v>1.56</v>
      </c>
      <c r="BG64" s="128">
        <v>1.57</v>
      </c>
      <c r="BH64" s="128">
        <v>1.58</v>
      </c>
      <c r="BI64" s="128">
        <v>1.59</v>
      </c>
      <c r="BJ64" s="128">
        <v>1.6</v>
      </c>
      <c r="BK64" s="128">
        <v>1.61</v>
      </c>
      <c r="BL64" s="128">
        <v>1.61</v>
      </c>
      <c r="BM64" s="128">
        <v>1.61</v>
      </c>
      <c r="BN64" s="128">
        <v>1.61</v>
      </c>
      <c r="BO64" s="128">
        <v>1.61</v>
      </c>
      <c r="BP64" s="128">
        <v>1.61</v>
      </c>
      <c r="BQ64" s="128">
        <v>1.61</v>
      </c>
      <c r="BR64" s="128">
        <v>1.61</v>
      </c>
      <c r="BS64" s="128">
        <v>1.61</v>
      </c>
      <c r="BT64" s="128">
        <v>1.61</v>
      </c>
      <c r="BU64" s="128">
        <v>1.61</v>
      </c>
      <c r="BV64" s="128">
        <v>1.61</v>
      </c>
      <c r="BW64" s="128">
        <v>1.61</v>
      </c>
      <c r="BX64" s="128">
        <v>1.61</v>
      </c>
      <c r="BY64" s="128">
        <v>1.61</v>
      </c>
      <c r="BZ64" s="128">
        <v>1.61</v>
      </c>
      <c r="CA64" s="128">
        <v>1.61</v>
      </c>
      <c r="CB64" s="128">
        <v>1.61</v>
      </c>
      <c r="CC64" s="128">
        <v>1.61</v>
      </c>
      <c r="CD64" s="128">
        <v>1.61</v>
      </c>
      <c r="CE64" s="128">
        <v>1.61</v>
      </c>
      <c r="CF64" s="128">
        <v>1.61</v>
      </c>
      <c r="CG64" s="128">
        <v>1.61</v>
      </c>
      <c r="CH64" s="128">
        <v>1.61</v>
      </c>
      <c r="CI64" s="128">
        <v>1.61</v>
      </c>
      <c r="CJ64" s="128">
        <v>1.61</v>
      </c>
      <c r="CK64" s="128">
        <v>1.61</v>
      </c>
      <c r="CL64" s="128">
        <v>1.61</v>
      </c>
      <c r="CM64" s="128">
        <v>1.61</v>
      </c>
      <c r="CN64" s="128">
        <v>1.61</v>
      </c>
      <c r="CO64" s="128">
        <v>1.61</v>
      </c>
      <c r="CP64" s="128">
        <v>1.61</v>
      </c>
      <c r="CQ64" s="128">
        <v>1.61</v>
      </c>
      <c r="CR64" s="128">
        <v>1.61</v>
      </c>
      <c r="CS64" s="128">
        <v>1.61</v>
      </c>
      <c r="CT64" s="128">
        <v>1.61</v>
      </c>
      <c r="CU64" s="128">
        <v>1.61</v>
      </c>
      <c r="CV64" s="128">
        <v>1.61</v>
      </c>
      <c r="CW64" s="128">
        <v>1.61</v>
      </c>
      <c r="CX64" s="128">
        <v>1.61</v>
      </c>
      <c r="CZ64" s="126">
        <f>SUMIF(MatrixF1[[1]:[2]],MatrixF1[[#This Row],[Столбец1]])/MatrixF1[[#This Row],[Столбец1]]</f>
        <v>78.999999999999972</v>
      </c>
    </row>
    <row r="65" spans="1:104" ht="21" customHeight="1" x14ac:dyDescent="0.25">
      <c r="A65" s="127">
        <v>1.62</v>
      </c>
      <c r="B65" s="128">
        <v>1</v>
      </c>
      <c r="C65" s="128">
        <v>1.02</v>
      </c>
      <c r="D65" s="128">
        <v>1.03</v>
      </c>
      <c r="E65" s="128">
        <v>1.05</v>
      </c>
      <c r="F65" s="128">
        <v>1.06</v>
      </c>
      <c r="G65" s="128">
        <v>1.07</v>
      </c>
      <c r="H65" s="128">
        <v>1.0900000000000001</v>
      </c>
      <c r="I65" s="128">
        <v>1.1000000000000001</v>
      </c>
      <c r="J65" s="128">
        <v>1.1100000000000001</v>
      </c>
      <c r="K65" s="128">
        <v>1.1299999999999999</v>
      </c>
      <c r="L65" s="128">
        <v>1.1399999999999999</v>
      </c>
      <c r="M65" s="128">
        <v>1.1499999999999999</v>
      </c>
      <c r="N65" s="128">
        <v>1.1599999999999999</v>
      </c>
      <c r="O65" s="128">
        <v>1.17</v>
      </c>
      <c r="P65" s="128">
        <v>1.18</v>
      </c>
      <c r="Q65" s="128">
        <v>1.19</v>
      </c>
      <c r="R65" s="128">
        <v>1.21</v>
      </c>
      <c r="S65" s="128">
        <v>1.22</v>
      </c>
      <c r="T65" s="128">
        <v>1.22</v>
      </c>
      <c r="U65" s="128">
        <v>1.23</v>
      </c>
      <c r="V65" s="128">
        <v>1.24</v>
      </c>
      <c r="W65" s="128">
        <v>1.25</v>
      </c>
      <c r="X65" s="128">
        <v>1.26</v>
      </c>
      <c r="Y65" s="128">
        <v>1.27</v>
      </c>
      <c r="Z65" s="128">
        <v>1.28</v>
      </c>
      <c r="AA65" s="128">
        <v>1.29</v>
      </c>
      <c r="AB65" s="128">
        <v>1.3</v>
      </c>
      <c r="AC65" s="128">
        <v>1.3</v>
      </c>
      <c r="AD65" s="128">
        <v>1.31</v>
      </c>
      <c r="AE65" s="128">
        <v>1.32</v>
      </c>
      <c r="AF65" s="128">
        <v>1.33</v>
      </c>
      <c r="AG65" s="128">
        <v>1.33</v>
      </c>
      <c r="AH65" s="128">
        <v>1.34</v>
      </c>
      <c r="AI65" s="128">
        <v>1.35</v>
      </c>
      <c r="AJ65" s="128">
        <v>1.35</v>
      </c>
      <c r="AK65" s="128">
        <v>1.36</v>
      </c>
      <c r="AL65" s="128">
        <v>1.37</v>
      </c>
      <c r="AM65" s="128">
        <v>1.37</v>
      </c>
      <c r="AN65" s="128">
        <v>1.38</v>
      </c>
      <c r="AO65" s="128">
        <v>1.39</v>
      </c>
      <c r="AP65" s="128">
        <v>1.4</v>
      </c>
      <c r="AQ65" s="128">
        <v>1.41</v>
      </c>
      <c r="AR65" s="128">
        <v>1.42</v>
      </c>
      <c r="AS65" s="128">
        <v>1.43</v>
      </c>
      <c r="AT65" s="128">
        <v>1.44</v>
      </c>
      <c r="AU65" s="128">
        <v>1.45</v>
      </c>
      <c r="AV65" s="128">
        <v>1.46</v>
      </c>
      <c r="AW65" s="128">
        <v>1.47</v>
      </c>
      <c r="AX65" s="128">
        <v>1.48</v>
      </c>
      <c r="AY65" s="128">
        <v>1.49</v>
      </c>
      <c r="AZ65" s="128">
        <v>1.5</v>
      </c>
      <c r="BA65" s="128">
        <v>1.51</v>
      </c>
      <c r="BB65" s="128">
        <v>1.52</v>
      </c>
      <c r="BC65" s="128">
        <v>1.53</v>
      </c>
      <c r="BD65" s="128">
        <v>1.54</v>
      </c>
      <c r="BE65" s="128">
        <v>1.55</v>
      </c>
      <c r="BF65" s="128">
        <v>1.56</v>
      </c>
      <c r="BG65" s="128">
        <v>1.57</v>
      </c>
      <c r="BH65" s="128">
        <v>1.58</v>
      </c>
      <c r="BI65" s="128">
        <v>1.59</v>
      </c>
      <c r="BJ65" s="128">
        <v>1.6</v>
      </c>
      <c r="BK65" s="128">
        <v>1.61</v>
      </c>
      <c r="BL65" s="128">
        <v>1.62</v>
      </c>
      <c r="BM65" s="128">
        <v>1.62</v>
      </c>
      <c r="BN65" s="128">
        <v>1.62</v>
      </c>
      <c r="BO65" s="128">
        <v>1.62</v>
      </c>
      <c r="BP65" s="128">
        <v>1.62</v>
      </c>
      <c r="BQ65" s="128">
        <v>1.62</v>
      </c>
      <c r="BR65" s="128">
        <v>1.62</v>
      </c>
      <c r="BS65" s="128">
        <v>1.62</v>
      </c>
      <c r="BT65" s="128">
        <v>1.62</v>
      </c>
      <c r="BU65" s="128">
        <v>1.62</v>
      </c>
      <c r="BV65" s="128">
        <v>1.62</v>
      </c>
      <c r="BW65" s="128">
        <v>1.62</v>
      </c>
      <c r="BX65" s="128">
        <v>1.62</v>
      </c>
      <c r="BY65" s="128">
        <v>1.62</v>
      </c>
      <c r="BZ65" s="128">
        <v>1.62</v>
      </c>
      <c r="CA65" s="128">
        <v>1.62</v>
      </c>
      <c r="CB65" s="128">
        <v>1.62</v>
      </c>
      <c r="CC65" s="128">
        <v>1.62</v>
      </c>
      <c r="CD65" s="128">
        <v>1.62</v>
      </c>
      <c r="CE65" s="128">
        <v>1.62</v>
      </c>
      <c r="CF65" s="128">
        <v>1.62</v>
      </c>
      <c r="CG65" s="128">
        <v>1.62</v>
      </c>
      <c r="CH65" s="128">
        <v>1.62</v>
      </c>
      <c r="CI65" s="128">
        <v>1.62</v>
      </c>
      <c r="CJ65" s="128">
        <v>1.62</v>
      </c>
      <c r="CK65" s="128">
        <v>1.62</v>
      </c>
      <c r="CL65" s="128">
        <v>1.62</v>
      </c>
      <c r="CM65" s="128">
        <v>1.62</v>
      </c>
      <c r="CN65" s="128">
        <v>1.62</v>
      </c>
      <c r="CO65" s="128">
        <v>1.62</v>
      </c>
      <c r="CP65" s="128">
        <v>1.62</v>
      </c>
      <c r="CQ65" s="128">
        <v>1.62</v>
      </c>
      <c r="CR65" s="128">
        <v>1.62</v>
      </c>
      <c r="CS65" s="128">
        <v>1.62</v>
      </c>
      <c r="CT65" s="128">
        <v>1.62</v>
      </c>
      <c r="CU65" s="128">
        <v>1.62</v>
      </c>
      <c r="CV65" s="128">
        <v>1.62</v>
      </c>
      <c r="CW65" s="128">
        <v>1.62</v>
      </c>
      <c r="CX65" s="128">
        <v>1.62</v>
      </c>
      <c r="CZ65" s="126">
        <f>SUMIF(MatrixF1[[1]:[2]],MatrixF1[[#This Row],[Столбец1]])/MatrixF1[[#This Row],[Столбец1]]</f>
        <v>77.000000000000085</v>
      </c>
    </row>
    <row r="66" spans="1:104" ht="21" customHeight="1" x14ac:dyDescent="0.25">
      <c r="A66" s="127">
        <v>1.63</v>
      </c>
      <c r="B66" s="128">
        <v>1</v>
      </c>
      <c r="C66" s="128">
        <v>1.02</v>
      </c>
      <c r="D66" s="128">
        <v>1.03</v>
      </c>
      <c r="E66" s="128">
        <v>1.05</v>
      </c>
      <c r="F66" s="128">
        <v>1.06</v>
      </c>
      <c r="G66" s="128">
        <v>1.07</v>
      </c>
      <c r="H66" s="128">
        <v>1.0900000000000001</v>
      </c>
      <c r="I66" s="128">
        <v>1.1000000000000001</v>
      </c>
      <c r="J66" s="128">
        <v>1.1100000000000001</v>
      </c>
      <c r="K66" s="128">
        <v>1.1200000000000001</v>
      </c>
      <c r="L66" s="128">
        <v>1.1399999999999999</v>
      </c>
      <c r="M66" s="128">
        <v>1.1499999999999999</v>
      </c>
      <c r="N66" s="128">
        <v>1.1599999999999999</v>
      </c>
      <c r="O66" s="128">
        <v>1.17</v>
      </c>
      <c r="P66" s="128">
        <v>1.18</v>
      </c>
      <c r="Q66" s="128">
        <v>1.19</v>
      </c>
      <c r="R66" s="128">
        <v>1.2</v>
      </c>
      <c r="S66" s="128">
        <v>1.21</v>
      </c>
      <c r="T66" s="128">
        <v>1.22</v>
      </c>
      <c r="U66" s="128">
        <v>1.23</v>
      </c>
      <c r="V66" s="128">
        <v>1.24</v>
      </c>
      <c r="W66" s="128">
        <v>1.25</v>
      </c>
      <c r="X66" s="128">
        <v>1.26</v>
      </c>
      <c r="Y66" s="128">
        <v>1.27</v>
      </c>
      <c r="Z66" s="128">
        <v>1.28</v>
      </c>
      <c r="AA66" s="128">
        <v>1.28</v>
      </c>
      <c r="AB66" s="128">
        <v>1.29</v>
      </c>
      <c r="AC66" s="128">
        <v>1.3</v>
      </c>
      <c r="AD66" s="128">
        <v>1.31</v>
      </c>
      <c r="AE66" s="128">
        <v>1.32</v>
      </c>
      <c r="AF66" s="128">
        <v>1.32</v>
      </c>
      <c r="AG66" s="128">
        <v>1.33</v>
      </c>
      <c r="AH66" s="128">
        <v>1.34</v>
      </c>
      <c r="AI66" s="128">
        <v>1.34</v>
      </c>
      <c r="AJ66" s="128">
        <v>1.35</v>
      </c>
      <c r="AK66" s="128">
        <v>1.36</v>
      </c>
      <c r="AL66" s="128">
        <v>1.36</v>
      </c>
      <c r="AM66" s="128">
        <v>1.37</v>
      </c>
      <c r="AN66" s="128">
        <v>1.38</v>
      </c>
      <c r="AO66" s="128">
        <v>1.39</v>
      </c>
      <c r="AP66" s="128">
        <v>1.4</v>
      </c>
      <c r="AQ66" s="128">
        <v>1.41</v>
      </c>
      <c r="AR66" s="128">
        <v>1.42</v>
      </c>
      <c r="AS66" s="128">
        <v>1.43</v>
      </c>
      <c r="AT66" s="128">
        <v>1.44</v>
      </c>
      <c r="AU66" s="128">
        <v>1.45</v>
      </c>
      <c r="AV66" s="128">
        <v>1.46</v>
      </c>
      <c r="AW66" s="128">
        <v>1.47</v>
      </c>
      <c r="AX66" s="128">
        <v>1.48</v>
      </c>
      <c r="AY66" s="128">
        <v>1.49</v>
      </c>
      <c r="AZ66" s="128">
        <v>1.5</v>
      </c>
      <c r="BA66" s="128">
        <v>1.51</v>
      </c>
      <c r="BB66" s="128">
        <v>1.52</v>
      </c>
      <c r="BC66" s="128">
        <v>1.53</v>
      </c>
      <c r="BD66" s="128">
        <v>1.54</v>
      </c>
      <c r="BE66" s="128">
        <v>1.55</v>
      </c>
      <c r="BF66" s="128">
        <v>1.56</v>
      </c>
      <c r="BG66" s="128">
        <v>1.57</v>
      </c>
      <c r="BH66" s="128">
        <v>1.58</v>
      </c>
      <c r="BI66" s="128">
        <v>1.59</v>
      </c>
      <c r="BJ66" s="128">
        <v>1.6</v>
      </c>
      <c r="BK66" s="128">
        <v>1.61</v>
      </c>
      <c r="BL66" s="128">
        <v>1.62</v>
      </c>
      <c r="BM66" s="128">
        <v>1.63</v>
      </c>
      <c r="BN66" s="128">
        <v>1.63</v>
      </c>
      <c r="BO66" s="128">
        <v>1.63</v>
      </c>
      <c r="BP66" s="128">
        <v>1.63</v>
      </c>
      <c r="BQ66" s="128">
        <v>1.63</v>
      </c>
      <c r="BR66" s="128">
        <v>1.63</v>
      </c>
      <c r="BS66" s="128">
        <v>1.63</v>
      </c>
      <c r="BT66" s="128">
        <v>1.63</v>
      </c>
      <c r="BU66" s="128">
        <v>1.63</v>
      </c>
      <c r="BV66" s="128">
        <v>1.63</v>
      </c>
      <c r="BW66" s="128">
        <v>1.63</v>
      </c>
      <c r="BX66" s="128">
        <v>1.63</v>
      </c>
      <c r="BY66" s="128">
        <v>1.63</v>
      </c>
      <c r="BZ66" s="128">
        <v>1.63</v>
      </c>
      <c r="CA66" s="128">
        <v>1.63</v>
      </c>
      <c r="CB66" s="128">
        <v>1.63</v>
      </c>
      <c r="CC66" s="128">
        <v>1.63</v>
      </c>
      <c r="CD66" s="128">
        <v>1.63</v>
      </c>
      <c r="CE66" s="128">
        <v>1.63</v>
      </c>
      <c r="CF66" s="128">
        <v>1.63</v>
      </c>
      <c r="CG66" s="128">
        <v>1.63</v>
      </c>
      <c r="CH66" s="128">
        <v>1.63</v>
      </c>
      <c r="CI66" s="128">
        <v>1.63</v>
      </c>
      <c r="CJ66" s="128">
        <v>1.63</v>
      </c>
      <c r="CK66" s="128">
        <v>1.63</v>
      </c>
      <c r="CL66" s="128">
        <v>1.63</v>
      </c>
      <c r="CM66" s="128">
        <v>1.63</v>
      </c>
      <c r="CN66" s="128">
        <v>1.63</v>
      </c>
      <c r="CO66" s="128">
        <v>1.63</v>
      </c>
      <c r="CP66" s="128">
        <v>1.63</v>
      </c>
      <c r="CQ66" s="128">
        <v>1.63</v>
      </c>
      <c r="CR66" s="128">
        <v>1.63</v>
      </c>
      <c r="CS66" s="128">
        <v>1.63</v>
      </c>
      <c r="CT66" s="128">
        <v>1.63</v>
      </c>
      <c r="CU66" s="128">
        <v>1.63</v>
      </c>
      <c r="CV66" s="128">
        <v>1.63</v>
      </c>
      <c r="CW66" s="128">
        <v>1.63</v>
      </c>
      <c r="CX66" s="128">
        <v>1.63</v>
      </c>
      <c r="CZ66" s="126">
        <f>SUMIF(MatrixF1[[1]:[2]],MatrixF1[[#This Row],[Столбец1]])/MatrixF1[[#This Row],[Столбец1]]</f>
        <v>74.999999999999929</v>
      </c>
    </row>
    <row r="67" spans="1:104" ht="21" customHeight="1" x14ac:dyDescent="0.25">
      <c r="A67" s="127">
        <v>1.64</v>
      </c>
      <c r="B67" s="128">
        <v>1</v>
      </c>
      <c r="C67" s="128">
        <v>1.02</v>
      </c>
      <c r="D67" s="128">
        <v>1.03</v>
      </c>
      <c r="E67" s="128">
        <v>1.04</v>
      </c>
      <c r="F67" s="128">
        <v>1.06</v>
      </c>
      <c r="G67" s="128">
        <v>1.07</v>
      </c>
      <c r="H67" s="128">
        <v>1.0900000000000001</v>
      </c>
      <c r="I67" s="128">
        <v>1.1000000000000001</v>
      </c>
      <c r="J67" s="128">
        <v>1.1100000000000001</v>
      </c>
      <c r="K67" s="128">
        <v>1.1200000000000001</v>
      </c>
      <c r="L67" s="128">
        <v>1.1399999999999999</v>
      </c>
      <c r="M67" s="128">
        <v>1.1499999999999999</v>
      </c>
      <c r="N67" s="128">
        <v>1.1599999999999999</v>
      </c>
      <c r="O67" s="128">
        <v>1.17</v>
      </c>
      <c r="P67" s="128">
        <v>1.18</v>
      </c>
      <c r="Q67" s="128">
        <v>1.19</v>
      </c>
      <c r="R67" s="128">
        <v>1.2</v>
      </c>
      <c r="S67" s="128">
        <v>1.21</v>
      </c>
      <c r="T67" s="128">
        <v>1.22</v>
      </c>
      <c r="U67" s="128">
        <v>1.23</v>
      </c>
      <c r="V67" s="128">
        <v>1.24</v>
      </c>
      <c r="W67" s="128">
        <v>1.25</v>
      </c>
      <c r="X67" s="128">
        <v>1.26</v>
      </c>
      <c r="Y67" s="128">
        <v>1.26</v>
      </c>
      <c r="Z67" s="128">
        <v>1.27</v>
      </c>
      <c r="AA67" s="128">
        <v>1.28</v>
      </c>
      <c r="AB67" s="128">
        <v>1.29</v>
      </c>
      <c r="AC67" s="128">
        <v>1.3</v>
      </c>
      <c r="AD67" s="128">
        <v>1.3</v>
      </c>
      <c r="AE67" s="128">
        <v>1.31</v>
      </c>
      <c r="AF67" s="128">
        <v>1.32</v>
      </c>
      <c r="AG67" s="128">
        <v>1.33</v>
      </c>
      <c r="AH67" s="128">
        <v>1.33</v>
      </c>
      <c r="AI67" s="128">
        <v>1.34</v>
      </c>
      <c r="AJ67" s="128">
        <v>1.35</v>
      </c>
      <c r="AK67" s="128">
        <v>1.35</v>
      </c>
      <c r="AL67" s="128">
        <v>1.36</v>
      </c>
      <c r="AM67" s="128">
        <v>1.37</v>
      </c>
      <c r="AN67" s="128">
        <v>1.38</v>
      </c>
      <c r="AO67" s="128">
        <v>1.39</v>
      </c>
      <c r="AP67" s="128">
        <v>1.4</v>
      </c>
      <c r="AQ67" s="128">
        <v>1.41</v>
      </c>
      <c r="AR67" s="128">
        <v>1.42</v>
      </c>
      <c r="AS67" s="128">
        <v>1.43</v>
      </c>
      <c r="AT67" s="128">
        <v>1.44</v>
      </c>
      <c r="AU67" s="128">
        <v>1.45</v>
      </c>
      <c r="AV67" s="128">
        <v>1.46</v>
      </c>
      <c r="AW67" s="128">
        <v>1.47</v>
      </c>
      <c r="AX67" s="128">
        <v>1.48</v>
      </c>
      <c r="AY67" s="128">
        <v>1.49</v>
      </c>
      <c r="AZ67" s="128">
        <v>1.5</v>
      </c>
      <c r="BA67" s="128">
        <v>1.51</v>
      </c>
      <c r="BB67" s="128">
        <v>1.52</v>
      </c>
      <c r="BC67" s="128">
        <v>1.53</v>
      </c>
      <c r="BD67" s="128">
        <v>1.54</v>
      </c>
      <c r="BE67" s="128">
        <v>1.55</v>
      </c>
      <c r="BF67" s="128">
        <v>1.56</v>
      </c>
      <c r="BG67" s="128">
        <v>1.57</v>
      </c>
      <c r="BH67" s="128">
        <v>1.58</v>
      </c>
      <c r="BI67" s="128">
        <v>1.59</v>
      </c>
      <c r="BJ67" s="128">
        <v>1.6</v>
      </c>
      <c r="BK67" s="128">
        <v>1.61</v>
      </c>
      <c r="BL67" s="128">
        <v>1.62</v>
      </c>
      <c r="BM67" s="128">
        <v>1.63</v>
      </c>
      <c r="BN67" s="128">
        <v>1.64</v>
      </c>
      <c r="BO67" s="128">
        <v>1.64</v>
      </c>
      <c r="BP67" s="128">
        <v>1.64</v>
      </c>
      <c r="BQ67" s="128">
        <v>1.64</v>
      </c>
      <c r="BR67" s="128">
        <v>1.64</v>
      </c>
      <c r="BS67" s="128">
        <v>1.64</v>
      </c>
      <c r="BT67" s="128">
        <v>1.64</v>
      </c>
      <c r="BU67" s="128">
        <v>1.64</v>
      </c>
      <c r="BV67" s="128">
        <v>1.64</v>
      </c>
      <c r="BW67" s="128">
        <v>1.64</v>
      </c>
      <c r="BX67" s="128">
        <v>1.64</v>
      </c>
      <c r="BY67" s="128">
        <v>1.64</v>
      </c>
      <c r="BZ67" s="128">
        <v>1.64</v>
      </c>
      <c r="CA67" s="128">
        <v>1.64</v>
      </c>
      <c r="CB67" s="128">
        <v>1.64</v>
      </c>
      <c r="CC67" s="128">
        <v>1.64</v>
      </c>
      <c r="CD67" s="128">
        <v>1.64</v>
      </c>
      <c r="CE67" s="128">
        <v>1.64</v>
      </c>
      <c r="CF67" s="128">
        <v>1.64</v>
      </c>
      <c r="CG67" s="128">
        <v>1.64</v>
      </c>
      <c r="CH67" s="128">
        <v>1.64</v>
      </c>
      <c r="CI67" s="128">
        <v>1.64</v>
      </c>
      <c r="CJ67" s="128">
        <v>1.64</v>
      </c>
      <c r="CK67" s="128">
        <v>1.64</v>
      </c>
      <c r="CL67" s="128">
        <v>1.64</v>
      </c>
      <c r="CM67" s="128">
        <v>1.64</v>
      </c>
      <c r="CN67" s="128">
        <v>1.64</v>
      </c>
      <c r="CO67" s="128">
        <v>1.64</v>
      </c>
      <c r="CP67" s="128">
        <v>1.64</v>
      </c>
      <c r="CQ67" s="128">
        <v>1.64</v>
      </c>
      <c r="CR67" s="128">
        <v>1.64</v>
      </c>
      <c r="CS67" s="128">
        <v>1.64</v>
      </c>
      <c r="CT67" s="128">
        <v>1.64</v>
      </c>
      <c r="CU67" s="128">
        <v>1.64</v>
      </c>
      <c r="CV67" s="128">
        <v>1.64</v>
      </c>
      <c r="CW67" s="128">
        <v>1.64</v>
      </c>
      <c r="CX67" s="128">
        <v>1.64</v>
      </c>
      <c r="CZ67" s="126">
        <f>SUMIF(MatrixF1[[1]:[2]],MatrixF1[[#This Row],[Столбец1]])/MatrixF1[[#This Row],[Столбец1]]</f>
        <v>73.000000000000014</v>
      </c>
    </row>
    <row r="68" spans="1:104" ht="21" customHeight="1" x14ac:dyDescent="0.25">
      <c r="A68" s="127">
        <v>1.65</v>
      </c>
      <c r="B68" s="128">
        <v>1</v>
      </c>
      <c r="C68" s="128">
        <v>1.02</v>
      </c>
      <c r="D68" s="128">
        <v>1.03</v>
      </c>
      <c r="E68" s="128">
        <v>1.04</v>
      </c>
      <c r="F68" s="128">
        <v>1.06</v>
      </c>
      <c r="G68" s="128">
        <v>1.07</v>
      </c>
      <c r="H68" s="128">
        <v>1.08</v>
      </c>
      <c r="I68" s="128">
        <v>1.1000000000000001</v>
      </c>
      <c r="J68" s="128">
        <v>1.1100000000000001</v>
      </c>
      <c r="K68" s="128">
        <v>1.1200000000000001</v>
      </c>
      <c r="L68" s="128">
        <v>1.1299999999999999</v>
      </c>
      <c r="M68" s="128">
        <v>1.1399999999999999</v>
      </c>
      <c r="N68" s="128">
        <v>1.1599999999999999</v>
      </c>
      <c r="O68" s="128">
        <v>1.17</v>
      </c>
      <c r="P68" s="128">
        <v>1.18</v>
      </c>
      <c r="Q68" s="128">
        <v>1.19</v>
      </c>
      <c r="R68" s="128">
        <v>1.2</v>
      </c>
      <c r="S68" s="128">
        <v>1.21</v>
      </c>
      <c r="T68" s="128">
        <v>1.22</v>
      </c>
      <c r="U68" s="128">
        <v>1.23</v>
      </c>
      <c r="V68" s="128">
        <v>1.24</v>
      </c>
      <c r="W68" s="128">
        <v>1.24</v>
      </c>
      <c r="X68" s="128">
        <v>1.25</v>
      </c>
      <c r="Y68" s="128">
        <v>1.26</v>
      </c>
      <c r="Z68" s="128">
        <v>1.27</v>
      </c>
      <c r="AA68" s="128">
        <v>1.28</v>
      </c>
      <c r="AB68" s="128">
        <v>1.29</v>
      </c>
      <c r="AC68" s="128">
        <v>1.29</v>
      </c>
      <c r="AD68" s="128">
        <v>1.3</v>
      </c>
      <c r="AE68" s="128">
        <v>1.31</v>
      </c>
      <c r="AF68" s="128">
        <v>1.32</v>
      </c>
      <c r="AG68" s="128">
        <v>1.32</v>
      </c>
      <c r="AH68" s="128">
        <v>1.33</v>
      </c>
      <c r="AI68" s="128">
        <v>1.34</v>
      </c>
      <c r="AJ68" s="128">
        <v>1.34</v>
      </c>
      <c r="AK68" s="128">
        <v>1.35</v>
      </c>
      <c r="AL68" s="128">
        <v>1.36</v>
      </c>
      <c r="AM68" s="128">
        <v>1.37</v>
      </c>
      <c r="AN68" s="128">
        <v>1.38</v>
      </c>
      <c r="AO68" s="128">
        <v>1.39</v>
      </c>
      <c r="AP68" s="128">
        <v>1.4</v>
      </c>
      <c r="AQ68" s="128">
        <v>1.41</v>
      </c>
      <c r="AR68" s="128">
        <v>1.42</v>
      </c>
      <c r="AS68" s="128">
        <v>1.43</v>
      </c>
      <c r="AT68" s="128">
        <v>1.44</v>
      </c>
      <c r="AU68" s="128">
        <v>1.45</v>
      </c>
      <c r="AV68" s="128">
        <v>1.46</v>
      </c>
      <c r="AW68" s="128">
        <v>1.47</v>
      </c>
      <c r="AX68" s="128">
        <v>1.48</v>
      </c>
      <c r="AY68" s="128">
        <v>1.49</v>
      </c>
      <c r="AZ68" s="128">
        <v>1.5</v>
      </c>
      <c r="BA68" s="128">
        <v>1.51</v>
      </c>
      <c r="BB68" s="128">
        <v>1.52</v>
      </c>
      <c r="BC68" s="128">
        <v>1.53</v>
      </c>
      <c r="BD68" s="128">
        <v>1.54</v>
      </c>
      <c r="BE68" s="128">
        <v>1.55</v>
      </c>
      <c r="BF68" s="128">
        <v>1.56</v>
      </c>
      <c r="BG68" s="128">
        <v>1.57</v>
      </c>
      <c r="BH68" s="128">
        <v>1.58</v>
      </c>
      <c r="BI68" s="128">
        <v>1.59</v>
      </c>
      <c r="BJ68" s="128">
        <v>1.6</v>
      </c>
      <c r="BK68" s="128">
        <v>1.61</v>
      </c>
      <c r="BL68" s="128">
        <v>1.62</v>
      </c>
      <c r="BM68" s="128">
        <v>1.63</v>
      </c>
      <c r="BN68" s="128">
        <v>1.64</v>
      </c>
      <c r="BO68" s="128">
        <v>1.65</v>
      </c>
      <c r="BP68" s="128">
        <v>1.65</v>
      </c>
      <c r="BQ68" s="128">
        <v>1.65</v>
      </c>
      <c r="BR68" s="128">
        <v>1.65</v>
      </c>
      <c r="BS68" s="128">
        <v>1.65</v>
      </c>
      <c r="BT68" s="128">
        <v>1.65</v>
      </c>
      <c r="BU68" s="128">
        <v>1.65</v>
      </c>
      <c r="BV68" s="128">
        <v>1.65</v>
      </c>
      <c r="BW68" s="128">
        <v>1.65</v>
      </c>
      <c r="BX68" s="128">
        <v>1.65</v>
      </c>
      <c r="BY68" s="128">
        <v>1.65</v>
      </c>
      <c r="BZ68" s="128">
        <v>1.65</v>
      </c>
      <c r="CA68" s="128">
        <v>1.65</v>
      </c>
      <c r="CB68" s="128">
        <v>1.65</v>
      </c>
      <c r="CC68" s="128">
        <v>1.65</v>
      </c>
      <c r="CD68" s="128">
        <v>1.65</v>
      </c>
      <c r="CE68" s="128">
        <v>1.65</v>
      </c>
      <c r="CF68" s="128">
        <v>1.65</v>
      </c>
      <c r="CG68" s="128">
        <v>1.65</v>
      </c>
      <c r="CH68" s="128">
        <v>1.65</v>
      </c>
      <c r="CI68" s="128">
        <v>1.65</v>
      </c>
      <c r="CJ68" s="128">
        <v>1.65</v>
      </c>
      <c r="CK68" s="128">
        <v>1.65</v>
      </c>
      <c r="CL68" s="128">
        <v>1.65</v>
      </c>
      <c r="CM68" s="128">
        <v>1.65</v>
      </c>
      <c r="CN68" s="128">
        <v>1.65</v>
      </c>
      <c r="CO68" s="128">
        <v>1.65</v>
      </c>
      <c r="CP68" s="128">
        <v>1.65</v>
      </c>
      <c r="CQ68" s="128">
        <v>1.65</v>
      </c>
      <c r="CR68" s="128">
        <v>1.65</v>
      </c>
      <c r="CS68" s="128">
        <v>1.65</v>
      </c>
      <c r="CT68" s="128">
        <v>1.65</v>
      </c>
      <c r="CU68" s="128">
        <v>1.65</v>
      </c>
      <c r="CV68" s="128">
        <v>1.65</v>
      </c>
      <c r="CW68" s="128">
        <v>1.65</v>
      </c>
      <c r="CX68" s="128">
        <v>1.65</v>
      </c>
      <c r="CZ68" s="126">
        <f>SUMIF(MatrixF1[[1]:[2]],MatrixF1[[#This Row],[Столбец1]])/MatrixF1[[#This Row],[Столбец1]]</f>
        <v>71.000000000000099</v>
      </c>
    </row>
    <row r="69" spans="1:104" ht="21" customHeight="1" x14ac:dyDescent="0.25">
      <c r="A69" s="127">
        <v>1.66</v>
      </c>
      <c r="B69" s="128">
        <v>1</v>
      </c>
      <c r="C69" s="128">
        <v>1.01</v>
      </c>
      <c r="D69" s="128">
        <v>1.03</v>
      </c>
      <c r="E69" s="128">
        <v>1.04</v>
      </c>
      <c r="F69" s="128">
        <v>1.06</v>
      </c>
      <c r="G69" s="128">
        <v>1.07</v>
      </c>
      <c r="H69" s="128">
        <v>1.08</v>
      </c>
      <c r="I69" s="128">
        <v>1.1000000000000001</v>
      </c>
      <c r="J69" s="128">
        <v>1.1100000000000001</v>
      </c>
      <c r="K69" s="128">
        <v>1.1200000000000001</v>
      </c>
      <c r="L69" s="128">
        <v>1.1299999999999999</v>
      </c>
      <c r="M69" s="128">
        <v>1.1399999999999999</v>
      </c>
      <c r="N69" s="128">
        <v>1.1499999999999999</v>
      </c>
      <c r="O69" s="128">
        <v>1.1599999999999999</v>
      </c>
      <c r="P69" s="128">
        <v>1.18</v>
      </c>
      <c r="Q69" s="128">
        <v>1.19</v>
      </c>
      <c r="R69" s="128">
        <v>1.2</v>
      </c>
      <c r="S69" s="128">
        <v>1.2</v>
      </c>
      <c r="T69" s="128">
        <v>1.21</v>
      </c>
      <c r="U69" s="128">
        <v>1.22</v>
      </c>
      <c r="V69" s="128">
        <v>1.23</v>
      </c>
      <c r="W69" s="128">
        <v>1.24</v>
      </c>
      <c r="X69" s="128">
        <v>1.25</v>
      </c>
      <c r="Y69" s="128">
        <v>1.26</v>
      </c>
      <c r="Z69" s="128">
        <v>1.27</v>
      </c>
      <c r="AA69" s="128">
        <v>1.27</v>
      </c>
      <c r="AB69" s="128">
        <v>1.28</v>
      </c>
      <c r="AC69" s="128">
        <v>1.29</v>
      </c>
      <c r="AD69" s="128">
        <v>1.3</v>
      </c>
      <c r="AE69" s="128">
        <v>1.31</v>
      </c>
      <c r="AF69" s="128">
        <v>1.31</v>
      </c>
      <c r="AG69" s="128">
        <v>1.32</v>
      </c>
      <c r="AH69" s="128">
        <v>1.33</v>
      </c>
      <c r="AI69" s="128">
        <v>1.33</v>
      </c>
      <c r="AJ69" s="128">
        <v>1.34</v>
      </c>
      <c r="AK69" s="128">
        <v>1.35</v>
      </c>
      <c r="AL69" s="128">
        <v>1.36</v>
      </c>
      <c r="AM69" s="128">
        <v>1.37</v>
      </c>
      <c r="AN69" s="128">
        <v>1.38</v>
      </c>
      <c r="AO69" s="128">
        <v>1.39</v>
      </c>
      <c r="AP69" s="128">
        <v>1.4</v>
      </c>
      <c r="AQ69" s="128">
        <v>1.41</v>
      </c>
      <c r="AR69" s="128">
        <v>1.42</v>
      </c>
      <c r="AS69" s="128">
        <v>1.43</v>
      </c>
      <c r="AT69" s="128">
        <v>1.44</v>
      </c>
      <c r="AU69" s="128">
        <v>1.45</v>
      </c>
      <c r="AV69" s="128">
        <v>1.46</v>
      </c>
      <c r="AW69" s="128">
        <v>1.47</v>
      </c>
      <c r="AX69" s="128">
        <v>1.48</v>
      </c>
      <c r="AY69" s="128">
        <v>1.49</v>
      </c>
      <c r="AZ69" s="128">
        <v>1.5</v>
      </c>
      <c r="BA69" s="128">
        <v>1.51</v>
      </c>
      <c r="BB69" s="128">
        <v>1.52</v>
      </c>
      <c r="BC69" s="128">
        <v>1.53</v>
      </c>
      <c r="BD69" s="128">
        <v>1.54</v>
      </c>
      <c r="BE69" s="128">
        <v>1.55</v>
      </c>
      <c r="BF69" s="128">
        <v>1.56</v>
      </c>
      <c r="BG69" s="128">
        <v>1.57</v>
      </c>
      <c r="BH69" s="128">
        <v>1.58</v>
      </c>
      <c r="BI69" s="128">
        <v>1.59</v>
      </c>
      <c r="BJ69" s="128">
        <v>1.6</v>
      </c>
      <c r="BK69" s="128">
        <v>1.61</v>
      </c>
      <c r="BL69" s="128">
        <v>1.62</v>
      </c>
      <c r="BM69" s="128">
        <v>1.63</v>
      </c>
      <c r="BN69" s="128">
        <v>1.64</v>
      </c>
      <c r="BO69" s="128">
        <v>1.65</v>
      </c>
      <c r="BP69" s="128">
        <v>1.66</v>
      </c>
      <c r="BQ69" s="128">
        <v>1.66</v>
      </c>
      <c r="BR69" s="128">
        <v>1.66</v>
      </c>
      <c r="BS69" s="128">
        <v>1.66</v>
      </c>
      <c r="BT69" s="128">
        <v>1.66</v>
      </c>
      <c r="BU69" s="128">
        <v>1.66</v>
      </c>
      <c r="BV69" s="128">
        <v>1.66</v>
      </c>
      <c r="BW69" s="128">
        <v>1.66</v>
      </c>
      <c r="BX69" s="128">
        <v>1.66</v>
      </c>
      <c r="BY69" s="128">
        <v>1.66</v>
      </c>
      <c r="BZ69" s="128">
        <v>1.66</v>
      </c>
      <c r="CA69" s="128">
        <v>1.66</v>
      </c>
      <c r="CB69" s="128">
        <v>1.66</v>
      </c>
      <c r="CC69" s="128">
        <v>1.66</v>
      </c>
      <c r="CD69" s="128">
        <v>1.66</v>
      </c>
      <c r="CE69" s="128">
        <v>1.66</v>
      </c>
      <c r="CF69" s="128">
        <v>1.66</v>
      </c>
      <c r="CG69" s="128">
        <v>1.66</v>
      </c>
      <c r="CH69" s="128">
        <v>1.66</v>
      </c>
      <c r="CI69" s="128">
        <v>1.66</v>
      </c>
      <c r="CJ69" s="128">
        <v>1.66</v>
      </c>
      <c r="CK69" s="128">
        <v>1.66</v>
      </c>
      <c r="CL69" s="128">
        <v>1.66</v>
      </c>
      <c r="CM69" s="128">
        <v>1.66</v>
      </c>
      <c r="CN69" s="128">
        <v>1.66</v>
      </c>
      <c r="CO69" s="128">
        <v>1.66</v>
      </c>
      <c r="CP69" s="128">
        <v>1.66</v>
      </c>
      <c r="CQ69" s="128">
        <v>1.66</v>
      </c>
      <c r="CR69" s="128">
        <v>1.66</v>
      </c>
      <c r="CS69" s="128">
        <v>1.66</v>
      </c>
      <c r="CT69" s="128">
        <v>1.66</v>
      </c>
      <c r="CU69" s="128">
        <v>1.66</v>
      </c>
      <c r="CV69" s="128">
        <v>1.66</v>
      </c>
      <c r="CW69" s="128">
        <v>1.66</v>
      </c>
      <c r="CX69" s="128">
        <v>1.66</v>
      </c>
      <c r="CZ69" s="126">
        <f>SUMIF(MatrixF1[[1]:[2]],MatrixF1[[#This Row],[Столбец1]])/MatrixF1[[#This Row],[Столбец1]]</f>
        <v>68.999999999999901</v>
      </c>
    </row>
    <row r="70" spans="1:104" ht="21" customHeight="1" x14ac:dyDescent="0.25">
      <c r="A70" s="127">
        <v>1.67</v>
      </c>
      <c r="B70" s="128">
        <v>1</v>
      </c>
      <c r="C70" s="128">
        <v>1.01</v>
      </c>
      <c r="D70" s="128">
        <v>1.03</v>
      </c>
      <c r="E70" s="128">
        <v>1.04</v>
      </c>
      <c r="F70" s="128">
        <v>1.06</v>
      </c>
      <c r="G70" s="128">
        <v>1.07</v>
      </c>
      <c r="H70" s="128">
        <v>1.08</v>
      </c>
      <c r="I70" s="128">
        <v>1.0900000000000001</v>
      </c>
      <c r="J70" s="128">
        <v>1.1100000000000001</v>
      </c>
      <c r="K70" s="128">
        <v>1.1200000000000001</v>
      </c>
      <c r="L70" s="128">
        <v>1.1299999999999999</v>
      </c>
      <c r="M70" s="128">
        <v>1.1399999999999999</v>
      </c>
      <c r="N70" s="128">
        <v>1.1499999999999999</v>
      </c>
      <c r="O70" s="128">
        <v>1.1599999999999999</v>
      </c>
      <c r="P70" s="128">
        <v>1.17</v>
      </c>
      <c r="Q70" s="128">
        <v>1.18</v>
      </c>
      <c r="R70" s="128">
        <v>1.19</v>
      </c>
      <c r="S70" s="128">
        <v>1.2</v>
      </c>
      <c r="T70" s="128">
        <v>1.21</v>
      </c>
      <c r="U70" s="128">
        <v>1.22</v>
      </c>
      <c r="V70" s="128">
        <v>1.23</v>
      </c>
      <c r="W70" s="128">
        <v>1.24</v>
      </c>
      <c r="X70" s="128">
        <v>1.25</v>
      </c>
      <c r="Y70" s="128">
        <v>1.26</v>
      </c>
      <c r="Z70" s="128">
        <v>1.26</v>
      </c>
      <c r="AA70" s="128">
        <v>1.27</v>
      </c>
      <c r="AB70" s="128">
        <v>1.28</v>
      </c>
      <c r="AC70" s="128">
        <v>1.29</v>
      </c>
      <c r="AD70" s="128">
        <v>1.29</v>
      </c>
      <c r="AE70" s="128">
        <v>1.3</v>
      </c>
      <c r="AF70" s="128">
        <v>1.31</v>
      </c>
      <c r="AG70" s="128">
        <v>1.32</v>
      </c>
      <c r="AH70" s="128">
        <v>1.32</v>
      </c>
      <c r="AI70" s="128">
        <v>1.33</v>
      </c>
      <c r="AJ70" s="128">
        <v>1.34</v>
      </c>
      <c r="AK70" s="128">
        <v>1.35</v>
      </c>
      <c r="AL70" s="128">
        <v>1.36</v>
      </c>
      <c r="AM70" s="128">
        <v>1.37</v>
      </c>
      <c r="AN70" s="128">
        <v>1.38</v>
      </c>
      <c r="AO70" s="128">
        <v>1.39</v>
      </c>
      <c r="AP70" s="128">
        <v>1.4</v>
      </c>
      <c r="AQ70" s="128">
        <v>1.41</v>
      </c>
      <c r="AR70" s="128">
        <v>1.42</v>
      </c>
      <c r="AS70" s="128">
        <v>1.43</v>
      </c>
      <c r="AT70" s="128">
        <v>1.44</v>
      </c>
      <c r="AU70" s="128">
        <v>1.45</v>
      </c>
      <c r="AV70" s="128">
        <v>1.46</v>
      </c>
      <c r="AW70" s="128">
        <v>1.47</v>
      </c>
      <c r="AX70" s="128">
        <v>1.48</v>
      </c>
      <c r="AY70" s="128">
        <v>1.49</v>
      </c>
      <c r="AZ70" s="128">
        <v>1.5</v>
      </c>
      <c r="BA70" s="128">
        <v>1.51</v>
      </c>
      <c r="BB70" s="128">
        <v>1.52</v>
      </c>
      <c r="BC70" s="128">
        <v>1.53</v>
      </c>
      <c r="BD70" s="128">
        <v>1.54</v>
      </c>
      <c r="BE70" s="128">
        <v>1.55</v>
      </c>
      <c r="BF70" s="128">
        <v>1.56</v>
      </c>
      <c r="BG70" s="128">
        <v>1.57</v>
      </c>
      <c r="BH70" s="128">
        <v>1.58</v>
      </c>
      <c r="BI70" s="128">
        <v>1.59</v>
      </c>
      <c r="BJ70" s="128">
        <v>1.6</v>
      </c>
      <c r="BK70" s="128">
        <v>1.61</v>
      </c>
      <c r="BL70" s="128">
        <v>1.62</v>
      </c>
      <c r="BM70" s="128">
        <v>1.63</v>
      </c>
      <c r="BN70" s="128">
        <v>1.64</v>
      </c>
      <c r="BO70" s="128">
        <v>1.65</v>
      </c>
      <c r="BP70" s="128">
        <v>1.66</v>
      </c>
      <c r="BQ70" s="128">
        <v>1.67</v>
      </c>
      <c r="BR70" s="128">
        <v>1.67</v>
      </c>
      <c r="BS70" s="128">
        <v>1.67</v>
      </c>
      <c r="BT70" s="128">
        <v>1.67</v>
      </c>
      <c r="BU70" s="128">
        <v>1.67</v>
      </c>
      <c r="BV70" s="128">
        <v>1.67</v>
      </c>
      <c r="BW70" s="128">
        <v>1.67</v>
      </c>
      <c r="BX70" s="128">
        <v>1.67</v>
      </c>
      <c r="BY70" s="128">
        <v>1.67</v>
      </c>
      <c r="BZ70" s="128">
        <v>1.67</v>
      </c>
      <c r="CA70" s="128">
        <v>1.67</v>
      </c>
      <c r="CB70" s="128">
        <v>1.67</v>
      </c>
      <c r="CC70" s="128">
        <v>1.67</v>
      </c>
      <c r="CD70" s="128">
        <v>1.67</v>
      </c>
      <c r="CE70" s="128">
        <v>1.67</v>
      </c>
      <c r="CF70" s="128">
        <v>1.67</v>
      </c>
      <c r="CG70" s="128">
        <v>1.67</v>
      </c>
      <c r="CH70" s="128">
        <v>1.67</v>
      </c>
      <c r="CI70" s="128">
        <v>1.67</v>
      </c>
      <c r="CJ70" s="128">
        <v>1.67</v>
      </c>
      <c r="CK70" s="128">
        <v>1.67</v>
      </c>
      <c r="CL70" s="128">
        <v>1.67</v>
      </c>
      <c r="CM70" s="128">
        <v>1.67</v>
      </c>
      <c r="CN70" s="128">
        <v>1.67</v>
      </c>
      <c r="CO70" s="128">
        <v>1.67</v>
      </c>
      <c r="CP70" s="128">
        <v>1.67</v>
      </c>
      <c r="CQ70" s="128">
        <v>1.67</v>
      </c>
      <c r="CR70" s="128">
        <v>1.67</v>
      </c>
      <c r="CS70" s="128">
        <v>1.67</v>
      </c>
      <c r="CT70" s="128">
        <v>1.67</v>
      </c>
      <c r="CU70" s="128">
        <v>1.67</v>
      </c>
      <c r="CV70" s="128">
        <v>1.67</v>
      </c>
      <c r="CW70" s="128">
        <v>1.67</v>
      </c>
      <c r="CX70" s="128">
        <v>1.67</v>
      </c>
      <c r="CZ70" s="126">
        <f>SUMIF(MatrixF1[[1]:[2]],MatrixF1[[#This Row],[Столбец1]])/MatrixF1[[#This Row],[Столбец1]]</f>
        <v>67.000000000000057</v>
      </c>
    </row>
    <row r="71" spans="1:104" ht="21" customHeight="1" x14ac:dyDescent="0.25">
      <c r="A71" s="127">
        <v>1.68</v>
      </c>
      <c r="B71" s="128">
        <v>1</v>
      </c>
      <c r="C71" s="128">
        <v>1.01</v>
      </c>
      <c r="D71" s="128">
        <v>1.03</v>
      </c>
      <c r="E71" s="128">
        <v>1.04</v>
      </c>
      <c r="F71" s="128">
        <v>1.06</v>
      </c>
      <c r="G71" s="128">
        <v>1.07</v>
      </c>
      <c r="H71" s="128">
        <v>1.08</v>
      </c>
      <c r="I71" s="128">
        <v>1.0900000000000001</v>
      </c>
      <c r="J71" s="128">
        <v>1.1100000000000001</v>
      </c>
      <c r="K71" s="128">
        <v>1.1200000000000001</v>
      </c>
      <c r="L71" s="128">
        <v>1.1299999999999999</v>
      </c>
      <c r="M71" s="128">
        <v>1.1399999999999999</v>
      </c>
      <c r="N71" s="128">
        <v>1.1499999999999999</v>
      </c>
      <c r="O71" s="128">
        <v>1.1599999999999999</v>
      </c>
      <c r="P71" s="128">
        <v>1.17</v>
      </c>
      <c r="Q71" s="128">
        <v>1.18</v>
      </c>
      <c r="R71" s="128">
        <v>1.19</v>
      </c>
      <c r="S71" s="128">
        <v>1.2</v>
      </c>
      <c r="T71" s="128">
        <v>1.21</v>
      </c>
      <c r="U71" s="128">
        <v>1.22</v>
      </c>
      <c r="V71" s="128">
        <v>1.23</v>
      </c>
      <c r="W71" s="128">
        <v>1.24</v>
      </c>
      <c r="X71" s="128">
        <v>1.24</v>
      </c>
      <c r="Y71" s="128">
        <v>1.25</v>
      </c>
      <c r="Z71" s="128">
        <v>1.26</v>
      </c>
      <c r="AA71" s="128">
        <v>1.27</v>
      </c>
      <c r="AB71" s="128">
        <v>1.28</v>
      </c>
      <c r="AC71" s="128">
        <v>1.28</v>
      </c>
      <c r="AD71" s="128">
        <v>1.29</v>
      </c>
      <c r="AE71" s="128">
        <v>1.3</v>
      </c>
      <c r="AF71" s="128">
        <v>1.31</v>
      </c>
      <c r="AG71" s="128">
        <v>1.31</v>
      </c>
      <c r="AH71" s="128">
        <v>1.32</v>
      </c>
      <c r="AI71" s="128">
        <v>1.33</v>
      </c>
      <c r="AJ71" s="128">
        <v>1.34</v>
      </c>
      <c r="AK71" s="128">
        <v>1.35</v>
      </c>
      <c r="AL71" s="128">
        <v>1.36</v>
      </c>
      <c r="AM71" s="128">
        <v>1.37</v>
      </c>
      <c r="AN71" s="128">
        <v>1.38</v>
      </c>
      <c r="AO71" s="128">
        <v>1.39</v>
      </c>
      <c r="AP71" s="128">
        <v>1.4</v>
      </c>
      <c r="AQ71" s="128">
        <v>1.41</v>
      </c>
      <c r="AR71" s="128">
        <v>1.42</v>
      </c>
      <c r="AS71" s="128">
        <v>1.43</v>
      </c>
      <c r="AT71" s="128">
        <v>1.44</v>
      </c>
      <c r="AU71" s="128">
        <v>1.45</v>
      </c>
      <c r="AV71" s="128">
        <v>1.46</v>
      </c>
      <c r="AW71" s="128">
        <v>1.47</v>
      </c>
      <c r="AX71" s="128">
        <v>1.48</v>
      </c>
      <c r="AY71" s="128">
        <v>1.49</v>
      </c>
      <c r="AZ71" s="128">
        <v>1.5</v>
      </c>
      <c r="BA71" s="128">
        <v>1.51</v>
      </c>
      <c r="BB71" s="128">
        <v>1.52</v>
      </c>
      <c r="BC71" s="128">
        <v>1.53</v>
      </c>
      <c r="BD71" s="128">
        <v>1.54</v>
      </c>
      <c r="BE71" s="128">
        <v>1.55</v>
      </c>
      <c r="BF71" s="128">
        <v>1.56</v>
      </c>
      <c r="BG71" s="128">
        <v>1.57</v>
      </c>
      <c r="BH71" s="128">
        <v>1.58</v>
      </c>
      <c r="BI71" s="128">
        <v>1.59</v>
      </c>
      <c r="BJ71" s="128">
        <v>1.6</v>
      </c>
      <c r="BK71" s="128">
        <v>1.61</v>
      </c>
      <c r="BL71" s="128">
        <v>1.62</v>
      </c>
      <c r="BM71" s="128">
        <v>1.63</v>
      </c>
      <c r="BN71" s="128">
        <v>1.64</v>
      </c>
      <c r="BO71" s="128">
        <v>1.65</v>
      </c>
      <c r="BP71" s="128">
        <v>1.66</v>
      </c>
      <c r="BQ71" s="128">
        <v>1.67</v>
      </c>
      <c r="BR71" s="128">
        <v>1.68</v>
      </c>
      <c r="BS71" s="128">
        <v>1.68</v>
      </c>
      <c r="BT71" s="128">
        <v>1.68</v>
      </c>
      <c r="BU71" s="128">
        <v>1.68</v>
      </c>
      <c r="BV71" s="128">
        <v>1.68</v>
      </c>
      <c r="BW71" s="128">
        <v>1.68</v>
      </c>
      <c r="BX71" s="128">
        <v>1.68</v>
      </c>
      <c r="BY71" s="128">
        <v>1.68</v>
      </c>
      <c r="BZ71" s="128">
        <v>1.68</v>
      </c>
      <c r="CA71" s="128">
        <v>1.68</v>
      </c>
      <c r="CB71" s="128">
        <v>1.68</v>
      </c>
      <c r="CC71" s="128">
        <v>1.68</v>
      </c>
      <c r="CD71" s="128">
        <v>1.68</v>
      </c>
      <c r="CE71" s="128">
        <v>1.68</v>
      </c>
      <c r="CF71" s="128">
        <v>1.68</v>
      </c>
      <c r="CG71" s="128">
        <v>1.68</v>
      </c>
      <c r="CH71" s="128">
        <v>1.68</v>
      </c>
      <c r="CI71" s="128">
        <v>1.68</v>
      </c>
      <c r="CJ71" s="128">
        <v>1.68</v>
      </c>
      <c r="CK71" s="128">
        <v>1.68</v>
      </c>
      <c r="CL71" s="128">
        <v>1.68</v>
      </c>
      <c r="CM71" s="128">
        <v>1.68</v>
      </c>
      <c r="CN71" s="128">
        <v>1.68</v>
      </c>
      <c r="CO71" s="128">
        <v>1.68</v>
      </c>
      <c r="CP71" s="128">
        <v>1.68</v>
      </c>
      <c r="CQ71" s="128">
        <v>1.68</v>
      </c>
      <c r="CR71" s="128">
        <v>1.68</v>
      </c>
      <c r="CS71" s="128">
        <v>1.68</v>
      </c>
      <c r="CT71" s="128">
        <v>1.68</v>
      </c>
      <c r="CU71" s="128">
        <v>1.68</v>
      </c>
      <c r="CV71" s="128">
        <v>1.68</v>
      </c>
      <c r="CW71" s="128">
        <v>1.68</v>
      </c>
      <c r="CX71" s="128">
        <v>1.68</v>
      </c>
      <c r="CZ71" s="126">
        <f>SUMIF(MatrixF1[[1]:[2]],MatrixF1[[#This Row],[Столбец1]])/MatrixF1[[#This Row],[Столбец1]]</f>
        <v>65.000000000000099</v>
      </c>
    </row>
    <row r="72" spans="1:104" ht="21" customHeight="1" x14ac:dyDescent="0.25">
      <c r="A72" s="127">
        <v>1.69</v>
      </c>
      <c r="B72" s="128">
        <v>1</v>
      </c>
      <c r="C72" s="128">
        <v>1.01</v>
      </c>
      <c r="D72" s="128">
        <v>1.03</v>
      </c>
      <c r="E72" s="128">
        <v>1.04</v>
      </c>
      <c r="F72" s="128">
        <v>1.05</v>
      </c>
      <c r="G72" s="128">
        <v>1.07</v>
      </c>
      <c r="H72" s="128">
        <v>1.08</v>
      </c>
      <c r="I72" s="128">
        <v>1.0900000000000001</v>
      </c>
      <c r="J72" s="128">
        <v>1.1000000000000001</v>
      </c>
      <c r="K72" s="128">
        <v>1.1200000000000001</v>
      </c>
      <c r="L72" s="128">
        <v>1.1299999999999999</v>
      </c>
      <c r="M72" s="128">
        <v>1.1399999999999999</v>
      </c>
      <c r="N72" s="128">
        <v>1.1499999999999999</v>
      </c>
      <c r="O72" s="128">
        <v>1.1599999999999999</v>
      </c>
      <c r="P72" s="128">
        <v>1.17</v>
      </c>
      <c r="Q72" s="128">
        <v>1.18</v>
      </c>
      <c r="R72" s="128">
        <v>1.19</v>
      </c>
      <c r="S72" s="128">
        <v>1.2</v>
      </c>
      <c r="T72" s="128">
        <v>1.21</v>
      </c>
      <c r="U72" s="128">
        <v>1.22</v>
      </c>
      <c r="V72" s="128">
        <v>1.22</v>
      </c>
      <c r="W72" s="128">
        <v>1.23</v>
      </c>
      <c r="X72" s="128">
        <v>1.24</v>
      </c>
      <c r="Y72" s="128">
        <v>1.25</v>
      </c>
      <c r="Z72" s="128">
        <v>1.26</v>
      </c>
      <c r="AA72" s="128">
        <v>1.27</v>
      </c>
      <c r="AB72" s="128">
        <v>1.27</v>
      </c>
      <c r="AC72" s="128">
        <v>1.28</v>
      </c>
      <c r="AD72" s="128">
        <v>1.29</v>
      </c>
      <c r="AE72" s="128">
        <v>1.3</v>
      </c>
      <c r="AF72" s="128">
        <v>1.3</v>
      </c>
      <c r="AG72" s="128">
        <v>1.31</v>
      </c>
      <c r="AH72" s="128">
        <v>1.32</v>
      </c>
      <c r="AI72" s="128">
        <v>1.33</v>
      </c>
      <c r="AJ72" s="128">
        <v>1.34</v>
      </c>
      <c r="AK72" s="128">
        <v>1.35</v>
      </c>
      <c r="AL72" s="128">
        <v>1.36</v>
      </c>
      <c r="AM72" s="128">
        <v>1.37</v>
      </c>
      <c r="AN72" s="128">
        <v>1.38</v>
      </c>
      <c r="AO72" s="128">
        <v>1.39</v>
      </c>
      <c r="AP72" s="128">
        <v>1.4</v>
      </c>
      <c r="AQ72" s="128">
        <v>1.41</v>
      </c>
      <c r="AR72" s="128">
        <v>1.42</v>
      </c>
      <c r="AS72" s="128">
        <v>1.43</v>
      </c>
      <c r="AT72" s="128">
        <v>1.44</v>
      </c>
      <c r="AU72" s="128">
        <v>1.45</v>
      </c>
      <c r="AV72" s="128">
        <v>1.46</v>
      </c>
      <c r="AW72" s="128">
        <v>1.47</v>
      </c>
      <c r="AX72" s="128">
        <v>1.48</v>
      </c>
      <c r="AY72" s="128">
        <v>1.49</v>
      </c>
      <c r="AZ72" s="128">
        <v>1.5</v>
      </c>
      <c r="BA72" s="128">
        <v>1.51</v>
      </c>
      <c r="BB72" s="128">
        <v>1.52</v>
      </c>
      <c r="BC72" s="128">
        <v>1.53</v>
      </c>
      <c r="BD72" s="128">
        <v>1.54</v>
      </c>
      <c r="BE72" s="128">
        <v>1.55</v>
      </c>
      <c r="BF72" s="128">
        <v>1.56</v>
      </c>
      <c r="BG72" s="128">
        <v>1.57</v>
      </c>
      <c r="BH72" s="128">
        <v>1.58</v>
      </c>
      <c r="BI72" s="128">
        <v>1.59</v>
      </c>
      <c r="BJ72" s="128">
        <v>1.6</v>
      </c>
      <c r="BK72" s="128">
        <v>1.61</v>
      </c>
      <c r="BL72" s="128">
        <v>1.62</v>
      </c>
      <c r="BM72" s="128">
        <v>1.63</v>
      </c>
      <c r="BN72" s="128">
        <v>1.64</v>
      </c>
      <c r="BO72" s="128">
        <v>1.65</v>
      </c>
      <c r="BP72" s="128">
        <v>1.66</v>
      </c>
      <c r="BQ72" s="128">
        <v>1.67</v>
      </c>
      <c r="BR72" s="128">
        <v>1.68</v>
      </c>
      <c r="BS72" s="128">
        <v>1.69</v>
      </c>
      <c r="BT72" s="128">
        <v>1.69</v>
      </c>
      <c r="BU72" s="128">
        <v>1.69</v>
      </c>
      <c r="BV72" s="128">
        <v>1.69</v>
      </c>
      <c r="BW72" s="128">
        <v>1.69</v>
      </c>
      <c r="BX72" s="128">
        <v>1.69</v>
      </c>
      <c r="BY72" s="128">
        <v>1.69</v>
      </c>
      <c r="BZ72" s="128">
        <v>1.69</v>
      </c>
      <c r="CA72" s="128">
        <v>1.69</v>
      </c>
      <c r="CB72" s="128">
        <v>1.69</v>
      </c>
      <c r="CC72" s="128">
        <v>1.69</v>
      </c>
      <c r="CD72" s="128">
        <v>1.69</v>
      </c>
      <c r="CE72" s="128">
        <v>1.69</v>
      </c>
      <c r="CF72" s="128">
        <v>1.69</v>
      </c>
      <c r="CG72" s="128">
        <v>1.69</v>
      </c>
      <c r="CH72" s="128">
        <v>1.69</v>
      </c>
      <c r="CI72" s="128">
        <v>1.69</v>
      </c>
      <c r="CJ72" s="128">
        <v>1.69</v>
      </c>
      <c r="CK72" s="128">
        <v>1.69</v>
      </c>
      <c r="CL72" s="128">
        <v>1.69</v>
      </c>
      <c r="CM72" s="128">
        <v>1.69</v>
      </c>
      <c r="CN72" s="128">
        <v>1.69</v>
      </c>
      <c r="CO72" s="128">
        <v>1.69</v>
      </c>
      <c r="CP72" s="128">
        <v>1.69</v>
      </c>
      <c r="CQ72" s="128">
        <v>1.69</v>
      </c>
      <c r="CR72" s="128">
        <v>1.69</v>
      </c>
      <c r="CS72" s="128">
        <v>1.69</v>
      </c>
      <c r="CT72" s="128">
        <v>1.69</v>
      </c>
      <c r="CU72" s="128">
        <v>1.69</v>
      </c>
      <c r="CV72" s="128">
        <v>1.69</v>
      </c>
      <c r="CW72" s="128">
        <v>1.69</v>
      </c>
      <c r="CX72" s="128">
        <v>1.69</v>
      </c>
      <c r="CZ72" s="126">
        <f>SUMIF(MatrixF1[[1]:[2]],MatrixF1[[#This Row],[Столбец1]])/MatrixF1[[#This Row],[Столбец1]]</f>
        <v>62.99999999999995</v>
      </c>
    </row>
    <row r="73" spans="1:104" ht="21" customHeight="1" x14ac:dyDescent="0.25">
      <c r="A73" s="127">
        <v>1.7</v>
      </c>
      <c r="B73" s="128">
        <v>1</v>
      </c>
      <c r="C73" s="128">
        <v>1.01</v>
      </c>
      <c r="D73" s="128">
        <v>1.03</v>
      </c>
      <c r="E73" s="128">
        <v>1.04</v>
      </c>
      <c r="F73" s="128">
        <v>1.05</v>
      </c>
      <c r="G73" s="128">
        <v>1.07</v>
      </c>
      <c r="H73" s="128">
        <v>1.08</v>
      </c>
      <c r="I73" s="128">
        <v>1.0900000000000001</v>
      </c>
      <c r="J73" s="128">
        <v>1.1000000000000001</v>
      </c>
      <c r="K73" s="128">
        <v>1.1100000000000001</v>
      </c>
      <c r="L73" s="128">
        <v>1.1200000000000001</v>
      </c>
      <c r="M73" s="128">
        <v>1.1399999999999999</v>
      </c>
      <c r="N73" s="128">
        <v>1.1499999999999999</v>
      </c>
      <c r="O73" s="128">
        <v>1.1599999999999999</v>
      </c>
      <c r="P73" s="128">
        <v>1.17</v>
      </c>
      <c r="Q73" s="128">
        <v>1.18</v>
      </c>
      <c r="R73" s="128">
        <v>1.19</v>
      </c>
      <c r="S73" s="128">
        <v>1.2</v>
      </c>
      <c r="T73" s="128">
        <v>1.2</v>
      </c>
      <c r="U73" s="128">
        <v>1.21</v>
      </c>
      <c r="V73" s="128">
        <v>1.22</v>
      </c>
      <c r="W73" s="128">
        <v>1.23</v>
      </c>
      <c r="X73" s="128">
        <v>1.24</v>
      </c>
      <c r="Y73" s="128">
        <v>1.25</v>
      </c>
      <c r="Z73" s="128">
        <v>1.26</v>
      </c>
      <c r="AA73" s="128">
        <v>1.26</v>
      </c>
      <c r="AB73" s="128">
        <v>1.27</v>
      </c>
      <c r="AC73" s="128">
        <v>1.28</v>
      </c>
      <c r="AD73" s="128">
        <v>1.29</v>
      </c>
      <c r="AE73" s="128">
        <v>1.29</v>
      </c>
      <c r="AF73" s="128">
        <v>1.3</v>
      </c>
      <c r="AG73" s="128">
        <v>1.31</v>
      </c>
      <c r="AH73" s="128">
        <v>1.32</v>
      </c>
      <c r="AI73" s="128">
        <v>1.33</v>
      </c>
      <c r="AJ73" s="128">
        <v>1.34</v>
      </c>
      <c r="AK73" s="128">
        <v>1.35</v>
      </c>
      <c r="AL73" s="128">
        <v>1.36</v>
      </c>
      <c r="AM73" s="128">
        <v>1.37</v>
      </c>
      <c r="AN73" s="128">
        <v>1.38</v>
      </c>
      <c r="AO73" s="128">
        <v>1.39</v>
      </c>
      <c r="AP73" s="128">
        <v>1.4</v>
      </c>
      <c r="AQ73" s="128">
        <v>1.41</v>
      </c>
      <c r="AR73" s="128">
        <v>1.42</v>
      </c>
      <c r="AS73" s="128">
        <v>1.43</v>
      </c>
      <c r="AT73" s="128">
        <v>1.44</v>
      </c>
      <c r="AU73" s="128">
        <v>1.45</v>
      </c>
      <c r="AV73" s="128">
        <v>1.46</v>
      </c>
      <c r="AW73" s="128">
        <v>1.47</v>
      </c>
      <c r="AX73" s="128">
        <v>1.48</v>
      </c>
      <c r="AY73" s="128">
        <v>1.49</v>
      </c>
      <c r="AZ73" s="128">
        <v>1.5</v>
      </c>
      <c r="BA73" s="128">
        <v>1.51</v>
      </c>
      <c r="BB73" s="128">
        <v>1.52</v>
      </c>
      <c r="BC73" s="128">
        <v>1.53</v>
      </c>
      <c r="BD73" s="128">
        <v>1.54</v>
      </c>
      <c r="BE73" s="128">
        <v>1.55</v>
      </c>
      <c r="BF73" s="128">
        <v>1.56</v>
      </c>
      <c r="BG73" s="128">
        <v>1.57</v>
      </c>
      <c r="BH73" s="128">
        <v>1.58</v>
      </c>
      <c r="BI73" s="128">
        <v>1.59</v>
      </c>
      <c r="BJ73" s="128">
        <v>1.6</v>
      </c>
      <c r="BK73" s="128">
        <v>1.61</v>
      </c>
      <c r="BL73" s="128">
        <v>1.62</v>
      </c>
      <c r="BM73" s="128">
        <v>1.63</v>
      </c>
      <c r="BN73" s="128">
        <v>1.64</v>
      </c>
      <c r="BO73" s="128">
        <v>1.65</v>
      </c>
      <c r="BP73" s="128">
        <v>1.66</v>
      </c>
      <c r="BQ73" s="128">
        <v>1.67</v>
      </c>
      <c r="BR73" s="128">
        <v>1.68</v>
      </c>
      <c r="BS73" s="128">
        <v>1.69</v>
      </c>
      <c r="BT73" s="128">
        <v>1.7</v>
      </c>
      <c r="BU73" s="128">
        <v>1.7</v>
      </c>
      <c r="BV73" s="128">
        <v>1.7</v>
      </c>
      <c r="BW73" s="128">
        <v>1.7</v>
      </c>
      <c r="BX73" s="128">
        <v>1.7</v>
      </c>
      <c r="BY73" s="128">
        <v>1.7</v>
      </c>
      <c r="BZ73" s="128">
        <v>1.7</v>
      </c>
      <c r="CA73" s="128">
        <v>1.7</v>
      </c>
      <c r="CB73" s="128">
        <v>1.7</v>
      </c>
      <c r="CC73" s="128">
        <v>1.7</v>
      </c>
      <c r="CD73" s="128">
        <v>1.7</v>
      </c>
      <c r="CE73" s="128">
        <v>1.7</v>
      </c>
      <c r="CF73" s="128">
        <v>1.7</v>
      </c>
      <c r="CG73" s="128">
        <v>1.7</v>
      </c>
      <c r="CH73" s="128">
        <v>1.7</v>
      </c>
      <c r="CI73" s="128">
        <v>1.7</v>
      </c>
      <c r="CJ73" s="128">
        <v>1.7</v>
      </c>
      <c r="CK73" s="128">
        <v>1.7</v>
      </c>
      <c r="CL73" s="128">
        <v>1.7</v>
      </c>
      <c r="CM73" s="128">
        <v>1.7</v>
      </c>
      <c r="CN73" s="128">
        <v>1.7</v>
      </c>
      <c r="CO73" s="128">
        <v>1.7</v>
      </c>
      <c r="CP73" s="128">
        <v>1.7</v>
      </c>
      <c r="CQ73" s="128">
        <v>1.7</v>
      </c>
      <c r="CR73" s="128">
        <v>1.7</v>
      </c>
      <c r="CS73" s="128">
        <v>1.7</v>
      </c>
      <c r="CT73" s="128">
        <v>1.7</v>
      </c>
      <c r="CU73" s="128">
        <v>1.7</v>
      </c>
      <c r="CV73" s="128">
        <v>1.7</v>
      </c>
      <c r="CW73" s="128">
        <v>1.7</v>
      </c>
      <c r="CX73" s="128">
        <v>1.7</v>
      </c>
      <c r="CZ73" s="126">
        <f>SUMIF(MatrixF1[[1]:[2]],MatrixF1[[#This Row],[Столбец1]])/MatrixF1[[#This Row],[Столбец1]]</f>
        <v>61.000000000000064</v>
      </c>
    </row>
    <row r="74" spans="1:104" ht="21" customHeight="1" x14ac:dyDescent="0.25">
      <c r="A74" s="127">
        <v>1.71</v>
      </c>
      <c r="B74" s="128">
        <v>1</v>
      </c>
      <c r="C74" s="128">
        <v>1.01</v>
      </c>
      <c r="D74" s="128">
        <v>1.03</v>
      </c>
      <c r="E74" s="128">
        <v>1.04</v>
      </c>
      <c r="F74" s="128">
        <v>1.05</v>
      </c>
      <c r="G74" s="128">
        <v>1.07</v>
      </c>
      <c r="H74" s="128">
        <v>1.08</v>
      </c>
      <c r="I74" s="128">
        <v>1.0900000000000001</v>
      </c>
      <c r="J74" s="128">
        <v>1.1000000000000001</v>
      </c>
      <c r="K74" s="128">
        <v>1.1100000000000001</v>
      </c>
      <c r="L74" s="128">
        <v>1.1200000000000001</v>
      </c>
      <c r="M74" s="128">
        <v>1.1299999999999999</v>
      </c>
      <c r="N74" s="128">
        <v>1.1399999999999999</v>
      </c>
      <c r="O74" s="128">
        <v>1.1499999999999999</v>
      </c>
      <c r="P74" s="128">
        <v>1.1599999999999999</v>
      </c>
      <c r="Q74" s="128">
        <v>1.17</v>
      </c>
      <c r="R74" s="128">
        <v>1.18</v>
      </c>
      <c r="S74" s="128">
        <v>1.19</v>
      </c>
      <c r="T74" s="128">
        <v>1.2</v>
      </c>
      <c r="U74" s="128">
        <v>1.21</v>
      </c>
      <c r="V74" s="128">
        <v>1.22</v>
      </c>
      <c r="W74" s="128">
        <v>1.23</v>
      </c>
      <c r="X74" s="128">
        <v>1.24</v>
      </c>
      <c r="Y74" s="128">
        <v>1.24</v>
      </c>
      <c r="Z74" s="128">
        <v>1.25</v>
      </c>
      <c r="AA74" s="128">
        <v>1.26</v>
      </c>
      <c r="AB74" s="128">
        <v>1.27</v>
      </c>
      <c r="AC74" s="128">
        <v>1.28</v>
      </c>
      <c r="AD74" s="128">
        <v>1.28</v>
      </c>
      <c r="AE74" s="128">
        <v>1.29</v>
      </c>
      <c r="AF74" s="128">
        <v>1.3</v>
      </c>
      <c r="AG74" s="128">
        <v>1.31</v>
      </c>
      <c r="AH74" s="128">
        <v>1.32</v>
      </c>
      <c r="AI74" s="128">
        <v>1.33</v>
      </c>
      <c r="AJ74" s="128">
        <v>1.34</v>
      </c>
      <c r="AK74" s="128">
        <v>1.35</v>
      </c>
      <c r="AL74" s="128">
        <v>1.36</v>
      </c>
      <c r="AM74" s="128">
        <v>1.37</v>
      </c>
      <c r="AN74" s="128">
        <v>1.38</v>
      </c>
      <c r="AO74" s="128">
        <v>1.39</v>
      </c>
      <c r="AP74" s="128">
        <v>1.4</v>
      </c>
      <c r="AQ74" s="128">
        <v>1.41</v>
      </c>
      <c r="AR74" s="128">
        <v>1.42</v>
      </c>
      <c r="AS74" s="128">
        <v>1.43</v>
      </c>
      <c r="AT74" s="128">
        <v>1.44</v>
      </c>
      <c r="AU74" s="128">
        <v>1.45</v>
      </c>
      <c r="AV74" s="128">
        <v>1.46</v>
      </c>
      <c r="AW74" s="128">
        <v>1.47</v>
      </c>
      <c r="AX74" s="128">
        <v>1.48</v>
      </c>
      <c r="AY74" s="128">
        <v>1.49</v>
      </c>
      <c r="AZ74" s="128">
        <v>1.5</v>
      </c>
      <c r="BA74" s="128">
        <v>1.51</v>
      </c>
      <c r="BB74" s="128">
        <v>1.52</v>
      </c>
      <c r="BC74" s="128">
        <v>1.53</v>
      </c>
      <c r="BD74" s="128">
        <v>1.54</v>
      </c>
      <c r="BE74" s="128">
        <v>1.55</v>
      </c>
      <c r="BF74" s="128">
        <v>1.56</v>
      </c>
      <c r="BG74" s="128">
        <v>1.57</v>
      </c>
      <c r="BH74" s="128">
        <v>1.58</v>
      </c>
      <c r="BI74" s="128">
        <v>1.59</v>
      </c>
      <c r="BJ74" s="128">
        <v>1.6</v>
      </c>
      <c r="BK74" s="128">
        <v>1.61</v>
      </c>
      <c r="BL74" s="128">
        <v>1.62</v>
      </c>
      <c r="BM74" s="128">
        <v>1.63</v>
      </c>
      <c r="BN74" s="128">
        <v>1.64</v>
      </c>
      <c r="BO74" s="128">
        <v>1.65</v>
      </c>
      <c r="BP74" s="128">
        <v>1.66</v>
      </c>
      <c r="BQ74" s="128">
        <v>1.67</v>
      </c>
      <c r="BR74" s="128">
        <v>1.68</v>
      </c>
      <c r="BS74" s="128">
        <v>1.69</v>
      </c>
      <c r="BT74" s="128">
        <v>1.7</v>
      </c>
      <c r="BU74" s="128">
        <v>1.71</v>
      </c>
      <c r="BV74" s="128">
        <v>1.71</v>
      </c>
      <c r="BW74" s="128">
        <v>1.71</v>
      </c>
      <c r="BX74" s="128">
        <v>1.71</v>
      </c>
      <c r="BY74" s="128">
        <v>1.71</v>
      </c>
      <c r="BZ74" s="128">
        <v>1.71</v>
      </c>
      <c r="CA74" s="128">
        <v>1.71</v>
      </c>
      <c r="CB74" s="128">
        <v>1.71</v>
      </c>
      <c r="CC74" s="128">
        <v>1.71</v>
      </c>
      <c r="CD74" s="128">
        <v>1.71</v>
      </c>
      <c r="CE74" s="128">
        <v>1.71</v>
      </c>
      <c r="CF74" s="128">
        <v>1.71</v>
      </c>
      <c r="CG74" s="128">
        <v>1.71</v>
      </c>
      <c r="CH74" s="128">
        <v>1.71</v>
      </c>
      <c r="CI74" s="128">
        <v>1.71</v>
      </c>
      <c r="CJ74" s="128">
        <v>1.71</v>
      </c>
      <c r="CK74" s="128">
        <v>1.71</v>
      </c>
      <c r="CL74" s="128">
        <v>1.71</v>
      </c>
      <c r="CM74" s="128">
        <v>1.71</v>
      </c>
      <c r="CN74" s="128">
        <v>1.71</v>
      </c>
      <c r="CO74" s="128">
        <v>1.71</v>
      </c>
      <c r="CP74" s="128">
        <v>1.71</v>
      </c>
      <c r="CQ74" s="128">
        <v>1.71</v>
      </c>
      <c r="CR74" s="128">
        <v>1.71</v>
      </c>
      <c r="CS74" s="128">
        <v>1.71</v>
      </c>
      <c r="CT74" s="128">
        <v>1.71</v>
      </c>
      <c r="CU74" s="128">
        <v>1.71</v>
      </c>
      <c r="CV74" s="128">
        <v>1.71</v>
      </c>
      <c r="CW74" s="128">
        <v>1.71</v>
      </c>
      <c r="CX74" s="128">
        <v>1.71</v>
      </c>
      <c r="CZ74" s="126">
        <f>SUMIF(MatrixF1[[1]:[2]],MatrixF1[[#This Row],[Столбец1]])/MatrixF1[[#This Row],[Столбец1]]</f>
        <v>58.999999999999936</v>
      </c>
    </row>
    <row r="75" spans="1:104" ht="21" customHeight="1" x14ac:dyDescent="0.25">
      <c r="A75" s="127">
        <v>1.72</v>
      </c>
      <c r="B75" s="128">
        <v>1</v>
      </c>
      <c r="C75" s="128">
        <v>1.01</v>
      </c>
      <c r="D75" s="128">
        <v>1.03</v>
      </c>
      <c r="E75" s="128">
        <v>1.04</v>
      </c>
      <c r="F75" s="128">
        <v>1.05</v>
      </c>
      <c r="G75" s="128">
        <v>1.06</v>
      </c>
      <c r="H75" s="128">
        <v>1.08</v>
      </c>
      <c r="I75" s="128">
        <v>1.0900000000000001</v>
      </c>
      <c r="J75" s="128">
        <v>1.1000000000000001</v>
      </c>
      <c r="K75" s="128">
        <v>1.1100000000000001</v>
      </c>
      <c r="L75" s="128">
        <v>1.1200000000000001</v>
      </c>
      <c r="M75" s="128">
        <v>1.1299999999999999</v>
      </c>
      <c r="N75" s="128">
        <v>1.1399999999999999</v>
      </c>
      <c r="O75" s="128">
        <v>1.1499999999999999</v>
      </c>
      <c r="P75" s="128">
        <v>1.1599999999999999</v>
      </c>
      <c r="Q75" s="128">
        <v>1.17</v>
      </c>
      <c r="R75" s="128">
        <v>1.18</v>
      </c>
      <c r="S75" s="128">
        <v>1.19</v>
      </c>
      <c r="T75" s="128">
        <v>1.2</v>
      </c>
      <c r="U75" s="128">
        <v>1.21</v>
      </c>
      <c r="V75" s="128">
        <v>1.22</v>
      </c>
      <c r="W75" s="128">
        <v>1.23</v>
      </c>
      <c r="X75" s="128">
        <v>1.23</v>
      </c>
      <c r="Y75" s="128">
        <v>1.24</v>
      </c>
      <c r="Z75" s="128">
        <v>1.25</v>
      </c>
      <c r="AA75" s="128">
        <v>1.26</v>
      </c>
      <c r="AB75" s="128">
        <v>1.27</v>
      </c>
      <c r="AC75" s="128">
        <v>1.27</v>
      </c>
      <c r="AD75" s="128">
        <v>1.28</v>
      </c>
      <c r="AE75" s="128">
        <v>1.29</v>
      </c>
      <c r="AF75" s="128">
        <v>1.3</v>
      </c>
      <c r="AG75" s="128">
        <v>1.31</v>
      </c>
      <c r="AH75" s="128">
        <v>1.32</v>
      </c>
      <c r="AI75" s="128">
        <v>1.33</v>
      </c>
      <c r="AJ75" s="128">
        <v>1.34</v>
      </c>
      <c r="AK75" s="128">
        <v>1.35</v>
      </c>
      <c r="AL75" s="128">
        <v>1.36</v>
      </c>
      <c r="AM75" s="128">
        <v>1.37</v>
      </c>
      <c r="AN75" s="128">
        <v>1.38</v>
      </c>
      <c r="AO75" s="128">
        <v>1.39</v>
      </c>
      <c r="AP75" s="128">
        <v>1.4</v>
      </c>
      <c r="AQ75" s="128">
        <v>1.41</v>
      </c>
      <c r="AR75" s="128">
        <v>1.42</v>
      </c>
      <c r="AS75" s="128">
        <v>1.43</v>
      </c>
      <c r="AT75" s="128">
        <v>1.44</v>
      </c>
      <c r="AU75" s="128">
        <v>1.45</v>
      </c>
      <c r="AV75" s="128">
        <v>1.46</v>
      </c>
      <c r="AW75" s="128">
        <v>1.47</v>
      </c>
      <c r="AX75" s="128">
        <v>1.48</v>
      </c>
      <c r="AY75" s="128">
        <v>1.49</v>
      </c>
      <c r="AZ75" s="128">
        <v>1.5</v>
      </c>
      <c r="BA75" s="128">
        <v>1.51</v>
      </c>
      <c r="BB75" s="128">
        <v>1.52</v>
      </c>
      <c r="BC75" s="128">
        <v>1.53</v>
      </c>
      <c r="BD75" s="128">
        <v>1.54</v>
      </c>
      <c r="BE75" s="128">
        <v>1.55</v>
      </c>
      <c r="BF75" s="128">
        <v>1.56</v>
      </c>
      <c r="BG75" s="128">
        <v>1.57</v>
      </c>
      <c r="BH75" s="128">
        <v>1.58</v>
      </c>
      <c r="BI75" s="128">
        <v>1.59</v>
      </c>
      <c r="BJ75" s="128">
        <v>1.6</v>
      </c>
      <c r="BK75" s="128">
        <v>1.61</v>
      </c>
      <c r="BL75" s="128">
        <v>1.62</v>
      </c>
      <c r="BM75" s="128">
        <v>1.63</v>
      </c>
      <c r="BN75" s="128">
        <v>1.64</v>
      </c>
      <c r="BO75" s="128">
        <v>1.65</v>
      </c>
      <c r="BP75" s="128">
        <v>1.66</v>
      </c>
      <c r="BQ75" s="128">
        <v>1.67</v>
      </c>
      <c r="BR75" s="128">
        <v>1.68</v>
      </c>
      <c r="BS75" s="128">
        <v>1.69</v>
      </c>
      <c r="BT75" s="128">
        <v>1.7</v>
      </c>
      <c r="BU75" s="128">
        <v>1.71</v>
      </c>
      <c r="BV75" s="128">
        <v>1.72</v>
      </c>
      <c r="BW75" s="128">
        <v>1.72</v>
      </c>
      <c r="BX75" s="128">
        <v>1.72</v>
      </c>
      <c r="BY75" s="128">
        <v>1.72</v>
      </c>
      <c r="BZ75" s="128">
        <v>1.72</v>
      </c>
      <c r="CA75" s="128">
        <v>1.72</v>
      </c>
      <c r="CB75" s="128">
        <v>1.72</v>
      </c>
      <c r="CC75" s="128">
        <v>1.72</v>
      </c>
      <c r="CD75" s="128">
        <v>1.72</v>
      </c>
      <c r="CE75" s="128">
        <v>1.72</v>
      </c>
      <c r="CF75" s="128">
        <v>1.72</v>
      </c>
      <c r="CG75" s="128">
        <v>1.72</v>
      </c>
      <c r="CH75" s="128">
        <v>1.72</v>
      </c>
      <c r="CI75" s="128">
        <v>1.72</v>
      </c>
      <c r="CJ75" s="128">
        <v>1.72</v>
      </c>
      <c r="CK75" s="128">
        <v>1.72</v>
      </c>
      <c r="CL75" s="128">
        <v>1.72</v>
      </c>
      <c r="CM75" s="128">
        <v>1.72</v>
      </c>
      <c r="CN75" s="128">
        <v>1.72</v>
      </c>
      <c r="CO75" s="128">
        <v>1.72</v>
      </c>
      <c r="CP75" s="128">
        <v>1.72</v>
      </c>
      <c r="CQ75" s="128">
        <v>1.72</v>
      </c>
      <c r="CR75" s="128">
        <v>1.72</v>
      </c>
      <c r="CS75" s="128">
        <v>1.72</v>
      </c>
      <c r="CT75" s="128">
        <v>1.72</v>
      </c>
      <c r="CU75" s="128">
        <v>1.72</v>
      </c>
      <c r="CV75" s="128">
        <v>1.72</v>
      </c>
      <c r="CW75" s="128">
        <v>1.72</v>
      </c>
      <c r="CX75" s="128">
        <v>1.72</v>
      </c>
      <c r="CZ75" s="126">
        <f>SUMIF(MatrixF1[[1]:[2]],MatrixF1[[#This Row],[Столбец1]])/MatrixF1[[#This Row],[Столбец1]]</f>
        <v>56.999999999999972</v>
      </c>
    </row>
    <row r="76" spans="1:104" ht="21" customHeight="1" x14ac:dyDescent="0.25">
      <c r="A76" s="127">
        <v>1.73</v>
      </c>
      <c r="B76" s="128">
        <v>1</v>
      </c>
      <c r="C76" s="128">
        <v>1.01</v>
      </c>
      <c r="D76" s="128">
        <v>1.03</v>
      </c>
      <c r="E76" s="128">
        <v>1.04</v>
      </c>
      <c r="F76" s="128">
        <v>1.05</v>
      </c>
      <c r="G76" s="128">
        <v>1.06</v>
      </c>
      <c r="H76" s="128">
        <v>1.08</v>
      </c>
      <c r="I76" s="128">
        <v>1.0900000000000001</v>
      </c>
      <c r="J76" s="128">
        <v>1.1000000000000001</v>
      </c>
      <c r="K76" s="128">
        <v>1.1100000000000001</v>
      </c>
      <c r="L76" s="128">
        <v>1.1200000000000001</v>
      </c>
      <c r="M76" s="128">
        <v>1.1299999999999999</v>
      </c>
      <c r="N76" s="128">
        <v>1.1399999999999999</v>
      </c>
      <c r="O76" s="128">
        <v>1.1499999999999999</v>
      </c>
      <c r="P76" s="128">
        <v>1.1599999999999999</v>
      </c>
      <c r="Q76" s="128">
        <v>1.17</v>
      </c>
      <c r="R76" s="128">
        <v>1.18</v>
      </c>
      <c r="S76" s="128">
        <v>1.19</v>
      </c>
      <c r="T76" s="128">
        <v>1.2</v>
      </c>
      <c r="U76" s="128">
        <v>1.21</v>
      </c>
      <c r="V76" s="128">
        <v>1.22</v>
      </c>
      <c r="W76" s="128">
        <v>1.22</v>
      </c>
      <c r="X76" s="128">
        <v>1.23</v>
      </c>
      <c r="Y76" s="128">
        <v>1.24</v>
      </c>
      <c r="Z76" s="128">
        <v>1.25</v>
      </c>
      <c r="AA76" s="128">
        <v>1.26</v>
      </c>
      <c r="AB76" s="128">
        <v>1.26</v>
      </c>
      <c r="AC76" s="128">
        <v>1.27</v>
      </c>
      <c r="AD76" s="128">
        <v>1.28</v>
      </c>
      <c r="AE76" s="128">
        <v>1.29</v>
      </c>
      <c r="AF76" s="128">
        <v>1.3</v>
      </c>
      <c r="AG76" s="128">
        <v>1.31</v>
      </c>
      <c r="AH76" s="128">
        <v>1.32</v>
      </c>
      <c r="AI76" s="128">
        <v>1.33</v>
      </c>
      <c r="AJ76" s="128">
        <v>1.34</v>
      </c>
      <c r="AK76" s="128">
        <v>1.35</v>
      </c>
      <c r="AL76" s="128">
        <v>1.36</v>
      </c>
      <c r="AM76" s="128">
        <v>1.37</v>
      </c>
      <c r="AN76" s="128">
        <v>1.38</v>
      </c>
      <c r="AO76" s="128">
        <v>1.39</v>
      </c>
      <c r="AP76" s="128">
        <v>1.4</v>
      </c>
      <c r="AQ76" s="128">
        <v>1.41</v>
      </c>
      <c r="AR76" s="128">
        <v>1.42</v>
      </c>
      <c r="AS76" s="128">
        <v>1.43</v>
      </c>
      <c r="AT76" s="128">
        <v>1.44</v>
      </c>
      <c r="AU76" s="128">
        <v>1.45</v>
      </c>
      <c r="AV76" s="128">
        <v>1.46</v>
      </c>
      <c r="AW76" s="128">
        <v>1.47</v>
      </c>
      <c r="AX76" s="128">
        <v>1.48</v>
      </c>
      <c r="AY76" s="128">
        <v>1.49</v>
      </c>
      <c r="AZ76" s="128">
        <v>1.5</v>
      </c>
      <c r="BA76" s="128">
        <v>1.51</v>
      </c>
      <c r="BB76" s="128">
        <v>1.52</v>
      </c>
      <c r="BC76" s="128">
        <v>1.53</v>
      </c>
      <c r="BD76" s="128">
        <v>1.54</v>
      </c>
      <c r="BE76" s="128">
        <v>1.55</v>
      </c>
      <c r="BF76" s="128">
        <v>1.56</v>
      </c>
      <c r="BG76" s="128">
        <v>1.57</v>
      </c>
      <c r="BH76" s="128">
        <v>1.58</v>
      </c>
      <c r="BI76" s="128">
        <v>1.59</v>
      </c>
      <c r="BJ76" s="128">
        <v>1.6</v>
      </c>
      <c r="BK76" s="128">
        <v>1.61</v>
      </c>
      <c r="BL76" s="128">
        <v>1.62</v>
      </c>
      <c r="BM76" s="128">
        <v>1.63</v>
      </c>
      <c r="BN76" s="128">
        <v>1.64</v>
      </c>
      <c r="BO76" s="128">
        <v>1.65</v>
      </c>
      <c r="BP76" s="128">
        <v>1.66</v>
      </c>
      <c r="BQ76" s="128">
        <v>1.67</v>
      </c>
      <c r="BR76" s="128">
        <v>1.68</v>
      </c>
      <c r="BS76" s="128">
        <v>1.69</v>
      </c>
      <c r="BT76" s="128">
        <v>1.7</v>
      </c>
      <c r="BU76" s="128">
        <v>1.71</v>
      </c>
      <c r="BV76" s="128">
        <v>1.72</v>
      </c>
      <c r="BW76" s="128">
        <v>1.73</v>
      </c>
      <c r="BX76" s="128">
        <v>1.73</v>
      </c>
      <c r="BY76" s="128">
        <v>1.73</v>
      </c>
      <c r="BZ76" s="128">
        <v>1.73</v>
      </c>
      <c r="CA76" s="128">
        <v>1.73</v>
      </c>
      <c r="CB76" s="128">
        <v>1.73</v>
      </c>
      <c r="CC76" s="128">
        <v>1.73</v>
      </c>
      <c r="CD76" s="128">
        <v>1.73</v>
      </c>
      <c r="CE76" s="128">
        <v>1.73</v>
      </c>
      <c r="CF76" s="128">
        <v>1.73</v>
      </c>
      <c r="CG76" s="128">
        <v>1.73</v>
      </c>
      <c r="CH76" s="128">
        <v>1.73</v>
      </c>
      <c r="CI76" s="128">
        <v>1.73</v>
      </c>
      <c r="CJ76" s="128">
        <v>1.73</v>
      </c>
      <c r="CK76" s="128">
        <v>1.73</v>
      </c>
      <c r="CL76" s="128">
        <v>1.73</v>
      </c>
      <c r="CM76" s="128">
        <v>1.73</v>
      </c>
      <c r="CN76" s="128">
        <v>1.73</v>
      </c>
      <c r="CO76" s="128">
        <v>1.73</v>
      </c>
      <c r="CP76" s="128">
        <v>1.73</v>
      </c>
      <c r="CQ76" s="128">
        <v>1.73</v>
      </c>
      <c r="CR76" s="128">
        <v>1.73</v>
      </c>
      <c r="CS76" s="128">
        <v>1.73</v>
      </c>
      <c r="CT76" s="128">
        <v>1.73</v>
      </c>
      <c r="CU76" s="128">
        <v>1.73</v>
      </c>
      <c r="CV76" s="128">
        <v>1.73</v>
      </c>
      <c r="CW76" s="128">
        <v>1.73</v>
      </c>
      <c r="CX76" s="128">
        <v>1.73</v>
      </c>
      <c r="CZ76" s="126">
        <f>SUMIF(MatrixF1[[1]:[2]],MatrixF1[[#This Row],[Столбец1]])/MatrixF1[[#This Row],[Столбец1]]</f>
        <v>55.000000000000014</v>
      </c>
    </row>
    <row r="77" spans="1:104" ht="21" customHeight="1" x14ac:dyDescent="0.25">
      <c r="A77" s="127">
        <v>1.74</v>
      </c>
      <c r="B77" s="128">
        <v>1</v>
      </c>
      <c r="C77" s="128">
        <v>1.01</v>
      </c>
      <c r="D77" s="128">
        <v>1.03</v>
      </c>
      <c r="E77" s="128">
        <v>1.04</v>
      </c>
      <c r="F77" s="128">
        <v>1.05</v>
      </c>
      <c r="G77" s="128">
        <v>1.06</v>
      </c>
      <c r="H77" s="128">
        <v>1.08</v>
      </c>
      <c r="I77" s="128">
        <v>1.0900000000000001</v>
      </c>
      <c r="J77" s="128">
        <v>1.1000000000000001</v>
      </c>
      <c r="K77" s="128">
        <v>1.1100000000000001</v>
      </c>
      <c r="L77" s="128">
        <v>1.1200000000000001</v>
      </c>
      <c r="M77" s="128">
        <v>1.1299999999999999</v>
      </c>
      <c r="N77" s="128">
        <v>1.1399999999999999</v>
      </c>
      <c r="O77" s="128">
        <v>1.1499999999999999</v>
      </c>
      <c r="P77" s="128">
        <v>1.1599999999999999</v>
      </c>
      <c r="Q77" s="128">
        <v>1.17</v>
      </c>
      <c r="R77" s="128">
        <v>1.18</v>
      </c>
      <c r="S77" s="128">
        <v>1.19</v>
      </c>
      <c r="T77" s="128">
        <v>1.2</v>
      </c>
      <c r="U77" s="128">
        <v>1.2</v>
      </c>
      <c r="V77" s="128">
        <v>1.21</v>
      </c>
      <c r="W77" s="128">
        <v>1.22</v>
      </c>
      <c r="X77" s="128">
        <v>1.23</v>
      </c>
      <c r="Y77" s="128">
        <v>1.24</v>
      </c>
      <c r="Z77" s="128">
        <v>1.24</v>
      </c>
      <c r="AA77" s="128">
        <v>1.25</v>
      </c>
      <c r="AB77" s="128">
        <v>1.26</v>
      </c>
      <c r="AC77" s="128">
        <v>1.27</v>
      </c>
      <c r="AD77" s="128">
        <v>1.28</v>
      </c>
      <c r="AE77" s="128">
        <v>1.29</v>
      </c>
      <c r="AF77" s="128">
        <v>1.3</v>
      </c>
      <c r="AG77" s="128">
        <v>1.31</v>
      </c>
      <c r="AH77" s="128">
        <v>1.32</v>
      </c>
      <c r="AI77" s="128">
        <v>1.33</v>
      </c>
      <c r="AJ77" s="128">
        <v>1.34</v>
      </c>
      <c r="AK77" s="128">
        <v>1.35</v>
      </c>
      <c r="AL77" s="128">
        <v>1.36</v>
      </c>
      <c r="AM77" s="128">
        <v>1.37</v>
      </c>
      <c r="AN77" s="128">
        <v>1.38</v>
      </c>
      <c r="AO77" s="128">
        <v>1.39</v>
      </c>
      <c r="AP77" s="128">
        <v>1.4</v>
      </c>
      <c r="AQ77" s="128">
        <v>1.41</v>
      </c>
      <c r="AR77" s="128">
        <v>1.42</v>
      </c>
      <c r="AS77" s="128">
        <v>1.43</v>
      </c>
      <c r="AT77" s="128">
        <v>1.44</v>
      </c>
      <c r="AU77" s="128">
        <v>1.45</v>
      </c>
      <c r="AV77" s="128">
        <v>1.46</v>
      </c>
      <c r="AW77" s="128">
        <v>1.47</v>
      </c>
      <c r="AX77" s="128">
        <v>1.48</v>
      </c>
      <c r="AY77" s="128">
        <v>1.49</v>
      </c>
      <c r="AZ77" s="128">
        <v>1.5</v>
      </c>
      <c r="BA77" s="128">
        <v>1.51</v>
      </c>
      <c r="BB77" s="128">
        <v>1.52</v>
      </c>
      <c r="BC77" s="128">
        <v>1.53</v>
      </c>
      <c r="BD77" s="128">
        <v>1.54</v>
      </c>
      <c r="BE77" s="128">
        <v>1.55</v>
      </c>
      <c r="BF77" s="128">
        <v>1.56</v>
      </c>
      <c r="BG77" s="128">
        <v>1.57</v>
      </c>
      <c r="BH77" s="128">
        <v>1.58</v>
      </c>
      <c r="BI77" s="128">
        <v>1.59</v>
      </c>
      <c r="BJ77" s="128">
        <v>1.6</v>
      </c>
      <c r="BK77" s="128">
        <v>1.61</v>
      </c>
      <c r="BL77" s="128">
        <v>1.62</v>
      </c>
      <c r="BM77" s="128">
        <v>1.63</v>
      </c>
      <c r="BN77" s="128">
        <v>1.64</v>
      </c>
      <c r="BO77" s="128">
        <v>1.65</v>
      </c>
      <c r="BP77" s="128">
        <v>1.66</v>
      </c>
      <c r="BQ77" s="128">
        <v>1.67</v>
      </c>
      <c r="BR77" s="128">
        <v>1.68</v>
      </c>
      <c r="BS77" s="128">
        <v>1.69</v>
      </c>
      <c r="BT77" s="128">
        <v>1.7</v>
      </c>
      <c r="BU77" s="128">
        <v>1.71</v>
      </c>
      <c r="BV77" s="128">
        <v>1.72</v>
      </c>
      <c r="BW77" s="128">
        <v>1.73</v>
      </c>
      <c r="BX77" s="128">
        <v>1.74</v>
      </c>
      <c r="BY77" s="128">
        <v>1.74</v>
      </c>
      <c r="BZ77" s="128">
        <v>1.74</v>
      </c>
      <c r="CA77" s="128">
        <v>1.74</v>
      </c>
      <c r="CB77" s="128">
        <v>1.74</v>
      </c>
      <c r="CC77" s="128">
        <v>1.74</v>
      </c>
      <c r="CD77" s="128">
        <v>1.74</v>
      </c>
      <c r="CE77" s="128">
        <v>1.74</v>
      </c>
      <c r="CF77" s="128">
        <v>1.74</v>
      </c>
      <c r="CG77" s="128">
        <v>1.74</v>
      </c>
      <c r="CH77" s="128">
        <v>1.74</v>
      </c>
      <c r="CI77" s="128">
        <v>1.74</v>
      </c>
      <c r="CJ77" s="128">
        <v>1.74</v>
      </c>
      <c r="CK77" s="128">
        <v>1.74</v>
      </c>
      <c r="CL77" s="128">
        <v>1.74</v>
      </c>
      <c r="CM77" s="128">
        <v>1.74</v>
      </c>
      <c r="CN77" s="128">
        <v>1.74</v>
      </c>
      <c r="CO77" s="128">
        <v>1.74</v>
      </c>
      <c r="CP77" s="128">
        <v>1.74</v>
      </c>
      <c r="CQ77" s="128">
        <v>1.74</v>
      </c>
      <c r="CR77" s="128">
        <v>1.74</v>
      </c>
      <c r="CS77" s="128">
        <v>1.74</v>
      </c>
      <c r="CT77" s="128">
        <v>1.74</v>
      </c>
      <c r="CU77" s="128">
        <v>1.74</v>
      </c>
      <c r="CV77" s="128">
        <v>1.74</v>
      </c>
      <c r="CW77" s="128">
        <v>1.74</v>
      </c>
      <c r="CX77" s="128">
        <v>1.74</v>
      </c>
      <c r="CZ77" s="126">
        <f>SUMIF(MatrixF1[[1]:[2]],MatrixF1[[#This Row],[Столбец1]])/MatrixF1[[#This Row],[Столбец1]]</f>
        <v>52.999999999999964</v>
      </c>
    </row>
    <row r="78" spans="1:104" ht="21" customHeight="1" x14ac:dyDescent="0.25">
      <c r="A78" s="127">
        <v>1.75</v>
      </c>
      <c r="B78" s="128">
        <v>1</v>
      </c>
      <c r="C78" s="128">
        <v>1.01</v>
      </c>
      <c r="D78" s="128">
        <v>1.03</v>
      </c>
      <c r="E78" s="128">
        <v>1.04</v>
      </c>
      <c r="F78" s="128">
        <v>1.05</v>
      </c>
      <c r="G78" s="128">
        <v>1.06</v>
      </c>
      <c r="H78" s="128">
        <v>1.07</v>
      </c>
      <c r="I78" s="128">
        <v>1.0900000000000001</v>
      </c>
      <c r="J78" s="128">
        <v>1.1000000000000001</v>
      </c>
      <c r="K78" s="128">
        <v>1.1100000000000001</v>
      </c>
      <c r="L78" s="128">
        <v>1.1200000000000001</v>
      </c>
      <c r="M78" s="128">
        <v>1.1299999999999999</v>
      </c>
      <c r="N78" s="128">
        <v>1.1399999999999999</v>
      </c>
      <c r="O78" s="128">
        <v>1.1499999999999999</v>
      </c>
      <c r="P78" s="128">
        <v>1.1599999999999999</v>
      </c>
      <c r="Q78" s="128">
        <v>1.17</v>
      </c>
      <c r="R78" s="128">
        <v>1.18</v>
      </c>
      <c r="S78" s="128">
        <v>1.18</v>
      </c>
      <c r="T78" s="128">
        <v>1.19</v>
      </c>
      <c r="U78" s="128">
        <v>1.2</v>
      </c>
      <c r="V78" s="128">
        <v>1.21</v>
      </c>
      <c r="W78" s="128">
        <v>1.22</v>
      </c>
      <c r="X78" s="128">
        <v>1.23</v>
      </c>
      <c r="Y78" s="128">
        <v>1.23</v>
      </c>
      <c r="Z78" s="128">
        <v>1.24</v>
      </c>
      <c r="AA78" s="128">
        <v>1.25</v>
      </c>
      <c r="AB78" s="128">
        <v>1.26</v>
      </c>
      <c r="AC78" s="128">
        <v>1.27</v>
      </c>
      <c r="AD78" s="128">
        <v>1.28</v>
      </c>
      <c r="AE78" s="128">
        <v>1.29</v>
      </c>
      <c r="AF78" s="128">
        <v>1.3</v>
      </c>
      <c r="AG78" s="128">
        <v>1.31</v>
      </c>
      <c r="AH78" s="128">
        <v>1.32</v>
      </c>
      <c r="AI78" s="128">
        <v>1.33</v>
      </c>
      <c r="AJ78" s="128">
        <v>1.34</v>
      </c>
      <c r="AK78" s="128">
        <v>1.35</v>
      </c>
      <c r="AL78" s="128">
        <v>1.36</v>
      </c>
      <c r="AM78" s="128">
        <v>1.37</v>
      </c>
      <c r="AN78" s="128">
        <v>1.38</v>
      </c>
      <c r="AO78" s="128">
        <v>1.39</v>
      </c>
      <c r="AP78" s="128">
        <v>1.4</v>
      </c>
      <c r="AQ78" s="128">
        <v>1.41</v>
      </c>
      <c r="AR78" s="128">
        <v>1.42</v>
      </c>
      <c r="AS78" s="128">
        <v>1.43</v>
      </c>
      <c r="AT78" s="128">
        <v>1.44</v>
      </c>
      <c r="AU78" s="128">
        <v>1.45</v>
      </c>
      <c r="AV78" s="128">
        <v>1.46</v>
      </c>
      <c r="AW78" s="128">
        <v>1.47</v>
      </c>
      <c r="AX78" s="128">
        <v>1.48</v>
      </c>
      <c r="AY78" s="128">
        <v>1.49</v>
      </c>
      <c r="AZ78" s="128">
        <v>1.5</v>
      </c>
      <c r="BA78" s="128">
        <v>1.51</v>
      </c>
      <c r="BB78" s="128">
        <v>1.52</v>
      </c>
      <c r="BC78" s="128">
        <v>1.53</v>
      </c>
      <c r="BD78" s="128">
        <v>1.54</v>
      </c>
      <c r="BE78" s="128">
        <v>1.55</v>
      </c>
      <c r="BF78" s="128">
        <v>1.56</v>
      </c>
      <c r="BG78" s="128">
        <v>1.57</v>
      </c>
      <c r="BH78" s="128">
        <v>1.58</v>
      </c>
      <c r="BI78" s="128">
        <v>1.59</v>
      </c>
      <c r="BJ78" s="128">
        <v>1.6</v>
      </c>
      <c r="BK78" s="128">
        <v>1.61</v>
      </c>
      <c r="BL78" s="128">
        <v>1.62</v>
      </c>
      <c r="BM78" s="128">
        <v>1.63</v>
      </c>
      <c r="BN78" s="128">
        <v>1.64</v>
      </c>
      <c r="BO78" s="128">
        <v>1.65</v>
      </c>
      <c r="BP78" s="128">
        <v>1.66</v>
      </c>
      <c r="BQ78" s="128">
        <v>1.67</v>
      </c>
      <c r="BR78" s="128">
        <v>1.68</v>
      </c>
      <c r="BS78" s="128">
        <v>1.69</v>
      </c>
      <c r="BT78" s="128">
        <v>1.7</v>
      </c>
      <c r="BU78" s="128">
        <v>1.71</v>
      </c>
      <c r="BV78" s="128">
        <v>1.72</v>
      </c>
      <c r="BW78" s="128">
        <v>1.73</v>
      </c>
      <c r="BX78" s="128">
        <v>1.74</v>
      </c>
      <c r="BY78" s="128">
        <v>1.75</v>
      </c>
      <c r="BZ78" s="128">
        <v>1.75</v>
      </c>
      <c r="CA78" s="128">
        <v>1.75</v>
      </c>
      <c r="CB78" s="128">
        <v>1.75</v>
      </c>
      <c r="CC78" s="128">
        <v>1.75</v>
      </c>
      <c r="CD78" s="128">
        <v>1.75</v>
      </c>
      <c r="CE78" s="128">
        <v>1.75</v>
      </c>
      <c r="CF78" s="128">
        <v>1.75</v>
      </c>
      <c r="CG78" s="128">
        <v>1.75</v>
      </c>
      <c r="CH78" s="128">
        <v>1.75</v>
      </c>
      <c r="CI78" s="128">
        <v>1.75</v>
      </c>
      <c r="CJ78" s="128">
        <v>1.75</v>
      </c>
      <c r="CK78" s="128">
        <v>1.75</v>
      </c>
      <c r="CL78" s="128">
        <v>1.75</v>
      </c>
      <c r="CM78" s="128">
        <v>1.75</v>
      </c>
      <c r="CN78" s="128">
        <v>1.75</v>
      </c>
      <c r="CO78" s="128">
        <v>1.75</v>
      </c>
      <c r="CP78" s="128">
        <v>1.75</v>
      </c>
      <c r="CQ78" s="128">
        <v>1.75</v>
      </c>
      <c r="CR78" s="128">
        <v>1.75</v>
      </c>
      <c r="CS78" s="128">
        <v>1.75</v>
      </c>
      <c r="CT78" s="128">
        <v>1.75</v>
      </c>
      <c r="CU78" s="128">
        <v>1.75</v>
      </c>
      <c r="CV78" s="128">
        <v>1.75</v>
      </c>
      <c r="CW78" s="128">
        <v>1.75</v>
      </c>
      <c r="CX78" s="128">
        <v>1.75</v>
      </c>
      <c r="CZ78" s="126">
        <f>SUMIF(MatrixF1[[1]:[2]],MatrixF1[[#This Row],[Столбец1]])/MatrixF1[[#This Row],[Столбец1]]</f>
        <v>51</v>
      </c>
    </row>
    <row r="79" spans="1:104" ht="21" customHeight="1" x14ac:dyDescent="0.25">
      <c r="A79" s="127">
        <v>1.76</v>
      </c>
      <c r="B79" s="128">
        <v>1</v>
      </c>
      <c r="C79" s="128">
        <v>1.01</v>
      </c>
      <c r="D79" s="128">
        <v>1.03</v>
      </c>
      <c r="E79" s="128">
        <v>1.04</v>
      </c>
      <c r="F79" s="128">
        <v>1.05</v>
      </c>
      <c r="G79" s="128">
        <v>1.06</v>
      </c>
      <c r="H79" s="128">
        <v>1.07</v>
      </c>
      <c r="I79" s="128">
        <v>1.08</v>
      </c>
      <c r="J79" s="128">
        <v>1.1000000000000001</v>
      </c>
      <c r="K79" s="128">
        <v>1.1100000000000001</v>
      </c>
      <c r="L79" s="128">
        <v>1.1200000000000001</v>
      </c>
      <c r="M79" s="128">
        <v>1.1299999999999999</v>
      </c>
      <c r="N79" s="128">
        <v>1.1399999999999999</v>
      </c>
      <c r="O79" s="128">
        <v>1.1499999999999999</v>
      </c>
      <c r="P79" s="128">
        <v>1.1599999999999999</v>
      </c>
      <c r="Q79" s="128">
        <v>1.1599999999999999</v>
      </c>
      <c r="R79" s="128">
        <v>1.17</v>
      </c>
      <c r="S79" s="128">
        <v>1.18</v>
      </c>
      <c r="T79" s="128">
        <v>1.19</v>
      </c>
      <c r="U79" s="128">
        <v>1.2</v>
      </c>
      <c r="V79" s="128">
        <v>1.21</v>
      </c>
      <c r="W79" s="128">
        <v>1.22</v>
      </c>
      <c r="X79" s="128">
        <v>1.22</v>
      </c>
      <c r="Y79" s="128">
        <v>1.23</v>
      </c>
      <c r="Z79" s="128">
        <v>1.24</v>
      </c>
      <c r="AA79" s="128">
        <v>1.25</v>
      </c>
      <c r="AB79" s="128">
        <v>1.26</v>
      </c>
      <c r="AC79" s="128">
        <v>1.27</v>
      </c>
      <c r="AD79" s="128">
        <v>1.28</v>
      </c>
      <c r="AE79" s="128">
        <v>1.29</v>
      </c>
      <c r="AF79" s="128">
        <v>1.3</v>
      </c>
      <c r="AG79" s="128">
        <v>1.31</v>
      </c>
      <c r="AH79" s="128">
        <v>1.32</v>
      </c>
      <c r="AI79" s="128">
        <v>1.33</v>
      </c>
      <c r="AJ79" s="128">
        <v>1.34</v>
      </c>
      <c r="AK79" s="128">
        <v>1.35</v>
      </c>
      <c r="AL79" s="128">
        <v>1.36</v>
      </c>
      <c r="AM79" s="128">
        <v>1.37</v>
      </c>
      <c r="AN79" s="128">
        <v>1.38</v>
      </c>
      <c r="AO79" s="128">
        <v>1.39</v>
      </c>
      <c r="AP79" s="128">
        <v>1.4</v>
      </c>
      <c r="AQ79" s="128">
        <v>1.41</v>
      </c>
      <c r="AR79" s="128">
        <v>1.42</v>
      </c>
      <c r="AS79" s="128">
        <v>1.43</v>
      </c>
      <c r="AT79" s="128">
        <v>1.44</v>
      </c>
      <c r="AU79" s="128">
        <v>1.45</v>
      </c>
      <c r="AV79" s="128">
        <v>1.46</v>
      </c>
      <c r="AW79" s="128">
        <v>1.47</v>
      </c>
      <c r="AX79" s="128">
        <v>1.48</v>
      </c>
      <c r="AY79" s="128">
        <v>1.49</v>
      </c>
      <c r="AZ79" s="128">
        <v>1.5</v>
      </c>
      <c r="BA79" s="128">
        <v>1.51</v>
      </c>
      <c r="BB79" s="128">
        <v>1.52</v>
      </c>
      <c r="BC79" s="128">
        <v>1.53</v>
      </c>
      <c r="BD79" s="128">
        <v>1.54</v>
      </c>
      <c r="BE79" s="128">
        <v>1.55</v>
      </c>
      <c r="BF79" s="128">
        <v>1.56</v>
      </c>
      <c r="BG79" s="128">
        <v>1.57</v>
      </c>
      <c r="BH79" s="128">
        <v>1.58</v>
      </c>
      <c r="BI79" s="128">
        <v>1.59</v>
      </c>
      <c r="BJ79" s="128">
        <v>1.6</v>
      </c>
      <c r="BK79" s="128">
        <v>1.61</v>
      </c>
      <c r="BL79" s="128">
        <v>1.62</v>
      </c>
      <c r="BM79" s="128">
        <v>1.63</v>
      </c>
      <c r="BN79" s="128">
        <v>1.64</v>
      </c>
      <c r="BO79" s="128">
        <v>1.65</v>
      </c>
      <c r="BP79" s="128">
        <v>1.66</v>
      </c>
      <c r="BQ79" s="128">
        <v>1.67</v>
      </c>
      <c r="BR79" s="128">
        <v>1.68</v>
      </c>
      <c r="BS79" s="128">
        <v>1.69</v>
      </c>
      <c r="BT79" s="128">
        <v>1.7</v>
      </c>
      <c r="BU79" s="128">
        <v>1.71</v>
      </c>
      <c r="BV79" s="128">
        <v>1.72</v>
      </c>
      <c r="BW79" s="128">
        <v>1.73</v>
      </c>
      <c r="BX79" s="128">
        <v>1.74</v>
      </c>
      <c r="BY79" s="128">
        <v>1.75</v>
      </c>
      <c r="BZ79" s="128">
        <v>1.76</v>
      </c>
      <c r="CA79" s="128">
        <v>1.76</v>
      </c>
      <c r="CB79" s="128">
        <v>1.76</v>
      </c>
      <c r="CC79" s="128">
        <v>1.76</v>
      </c>
      <c r="CD79" s="128">
        <v>1.76</v>
      </c>
      <c r="CE79" s="128">
        <v>1.76</v>
      </c>
      <c r="CF79" s="128">
        <v>1.76</v>
      </c>
      <c r="CG79" s="128">
        <v>1.76</v>
      </c>
      <c r="CH79" s="128">
        <v>1.76</v>
      </c>
      <c r="CI79" s="128">
        <v>1.76</v>
      </c>
      <c r="CJ79" s="128">
        <v>1.76</v>
      </c>
      <c r="CK79" s="128">
        <v>1.76</v>
      </c>
      <c r="CL79" s="128">
        <v>1.76</v>
      </c>
      <c r="CM79" s="128">
        <v>1.76</v>
      </c>
      <c r="CN79" s="128">
        <v>1.76</v>
      </c>
      <c r="CO79" s="128">
        <v>1.76</v>
      </c>
      <c r="CP79" s="128">
        <v>1.76</v>
      </c>
      <c r="CQ79" s="128">
        <v>1.76</v>
      </c>
      <c r="CR79" s="128">
        <v>1.76</v>
      </c>
      <c r="CS79" s="128">
        <v>1.76</v>
      </c>
      <c r="CT79" s="128">
        <v>1.76</v>
      </c>
      <c r="CU79" s="128">
        <v>1.76</v>
      </c>
      <c r="CV79" s="128">
        <v>1.76</v>
      </c>
      <c r="CW79" s="128">
        <v>1.76</v>
      </c>
      <c r="CX79" s="128">
        <v>1.76</v>
      </c>
      <c r="CZ79" s="126">
        <f>SUMIF(MatrixF1[[1]:[2]],MatrixF1[[#This Row],[Столбец1]])/MatrixF1[[#This Row],[Столбец1]]</f>
        <v>49.000000000000021</v>
      </c>
    </row>
    <row r="80" spans="1:104" ht="21" customHeight="1" x14ac:dyDescent="0.25">
      <c r="A80" s="127">
        <v>1.77</v>
      </c>
      <c r="B80" s="128">
        <v>1</v>
      </c>
      <c r="C80" s="128">
        <v>1.01</v>
      </c>
      <c r="D80" s="128">
        <v>1.03</v>
      </c>
      <c r="E80" s="128">
        <v>1.04</v>
      </c>
      <c r="F80" s="128">
        <v>1.05</v>
      </c>
      <c r="G80" s="128">
        <v>1.06</v>
      </c>
      <c r="H80" s="128">
        <v>1.07</v>
      </c>
      <c r="I80" s="128">
        <v>1.08</v>
      </c>
      <c r="J80" s="128">
        <v>1.0900000000000001</v>
      </c>
      <c r="K80" s="128">
        <v>1.1000000000000001</v>
      </c>
      <c r="L80" s="128">
        <v>1.1100000000000001</v>
      </c>
      <c r="M80" s="128">
        <v>1.1200000000000001</v>
      </c>
      <c r="N80" s="128">
        <v>1.1299999999999999</v>
      </c>
      <c r="O80" s="128">
        <v>1.1399999999999999</v>
      </c>
      <c r="P80" s="128">
        <v>1.1499999999999999</v>
      </c>
      <c r="Q80" s="128">
        <v>1.1599999999999999</v>
      </c>
      <c r="R80" s="128">
        <v>1.17</v>
      </c>
      <c r="S80" s="128">
        <v>1.18</v>
      </c>
      <c r="T80" s="128">
        <v>1.19</v>
      </c>
      <c r="U80" s="128">
        <v>1.2</v>
      </c>
      <c r="V80" s="128">
        <v>1.21</v>
      </c>
      <c r="W80" s="128">
        <v>1.21</v>
      </c>
      <c r="X80" s="128">
        <v>1.22</v>
      </c>
      <c r="Y80" s="128">
        <v>1.23</v>
      </c>
      <c r="Z80" s="128">
        <v>1.24</v>
      </c>
      <c r="AA80" s="128">
        <v>1.25</v>
      </c>
      <c r="AB80" s="128">
        <v>1.26</v>
      </c>
      <c r="AC80" s="128">
        <v>1.27</v>
      </c>
      <c r="AD80" s="128">
        <v>1.28</v>
      </c>
      <c r="AE80" s="128">
        <v>1.29</v>
      </c>
      <c r="AF80" s="128">
        <v>1.3</v>
      </c>
      <c r="AG80" s="128">
        <v>1.31</v>
      </c>
      <c r="AH80" s="128">
        <v>1.32</v>
      </c>
      <c r="AI80" s="128">
        <v>1.33</v>
      </c>
      <c r="AJ80" s="128">
        <v>1.34</v>
      </c>
      <c r="AK80" s="128">
        <v>1.35</v>
      </c>
      <c r="AL80" s="128">
        <v>1.36</v>
      </c>
      <c r="AM80" s="128">
        <v>1.37</v>
      </c>
      <c r="AN80" s="128">
        <v>1.38</v>
      </c>
      <c r="AO80" s="128">
        <v>1.39</v>
      </c>
      <c r="AP80" s="128">
        <v>1.4</v>
      </c>
      <c r="AQ80" s="128">
        <v>1.41</v>
      </c>
      <c r="AR80" s="128">
        <v>1.42</v>
      </c>
      <c r="AS80" s="128">
        <v>1.43</v>
      </c>
      <c r="AT80" s="128">
        <v>1.44</v>
      </c>
      <c r="AU80" s="128">
        <v>1.45</v>
      </c>
      <c r="AV80" s="128">
        <v>1.46</v>
      </c>
      <c r="AW80" s="128">
        <v>1.47</v>
      </c>
      <c r="AX80" s="128">
        <v>1.48</v>
      </c>
      <c r="AY80" s="128">
        <v>1.49</v>
      </c>
      <c r="AZ80" s="128">
        <v>1.5</v>
      </c>
      <c r="BA80" s="128">
        <v>1.51</v>
      </c>
      <c r="BB80" s="128">
        <v>1.52</v>
      </c>
      <c r="BC80" s="128">
        <v>1.53</v>
      </c>
      <c r="BD80" s="128">
        <v>1.54</v>
      </c>
      <c r="BE80" s="128">
        <v>1.55</v>
      </c>
      <c r="BF80" s="128">
        <v>1.56</v>
      </c>
      <c r="BG80" s="128">
        <v>1.57</v>
      </c>
      <c r="BH80" s="128">
        <v>1.58</v>
      </c>
      <c r="BI80" s="128">
        <v>1.59</v>
      </c>
      <c r="BJ80" s="128">
        <v>1.6</v>
      </c>
      <c r="BK80" s="128">
        <v>1.61</v>
      </c>
      <c r="BL80" s="128">
        <v>1.62</v>
      </c>
      <c r="BM80" s="128">
        <v>1.63</v>
      </c>
      <c r="BN80" s="128">
        <v>1.64</v>
      </c>
      <c r="BO80" s="128">
        <v>1.65</v>
      </c>
      <c r="BP80" s="128">
        <v>1.66</v>
      </c>
      <c r="BQ80" s="128">
        <v>1.67</v>
      </c>
      <c r="BR80" s="128">
        <v>1.68</v>
      </c>
      <c r="BS80" s="128">
        <v>1.69</v>
      </c>
      <c r="BT80" s="128">
        <v>1.7</v>
      </c>
      <c r="BU80" s="128">
        <v>1.71</v>
      </c>
      <c r="BV80" s="128">
        <v>1.72</v>
      </c>
      <c r="BW80" s="128">
        <v>1.73</v>
      </c>
      <c r="BX80" s="128">
        <v>1.74</v>
      </c>
      <c r="BY80" s="128">
        <v>1.75</v>
      </c>
      <c r="BZ80" s="128">
        <v>1.76</v>
      </c>
      <c r="CA80" s="128">
        <v>1.77</v>
      </c>
      <c r="CB80" s="128">
        <v>1.77</v>
      </c>
      <c r="CC80" s="128">
        <v>1.77</v>
      </c>
      <c r="CD80" s="128">
        <v>1.77</v>
      </c>
      <c r="CE80" s="128">
        <v>1.77</v>
      </c>
      <c r="CF80" s="128">
        <v>1.77</v>
      </c>
      <c r="CG80" s="128">
        <v>1.77</v>
      </c>
      <c r="CH80" s="128">
        <v>1.77</v>
      </c>
      <c r="CI80" s="128">
        <v>1.77</v>
      </c>
      <c r="CJ80" s="128">
        <v>1.77</v>
      </c>
      <c r="CK80" s="128">
        <v>1.77</v>
      </c>
      <c r="CL80" s="128">
        <v>1.77</v>
      </c>
      <c r="CM80" s="128">
        <v>1.77</v>
      </c>
      <c r="CN80" s="128">
        <v>1.77</v>
      </c>
      <c r="CO80" s="128">
        <v>1.77</v>
      </c>
      <c r="CP80" s="128">
        <v>1.77</v>
      </c>
      <c r="CQ80" s="128">
        <v>1.77</v>
      </c>
      <c r="CR80" s="128">
        <v>1.77</v>
      </c>
      <c r="CS80" s="128">
        <v>1.77</v>
      </c>
      <c r="CT80" s="128">
        <v>1.77</v>
      </c>
      <c r="CU80" s="128">
        <v>1.77</v>
      </c>
      <c r="CV80" s="128">
        <v>1.77</v>
      </c>
      <c r="CW80" s="128">
        <v>1.77</v>
      </c>
      <c r="CX80" s="128">
        <v>1.77</v>
      </c>
      <c r="CZ80" s="126">
        <f>SUMIF(MatrixF1[[1]:[2]],MatrixF1[[#This Row],[Столбец1]])/MatrixF1[[#This Row],[Столбец1]]</f>
        <v>47.000000000000007</v>
      </c>
    </row>
    <row r="81" spans="1:104" ht="21" customHeight="1" x14ac:dyDescent="0.25">
      <c r="A81" s="127">
        <v>1.78</v>
      </c>
      <c r="B81" s="128">
        <v>1</v>
      </c>
      <c r="C81" s="128">
        <v>1.01</v>
      </c>
      <c r="D81" s="128">
        <v>1.03</v>
      </c>
      <c r="E81" s="128">
        <v>1.04</v>
      </c>
      <c r="F81" s="128">
        <v>1.05</v>
      </c>
      <c r="G81" s="128">
        <v>1.06</v>
      </c>
      <c r="H81" s="128">
        <v>1.07</v>
      </c>
      <c r="I81" s="128">
        <v>1.08</v>
      </c>
      <c r="J81" s="128">
        <v>1.0900000000000001</v>
      </c>
      <c r="K81" s="128">
        <v>1.1000000000000001</v>
      </c>
      <c r="L81" s="128">
        <v>1.1100000000000001</v>
      </c>
      <c r="M81" s="128">
        <v>1.1200000000000001</v>
      </c>
      <c r="N81" s="128">
        <v>1.1299999999999999</v>
      </c>
      <c r="O81" s="128">
        <v>1.1399999999999999</v>
      </c>
      <c r="P81" s="128">
        <v>1.1499999999999999</v>
      </c>
      <c r="Q81" s="128">
        <v>1.1599999999999999</v>
      </c>
      <c r="R81" s="128">
        <v>1.17</v>
      </c>
      <c r="S81" s="128">
        <v>1.18</v>
      </c>
      <c r="T81" s="128">
        <v>1.19</v>
      </c>
      <c r="U81" s="128">
        <v>1.2</v>
      </c>
      <c r="V81" s="128">
        <v>1.2</v>
      </c>
      <c r="W81" s="128">
        <v>1.21</v>
      </c>
      <c r="X81" s="128">
        <v>1.22</v>
      </c>
      <c r="Y81" s="128">
        <v>1.23</v>
      </c>
      <c r="Z81" s="128">
        <v>1.24</v>
      </c>
      <c r="AA81" s="128">
        <v>1.25</v>
      </c>
      <c r="AB81" s="128">
        <v>1.26</v>
      </c>
      <c r="AC81" s="128">
        <v>1.27</v>
      </c>
      <c r="AD81" s="128">
        <v>1.28</v>
      </c>
      <c r="AE81" s="128">
        <v>1.29</v>
      </c>
      <c r="AF81" s="128">
        <v>1.3</v>
      </c>
      <c r="AG81" s="128">
        <v>1.31</v>
      </c>
      <c r="AH81" s="128">
        <v>1.32</v>
      </c>
      <c r="AI81" s="128">
        <v>1.33</v>
      </c>
      <c r="AJ81" s="128">
        <v>1.34</v>
      </c>
      <c r="AK81" s="128">
        <v>1.35</v>
      </c>
      <c r="AL81" s="128">
        <v>1.36</v>
      </c>
      <c r="AM81" s="128">
        <v>1.37</v>
      </c>
      <c r="AN81" s="128">
        <v>1.38</v>
      </c>
      <c r="AO81" s="128">
        <v>1.39</v>
      </c>
      <c r="AP81" s="128">
        <v>1.4</v>
      </c>
      <c r="AQ81" s="128">
        <v>1.41</v>
      </c>
      <c r="AR81" s="128">
        <v>1.42</v>
      </c>
      <c r="AS81" s="128">
        <v>1.43</v>
      </c>
      <c r="AT81" s="128">
        <v>1.44</v>
      </c>
      <c r="AU81" s="128">
        <v>1.45</v>
      </c>
      <c r="AV81" s="128">
        <v>1.46</v>
      </c>
      <c r="AW81" s="128">
        <v>1.47</v>
      </c>
      <c r="AX81" s="128">
        <v>1.48</v>
      </c>
      <c r="AY81" s="128">
        <v>1.49</v>
      </c>
      <c r="AZ81" s="128">
        <v>1.5</v>
      </c>
      <c r="BA81" s="128">
        <v>1.51</v>
      </c>
      <c r="BB81" s="128">
        <v>1.52</v>
      </c>
      <c r="BC81" s="128">
        <v>1.53</v>
      </c>
      <c r="BD81" s="128">
        <v>1.54</v>
      </c>
      <c r="BE81" s="128">
        <v>1.55</v>
      </c>
      <c r="BF81" s="128">
        <v>1.56</v>
      </c>
      <c r="BG81" s="128">
        <v>1.57</v>
      </c>
      <c r="BH81" s="128">
        <v>1.58</v>
      </c>
      <c r="BI81" s="128">
        <v>1.59</v>
      </c>
      <c r="BJ81" s="128">
        <v>1.6</v>
      </c>
      <c r="BK81" s="128">
        <v>1.61</v>
      </c>
      <c r="BL81" s="128">
        <v>1.62</v>
      </c>
      <c r="BM81" s="128">
        <v>1.63</v>
      </c>
      <c r="BN81" s="128">
        <v>1.64</v>
      </c>
      <c r="BO81" s="128">
        <v>1.65</v>
      </c>
      <c r="BP81" s="128">
        <v>1.66</v>
      </c>
      <c r="BQ81" s="128">
        <v>1.67</v>
      </c>
      <c r="BR81" s="128">
        <v>1.68</v>
      </c>
      <c r="BS81" s="128">
        <v>1.69</v>
      </c>
      <c r="BT81" s="128">
        <v>1.7</v>
      </c>
      <c r="BU81" s="128">
        <v>1.71</v>
      </c>
      <c r="BV81" s="128">
        <v>1.72</v>
      </c>
      <c r="BW81" s="128">
        <v>1.73</v>
      </c>
      <c r="BX81" s="128">
        <v>1.74</v>
      </c>
      <c r="BY81" s="128">
        <v>1.75</v>
      </c>
      <c r="BZ81" s="128">
        <v>1.76</v>
      </c>
      <c r="CA81" s="128">
        <v>1.77</v>
      </c>
      <c r="CB81" s="128">
        <v>1.78</v>
      </c>
      <c r="CC81" s="128">
        <v>1.78</v>
      </c>
      <c r="CD81" s="128">
        <v>1.78</v>
      </c>
      <c r="CE81" s="128">
        <v>1.78</v>
      </c>
      <c r="CF81" s="128">
        <v>1.78</v>
      </c>
      <c r="CG81" s="128">
        <v>1.78</v>
      </c>
      <c r="CH81" s="128">
        <v>1.78</v>
      </c>
      <c r="CI81" s="128">
        <v>1.78</v>
      </c>
      <c r="CJ81" s="128">
        <v>1.78</v>
      </c>
      <c r="CK81" s="128">
        <v>1.78</v>
      </c>
      <c r="CL81" s="128">
        <v>1.78</v>
      </c>
      <c r="CM81" s="128">
        <v>1.78</v>
      </c>
      <c r="CN81" s="128">
        <v>1.78</v>
      </c>
      <c r="CO81" s="128">
        <v>1.78</v>
      </c>
      <c r="CP81" s="128">
        <v>1.78</v>
      </c>
      <c r="CQ81" s="128">
        <v>1.78</v>
      </c>
      <c r="CR81" s="128">
        <v>1.78</v>
      </c>
      <c r="CS81" s="128">
        <v>1.78</v>
      </c>
      <c r="CT81" s="128">
        <v>1.78</v>
      </c>
      <c r="CU81" s="128">
        <v>1.78</v>
      </c>
      <c r="CV81" s="128">
        <v>1.78</v>
      </c>
      <c r="CW81" s="128">
        <v>1.78</v>
      </c>
      <c r="CX81" s="128">
        <v>1.78</v>
      </c>
      <c r="CZ81" s="126">
        <f>SUMIF(MatrixF1[[1]:[2]],MatrixF1[[#This Row],[Столбец1]])/MatrixF1[[#This Row],[Столбец1]]</f>
        <v>45.000000000000021</v>
      </c>
    </row>
    <row r="82" spans="1:104" ht="21" customHeight="1" x14ac:dyDescent="0.25">
      <c r="A82" s="127">
        <v>1.79</v>
      </c>
      <c r="B82" s="128">
        <v>1</v>
      </c>
      <c r="C82" s="128">
        <v>1.01</v>
      </c>
      <c r="D82" s="128">
        <v>1.02</v>
      </c>
      <c r="E82" s="128">
        <v>1.04</v>
      </c>
      <c r="F82" s="128">
        <v>1.05</v>
      </c>
      <c r="G82" s="128">
        <v>1.06</v>
      </c>
      <c r="H82" s="128">
        <v>1.07</v>
      </c>
      <c r="I82" s="128">
        <v>1.08</v>
      </c>
      <c r="J82" s="128">
        <v>1.0900000000000001</v>
      </c>
      <c r="K82" s="128">
        <v>1.1000000000000001</v>
      </c>
      <c r="L82" s="128">
        <v>1.1100000000000001</v>
      </c>
      <c r="M82" s="128">
        <v>1.1200000000000001</v>
      </c>
      <c r="N82" s="128">
        <v>1.1299999999999999</v>
      </c>
      <c r="O82" s="128">
        <v>1.1399999999999999</v>
      </c>
      <c r="P82" s="128">
        <v>1.1499999999999999</v>
      </c>
      <c r="Q82" s="128">
        <v>1.1599999999999999</v>
      </c>
      <c r="R82" s="128">
        <v>1.17</v>
      </c>
      <c r="S82" s="128">
        <v>1.18</v>
      </c>
      <c r="T82" s="128">
        <v>1.19</v>
      </c>
      <c r="U82" s="128">
        <v>1.19</v>
      </c>
      <c r="V82" s="128">
        <v>1.2</v>
      </c>
      <c r="W82" s="128">
        <v>1.21</v>
      </c>
      <c r="X82" s="128">
        <v>1.22</v>
      </c>
      <c r="Y82" s="128">
        <v>1.23</v>
      </c>
      <c r="Z82" s="128">
        <v>1.24</v>
      </c>
      <c r="AA82" s="128">
        <v>1.25</v>
      </c>
      <c r="AB82" s="128">
        <v>1.26</v>
      </c>
      <c r="AC82" s="128">
        <v>1.27</v>
      </c>
      <c r="AD82" s="128">
        <v>1.28</v>
      </c>
      <c r="AE82" s="128">
        <v>1.29</v>
      </c>
      <c r="AF82" s="128">
        <v>1.3</v>
      </c>
      <c r="AG82" s="128">
        <v>1.31</v>
      </c>
      <c r="AH82" s="128">
        <v>1.32</v>
      </c>
      <c r="AI82" s="128">
        <v>1.33</v>
      </c>
      <c r="AJ82" s="128">
        <v>1.34</v>
      </c>
      <c r="AK82" s="128">
        <v>1.35</v>
      </c>
      <c r="AL82" s="128">
        <v>1.36</v>
      </c>
      <c r="AM82" s="128">
        <v>1.37</v>
      </c>
      <c r="AN82" s="128">
        <v>1.38</v>
      </c>
      <c r="AO82" s="128">
        <v>1.39</v>
      </c>
      <c r="AP82" s="128">
        <v>1.4</v>
      </c>
      <c r="AQ82" s="128">
        <v>1.41</v>
      </c>
      <c r="AR82" s="128">
        <v>1.42</v>
      </c>
      <c r="AS82" s="128">
        <v>1.43</v>
      </c>
      <c r="AT82" s="128">
        <v>1.44</v>
      </c>
      <c r="AU82" s="128">
        <v>1.45</v>
      </c>
      <c r="AV82" s="128">
        <v>1.46</v>
      </c>
      <c r="AW82" s="128">
        <v>1.47</v>
      </c>
      <c r="AX82" s="128">
        <v>1.48</v>
      </c>
      <c r="AY82" s="128">
        <v>1.49</v>
      </c>
      <c r="AZ82" s="128">
        <v>1.5</v>
      </c>
      <c r="BA82" s="128">
        <v>1.51</v>
      </c>
      <c r="BB82" s="128">
        <v>1.52</v>
      </c>
      <c r="BC82" s="128">
        <v>1.53</v>
      </c>
      <c r="BD82" s="128">
        <v>1.54</v>
      </c>
      <c r="BE82" s="128">
        <v>1.55</v>
      </c>
      <c r="BF82" s="128">
        <v>1.56</v>
      </c>
      <c r="BG82" s="128">
        <v>1.57</v>
      </c>
      <c r="BH82" s="128">
        <v>1.58</v>
      </c>
      <c r="BI82" s="128">
        <v>1.59</v>
      </c>
      <c r="BJ82" s="128">
        <v>1.6</v>
      </c>
      <c r="BK82" s="128">
        <v>1.61</v>
      </c>
      <c r="BL82" s="128">
        <v>1.62</v>
      </c>
      <c r="BM82" s="128">
        <v>1.63</v>
      </c>
      <c r="BN82" s="128">
        <v>1.64</v>
      </c>
      <c r="BO82" s="128">
        <v>1.65</v>
      </c>
      <c r="BP82" s="128">
        <v>1.66</v>
      </c>
      <c r="BQ82" s="128">
        <v>1.67</v>
      </c>
      <c r="BR82" s="128">
        <v>1.68</v>
      </c>
      <c r="BS82" s="128">
        <v>1.69</v>
      </c>
      <c r="BT82" s="128">
        <v>1.7</v>
      </c>
      <c r="BU82" s="128">
        <v>1.71</v>
      </c>
      <c r="BV82" s="128">
        <v>1.72</v>
      </c>
      <c r="BW82" s="128">
        <v>1.73</v>
      </c>
      <c r="BX82" s="128">
        <v>1.74</v>
      </c>
      <c r="BY82" s="128">
        <v>1.75</v>
      </c>
      <c r="BZ82" s="128">
        <v>1.76</v>
      </c>
      <c r="CA82" s="128">
        <v>1.77</v>
      </c>
      <c r="CB82" s="128">
        <v>1.78</v>
      </c>
      <c r="CC82" s="128">
        <v>1.79</v>
      </c>
      <c r="CD82" s="128">
        <v>1.79</v>
      </c>
      <c r="CE82" s="128">
        <v>1.79</v>
      </c>
      <c r="CF82" s="128">
        <v>1.79</v>
      </c>
      <c r="CG82" s="128">
        <v>1.79</v>
      </c>
      <c r="CH82" s="128">
        <v>1.79</v>
      </c>
      <c r="CI82" s="128">
        <v>1.79</v>
      </c>
      <c r="CJ82" s="128">
        <v>1.79</v>
      </c>
      <c r="CK82" s="128">
        <v>1.79</v>
      </c>
      <c r="CL82" s="128">
        <v>1.79</v>
      </c>
      <c r="CM82" s="128">
        <v>1.79</v>
      </c>
      <c r="CN82" s="128">
        <v>1.79</v>
      </c>
      <c r="CO82" s="128">
        <v>1.79</v>
      </c>
      <c r="CP82" s="128">
        <v>1.79</v>
      </c>
      <c r="CQ82" s="128">
        <v>1.79</v>
      </c>
      <c r="CR82" s="128">
        <v>1.79</v>
      </c>
      <c r="CS82" s="128">
        <v>1.79</v>
      </c>
      <c r="CT82" s="128">
        <v>1.79</v>
      </c>
      <c r="CU82" s="128">
        <v>1.79</v>
      </c>
      <c r="CV82" s="128">
        <v>1.79</v>
      </c>
      <c r="CW82" s="128">
        <v>1.79</v>
      </c>
      <c r="CX82" s="128">
        <v>1.79</v>
      </c>
      <c r="CZ82" s="126">
        <f>SUMIF(MatrixF1[[1]:[2]],MatrixF1[[#This Row],[Столбец1]])/MatrixF1[[#This Row],[Столбец1]]</f>
        <v>43.000000000000014</v>
      </c>
    </row>
    <row r="83" spans="1:104" ht="21" customHeight="1" x14ac:dyDescent="0.25">
      <c r="A83" s="127">
        <v>1.8</v>
      </c>
      <c r="B83" s="128">
        <v>1</v>
      </c>
      <c r="C83" s="128">
        <v>1.01</v>
      </c>
      <c r="D83" s="128">
        <v>1.02</v>
      </c>
      <c r="E83" s="128">
        <v>1.04</v>
      </c>
      <c r="F83" s="128">
        <v>1.05</v>
      </c>
      <c r="G83" s="128">
        <v>1.06</v>
      </c>
      <c r="H83" s="128">
        <v>1.07</v>
      </c>
      <c r="I83" s="128">
        <v>1.08</v>
      </c>
      <c r="J83" s="128">
        <v>1.0900000000000001</v>
      </c>
      <c r="K83" s="128">
        <v>1.1000000000000001</v>
      </c>
      <c r="L83" s="128">
        <v>1.1100000000000001</v>
      </c>
      <c r="M83" s="128">
        <v>1.1200000000000001</v>
      </c>
      <c r="N83" s="128">
        <v>1.1299999999999999</v>
      </c>
      <c r="O83" s="128">
        <v>1.1399999999999999</v>
      </c>
      <c r="P83" s="128">
        <v>1.1499999999999999</v>
      </c>
      <c r="Q83" s="128">
        <v>1.1599999999999999</v>
      </c>
      <c r="R83" s="128">
        <v>1.17</v>
      </c>
      <c r="S83" s="128">
        <v>1.18</v>
      </c>
      <c r="T83" s="128">
        <v>1.18</v>
      </c>
      <c r="U83" s="128">
        <v>1.19</v>
      </c>
      <c r="V83" s="128">
        <v>1.2</v>
      </c>
      <c r="W83" s="128">
        <v>1.21</v>
      </c>
      <c r="X83" s="128">
        <v>1.22</v>
      </c>
      <c r="Y83" s="128">
        <v>1.23</v>
      </c>
      <c r="Z83" s="128">
        <v>1.24</v>
      </c>
      <c r="AA83" s="128">
        <v>1.25</v>
      </c>
      <c r="AB83" s="128">
        <v>1.26</v>
      </c>
      <c r="AC83" s="128">
        <v>1.27</v>
      </c>
      <c r="AD83" s="128">
        <v>1.28</v>
      </c>
      <c r="AE83" s="128">
        <v>1.29</v>
      </c>
      <c r="AF83" s="128">
        <v>1.3</v>
      </c>
      <c r="AG83" s="128">
        <v>1.31</v>
      </c>
      <c r="AH83" s="128">
        <v>1.32</v>
      </c>
      <c r="AI83" s="128">
        <v>1.33</v>
      </c>
      <c r="AJ83" s="128">
        <v>1.34</v>
      </c>
      <c r="AK83" s="128">
        <v>1.35</v>
      </c>
      <c r="AL83" s="128">
        <v>1.36</v>
      </c>
      <c r="AM83" s="128">
        <v>1.37</v>
      </c>
      <c r="AN83" s="128">
        <v>1.38</v>
      </c>
      <c r="AO83" s="128">
        <v>1.39</v>
      </c>
      <c r="AP83" s="128">
        <v>1.4</v>
      </c>
      <c r="AQ83" s="128">
        <v>1.41</v>
      </c>
      <c r="AR83" s="128">
        <v>1.42</v>
      </c>
      <c r="AS83" s="128">
        <v>1.43</v>
      </c>
      <c r="AT83" s="128">
        <v>1.44</v>
      </c>
      <c r="AU83" s="128">
        <v>1.45</v>
      </c>
      <c r="AV83" s="128">
        <v>1.46</v>
      </c>
      <c r="AW83" s="128">
        <v>1.47</v>
      </c>
      <c r="AX83" s="128">
        <v>1.48</v>
      </c>
      <c r="AY83" s="128">
        <v>1.49</v>
      </c>
      <c r="AZ83" s="128">
        <v>1.5</v>
      </c>
      <c r="BA83" s="128">
        <v>1.51</v>
      </c>
      <c r="BB83" s="128">
        <v>1.52</v>
      </c>
      <c r="BC83" s="128">
        <v>1.53</v>
      </c>
      <c r="BD83" s="128">
        <v>1.54</v>
      </c>
      <c r="BE83" s="128">
        <v>1.55</v>
      </c>
      <c r="BF83" s="128">
        <v>1.56</v>
      </c>
      <c r="BG83" s="128">
        <v>1.57</v>
      </c>
      <c r="BH83" s="128">
        <v>1.58</v>
      </c>
      <c r="BI83" s="128">
        <v>1.59</v>
      </c>
      <c r="BJ83" s="128">
        <v>1.6</v>
      </c>
      <c r="BK83" s="128">
        <v>1.61</v>
      </c>
      <c r="BL83" s="128">
        <v>1.62</v>
      </c>
      <c r="BM83" s="128">
        <v>1.63</v>
      </c>
      <c r="BN83" s="128">
        <v>1.64</v>
      </c>
      <c r="BO83" s="128">
        <v>1.65</v>
      </c>
      <c r="BP83" s="128">
        <v>1.66</v>
      </c>
      <c r="BQ83" s="128">
        <v>1.67</v>
      </c>
      <c r="BR83" s="128">
        <v>1.68</v>
      </c>
      <c r="BS83" s="128">
        <v>1.69</v>
      </c>
      <c r="BT83" s="128">
        <v>1.7</v>
      </c>
      <c r="BU83" s="128">
        <v>1.71</v>
      </c>
      <c r="BV83" s="128">
        <v>1.72</v>
      </c>
      <c r="BW83" s="128">
        <v>1.73</v>
      </c>
      <c r="BX83" s="128">
        <v>1.74</v>
      </c>
      <c r="BY83" s="128">
        <v>1.75</v>
      </c>
      <c r="BZ83" s="128">
        <v>1.76</v>
      </c>
      <c r="CA83" s="128">
        <v>1.77</v>
      </c>
      <c r="CB83" s="128">
        <v>1.78</v>
      </c>
      <c r="CC83" s="128">
        <v>1.79</v>
      </c>
      <c r="CD83" s="128">
        <v>1.8</v>
      </c>
      <c r="CE83" s="128">
        <v>1.8</v>
      </c>
      <c r="CF83" s="128">
        <v>1.8</v>
      </c>
      <c r="CG83" s="128">
        <v>1.8</v>
      </c>
      <c r="CH83" s="128">
        <v>1.8</v>
      </c>
      <c r="CI83" s="128">
        <v>1.8</v>
      </c>
      <c r="CJ83" s="128">
        <v>1.8</v>
      </c>
      <c r="CK83" s="128">
        <v>1.8</v>
      </c>
      <c r="CL83" s="128">
        <v>1.8</v>
      </c>
      <c r="CM83" s="128">
        <v>1.8</v>
      </c>
      <c r="CN83" s="128">
        <v>1.8</v>
      </c>
      <c r="CO83" s="128">
        <v>1.8</v>
      </c>
      <c r="CP83" s="128">
        <v>1.8</v>
      </c>
      <c r="CQ83" s="128">
        <v>1.8</v>
      </c>
      <c r="CR83" s="128">
        <v>1.8</v>
      </c>
      <c r="CS83" s="128">
        <v>1.8</v>
      </c>
      <c r="CT83" s="128">
        <v>1.8</v>
      </c>
      <c r="CU83" s="128">
        <v>1.8</v>
      </c>
      <c r="CV83" s="128">
        <v>1.8</v>
      </c>
      <c r="CW83" s="128">
        <v>1.8</v>
      </c>
      <c r="CX83" s="128">
        <v>1.8</v>
      </c>
      <c r="CZ83" s="126">
        <f>SUMIF(MatrixF1[[1]:[2]],MatrixF1[[#This Row],[Столбец1]])/MatrixF1[[#This Row],[Столбец1]]</f>
        <v>40.999999999999964</v>
      </c>
    </row>
    <row r="84" spans="1:104" ht="21" customHeight="1" x14ac:dyDescent="0.25">
      <c r="A84" s="127">
        <v>1.81</v>
      </c>
      <c r="B84" s="128">
        <v>1</v>
      </c>
      <c r="C84" s="128">
        <v>1.01</v>
      </c>
      <c r="D84" s="128">
        <v>1.02</v>
      </c>
      <c r="E84" s="128">
        <v>1.04</v>
      </c>
      <c r="F84" s="128">
        <v>1.05</v>
      </c>
      <c r="G84" s="128">
        <v>1.06</v>
      </c>
      <c r="H84" s="128">
        <v>1.07</v>
      </c>
      <c r="I84" s="128">
        <v>1.08</v>
      </c>
      <c r="J84" s="128">
        <v>1.0900000000000001</v>
      </c>
      <c r="K84" s="128">
        <v>1.1000000000000001</v>
      </c>
      <c r="L84" s="128">
        <v>1.1100000000000001</v>
      </c>
      <c r="M84" s="128">
        <v>1.1200000000000001</v>
      </c>
      <c r="N84" s="128">
        <v>1.1299999999999999</v>
      </c>
      <c r="O84" s="128">
        <v>1.1399999999999999</v>
      </c>
      <c r="P84" s="128">
        <v>1.1499999999999999</v>
      </c>
      <c r="Q84" s="128">
        <v>1.1599999999999999</v>
      </c>
      <c r="R84" s="128">
        <v>1.1599999999999999</v>
      </c>
      <c r="S84" s="128">
        <v>1.17</v>
      </c>
      <c r="T84" s="128">
        <v>1.18</v>
      </c>
      <c r="U84" s="128">
        <v>1.19</v>
      </c>
      <c r="V84" s="128">
        <v>1.2</v>
      </c>
      <c r="W84" s="128">
        <v>1.21</v>
      </c>
      <c r="X84" s="128">
        <v>1.22</v>
      </c>
      <c r="Y84" s="128">
        <v>1.23</v>
      </c>
      <c r="Z84" s="128">
        <v>1.24</v>
      </c>
      <c r="AA84" s="128">
        <v>1.25</v>
      </c>
      <c r="AB84" s="128">
        <v>1.26</v>
      </c>
      <c r="AC84" s="128">
        <v>1.27</v>
      </c>
      <c r="AD84" s="128">
        <v>1.28</v>
      </c>
      <c r="AE84" s="128">
        <v>1.29</v>
      </c>
      <c r="AF84" s="128">
        <v>1.3</v>
      </c>
      <c r="AG84" s="128">
        <v>1.31</v>
      </c>
      <c r="AH84" s="128">
        <v>1.32</v>
      </c>
      <c r="AI84" s="128">
        <v>1.33</v>
      </c>
      <c r="AJ84" s="128">
        <v>1.34</v>
      </c>
      <c r="AK84" s="128">
        <v>1.35</v>
      </c>
      <c r="AL84" s="128">
        <v>1.36</v>
      </c>
      <c r="AM84" s="128">
        <v>1.37</v>
      </c>
      <c r="AN84" s="128">
        <v>1.38</v>
      </c>
      <c r="AO84" s="128">
        <v>1.39</v>
      </c>
      <c r="AP84" s="128">
        <v>1.4</v>
      </c>
      <c r="AQ84" s="128">
        <v>1.41</v>
      </c>
      <c r="AR84" s="128">
        <v>1.42</v>
      </c>
      <c r="AS84" s="128">
        <v>1.43</v>
      </c>
      <c r="AT84" s="128">
        <v>1.44</v>
      </c>
      <c r="AU84" s="128">
        <v>1.45</v>
      </c>
      <c r="AV84" s="128">
        <v>1.46</v>
      </c>
      <c r="AW84" s="128">
        <v>1.47</v>
      </c>
      <c r="AX84" s="128">
        <v>1.48</v>
      </c>
      <c r="AY84" s="128">
        <v>1.49</v>
      </c>
      <c r="AZ84" s="128">
        <v>1.5</v>
      </c>
      <c r="BA84" s="128">
        <v>1.51</v>
      </c>
      <c r="BB84" s="128">
        <v>1.52</v>
      </c>
      <c r="BC84" s="128">
        <v>1.53</v>
      </c>
      <c r="BD84" s="128">
        <v>1.54</v>
      </c>
      <c r="BE84" s="128">
        <v>1.55</v>
      </c>
      <c r="BF84" s="128">
        <v>1.56</v>
      </c>
      <c r="BG84" s="128">
        <v>1.57</v>
      </c>
      <c r="BH84" s="128">
        <v>1.58</v>
      </c>
      <c r="BI84" s="128">
        <v>1.59</v>
      </c>
      <c r="BJ84" s="128">
        <v>1.6</v>
      </c>
      <c r="BK84" s="128">
        <v>1.61</v>
      </c>
      <c r="BL84" s="128">
        <v>1.62</v>
      </c>
      <c r="BM84" s="128">
        <v>1.63</v>
      </c>
      <c r="BN84" s="128">
        <v>1.64</v>
      </c>
      <c r="BO84" s="128">
        <v>1.65</v>
      </c>
      <c r="BP84" s="128">
        <v>1.66</v>
      </c>
      <c r="BQ84" s="128">
        <v>1.67</v>
      </c>
      <c r="BR84" s="128">
        <v>1.68</v>
      </c>
      <c r="BS84" s="128">
        <v>1.69</v>
      </c>
      <c r="BT84" s="128">
        <v>1.7</v>
      </c>
      <c r="BU84" s="128">
        <v>1.71</v>
      </c>
      <c r="BV84" s="128">
        <v>1.72</v>
      </c>
      <c r="BW84" s="128">
        <v>1.73</v>
      </c>
      <c r="BX84" s="128">
        <v>1.74</v>
      </c>
      <c r="BY84" s="128">
        <v>1.75</v>
      </c>
      <c r="BZ84" s="128">
        <v>1.76</v>
      </c>
      <c r="CA84" s="128">
        <v>1.77</v>
      </c>
      <c r="CB84" s="128">
        <v>1.78</v>
      </c>
      <c r="CC84" s="128">
        <v>1.79</v>
      </c>
      <c r="CD84" s="128">
        <v>1.8</v>
      </c>
      <c r="CE84" s="128">
        <v>1.81</v>
      </c>
      <c r="CF84" s="128">
        <v>1.81</v>
      </c>
      <c r="CG84" s="128">
        <v>1.81</v>
      </c>
      <c r="CH84" s="128">
        <v>1.81</v>
      </c>
      <c r="CI84" s="128">
        <v>1.81</v>
      </c>
      <c r="CJ84" s="128">
        <v>1.81</v>
      </c>
      <c r="CK84" s="128">
        <v>1.81</v>
      </c>
      <c r="CL84" s="128">
        <v>1.81</v>
      </c>
      <c r="CM84" s="128">
        <v>1.81</v>
      </c>
      <c r="CN84" s="128">
        <v>1.81</v>
      </c>
      <c r="CO84" s="128">
        <v>1.81</v>
      </c>
      <c r="CP84" s="128">
        <v>1.81</v>
      </c>
      <c r="CQ84" s="128">
        <v>1.81</v>
      </c>
      <c r="CR84" s="128">
        <v>1.81</v>
      </c>
      <c r="CS84" s="128">
        <v>1.81</v>
      </c>
      <c r="CT84" s="128">
        <v>1.81</v>
      </c>
      <c r="CU84" s="128">
        <v>1.81</v>
      </c>
      <c r="CV84" s="128">
        <v>1.81</v>
      </c>
      <c r="CW84" s="128">
        <v>1.81</v>
      </c>
      <c r="CX84" s="128">
        <v>1.81</v>
      </c>
      <c r="CZ84" s="126">
        <f>SUMIF(MatrixF1[[1]:[2]],MatrixF1[[#This Row],[Столбец1]])/MatrixF1[[#This Row],[Столбец1]]</f>
        <v>39.000000000000014</v>
      </c>
    </row>
    <row r="85" spans="1:104" ht="21" customHeight="1" x14ac:dyDescent="0.25">
      <c r="A85" s="127">
        <v>1.82</v>
      </c>
      <c r="B85" s="128">
        <v>1</v>
      </c>
      <c r="C85" s="128">
        <v>1.01</v>
      </c>
      <c r="D85" s="128">
        <v>1.02</v>
      </c>
      <c r="E85" s="128">
        <v>1.04</v>
      </c>
      <c r="F85" s="128">
        <v>1.05</v>
      </c>
      <c r="G85" s="128">
        <v>1.06</v>
      </c>
      <c r="H85" s="128">
        <v>1.07</v>
      </c>
      <c r="I85" s="128">
        <v>1.08</v>
      </c>
      <c r="J85" s="128">
        <v>1.0900000000000001</v>
      </c>
      <c r="K85" s="128">
        <v>1.1000000000000001</v>
      </c>
      <c r="L85" s="128">
        <v>1.1100000000000001</v>
      </c>
      <c r="M85" s="128">
        <v>1.1200000000000001</v>
      </c>
      <c r="N85" s="128">
        <v>1.1299999999999999</v>
      </c>
      <c r="O85" s="128">
        <v>1.1399999999999999</v>
      </c>
      <c r="P85" s="128">
        <v>1.1499999999999999</v>
      </c>
      <c r="Q85" s="128">
        <v>1.1499999999999999</v>
      </c>
      <c r="R85" s="128">
        <v>1.1599999999999999</v>
      </c>
      <c r="S85" s="128">
        <v>1.17</v>
      </c>
      <c r="T85" s="128">
        <v>1.18</v>
      </c>
      <c r="U85" s="128">
        <v>1.19</v>
      </c>
      <c r="V85" s="128">
        <v>1.2</v>
      </c>
      <c r="W85" s="128">
        <v>1.21</v>
      </c>
      <c r="X85" s="128">
        <v>1.22</v>
      </c>
      <c r="Y85" s="128">
        <v>1.23</v>
      </c>
      <c r="Z85" s="128">
        <v>1.24</v>
      </c>
      <c r="AA85" s="128">
        <v>1.25</v>
      </c>
      <c r="AB85" s="128">
        <v>1.26</v>
      </c>
      <c r="AC85" s="128">
        <v>1.27</v>
      </c>
      <c r="AD85" s="128">
        <v>1.28</v>
      </c>
      <c r="AE85" s="128">
        <v>1.29</v>
      </c>
      <c r="AF85" s="128">
        <v>1.3</v>
      </c>
      <c r="AG85" s="128">
        <v>1.31</v>
      </c>
      <c r="AH85" s="128">
        <v>1.32</v>
      </c>
      <c r="AI85" s="128">
        <v>1.33</v>
      </c>
      <c r="AJ85" s="128">
        <v>1.34</v>
      </c>
      <c r="AK85" s="128">
        <v>1.35</v>
      </c>
      <c r="AL85" s="128">
        <v>1.36</v>
      </c>
      <c r="AM85" s="128">
        <v>1.37</v>
      </c>
      <c r="AN85" s="128">
        <v>1.38</v>
      </c>
      <c r="AO85" s="128">
        <v>1.39</v>
      </c>
      <c r="AP85" s="128">
        <v>1.4</v>
      </c>
      <c r="AQ85" s="128">
        <v>1.41</v>
      </c>
      <c r="AR85" s="128">
        <v>1.42</v>
      </c>
      <c r="AS85" s="128">
        <v>1.43</v>
      </c>
      <c r="AT85" s="128">
        <v>1.44</v>
      </c>
      <c r="AU85" s="128">
        <v>1.45</v>
      </c>
      <c r="AV85" s="128">
        <v>1.46</v>
      </c>
      <c r="AW85" s="128">
        <v>1.47</v>
      </c>
      <c r="AX85" s="128">
        <v>1.48</v>
      </c>
      <c r="AY85" s="128">
        <v>1.49</v>
      </c>
      <c r="AZ85" s="128">
        <v>1.5</v>
      </c>
      <c r="BA85" s="128">
        <v>1.51</v>
      </c>
      <c r="BB85" s="128">
        <v>1.52</v>
      </c>
      <c r="BC85" s="128">
        <v>1.53</v>
      </c>
      <c r="BD85" s="128">
        <v>1.54</v>
      </c>
      <c r="BE85" s="128">
        <v>1.55</v>
      </c>
      <c r="BF85" s="128">
        <v>1.56</v>
      </c>
      <c r="BG85" s="128">
        <v>1.57</v>
      </c>
      <c r="BH85" s="128">
        <v>1.58</v>
      </c>
      <c r="BI85" s="128">
        <v>1.59</v>
      </c>
      <c r="BJ85" s="128">
        <v>1.6</v>
      </c>
      <c r="BK85" s="128">
        <v>1.61</v>
      </c>
      <c r="BL85" s="128">
        <v>1.62</v>
      </c>
      <c r="BM85" s="128">
        <v>1.63</v>
      </c>
      <c r="BN85" s="128">
        <v>1.64</v>
      </c>
      <c r="BO85" s="128">
        <v>1.65</v>
      </c>
      <c r="BP85" s="128">
        <v>1.66</v>
      </c>
      <c r="BQ85" s="128">
        <v>1.67</v>
      </c>
      <c r="BR85" s="128">
        <v>1.68</v>
      </c>
      <c r="BS85" s="128">
        <v>1.69</v>
      </c>
      <c r="BT85" s="128">
        <v>1.7</v>
      </c>
      <c r="BU85" s="128">
        <v>1.71</v>
      </c>
      <c r="BV85" s="128">
        <v>1.72</v>
      </c>
      <c r="BW85" s="128">
        <v>1.73</v>
      </c>
      <c r="BX85" s="128">
        <v>1.74</v>
      </c>
      <c r="BY85" s="128">
        <v>1.75</v>
      </c>
      <c r="BZ85" s="128">
        <v>1.76</v>
      </c>
      <c r="CA85" s="128">
        <v>1.77</v>
      </c>
      <c r="CB85" s="128">
        <v>1.78</v>
      </c>
      <c r="CC85" s="128">
        <v>1.79</v>
      </c>
      <c r="CD85" s="128">
        <v>1.8</v>
      </c>
      <c r="CE85" s="128">
        <v>1.81</v>
      </c>
      <c r="CF85" s="128">
        <v>1.82</v>
      </c>
      <c r="CG85" s="128">
        <v>1.82</v>
      </c>
      <c r="CH85" s="128">
        <v>1.82</v>
      </c>
      <c r="CI85" s="128">
        <v>1.82</v>
      </c>
      <c r="CJ85" s="128">
        <v>1.82</v>
      </c>
      <c r="CK85" s="128">
        <v>1.82</v>
      </c>
      <c r="CL85" s="128">
        <v>1.82</v>
      </c>
      <c r="CM85" s="128">
        <v>1.82</v>
      </c>
      <c r="CN85" s="128">
        <v>1.82</v>
      </c>
      <c r="CO85" s="128">
        <v>1.82</v>
      </c>
      <c r="CP85" s="128">
        <v>1.82</v>
      </c>
      <c r="CQ85" s="128">
        <v>1.82</v>
      </c>
      <c r="CR85" s="128">
        <v>1.82</v>
      </c>
      <c r="CS85" s="128">
        <v>1.82</v>
      </c>
      <c r="CT85" s="128">
        <v>1.82</v>
      </c>
      <c r="CU85" s="128">
        <v>1.82</v>
      </c>
      <c r="CV85" s="128">
        <v>1.82</v>
      </c>
      <c r="CW85" s="128">
        <v>1.82</v>
      </c>
      <c r="CX85" s="128">
        <v>1.82</v>
      </c>
      <c r="CZ85" s="126">
        <f>SUMIF(MatrixF1[[1]:[2]],MatrixF1[[#This Row],[Столбец1]])/MatrixF1[[#This Row],[Столбец1]]</f>
        <v>36.999999999999993</v>
      </c>
    </row>
    <row r="86" spans="1:104" ht="21" customHeight="1" x14ac:dyDescent="0.25">
      <c r="A86" s="127">
        <v>1.83</v>
      </c>
      <c r="B86" s="128">
        <v>1</v>
      </c>
      <c r="C86" s="128">
        <v>1.01</v>
      </c>
      <c r="D86" s="128">
        <v>1.02</v>
      </c>
      <c r="E86" s="128">
        <v>1.03</v>
      </c>
      <c r="F86" s="128">
        <v>1.05</v>
      </c>
      <c r="G86" s="128">
        <v>1.06</v>
      </c>
      <c r="H86" s="128">
        <v>1.07</v>
      </c>
      <c r="I86" s="128">
        <v>1.08</v>
      </c>
      <c r="J86" s="128">
        <v>1.0900000000000001</v>
      </c>
      <c r="K86" s="128">
        <v>1.1000000000000001</v>
      </c>
      <c r="L86" s="128">
        <v>1.1100000000000001</v>
      </c>
      <c r="M86" s="128">
        <v>1.1200000000000001</v>
      </c>
      <c r="N86" s="128">
        <v>1.1299999999999999</v>
      </c>
      <c r="O86" s="128">
        <v>1.1399999999999999</v>
      </c>
      <c r="P86" s="128">
        <v>1.1399999999999999</v>
      </c>
      <c r="Q86" s="128">
        <v>1.1499999999999999</v>
      </c>
      <c r="R86" s="128">
        <v>1.1599999999999999</v>
      </c>
      <c r="S86" s="128">
        <v>1.17</v>
      </c>
      <c r="T86" s="128">
        <v>1.18</v>
      </c>
      <c r="U86" s="128">
        <v>1.19</v>
      </c>
      <c r="V86" s="128">
        <v>1.2</v>
      </c>
      <c r="W86" s="128">
        <v>1.21</v>
      </c>
      <c r="X86" s="128">
        <v>1.22</v>
      </c>
      <c r="Y86" s="128">
        <v>1.23</v>
      </c>
      <c r="Z86" s="128">
        <v>1.24</v>
      </c>
      <c r="AA86" s="128">
        <v>1.25</v>
      </c>
      <c r="AB86" s="128">
        <v>1.26</v>
      </c>
      <c r="AC86" s="128">
        <v>1.27</v>
      </c>
      <c r="AD86" s="128">
        <v>1.28</v>
      </c>
      <c r="AE86" s="128">
        <v>1.29</v>
      </c>
      <c r="AF86" s="128">
        <v>1.3</v>
      </c>
      <c r="AG86" s="128">
        <v>1.31</v>
      </c>
      <c r="AH86" s="128">
        <v>1.32</v>
      </c>
      <c r="AI86" s="128">
        <v>1.33</v>
      </c>
      <c r="AJ86" s="128">
        <v>1.34</v>
      </c>
      <c r="AK86" s="128">
        <v>1.35</v>
      </c>
      <c r="AL86" s="128">
        <v>1.36</v>
      </c>
      <c r="AM86" s="128">
        <v>1.37</v>
      </c>
      <c r="AN86" s="128">
        <v>1.38</v>
      </c>
      <c r="AO86" s="128">
        <v>1.39</v>
      </c>
      <c r="AP86" s="128">
        <v>1.4</v>
      </c>
      <c r="AQ86" s="128">
        <v>1.41</v>
      </c>
      <c r="AR86" s="128">
        <v>1.42</v>
      </c>
      <c r="AS86" s="128">
        <v>1.43</v>
      </c>
      <c r="AT86" s="128">
        <v>1.44</v>
      </c>
      <c r="AU86" s="128">
        <v>1.45</v>
      </c>
      <c r="AV86" s="128">
        <v>1.46</v>
      </c>
      <c r="AW86" s="128">
        <v>1.47</v>
      </c>
      <c r="AX86" s="128">
        <v>1.48</v>
      </c>
      <c r="AY86" s="128">
        <v>1.49</v>
      </c>
      <c r="AZ86" s="128">
        <v>1.5</v>
      </c>
      <c r="BA86" s="128">
        <v>1.51</v>
      </c>
      <c r="BB86" s="128">
        <v>1.52</v>
      </c>
      <c r="BC86" s="128">
        <v>1.53</v>
      </c>
      <c r="BD86" s="128">
        <v>1.54</v>
      </c>
      <c r="BE86" s="128">
        <v>1.55</v>
      </c>
      <c r="BF86" s="128">
        <v>1.56</v>
      </c>
      <c r="BG86" s="128">
        <v>1.57</v>
      </c>
      <c r="BH86" s="128">
        <v>1.58</v>
      </c>
      <c r="BI86" s="128">
        <v>1.59</v>
      </c>
      <c r="BJ86" s="128">
        <v>1.6</v>
      </c>
      <c r="BK86" s="128">
        <v>1.61</v>
      </c>
      <c r="BL86" s="128">
        <v>1.62</v>
      </c>
      <c r="BM86" s="128">
        <v>1.63</v>
      </c>
      <c r="BN86" s="128">
        <v>1.64</v>
      </c>
      <c r="BO86" s="128">
        <v>1.65</v>
      </c>
      <c r="BP86" s="128">
        <v>1.66</v>
      </c>
      <c r="BQ86" s="128">
        <v>1.67</v>
      </c>
      <c r="BR86" s="128">
        <v>1.68</v>
      </c>
      <c r="BS86" s="128">
        <v>1.69</v>
      </c>
      <c r="BT86" s="128">
        <v>1.7</v>
      </c>
      <c r="BU86" s="128">
        <v>1.71</v>
      </c>
      <c r="BV86" s="128">
        <v>1.72</v>
      </c>
      <c r="BW86" s="128">
        <v>1.73</v>
      </c>
      <c r="BX86" s="128">
        <v>1.74</v>
      </c>
      <c r="BY86" s="128">
        <v>1.75</v>
      </c>
      <c r="BZ86" s="128">
        <v>1.76</v>
      </c>
      <c r="CA86" s="128">
        <v>1.77</v>
      </c>
      <c r="CB86" s="128">
        <v>1.78</v>
      </c>
      <c r="CC86" s="128">
        <v>1.79</v>
      </c>
      <c r="CD86" s="128">
        <v>1.8</v>
      </c>
      <c r="CE86" s="128">
        <v>1.81</v>
      </c>
      <c r="CF86" s="128">
        <v>1.82</v>
      </c>
      <c r="CG86" s="128">
        <v>1.83</v>
      </c>
      <c r="CH86" s="128">
        <v>1.83</v>
      </c>
      <c r="CI86" s="128">
        <v>1.83</v>
      </c>
      <c r="CJ86" s="128">
        <v>1.83</v>
      </c>
      <c r="CK86" s="128">
        <v>1.83</v>
      </c>
      <c r="CL86" s="128">
        <v>1.83</v>
      </c>
      <c r="CM86" s="128">
        <v>1.83</v>
      </c>
      <c r="CN86" s="128">
        <v>1.83</v>
      </c>
      <c r="CO86" s="128">
        <v>1.83</v>
      </c>
      <c r="CP86" s="128">
        <v>1.83</v>
      </c>
      <c r="CQ86" s="128">
        <v>1.83</v>
      </c>
      <c r="CR86" s="128">
        <v>1.83</v>
      </c>
      <c r="CS86" s="128">
        <v>1.83</v>
      </c>
      <c r="CT86" s="128">
        <v>1.83</v>
      </c>
      <c r="CU86" s="128">
        <v>1.83</v>
      </c>
      <c r="CV86" s="128">
        <v>1.83</v>
      </c>
      <c r="CW86" s="128">
        <v>1.83</v>
      </c>
      <c r="CX86" s="128">
        <v>1.83</v>
      </c>
      <c r="CZ86" s="126">
        <f>SUMIF(MatrixF1[[1]:[2]],MatrixF1[[#This Row],[Столбец1]])/MatrixF1[[#This Row],[Столбец1]]</f>
        <v>34.999999999999972</v>
      </c>
    </row>
    <row r="87" spans="1:104" ht="21" customHeight="1" x14ac:dyDescent="0.25">
      <c r="A87" s="127">
        <v>1.84</v>
      </c>
      <c r="B87" s="128">
        <v>1</v>
      </c>
      <c r="C87" s="128">
        <v>1.01</v>
      </c>
      <c r="D87" s="128">
        <v>1.02</v>
      </c>
      <c r="E87" s="128">
        <v>1.03</v>
      </c>
      <c r="F87" s="128">
        <v>1.05</v>
      </c>
      <c r="G87" s="128">
        <v>1.06</v>
      </c>
      <c r="H87" s="128">
        <v>1.07</v>
      </c>
      <c r="I87" s="128">
        <v>1.08</v>
      </c>
      <c r="J87" s="128">
        <v>1.0900000000000001</v>
      </c>
      <c r="K87" s="128">
        <v>1.1000000000000001</v>
      </c>
      <c r="L87" s="128">
        <v>1.1100000000000001</v>
      </c>
      <c r="M87" s="128">
        <v>1.1200000000000001</v>
      </c>
      <c r="N87" s="128">
        <v>1.1200000000000001</v>
      </c>
      <c r="O87" s="128">
        <v>1.1299999999999999</v>
      </c>
      <c r="P87" s="128">
        <v>1.1399999999999999</v>
      </c>
      <c r="Q87" s="128">
        <v>1.1499999999999999</v>
      </c>
      <c r="R87" s="128">
        <v>1.1599999999999999</v>
      </c>
      <c r="S87" s="128">
        <v>1.17</v>
      </c>
      <c r="T87" s="128">
        <v>1.18</v>
      </c>
      <c r="U87" s="128">
        <v>1.19</v>
      </c>
      <c r="V87" s="128">
        <v>1.2</v>
      </c>
      <c r="W87" s="128">
        <v>1.21</v>
      </c>
      <c r="X87" s="128">
        <v>1.22</v>
      </c>
      <c r="Y87" s="128">
        <v>1.23</v>
      </c>
      <c r="Z87" s="128">
        <v>1.24</v>
      </c>
      <c r="AA87" s="128">
        <v>1.25</v>
      </c>
      <c r="AB87" s="128">
        <v>1.26</v>
      </c>
      <c r="AC87" s="128">
        <v>1.27</v>
      </c>
      <c r="AD87" s="128">
        <v>1.28</v>
      </c>
      <c r="AE87" s="128">
        <v>1.29</v>
      </c>
      <c r="AF87" s="128">
        <v>1.3</v>
      </c>
      <c r="AG87" s="128">
        <v>1.31</v>
      </c>
      <c r="AH87" s="128">
        <v>1.32</v>
      </c>
      <c r="AI87" s="128">
        <v>1.33</v>
      </c>
      <c r="AJ87" s="128">
        <v>1.34</v>
      </c>
      <c r="AK87" s="128">
        <v>1.35</v>
      </c>
      <c r="AL87" s="128">
        <v>1.36</v>
      </c>
      <c r="AM87" s="128">
        <v>1.37</v>
      </c>
      <c r="AN87" s="128">
        <v>1.38</v>
      </c>
      <c r="AO87" s="128">
        <v>1.39</v>
      </c>
      <c r="AP87" s="128">
        <v>1.4</v>
      </c>
      <c r="AQ87" s="128">
        <v>1.41</v>
      </c>
      <c r="AR87" s="128">
        <v>1.42</v>
      </c>
      <c r="AS87" s="128">
        <v>1.43</v>
      </c>
      <c r="AT87" s="128">
        <v>1.44</v>
      </c>
      <c r="AU87" s="128">
        <v>1.45</v>
      </c>
      <c r="AV87" s="128">
        <v>1.46</v>
      </c>
      <c r="AW87" s="128">
        <v>1.47</v>
      </c>
      <c r="AX87" s="128">
        <v>1.48</v>
      </c>
      <c r="AY87" s="128">
        <v>1.49</v>
      </c>
      <c r="AZ87" s="128">
        <v>1.5</v>
      </c>
      <c r="BA87" s="128">
        <v>1.51</v>
      </c>
      <c r="BB87" s="128">
        <v>1.52</v>
      </c>
      <c r="BC87" s="128">
        <v>1.53</v>
      </c>
      <c r="BD87" s="128">
        <v>1.54</v>
      </c>
      <c r="BE87" s="128">
        <v>1.55</v>
      </c>
      <c r="BF87" s="128">
        <v>1.56</v>
      </c>
      <c r="BG87" s="128">
        <v>1.57</v>
      </c>
      <c r="BH87" s="128">
        <v>1.58</v>
      </c>
      <c r="BI87" s="128">
        <v>1.59</v>
      </c>
      <c r="BJ87" s="128">
        <v>1.6</v>
      </c>
      <c r="BK87" s="128">
        <v>1.61</v>
      </c>
      <c r="BL87" s="128">
        <v>1.62</v>
      </c>
      <c r="BM87" s="128">
        <v>1.63</v>
      </c>
      <c r="BN87" s="128">
        <v>1.64</v>
      </c>
      <c r="BO87" s="128">
        <v>1.65</v>
      </c>
      <c r="BP87" s="128">
        <v>1.66</v>
      </c>
      <c r="BQ87" s="128">
        <v>1.67</v>
      </c>
      <c r="BR87" s="128">
        <v>1.68</v>
      </c>
      <c r="BS87" s="128">
        <v>1.69</v>
      </c>
      <c r="BT87" s="128">
        <v>1.7</v>
      </c>
      <c r="BU87" s="128">
        <v>1.71</v>
      </c>
      <c r="BV87" s="128">
        <v>1.72</v>
      </c>
      <c r="BW87" s="128">
        <v>1.73</v>
      </c>
      <c r="BX87" s="128">
        <v>1.74</v>
      </c>
      <c r="BY87" s="128">
        <v>1.75</v>
      </c>
      <c r="BZ87" s="128">
        <v>1.76</v>
      </c>
      <c r="CA87" s="128">
        <v>1.77</v>
      </c>
      <c r="CB87" s="128">
        <v>1.78</v>
      </c>
      <c r="CC87" s="128">
        <v>1.79</v>
      </c>
      <c r="CD87" s="128">
        <v>1.8</v>
      </c>
      <c r="CE87" s="128">
        <v>1.81</v>
      </c>
      <c r="CF87" s="128">
        <v>1.82</v>
      </c>
      <c r="CG87" s="128">
        <v>1.83</v>
      </c>
      <c r="CH87" s="128">
        <v>1.84</v>
      </c>
      <c r="CI87" s="128">
        <v>1.84</v>
      </c>
      <c r="CJ87" s="128">
        <v>1.84</v>
      </c>
      <c r="CK87" s="128">
        <v>1.84</v>
      </c>
      <c r="CL87" s="128">
        <v>1.84</v>
      </c>
      <c r="CM87" s="128">
        <v>1.84</v>
      </c>
      <c r="CN87" s="128">
        <v>1.84</v>
      </c>
      <c r="CO87" s="128">
        <v>1.84</v>
      </c>
      <c r="CP87" s="128">
        <v>1.84</v>
      </c>
      <c r="CQ87" s="128">
        <v>1.84</v>
      </c>
      <c r="CR87" s="128">
        <v>1.84</v>
      </c>
      <c r="CS87" s="128">
        <v>1.84</v>
      </c>
      <c r="CT87" s="128">
        <v>1.84</v>
      </c>
      <c r="CU87" s="128">
        <v>1.84</v>
      </c>
      <c r="CV87" s="128">
        <v>1.84</v>
      </c>
      <c r="CW87" s="128">
        <v>1.84</v>
      </c>
      <c r="CX87" s="128">
        <v>1.84</v>
      </c>
      <c r="CZ87" s="126">
        <f>SUMIF(MatrixF1[[1]:[2]],MatrixF1[[#This Row],[Столбец1]])/MatrixF1[[#This Row],[Столбец1]]</f>
        <v>33.000000000000028</v>
      </c>
    </row>
    <row r="88" spans="1:104" ht="21" customHeight="1" x14ac:dyDescent="0.25">
      <c r="A88" s="127">
        <v>1.85</v>
      </c>
      <c r="B88" s="128">
        <v>1</v>
      </c>
      <c r="C88" s="128">
        <v>1.01</v>
      </c>
      <c r="D88" s="128">
        <v>1.02</v>
      </c>
      <c r="E88" s="128">
        <v>1.03</v>
      </c>
      <c r="F88" s="128">
        <v>1.04</v>
      </c>
      <c r="G88" s="128">
        <v>1.06</v>
      </c>
      <c r="H88" s="128">
        <v>1.07</v>
      </c>
      <c r="I88" s="128">
        <v>1.08</v>
      </c>
      <c r="J88" s="128">
        <v>1.0900000000000001</v>
      </c>
      <c r="K88" s="128">
        <v>1.1000000000000001</v>
      </c>
      <c r="L88" s="128">
        <v>1.1100000000000001</v>
      </c>
      <c r="M88" s="128">
        <v>1.1100000000000001</v>
      </c>
      <c r="N88" s="128">
        <v>1.1200000000000001</v>
      </c>
      <c r="O88" s="128">
        <v>1.1299999999999999</v>
      </c>
      <c r="P88" s="128">
        <v>1.1399999999999999</v>
      </c>
      <c r="Q88" s="128">
        <v>1.1499999999999999</v>
      </c>
      <c r="R88" s="128">
        <v>1.1599999999999999</v>
      </c>
      <c r="S88" s="128">
        <v>1.17</v>
      </c>
      <c r="T88" s="128">
        <v>1.18</v>
      </c>
      <c r="U88" s="128">
        <v>1.19</v>
      </c>
      <c r="V88" s="128">
        <v>1.2</v>
      </c>
      <c r="W88" s="128">
        <v>1.21</v>
      </c>
      <c r="X88" s="128">
        <v>1.22</v>
      </c>
      <c r="Y88" s="128">
        <v>1.23</v>
      </c>
      <c r="Z88" s="128">
        <v>1.24</v>
      </c>
      <c r="AA88" s="128">
        <v>1.25</v>
      </c>
      <c r="AB88" s="128">
        <v>1.26</v>
      </c>
      <c r="AC88" s="128">
        <v>1.27</v>
      </c>
      <c r="AD88" s="128">
        <v>1.28</v>
      </c>
      <c r="AE88" s="128">
        <v>1.29</v>
      </c>
      <c r="AF88" s="128">
        <v>1.3</v>
      </c>
      <c r="AG88" s="128">
        <v>1.31</v>
      </c>
      <c r="AH88" s="128">
        <v>1.32</v>
      </c>
      <c r="AI88" s="128">
        <v>1.33</v>
      </c>
      <c r="AJ88" s="128">
        <v>1.34</v>
      </c>
      <c r="AK88" s="128">
        <v>1.35</v>
      </c>
      <c r="AL88" s="128">
        <v>1.36</v>
      </c>
      <c r="AM88" s="128">
        <v>1.37</v>
      </c>
      <c r="AN88" s="128">
        <v>1.38</v>
      </c>
      <c r="AO88" s="128">
        <v>1.39</v>
      </c>
      <c r="AP88" s="128">
        <v>1.4</v>
      </c>
      <c r="AQ88" s="128">
        <v>1.41</v>
      </c>
      <c r="AR88" s="128">
        <v>1.42</v>
      </c>
      <c r="AS88" s="128">
        <v>1.43</v>
      </c>
      <c r="AT88" s="128">
        <v>1.44</v>
      </c>
      <c r="AU88" s="128">
        <v>1.45</v>
      </c>
      <c r="AV88" s="128">
        <v>1.46</v>
      </c>
      <c r="AW88" s="128">
        <v>1.47</v>
      </c>
      <c r="AX88" s="128">
        <v>1.48</v>
      </c>
      <c r="AY88" s="128">
        <v>1.49</v>
      </c>
      <c r="AZ88" s="128">
        <v>1.5</v>
      </c>
      <c r="BA88" s="128">
        <v>1.51</v>
      </c>
      <c r="BB88" s="128">
        <v>1.52</v>
      </c>
      <c r="BC88" s="128">
        <v>1.53</v>
      </c>
      <c r="BD88" s="128">
        <v>1.54</v>
      </c>
      <c r="BE88" s="128">
        <v>1.55</v>
      </c>
      <c r="BF88" s="128">
        <v>1.56</v>
      </c>
      <c r="BG88" s="128">
        <v>1.57</v>
      </c>
      <c r="BH88" s="128">
        <v>1.58</v>
      </c>
      <c r="BI88" s="128">
        <v>1.59</v>
      </c>
      <c r="BJ88" s="128">
        <v>1.6</v>
      </c>
      <c r="BK88" s="128">
        <v>1.61</v>
      </c>
      <c r="BL88" s="128">
        <v>1.62</v>
      </c>
      <c r="BM88" s="128">
        <v>1.63</v>
      </c>
      <c r="BN88" s="128">
        <v>1.64</v>
      </c>
      <c r="BO88" s="128">
        <v>1.65</v>
      </c>
      <c r="BP88" s="128">
        <v>1.66</v>
      </c>
      <c r="BQ88" s="128">
        <v>1.67</v>
      </c>
      <c r="BR88" s="128">
        <v>1.68</v>
      </c>
      <c r="BS88" s="128">
        <v>1.69</v>
      </c>
      <c r="BT88" s="128">
        <v>1.7</v>
      </c>
      <c r="BU88" s="128">
        <v>1.71</v>
      </c>
      <c r="BV88" s="128">
        <v>1.72</v>
      </c>
      <c r="BW88" s="128">
        <v>1.73</v>
      </c>
      <c r="BX88" s="128">
        <v>1.74</v>
      </c>
      <c r="BY88" s="128">
        <v>1.75</v>
      </c>
      <c r="BZ88" s="128">
        <v>1.76</v>
      </c>
      <c r="CA88" s="128">
        <v>1.77</v>
      </c>
      <c r="CB88" s="128">
        <v>1.78</v>
      </c>
      <c r="CC88" s="128">
        <v>1.79</v>
      </c>
      <c r="CD88" s="128">
        <v>1.8</v>
      </c>
      <c r="CE88" s="128">
        <v>1.81</v>
      </c>
      <c r="CF88" s="128">
        <v>1.82</v>
      </c>
      <c r="CG88" s="128">
        <v>1.83</v>
      </c>
      <c r="CH88" s="128">
        <v>1.84</v>
      </c>
      <c r="CI88" s="128">
        <v>1.85</v>
      </c>
      <c r="CJ88" s="128">
        <v>1.85</v>
      </c>
      <c r="CK88" s="128">
        <v>1.85</v>
      </c>
      <c r="CL88" s="128">
        <v>1.85</v>
      </c>
      <c r="CM88" s="128">
        <v>1.85</v>
      </c>
      <c r="CN88" s="128">
        <v>1.85</v>
      </c>
      <c r="CO88" s="128">
        <v>1.85</v>
      </c>
      <c r="CP88" s="128">
        <v>1.85</v>
      </c>
      <c r="CQ88" s="128">
        <v>1.85</v>
      </c>
      <c r="CR88" s="128">
        <v>1.85</v>
      </c>
      <c r="CS88" s="128">
        <v>1.85</v>
      </c>
      <c r="CT88" s="128">
        <v>1.85</v>
      </c>
      <c r="CU88" s="128">
        <v>1.85</v>
      </c>
      <c r="CV88" s="128">
        <v>1.85</v>
      </c>
      <c r="CW88" s="128">
        <v>1.85</v>
      </c>
      <c r="CX88" s="128">
        <v>1.85</v>
      </c>
      <c r="CZ88" s="126">
        <f>SUMIF(MatrixF1[[1]:[2]],MatrixF1[[#This Row],[Столбец1]])/MatrixF1[[#This Row],[Столбец1]]</f>
        <v>31.000000000000014</v>
      </c>
    </row>
    <row r="89" spans="1:104" ht="21" customHeight="1" x14ac:dyDescent="0.25">
      <c r="A89" s="127">
        <v>1.86</v>
      </c>
      <c r="B89" s="128">
        <v>1</v>
      </c>
      <c r="C89" s="128">
        <v>1.01</v>
      </c>
      <c r="D89" s="128">
        <v>1.02</v>
      </c>
      <c r="E89" s="128">
        <v>1.03</v>
      </c>
      <c r="F89" s="128">
        <v>1.04</v>
      </c>
      <c r="G89" s="128">
        <v>1.05</v>
      </c>
      <c r="H89" s="128">
        <v>1.07</v>
      </c>
      <c r="I89" s="128">
        <v>1.08</v>
      </c>
      <c r="J89" s="128">
        <v>1.0900000000000001</v>
      </c>
      <c r="K89" s="128">
        <v>1.0900000000000001</v>
      </c>
      <c r="L89" s="128">
        <v>1.1000000000000001</v>
      </c>
      <c r="M89" s="128">
        <v>1.1100000000000001</v>
      </c>
      <c r="N89" s="128">
        <v>1.1200000000000001</v>
      </c>
      <c r="O89" s="128">
        <v>1.1299999999999999</v>
      </c>
      <c r="P89" s="128">
        <v>1.1399999999999999</v>
      </c>
      <c r="Q89" s="128">
        <v>1.1499999999999999</v>
      </c>
      <c r="R89" s="128">
        <v>1.1599999999999999</v>
      </c>
      <c r="S89" s="128">
        <v>1.17</v>
      </c>
      <c r="T89" s="128">
        <v>1.18</v>
      </c>
      <c r="U89" s="128">
        <v>1.19</v>
      </c>
      <c r="V89" s="128">
        <v>1.2</v>
      </c>
      <c r="W89" s="128">
        <v>1.21</v>
      </c>
      <c r="X89" s="128">
        <v>1.22</v>
      </c>
      <c r="Y89" s="128">
        <v>1.23</v>
      </c>
      <c r="Z89" s="128">
        <v>1.24</v>
      </c>
      <c r="AA89" s="128">
        <v>1.25</v>
      </c>
      <c r="AB89" s="128">
        <v>1.26</v>
      </c>
      <c r="AC89" s="128">
        <v>1.27</v>
      </c>
      <c r="AD89" s="128">
        <v>1.28</v>
      </c>
      <c r="AE89" s="128">
        <v>1.29</v>
      </c>
      <c r="AF89" s="128">
        <v>1.3</v>
      </c>
      <c r="AG89" s="128">
        <v>1.31</v>
      </c>
      <c r="AH89" s="128">
        <v>1.32</v>
      </c>
      <c r="AI89" s="128">
        <v>1.33</v>
      </c>
      <c r="AJ89" s="128">
        <v>1.34</v>
      </c>
      <c r="AK89" s="128">
        <v>1.35</v>
      </c>
      <c r="AL89" s="128">
        <v>1.36</v>
      </c>
      <c r="AM89" s="128">
        <v>1.37</v>
      </c>
      <c r="AN89" s="128">
        <v>1.38</v>
      </c>
      <c r="AO89" s="128">
        <v>1.39</v>
      </c>
      <c r="AP89" s="128">
        <v>1.4</v>
      </c>
      <c r="AQ89" s="128">
        <v>1.41</v>
      </c>
      <c r="AR89" s="128">
        <v>1.42</v>
      </c>
      <c r="AS89" s="128">
        <v>1.43</v>
      </c>
      <c r="AT89" s="128">
        <v>1.44</v>
      </c>
      <c r="AU89" s="128">
        <v>1.45</v>
      </c>
      <c r="AV89" s="128">
        <v>1.46</v>
      </c>
      <c r="AW89" s="128">
        <v>1.47</v>
      </c>
      <c r="AX89" s="128">
        <v>1.48</v>
      </c>
      <c r="AY89" s="128">
        <v>1.49</v>
      </c>
      <c r="AZ89" s="128">
        <v>1.5</v>
      </c>
      <c r="BA89" s="128">
        <v>1.51</v>
      </c>
      <c r="BB89" s="128">
        <v>1.52</v>
      </c>
      <c r="BC89" s="128">
        <v>1.53</v>
      </c>
      <c r="BD89" s="128">
        <v>1.54</v>
      </c>
      <c r="BE89" s="128">
        <v>1.55</v>
      </c>
      <c r="BF89" s="128">
        <v>1.56</v>
      </c>
      <c r="BG89" s="128">
        <v>1.57</v>
      </c>
      <c r="BH89" s="128">
        <v>1.58</v>
      </c>
      <c r="BI89" s="128">
        <v>1.59</v>
      </c>
      <c r="BJ89" s="128">
        <v>1.6</v>
      </c>
      <c r="BK89" s="128">
        <v>1.61</v>
      </c>
      <c r="BL89" s="128">
        <v>1.62</v>
      </c>
      <c r="BM89" s="128">
        <v>1.63</v>
      </c>
      <c r="BN89" s="128">
        <v>1.64</v>
      </c>
      <c r="BO89" s="128">
        <v>1.65</v>
      </c>
      <c r="BP89" s="128">
        <v>1.66</v>
      </c>
      <c r="BQ89" s="128">
        <v>1.67</v>
      </c>
      <c r="BR89" s="128">
        <v>1.68</v>
      </c>
      <c r="BS89" s="128">
        <v>1.69</v>
      </c>
      <c r="BT89" s="128">
        <v>1.7</v>
      </c>
      <c r="BU89" s="128">
        <v>1.71</v>
      </c>
      <c r="BV89" s="128">
        <v>1.72</v>
      </c>
      <c r="BW89" s="128">
        <v>1.73</v>
      </c>
      <c r="BX89" s="128">
        <v>1.74</v>
      </c>
      <c r="BY89" s="128">
        <v>1.75</v>
      </c>
      <c r="BZ89" s="128">
        <v>1.76</v>
      </c>
      <c r="CA89" s="128">
        <v>1.77</v>
      </c>
      <c r="CB89" s="128">
        <v>1.78</v>
      </c>
      <c r="CC89" s="128">
        <v>1.79</v>
      </c>
      <c r="CD89" s="128">
        <v>1.8</v>
      </c>
      <c r="CE89" s="128">
        <v>1.81</v>
      </c>
      <c r="CF89" s="128">
        <v>1.82</v>
      </c>
      <c r="CG89" s="128">
        <v>1.83</v>
      </c>
      <c r="CH89" s="128">
        <v>1.84</v>
      </c>
      <c r="CI89" s="128">
        <v>1.85</v>
      </c>
      <c r="CJ89" s="128">
        <v>1.86</v>
      </c>
      <c r="CK89" s="128">
        <v>1.86</v>
      </c>
      <c r="CL89" s="128">
        <v>1.86</v>
      </c>
      <c r="CM89" s="128">
        <v>1.86</v>
      </c>
      <c r="CN89" s="128">
        <v>1.86</v>
      </c>
      <c r="CO89" s="128">
        <v>1.86</v>
      </c>
      <c r="CP89" s="128">
        <v>1.86</v>
      </c>
      <c r="CQ89" s="128">
        <v>1.86</v>
      </c>
      <c r="CR89" s="128">
        <v>1.86</v>
      </c>
      <c r="CS89" s="128">
        <v>1.86</v>
      </c>
      <c r="CT89" s="128">
        <v>1.86</v>
      </c>
      <c r="CU89" s="128">
        <v>1.86</v>
      </c>
      <c r="CV89" s="128">
        <v>1.86</v>
      </c>
      <c r="CW89" s="128">
        <v>1.86</v>
      </c>
      <c r="CX89" s="128">
        <v>1.86</v>
      </c>
      <c r="CZ89" s="126">
        <f>SUMIF(MatrixF1[[1]:[2]],MatrixF1[[#This Row],[Столбец1]])/MatrixF1[[#This Row],[Столбец1]]</f>
        <v>28.999999999999993</v>
      </c>
    </row>
    <row r="90" spans="1:104" ht="21" customHeight="1" x14ac:dyDescent="0.25">
      <c r="A90" s="127">
        <v>1.87</v>
      </c>
      <c r="B90" s="128">
        <v>1</v>
      </c>
      <c r="C90" s="128">
        <v>1.01</v>
      </c>
      <c r="D90" s="128">
        <v>1.02</v>
      </c>
      <c r="E90" s="128">
        <v>1.03</v>
      </c>
      <c r="F90" s="128">
        <v>1.04</v>
      </c>
      <c r="G90" s="128">
        <v>1.05</v>
      </c>
      <c r="H90" s="128">
        <v>1.06</v>
      </c>
      <c r="I90" s="128">
        <v>1.07</v>
      </c>
      <c r="J90" s="128">
        <v>1.08</v>
      </c>
      <c r="K90" s="128">
        <v>1.0900000000000001</v>
      </c>
      <c r="L90" s="128">
        <v>1.1000000000000001</v>
      </c>
      <c r="M90" s="128">
        <v>1.1100000000000001</v>
      </c>
      <c r="N90" s="128">
        <v>1.1200000000000001</v>
      </c>
      <c r="O90" s="128">
        <v>1.1299999999999999</v>
      </c>
      <c r="P90" s="128">
        <v>1.1399999999999999</v>
      </c>
      <c r="Q90" s="128">
        <v>1.1499999999999999</v>
      </c>
      <c r="R90" s="128">
        <v>1.1599999999999999</v>
      </c>
      <c r="S90" s="128">
        <v>1.17</v>
      </c>
      <c r="T90" s="128">
        <v>1.18</v>
      </c>
      <c r="U90" s="128">
        <v>1.19</v>
      </c>
      <c r="V90" s="128">
        <v>1.2</v>
      </c>
      <c r="W90" s="128">
        <v>1.21</v>
      </c>
      <c r="X90" s="128">
        <v>1.22</v>
      </c>
      <c r="Y90" s="128">
        <v>1.23</v>
      </c>
      <c r="Z90" s="128">
        <v>1.24</v>
      </c>
      <c r="AA90" s="128">
        <v>1.25</v>
      </c>
      <c r="AB90" s="128">
        <v>1.26</v>
      </c>
      <c r="AC90" s="128">
        <v>1.27</v>
      </c>
      <c r="AD90" s="128">
        <v>1.28</v>
      </c>
      <c r="AE90" s="128">
        <v>1.29</v>
      </c>
      <c r="AF90" s="128">
        <v>1.3</v>
      </c>
      <c r="AG90" s="128">
        <v>1.31</v>
      </c>
      <c r="AH90" s="128">
        <v>1.32</v>
      </c>
      <c r="AI90" s="128">
        <v>1.33</v>
      </c>
      <c r="AJ90" s="128">
        <v>1.34</v>
      </c>
      <c r="AK90" s="128">
        <v>1.35</v>
      </c>
      <c r="AL90" s="128">
        <v>1.36</v>
      </c>
      <c r="AM90" s="128">
        <v>1.37</v>
      </c>
      <c r="AN90" s="128">
        <v>1.38</v>
      </c>
      <c r="AO90" s="128">
        <v>1.39</v>
      </c>
      <c r="AP90" s="128">
        <v>1.4</v>
      </c>
      <c r="AQ90" s="128">
        <v>1.41</v>
      </c>
      <c r="AR90" s="128">
        <v>1.42</v>
      </c>
      <c r="AS90" s="128">
        <v>1.43</v>
      </c>
      <c r="AT90" s="128">
        <v>1.44</v>
      </c>
      <c r="AU90" s="128">
        <v>1.45</v>
      </c>
      <c r="AV90" s="128">
        <v>1.46</v>
      </c>
      <c r="AW90" s="128">
        <v>1.47</v>
      </c>
      <c r="AX90" s="128">
        <v>1.48</v>
      </c>
      <c r="AY90" s="128">
        <v>1.49</v>
      </c>
      <c r="AZ90" s="128">
        <v>1.5</v>
      </c>
      <c r="BA90" s="128">
        <v>1.51</v>
      </c>
      <c r="BB90" s="128">
        <v>1.52</v>
      </c>
      <c r="BC90" s="128">
        <v>1.53</v>
      </c>
      <c r="BD90" s="128">
        <v>1.54</v>
      </c>
      <c r="BE90" s="128">
        <v>1.55</v>
      </c>
      <c r="BF90" s="128">
        <v>1.56</v>
      </c>
      <c r="BG90" s="128">
        <v>1.57</v>
      </c>
      <c r="BH90" s="128">
        <v>1.58</v>
      </c>
      <c r="BI90" s="128">
        <v>1.59</v>
      </c>
      <c r="BJ90" s="128">
        <v>1.6</v>
      </c>
      <c r="BK90" s="128">
        <v>1.61</v>
      </c>
      <c r="BL90" s="128">
        <v>1.62</v>
      </c>
      <c r="BM90" s="128">
        <v>1.63</v>
      </c>
      <c r="BN90" s="128">
        <v>1.64</v>
      </c>
      <c r="BO90" s="128">
        <v>1.65</v>
      </c>
      <c r="BP90" s="128">
        <v>1.66</v>
      </c>
      <c r="BQ90" s="128">
        <v>1.67</v>
      </c>
      <c r="BR90" s="128">
        <v>1.68</v>
      </c>
      <c r="BS90" s="128">
        <v>1.69</v>
      </c>
      <c r="BT90" s="128">
        <v>1.7</v>
      </c>
      <c r="BU90" s="128">
        <v>1.71</v>
      </c>
      <c r="BV90" s="128">
        <v>1.72</v>
      </c>
      <c r="BW90" s="128">
        <v>1.73</v>
      </c>
      <c r="BX90" s="128">
        <v>1.74</v>
      </c>
      <c r="BY90" s="128">
        <v>1.75</v>
      </c>
      <c r="BZ90" s="128">
        <v>1.76</v>
      </c>
      <c r="CA90" s="128">
        <v>1.77</v>
      </c>
      <c r="CB90" s="128">
        <v>1.78</v>
      </c>
      <c r="CC90" s="128">
        <v>1.79</v>
      </c>
      <c r="CD90" s="128">
        <v>1.8</v>
      </c>
      <c r="CE90" s="128">
        <v>1.81</v>
      </c>
      <c r="CF90" s="128">
        <v>1.82</v>
      </c>
      <c r="CG90" s="128">
        <v>1.83</v>
      </c>
      <c r="CH90" s="128">
        <v>1.84</v>
      </c>
      <c r="CI90" s="128">
        <v>1.85</v>
      </c>
      <c r="CJ90" s="128">
        <v>1.86</v>
      </c>
      <c r="CK90" s="128">
        <v>1.87</v>
      </c>
      <c r="CL90" s="128">
        <v>1.87</v>
      </c>
      <c r="CM90" s="128">
        <v>1.87</v>
      </c>
      <c r="CN90" s="128">
        <v>1.87</v>
      </c>
      <c r="CO90" s="128">
        <v>1.87</v>
      </c>
      <c r="CP90" s="128">
        <v>1.87</v>
      </c>
      <c r="CQ90" s="128">
        <v>1.87</v>
      </c>
      <c r="CR90" s="128">
        <v>1.87</v>
      </c>
      <c r="CS90" s="128">
        <v>1.87</v>
      </c>
      <c r="CT90" s="128">
        <v>1.87</v>
      </c>
      <c r="CU90" s="128">
        <v>1.87</v>
      </c>
      <c r="CV90" s="128">
        <v>1.87</v>
      </c>
      <c r="CW90" s="128">
        <v>1.87</v>
      </c>
      <c r="CX90" s="128">
        <v>1.87</v>
      </c>
      <c r="CZ90" s="126">
        <f>SUMIF(MatrixF1[[1]:[2]],MatrixF1[[#This Row],[Столбец1]])/MatrixF1[[#This Row],[Столбец1]]</f>
        <v>26.999999999999993</v>
      </c>
    </row>
    <row r="91" spans="1:104" ht="21" customHeight="1" x14ac:dyDescent="0.25">
      <c r="A91" s="127">
        <v>1.88</v>
      </c>
      <c r="B91" s="128">
        <v>1</v>
      </c>
      <c r="C91" s="128">
        <v>1.01</v>
      </c>
      <c r="D91" s="128">
        <v>1.02</v>
      </c>
      <c r="E91" s="128">
        <v>1.03</v>
      </c>
      <c r="F91" s="128">
        <v>1.04</v>
      </c>
      <c r="G91" s="128">
        <v>1.05</v>
      </c>
      <c r="H91" s="128">
        <v>1.06</v>
      </c>
      <c r="I91" s="128">
        <v>1.07</v>
      </c>
      <c r="J91" s="128">
        <v>1.08</v>
      </c>
      <c r="K91" s="128">
        <v>1.0900000000000001</v>
      </c>
      <c r="L91" s="128">
        <v>1.1000000000000001</v>
      </c>
      <c r="M91" s="128">
        <v>1.1100000000000001</v>
      </c>
      <c r="N91" s="128">
        <v>1.1200000000000001</v>
      </c>
      <c r="O91" s="128">
        <v>1.1299999999999999</v>
      </c>
      <c r="P91" s="128">
        <v>1.1399999999999999</v>
      </c>
      <c r="Q91" s="128">
        <v>1.1499999999999999</v>
      </c>
      <c r="R91" s="128">
        <v>1.1599999999999999</v>
      </c>
      <c r="S91" s="128">
        <v>1.17</v>
      </c>
      <c r="T91" s="128">
        <v>1.18</v>
      </c>
      <c r="U91" s="128">
        <v>1.19</v>
      </c>
      <c r="V91" s="128">
        <v>1.2</v>
      </c>
      <c r="W91" s="128">
        <v>1.21</v>
      </c>
      <c r="X91" s="128">
        <v>1.22</v>
      </c>
      <c r="Y91" s="128">
        <v>1.23</v>
      </c>
      <c r="Z91" s="128">
        <v>1.24</v>
      </c>
      <c r="AA91" s="128">
        <v>1.25</v>
      </c>
      <c r="AB91" s="128">
        <v>1.26</v>
      </c>
      <c r="AC91" s="128">
        <v>1.27</v>
      </c>
      <c r="AD91" s="128">
        <v>1.28</v>
      </c>
      <c r="AE91" s="128">
        <v>1.29</v>
      </c>
      <c r="AF91" s="128">
        <v>1.3</v>
      </c>
      <c r="AG91" s="128">
        <v>1.31</v>
      </c>
      <c r="AH91" s="128">
        <v>1.32</v>
      </c>
      <c r="AI91" s="128">
        <v>1.33</v>
      </c>
      <c r="AJ91" s="128">
        <v>1.34</v>
      </c>
      <c r="AK91" s="128">
        <v>1.35</v>
      </c>
      <c r="AL91" s="128">
        <v>1.36</v>
      </c>
      <c r="AM91" s="128">
        <v>1.37</v>
      </c>
      <c r="AN91" s="128">
        <v>1.38</v>
      </c>
      <c r="AO91" s="128">
        <v>1.39</v>
      </c>
      <c r="AP91" s="128">
        <v>1.4</v>
      </c>
      <c r="AQ91" s="128">
        <v>1.41</v>
      </c>
      <c r="AR91" s="128">
        <v>1.42</v>
      </c>
      <c r="AS91" s="128">
        <v>1.43</v>
      </c>
      <c r="AT91" s="128">
        <v>1.44</v>
      </c>
      <c r="AU91" s="128">
        <v>1.45</v>
      </c>
      <c r="AV91" s="128">
        <v>1.46</v>
      </c>
      <c r="AW91" s="128">
        <v>1.47</v>
      </c>
      <c r="AX91" s="128">
        <v>1.48</v>
      </c>
      <c r="AY91" s="128">
        <v>1.49</v>
      </c>
      <c r="AZ91" s="128">
        <v>1.5</v>
      </c>
      <c r="BA91" s="128">
        <v>1.51</v>
      </c>
      <c r="BB91" s="128">
        <v>1.52</v>
      </c>
      <c r="BC91" s="128">
        <v>1.53</v>
      </c>
      <c r="BD91" s="128">
        <v>1.54</v>
      </c>
      <c r="BE91" s="128">
        <v>1.55</v>
      </c>
      <c r="BF91" s="128">
        <v>1.56</v>
      </c>
      <c r="BG91" s="128">
        <v>1.57</v>
      </c>
      <c r="BH91" s="128">
        <v>1.58</v>
      </c>
      <c r="BI91" s="128">
        <v>1.59</v>
      </c>
      <c r="BJ91" s="128">
        <v>1.6</v>
      </c>
      <c r="BK91" s="128">
        <v>1.61</v>
      </c>
      <c r="BL91" s="128">
        <v>1.62</v>
      </c>
      <c r="BM91" s="128">
        <v>1.63</v>
      </c>
      <c r="BN91" s="128">
        <v>1.64</v>
      </c>
      <c r="BO91" s="128">
        <v>1.65</v>
      </c>
      <c r="BP91" s="128">
        <v>1.66</v>
      </c>
      <c r="BQ91" s="128">
        <v>1.67</v>
      </c>
      <c r="BR91" s="128">
        <v>1.68</v>
      </c>
      <c r="BS91" s="128">
        <v>1.69</v>
      </c>
      <c r="BT91" s="128">
        <v>1.7</v>
      </c>
      <c r="BU91" s="128">
        <v>1.71</v>
      </c>
      <c r="BV91" s="128">
        <v>1.72</v>
      </c>
      <c r="BW91" s="128">
        <v>1.73</v>
      </c>
      <c r="BX91" s="128">
        <v>1.74</v>
      </c>
      <c r="BY91" s="128">
        <v>1.75</v>
      </c>
      <c r="BZ91" s="128">
        <v>1.76</v>
      </c>
      <c r="CA91" s="128">
        <v>1.77</v>
      </c>
      <c r="CB91" s="128">
        <v>1.78</v>
      </c>
      <c r="CC91" s="128">
        <v>1.79</v>
      </c>
      <c r="CD91" s="128">
        <v>1.8</v>
      </c>
      <c r="CE91" s="128">
        <v>1.81</v>
      </c>
      <c r="CF91" s="128">
        <v>1.82</v>
      </c>
      <c r="CG91" s="128">
        <v>1.83</v>
      </c>
      <c r="CH91" s="128">
        <v>1.84</v>
      </c>
      <c r="CI91" s="128">
        <v>1.85</v>
      </c>
      <c r="CJ91" s="128">
        <v>1.86</v>
      </c>
      <c r="CK91" s="128">
        <v>1.87</v>
      </c>
      <c r="CL91" s="128">
        <v>1.88</v>
      </c>
      <c r="CM91" s="128">
        <v>1.88</v>
      </c>
      <c r="CN91" s="128">
        <v>1.88</v>
      </c>
      <c r="CO91" s="128">
        <v>1.88</v>
      </c>
      <c r="CP91" s="128">
        <v>1.88</v>
      </c>
      <c r="CQ91" s="128">
        <v>1.88</v>
      </c>
      <c r="CR91" s="128">
        <v>1.88</v>
      </c>
      <c r="CS91" s="128">
        <v>1.88</v>
      </c>
      <c r="CT91" s="128">
        <v>1.88</v>
      </c>
      <c r="CU91" s="128">
        <v>1.88</v>
      </c>
      <c r="CV91" s="128">
        <v>1.88</v>
      </c>
      <c r="CW91" s="128">
        <v>1.88</v>
      </c>
      <c r="CX91" s="128">
        <v>1.88</v>
      </c>
      <c r="CZ91" s="126">
        <f>SUMIF(MatrixF1[[1]:[2]],MatrixF1[[#This Row],[Столбец1]])/MatrixF1[[#This Row],[Столбец1]]</f>
        <v>25.000000000000004</v>
      </c>
    </row>
    <row r="92" spans="1:104" ht="21" customHeight="1" x14ac:dyDescent="0.25">
      <c r="A92" s="127">
        <v>1.89</v>
      </c>
      <c r="B92" s="128">
        <v>1</v>
      </c>
      <c r="C92" s="128">
        <v>1.01</v>
      </c>
      <c r="D92" s="128">
        <v>1.02</v>
      </c>
      <c r="E92" s="128">
        <v>1.03</v>
      </c>
      <c r="F92" s="128">
        <v>1.04</v>
      </c>
      <c r="G92" s="128">
        <v>1.05</v>
      </c>
      <c r="H92" s="128">
        <v>1.06</v>
      </c>
      <c r="I92" s="128">
        <v>1.07</v>
      </c>
      <c r="J92" s="128">
        <v>1.08</v>
      </c>
      <c r="K92" s="128">
        <v>1.0900000000000001</v>
      </c>
      <c r="L92" s="128">
        <v>1.1000000000000001</v>
      </c>
      <c r="M92" s="128">
        <v>1.1100000000000001</v>
      </c>
      <c r="N92" s="128">
        <v>1.1200000000000001</v>
      </c>
      <c r="O92" s="128">
        <v>1.1299999999999999</v>
      </c>
      <c r="P92" s="128">
        <v>1.1399999999999999</v>
      </c>
      <c r="Q92" s="128">
        <v>1.1499999999999999</v>
      </c>
      <c r="R92" s="128">
        <v>1.1599999999999999</v>
      </c>
      <c r="S92" s="128">
        <v>1.17</v>
      </c>
      <c r="T92" s="128">
        <v>1.18</v>
      </c>
      <c r="U92" s="128">
        <v>1.19</v>
      </c>
      <c r="V92" s="128">
        <v>1.2</v>
      </c>
      <c r="W92" s="128">
        <v>1.21</v>
      </c>
      <c r="X92" s="128">
        <v>1.22</v>
      </c>
      <c r="Y92" s="128">
        <v>1.23</v>
      </c>
      <c r="Z92" s="128">
        <v>1.24</v>
      </c>
      <c r="AA92" s="128">
        <v>1.25</v>
      </c>
      <c r="AB92" s="128">
        <v>1.26</v>
      </c>
      <c r="AC92" s="128">
        <v>1.27</v>
      </c>
      <c r="AD92" s="128">
        <v>1.28</v>
      </c>
      <c r="AE92" s="128">
        <v>1.29</v>
      </c>
      <c r="AF92" s="128">
        <v>1.3</v>
      </c>
      <c r="AG92" s="128">
        <v>1.31</v>
      </c>
      <c r="AH92" s="128">
        <v>1.32</v>
      </c>
      <c r="AI92" s="128">
        <v>1.33</v>
      </c>
      <c r="AJ92" s="128">
        <v>1.34</v>
      </c>
      <c r="AK92" s="128">
        <v>1.35</v>
      </c>
      <c r="AL92" s="128">
        <v>1.36</v>
      </c>
      <c r="AM92" s="128">
        <v>1.37</v>
      </c>
      <c r="AN92" s="128">
        <v>1.38</v>
      </c>
      <c r="AO92" s="128">
        <v>1.39</v>
      </c>
      <c r="AP92" s="128">
        <v>1.4</v>
      </c>
      <c r="AQ92" s="128">
        <v>1.41</v>
      </c>
      <c r="AR92" s="128">
        <v>1.42</v>
      </c>
      <c r="AS92" s="128">
        <v>1.43</v>
      </c>
      <c r="AT92" s="128">
        <v>1.44</v>
      </c>
      <c r="AU92" s="128">
        <v>1.45</v>
      </c>
      <c r="AV92" s="128">
        <v>1.46</v>
      </c>
      <c r="AW92" s="128">
        <v>1.47</v>
      </c>
      <c r="AX92" s="128">
        <v>1.48</v>
      </c>
      <c r="AY92" s="128">
        <v>1.49</v>
      </c>
      <c r="AZ92" s="128">
        <v>1.5</v>
      </c>
      <c r="BA92" s="128">
        <v>1.51</v>
      </c>
      <c r="BB92" s="128">
        <v>1.52</v>
      </c>
      <c r="BC92" s="128">
        <v>1.53</v>
      </c>
      <c r="BD92" s="128">
        <v>1.54</v>
      </c>
      <c r="BE92" s="128">
        <v>1.55</v>
      </c>
      <c r="BF92" s="128">
        <v>1.56</v>
      </c>
      <c r="BG92" s="128">
        <v>1.57</v>
      </c>
      <c r="BH92" s="128">
        <v>1.58</v>
      </c>
      <c r="BI92" s="128">
        <v>1.59</v>
      </c>
      <c r="BJ92" s="128">
        <v>1.6</v>
      </c>
      <c r="BK92" s="128">
        <v>1.61</v>
      </c>
      <c r="BL92" s="128">
        <v>1.62</v>
      </c>
      <c r="BM92" s="128">
        <v>1.63</v>
      </c>
      <c r="BN92" s="128">
        <v>1.64</v>
      </c>
      <c r="BO92" s="128">
        <v>1.65</v>
      </c>
      <c r="BP92" s="128">
        <v>1.66</v>
      </c>
      <c r="BQ92" s="128">
        <v>1.67</v>
      </c>
      <c r="BR92" s="128">
        <v>1.68</v>
      </c>
      <c r="BS92" s="128">
        <v>1.69</v>
      </c>
      <c r="BT92" s="128">
        <v>1.7</v>
      </c>
      <c r="BU92" s="128">
        <v>1.71</v>
      </c>
      <c r="BV92" s="128">
        <v>1.72</v>
      </c>
      <c r="BW92" s="128">
        <v>1.73</v>
      </c>
      <c r="BX92" s="128">
        <v>1.74</v>
      </c>
      <c r="BY92" s="128">
        <v>1.75</v>
      </c>
      <c r="BZ92" s="128">
        <v>1.76</v>
      </c>
      <c r="CA92" s="128">
        <v>1.77</v>
      </c>
      <c r="CB92" s="128">
        <v>1.78</v>
      </c>
      <c r="CC92" s="128">
        <v>1.79</v>
      </c>
      <c r="CD92" s="128">
        <v>1.8</v>
      </c>
      <c r="CE92" s="128">
        <v>1.81</v>
      </c>
      <c r="CF92" s="128">
        <v>1.82</v>
      </c>
      <c r="CG92" s="128">
        <v>1.83</v>
      </c>
      <c r="CH92" s="128">
        <v>1.84</v>
      </c>
      <c r="CI92" s="128">
        <v>1.85</v>
      </c>
      <c r="CJ92" s="128">
        <v>1.86</v>
      </c>
      <c r="CK92" s="128">
        <v>1.87</v>
      </c>
      <c r="CL92" s="128">
        <v>1.88</v>
      </c>
      <c r="CM92" s="128">
        <v>1.89</v>
      </c>
      <c r="CN92" s="128">
        <v>1.89</v>
      </c>
      <c r="CO92" s="128">
        <v>1.89</v>
      </c>
      <c r="CP92" s="128">
        <v>1.89</v>
      </c>
      <c r="CQ92" s="128">
        <v>1.89</v>
      </c>
      <c r="CR92" s="128">
        <v>1.89</v>
      </c>
      <c r="CS92" s="128">
        <v>1.89</v>
      </c>
      <c r="CT92" s="128">
        <v>1.89</v>
      </c>
      <c r="CU92" s="128">
        <v>1.89</v>
      </c>
      <c r="CV92" s="128">
        <v>1.89</v>
      </c>
      <c r="CW92" s="128">
        <v>1.89</v>
      </c>
      <c r="CX92" s="128">
        <v>1.89</v>
      </c>
      <c r="CZ92" s="126">
        <f>SUMIF(MatrixF1[[1]:[2]],MatrixF1[[#This Row],[Столбец1]])/MatrixF1[[#This Row],[Столбец1]]</f>
        <v>23.000000000000004</v>
      </c>
    </row>
    <row r="93" spans="1:104" ht="21" customHeight="1" x14ac:dyDescent="0.25">
      <c r="A93" s="127">
        <v>1.9</v>
      </c>
      <c r="B93" s="128">
        <v>1</v>
      </c>
      <c r="C93" s="128">
        <v>1.01</v>
      </c>
      <c r="D93" s="128">
        <v>1.02</v>
      </c>
      <c r="E93" s="128">
        <v>1.03</v>
      </c>
      <c r="F93" s="128">
        <v>1.04</v>
      </c>
      <c r="G93" s="128">
        <v>1.05</v>
      </c>
      <c r="H93" s="128">
        <v>1.06</v>
      </c>
      <c r="I93" s="128">
        <v>1.07</v>
      </c>
      <c r="J93" s="128">
        <v>1.08</v>
      </c>
      <c r="K93" s="128">
        <v>1.0900000000000001</v>
      </c>
      <c r="L93" s="128">
        <v>1.1000000000000001</v>
      </c>
      <c r="M93" s="128">
        <v>1.1100000000000001</v>
      </c>
      <c r="N93" s="128">
        <v>1.1200000000000001</v>
      </c>
      <c r="O93" s="128">
        <v>1.1299999999999999</v>
      </c>
      <c r="P93" s="128">
        <v>1.1399999999999999</v>
      </c>
      <c r="Q93" s="128">
        <v>1.1499999999999999</v>
      </c>
      <c r="R93" s="128">
        <v>1.1599999999999999</v>
      </c>
      <c r="S93" s="128">
        <v>1.17</v>
      </c>
      <c r="T93" s="128">
        <v>1.18</v>
      </c>
      <c r="U93" s="128">
        <v>1.19</v>
      </c>
      <c r="V93" s="128">
        <v>1.2</v>
      </c>
      <c r="W93" s="128">
        <v>1.21</v>
      </c>
      <c r="X93" s="128">
        <v>1.22</v>
      </c>
      <c r="Y93" s="128">
        <v>1.23</v>
      </c>
      <c r="Z93" s="128">
        <v>1.24</v>
      </c>
      <c r="AA93" s="128">
        <v>1.25</v>
      </c>
      <c r="AB93" s="128">
        <v>1.26</v>
      </c>
      <c r="AC93" s="128">
        <v>1.27</v>
      </c>
      <c r="AD93" s="128">
        <v>1.28</v>
      </c>
      <c r="AE93" s="128">
        <v>1.29</v>
      </c>
      <c r="AF93" s="128">
        <v>1.3</v>
      </c>
      <c r="AG93" s="128">
        <v>1.31</v>
      </c>
      <c r="AH93" s="128">
        <v>1.32</v>
      </c>
      <c r="AI93" s="128">
        <v>1.33</v>
      </c>
      <c r="AJ93" s="128">
        <v>1.34</v>
      </c>
      <c r="AK93" s="128">
        <v>1.35</v>
      </c>
      <c r="AL93" s="128">
        <v>1.36</v>
      </c>
      <c r="AM93" s="128">
        <v>1.37</v>
      </c>
      <c r="AN93" s="128">
        <v>1.38</v>
      </c>
      <c r="AO93" s="128">
        <v>1.39</v>
      </c>
      <c r="AP93" s="128">
        <v>1.4</v>
      </c>
      <c r="AQ93" s="128">
        <v>1.41</v>
      </c>
      <c r="AR93" s="128">
        <v>1.42</v>
      </c>
      <c r="AS93" s="128">
        <v>1.43</v>
      </c>
      <c r="AT93" s="128">
        <v>1.44</v>
      </c>
      <c r="AU93" s="128">
        <v>1.45</v>
      </c>
      <c r="AV93" s="128">
        <v>1.46</v>
      </c>
      <c r="AW93" s="128">
        <v>1.47</v>
      </c>
      <c r="AX93" s="128">
        <v>1.48</v>
      </c>
      <c r="AY93" s="128">
        <v>1.49</v>
      </c>
      <c r="AZ93" s="128">
        <v>1.5</v>
      </c>
      <c r="BA93" s="128">
        <v>1.51</v>
      </c>
      <c r="BB93" s="128">
        <v>1.52</v>
      </c>
      <c r="BC93" s="128">
        <v>1.53</v>
      </c>
      <c r="BD93" s="128">
        <v>1.54</v>
      </c>
      <c r="BE93" s="128">
        <v>1.55</v>
      </c>
      <c r="BF93" s="128">
        <v>1.56</v>
      </c>
      <c r="BG93" s="128">
        <v>1.57</v>
      </c>
      <c r="BH93" s="128">
        <v>1.58</v>
      </c>
      <c r="BI93" s="128">
        <v>1.59</v>
      </c>
      <c r="BJ93" s="128">
        <v>1.6</v>
      </c>
      <c r="BK93" s="128">
        <v>1.61</v>
      </c>
      <c r="BL93" s="128">
        <v>1.62</v>
      </c>
      <c r="BM93" s="128">
        <v>1.63</v>
      </c>
      <c r="BN93" s="128">
        <v>1.64</v>
      </c>
      <c r="BO93" s="128">
        <v>1.65</v>
      </c>
      <c r="BP93" s="128">
        <v>1.66</v>
      </c>
      <c r="BQ93" s="128">
        <v>1.67</v>
      </c>
      <c r="BR93" s="128">
        <v>1.68</v>
      </c>
      <c r="BS93" s="128">
        <v>1.69</v>
      </c>
      <c r="BT93" s="128">
        <v>1.7</v>
      </c>
      <c r="BU93" s="128">
        <v>1.71</v>
      </c>
      <c r="BV93" s="128">
        <v>1.72</v>
      </c>
      <c r="BW93" s="128">
        <v>1.73</v>
      </c>
      <c r="BX93" s="128">
        <v>1.74</v>
      </c>
      <c r="BY93" s="128">
        <v>1.75</v>
      </c>
      <c r="BZ93" s="128">
        <v>1.76</v>
      </c>
      <c r="CA93" s="128">
        <v>1.77</v>
      </c>
      <c r="CB93" s="128">
        <v>1.78</v>
      </c>
      <c r="CC93" s="128">
        <v>1.79</v>
      </c>
      <c r="CD93" s="128">
        <v>1.8</v>
      </c>
      <c r="CE93" s="128">
        <v>1.81</v>
      </c>
      <c r="CF93" s="128">
        <v>1.82</v>
      </c>
      <c r="CG93" s="128">
        <v>1.83</v>
      </c>
      <c r="CH93" s="128">
        <v>1.84</v>
      </c>
      <c r="CI93" s="128">
        <v>1.85</v>
      </c>
      <c r="CJ93" s="128">
        <v>1.86</v>
      </c>
      <c r="CK93" s="128">
        <v>1.87</v>
      </c>
      <c r="CL93" s="128">
        <v>1.88</v>
      </c>
      <c r="CM93" s="128">
        <v>1.89</v>
      </c>
      <c r="CN93" s="128">
        <v>1.9</v>
      </c>
      <c r="CO93" s="128">
        <v>1.9</v>
      </c>
      <c r="CP93" s="128">
        <v>1.9</v>
      </c>
      <c r="CQ93" s="128">
        <v>1.9</v>
      </c>
      <c r="CR93" s="128">
        <v>1.9</v>
      </c>
      <c r="CS93" s="128">
        <v>1.9</v>
      </c>
      <c r="CT93" s="128">
        <v>1.9</v>
      </c>
      <c r="CU93" s="128">
        <v>1.9</v>
      </c>
      <c r="CV93" s="128">
        <v>1.9</v>
      </c>
      <c r="CW93" s="128">
        <v>1.9</v>
      </c>
      <c r="CX93" s="128">
        <v>1.9</v>
      </c>
      <c r="CZ93" s="126">
        <f>SUMIF(MatrixF1[[1]:[2]],MatrixF1[[#This Row],[Столбец1]])/MatrixF1[[#This Row],[Столбец1]]</f>
        <v>20.999999999999993</v>
      </c>
    </row>
    <row r="94" spans="1:104" ht="21" customHeight="1" x14ac:dyDescent="0.25">
      <c r="A94" s="127">
        <v>1.91</v>
      </c>
      <c r="B94" s="128">
        <v>1</v>
      </c>
      <c r="C94" s="128">
        <v>1.01</v>
      </c>
      <c r="D94" s="128">
        <v>1.02</v>
      </c>
      <c r="E94" s="128">
        <v>1.03</v>
      </c>
      <c r="F94" s="128">
        <v>1.04</v>
      </c>
      <c r="G94" s="128">
        <v>1.05</v>
      </c>
      <c r="H94" s="128">
        <v>1.06</v>
      </c>
      <c r="I94" s="128">
        <v>1.07</v>
      </c>
      <c r="J94" s="128">
        <v>1.08</v>
      </c>
      <c r="K94" s="128">
        <v>1.0900000000000001</v>
      </c>
      <c r="L94" s="128">
        <v>1.1000000000000001</v>
      </c>
      <c r="M94" s="128">
        <v>1.1100000000000001</v>
      </c>
      <c r="N94" s="128">
        <v>1.1200000000000001</v>
      </c>
      <c r="O94" s="128">
        <v>1.1299999999999999</v>
      </c>
      <c r="P94" s="128">
        <v>1.1399999999999999</v>
      </c>
      <c r="Q94" s="128">
        <v>1.1499999999999999</v>
      </c>
      <c r="R94" s="128">
        <v>1.1599999999999999</v>
      </c>
      <c r="S94" s="128">
        <v>1.17</v>
      </c>
      <c r="T94" s="128">
        <v>1.18</v>
      </c>
      <c r="U94" s="128">
        <v>1.19</v>
      </c>
      <c r="V94" s="128">
        <v>1.2</v>
      </c>
      <c r="W94" s="128">
        <v>1.21</v>
      </c>
      <c r="X94" s="128">
        <v>1.22</v>
      </c>
      <c r="Y94" s="128">
        <v>1.23</v>
      </c>
      <c r="Z94" s="128">
        <v>1.24</v>
      </c>
      <c r="AA94" s="128">
        <v>1.25</v>
      </c>
      <c r="AB94" s="128">
        <v>1.26</v>
      </c>
      <c r="AC94" s="128">
        <v>1.27</v>
      </c>
      <c r="AD94" s="128">
        <v>1.28</v>
      </c>
      <c r="AE94" s="128">
        <v>1.29</v>
      </c>
      <c r="AF94" s="128">
        <v>1.3</v>
      </c>
      <c r="AG94" s="128">
        <v>1.31</v>
      </c>
      <c r="AH94" s="128">
        <v>1.32</v>
      </c>
      <c r="AI94" s="128">
        <v>1.33</v>
      </c>
      <c r="AJ94" s="128">
        <v>1.34</v>
      </c>
      <c r="AK94" s="128">
        <v>1.35</v>
      </c>
      <c r="AL94" s="128">
        <v>1.36</v>
      </c>
      <c r="AM94" s="128">
        <v>1.37</v>
      </c>
      <c r="AN94" s="128">
        <v>1.38</v>
      </c>
      <c r="AO94" s="128">
        <v>1.39</v>
      </c>
      <c r="AP94" s="128">
        <v>1.4</v>
      </c>
      <c r="AQ94" s="128">
        <v>1.41</v>
      </c>
      <c r="AR94" s="128">
        <v>1.42</v>
      </c>
      <c r="AS94" s="128">
        <v>1.43</v>
      </c>
      <c r="AT94" s="128">
        <v>1.44</v>
      </c>
      <c r="AU94" s="128">
        <v>1.45</v>
      </c>
      <c r="AV94" s="128">
        <v>1.46</v>
      </c>
      <c r="AW94" s="128">
        <v>1.47</v>
      </c>
      <c r="AX94" s="128">
        <v>1.48</v>
      </c>
      <c r="AY94" s="128">
        <v>1.49</v>
      </c>
      <c r="AZ94" s="128">
        <v>1.5</v>
      </c>
      <c r="BA94" s="128">
        <v>1.51</v>
      </c>
      <c r="BB94" s="128">
        <v>1.52</v>
      </c>
      <c r="BC94" s="128">
        <v>1.53</v>
      </c>
      <c r="BD94" s="128">
        <v>1.54</v>
      </c>
      <c r="BE94" s="128">
        <v>1.55</v>
      </c>
      <c r="BF94" s="128">
        <v>1.56</v>
      </c>
      <c r="BG94" s="128">
        <v>1.57</v>
      </c>
      <c r="BH94" s="128">
        <v>1.58</v>
      </c>
      <c r="BI94" s="128">
        <v>1.59</v>
      </c>
      <c r="BJ94" s="128">
        <v>1.6</v>
      </c>
      <c r="BK94" s="128">
        <v>1.61</v>
      </c>
      <c r="BL94" s="128">
        <v>1.62</v>
      </c>
      <c r="BM94" s="128">
        <v>1.63</v>
      </c>
      <c r="BN94" s="128">
        <v>1.64</v>
      </c>
      <c r="BO94" s="128">
        <v>1.65</v>
      </c>
      <c r="BP94" s="128">
        <v>1.66</v>
      </c>
      <c r="BQ94" s="128">
        <v>1.67</v>
      </c>
      <c r="BR94" s="128">
        <v>1.68</v>
      </c>
      <c r="BS94" s="128">
        <v>1.69</v>
      </c>
      <c r="BT94" s="128">
        <v>1.7</v>
      </c>
      <c r="BU94" s="128">
        <v>1.71</v>
      </c>
      <c r="BV94" s="128">
        <v>1.72</v>
      </c>
      <c r="BW94" s="128">
        <v>1.73</v>
      </c>
      <c r="BX94" s="128">
        <v>1.74</v>
      </c>
      <c r="BY94" s="128">
        <v>1.75</v>
      </c>
      <c r="BZ94" s="128">
        <v>1.76</v>
      </c>
      <c r="CA94" s="128">
        <v>1.77</v>
      </c>
      <c r="CB94" s="128">
        <v>1.78</v>
      </c>
      <c r="CC94" s="128">
        <v>1.79</v>
      </c>
      <c r="CD94" s="128">
        <v>1.8</v>
      </c>
      <c r="CE94" s="128">
        <v>1.81</v>
      </c>
      <c r="CF94" s="128">
        <v>1.82</v>
      </c>
      <c r="CG94" s="128">
        <v>1.83</v>
      </c>
      <c r="CH94" s="128">
        <v>1.84</v>
      </c>
      <c r="CI94" s="128">
        <v>1.85</v>
      </c>
      <c r="CJ94" s="128">
        <v>1.86</v>
      </c>
      <c r="CK94" s="128">
        <v>1.87</v>
      </c>
      <c r="CL94" s="128">
        <v>1.88</v>
      </c>
      <c r="CM94" s="128">
        <v>1.89</v>
      </c>
      <c r="CN94" s="128">
        <v>1.9</v>
      </c>
      <c r="CO94" s="128">
        <v>1.91</v>
      </c>
      <c r="CP94" s="128">
        <v>1.91</v>
      </c>
      <c r="CQ94" s="128">
        <v>1.91</v>
      </c>
      <c r="CR94" s="128">
        <v>1.91</v>
      </c>
      <c r="CS94" s="128">
        <v>1.91</v>
      </c>
      <c r="CT94" s="128">
        <v>1.91</v>
      </c>
      <c r="CU94" s="128">
        <v>1.91</v>
      </c>
      <c r="CV94" s="128">
        <v>1.91</v>
      </c>
      <c r="CW94" s="128">
        <v>1.91</v>
      </c>
      <c r="CX94" s="128">
        <v>1.91</v>
      </c>
      <c r="CZ94" s="126">
        <f>SUMIF(MatrixF1[[1]:[2]],MatrixF1[[#This Row],[Столбец1]])/MatrixF1[[#This Row],[Столбец1]]</f>
        <v>18.999999999999996</v>
      </c>
    </row>
    <row r="95" spans="1:104" ht="21" customHeight="1" x14ac:dyDescent="0.25">
      <c r="A95" s="127">
        <v>1.92</v>
      </c>
      <c r="B95" s="128">
        <v>1</v>
      </c>
      <c r="C95" s="128">
        <v>1.01</v>
      </c>
      <c r="D95" s="128">
        <v>1.02</v>
      </c>
      <c r="E95" s="128">
        <v>1.03</v>
      </c>
      <c r="F95" s="128">
        <v>1.04</v>
      </c>
      <c r="G95" s="128">
        <v>1.05</v>
      </c>
      <c r="H95" s="128">
        <v>1.06</v>
      </c>
      <c r="I95" s="128">
        <v>1.07</v>
      </c>
      <c r="J95" s="128">
        <v>1.08</v>
      </c>
      <c r="K95" s="128">
        <v>1.0900000000000001</v>
      </c>
      <c r="L95" s="128">
        <v>1.1000000000000001</v>
      </c>
      <c r="M95" s="128">
        <v>1.1100000000000001</v>
      </c>
      <c r="N95" s="128">
        <v>1.1200000000000001</v>
      </c>
      <c r="O95" s="128">
        <v>1.1299999999999999</v>
      </c>
      <c r="P95" s="128">
        <v>1.1399999999999999</v>
      </c>
      <c r="Q95" s="128">
        <v>1.1499999999999999</v>
      </c>
      <c r="R95" s="128">
        <v>1.1599999999999999</v>
      </c>
      <c r="S95" s="128">
        <v>1.17</v>
      </c>
      <c r="T95" s="128">
        <v>1.18</v>
      </c>
      <c r="U95" s="128">
        <v>1.19</v>
      </c>
      <c r="V95" s="128">
        <v>1.2</v>
      </c>
      <c r="W95" s="128">
        <v>1.21</v>
      </c>
      <c r="X95" s="128">
        <v>1.22</v>
      </c>
      <c r="Y95" s="128">
        <v>1.23</v>
      </c>
      <c r="Z95" s="128">
        <v>1.24</v>
      </c>
      <c r="AA95" s="128">
        <v>1.25</v>
      </c>
      <c r="AB95" s="128">
        <v>1.26</v>
      </c>
      <c r="AC95" s="128">
        <v>1.27</v>
      </c>
      <c r="AD95" s="128">
        <v>1.28</v>
      </c>
      <c r="AE95" s="128">
        <v>1.29</v>
      </c>
      <c r="AF95" s="128">
        <v>1.3</v>
      </c>
      <c r="AG95" s="128">
        <v>1.31</v>
      </c>
      <c r="AH95" s="128">
        <v>1.32</v>
      </c>
      <c r="AI95" s="128">
        <v>1.33</v>
      </c>
      <c r="AJ95" s="128">
        <v>1.34</v>
      </c>
      <c r="AK95" s="128">
        <v>1.35</v>
      </c>
      <c r="AL95" s="128">
        <v>1.36</v>
      </c>
      <c r="AM95" s="128">
        <v>1.37</v>
      </c>
      <c r="AN95" s="128">
        <v>1.38</v>
      </c>
      <c r="AO95" s="128">
        <v>1.39</v>
      </c>
      <c r="AP95" s="128">
        <v>1.4</v>
      </c>
      <c r="AQ95" s="128">
        <v>1.41</v>
      </c>
      <c r="AR95" s="128">
        <v>1.42</v>
      </c>
      <c r="AS95" s="128">
        <v>1.43</v>
      </c>
      <c r="AT95" s="128">
        <v>1.44</v>
      </c>
      <c r="AU95" s="128">
        <v>1.45</v>
      </c>
      <c r="AV95" s="128">
        <v>1.46</v>
      </c>
      <c r="AW95" s="128">
        <v>1.47</v>
      </c>
      <c r="AX95" s="128">
        <v>1.48</v>
      </c>
      <c r="AY95" s="128">
        <v>1.49</v>
      </c>
      <c r="AZ95" s="128">
        <v>1.5</v>
      </c>
      <c r="BA95" s="128">
        <v>1.51</v>
      </c>
      <c r="BB95" s="128">
        <v>1.52</v>
      </c>
      <c r="BC95" s="128">
        <v>1.53</v>
      </c>
      <c r="BD95" s="128">
        <v>1.54</v>
      </c>
      <c r="BE95" s="128">
        <v>1.55</v>
      </c>
      <c r="BF95" s="128">
        <v>1.56</v>
      </c>
      <c r="BG95" s="128">
        <v>1.57</v>
      </c>
      <c r="BH95" s="128">
        <v>1.58</v>
      </c>
      <c r="BI95" s="128">
        <v>1.59</v>
      </c>
      <c r="BJ95" s="128">
        <v>1.6</v>
      </c>
      <c r="BK95" s="128">
        <v>1.61</v>
      </c>
      <c r="BL95" s="128">
        <v>1.62</v>
      </c>
      <c r="BM95" s="128">
        <v>1.63</v>
      </c>
      <c r="BN95" s="128">
        <v>1.64</v>
      </c>
      <c r="BO95" s="128">
        <v>1.65</v>
      </c>
      <c r="BP95" s="128">
        <v>1.66</v>
      </c>
      <c r="BQ95" s="128">
        <v>1.67</v>
      </c>
      <c r="BR95" s="128">
        <v>1.68</v>
      </c>
      <c r="BS95" s="128">
        <v>1.69</v>
      </c>
      <c r="BT95" s="128">
        <v>1.7</v>
      </c>
      <c r="BU95" s="128">
        <v>1.71</v>
      </c>
      <c r="BV95" s="128">
        <v>1.72</v>
      </c>
      <c r="BW95" s="128">
        <v>1.73</v>
      </c>
      <c r="BX95" s="128">
        <v>1.74</v>
      </c>
      <c r="BY95" s="128">
        <v>1.75</v>
      </c>
      <c r="BZ95" s="128">
        <v>1.76</v>
      </c>
      <c r="CA95" s="128">
        <v>1.77</v>
      </c>
      <c r="CB95" s="128">
        <v>1.78</v>
      </c>
      <c r="CC95" s="128">
        <v>1.79</v>
      </c>
      <c r="CD95" s="128">
        <v>1.8</v>
      </c>
      <c r="CE95" s="128">
        <v>1.81</v>
      </c>
      <c r="CF95" s="128">
        <v>1.82</v>
      </c>
      <c r="CG95" s="128">
        <v>1.83</v>
      </c>
      <c r="CH95" s="128">
        <v>1.84</v>
      </c>
      <c r="CI95" s="128">
        <v>1.85</v>
      </c>
      <c r="CJ95" s="128">
        <v>1.86</v>
      </c>
      <c r="CK95" s="128">
        <v>1.87</v>
      </c>
      <c r="CL95" s="128">
        <v>1.88</v>
      </c>
      <c r="CM95" s="128">
        <v>1.89</v>
      </c>
      <c r="CN95" s="128">
        <v>1.9</v>
      </c>
      <c r="CO95" s="128">
        <v>1.91</v>
      </c>
      <c r="CP95" s="128">
        <v>1.92</v>
      </c>
      <c r="CQ95" s="128">
        <v>1.92</v>
      </c>
      <c r="CR95" s="128">
        <v>1.92</v>
      </c>
      <c r="CS95" s="128">
        <v>1.92</v>
      </c>
      <c r="CT95" s="128">
        <v>1.92</v>
      </c>
      <c r="CU95" s="128">
        <v>1.92</v>
      </c>
      <c r="CV95" s="128">
        <v>1.92</v>
      </c>
      <c r="CW95" s="128">
        <v>1.92</v>
      </c>
      <c r="CX95" s="128">
        <v>1.92</v>
      </c>
      <c r="CZ95" s="126">
        <f>SUMIF(MatrixF1[[1]:[2]],MatrixF1[[#This Row],[Столбец1]])/MatrixF1[[#This Row],[Столбец1]]</f>
        <v>17.000000000000007</v>
      </c>
    </row>
    <row r="96" spans="1:104" ht="21" customHeight="1" x14ac:dyDescent="0.25">
      <c r="A96" s="127">
        <v>1.93</v>
      </c>
      <c r="B96" s="128">
        <v>1</v>
      </c>
      <c r="C96" s="128">
        <v>1.01</v>
      </c>
      <c r="D96" s="128">
        <v>1.02</v>
      </c>
      <c r="E96" s="128">
        <v>1.03</v>
      </c>
      <c r="F96" s="128">
        <v>1.04</v>
      </c>
      <c r="G96" s="128">
        <v>1.05</v>
      </c>
      <c r="H96" s="128">
        <v>1.06</v>
      </c>
      <c r="I96" s="128">
        <v>1.07</v>
      </c>
      <c r="J96" s="128">
        <v>1.08</v>
      </c>
      <c r="K96" s="128">
        <v>1.0900000000000001</v>
      </c>
      <c r="L96" s="128">
        <v>1.1000000000000001</v>
      </c>
      <c r="M96" s="128">
        <v>1.1100000000000001</v>
      </c>
      <c r="N96" s="128">
        <v>1.1200000000000001</v>
      </c>
      <c r="O96" s="128">
        <v>1.1299999999999999</v>
      </c>
      <c r="P96" s="128">
        <v>1.1399999999999999</v>
      </c>
      <c r="Q96" s="128">
        <v>1.1499999999999999</v>
      </c>
      <c r="R96" s="128">
        <v>1.1599999999999999</v>
      </c>
      <c r="S96" s="128">
        <v>1.17</v>
      </c>
      <c r="T96" s="128">
        <v>1.18</v>
      </c>
      <c r="U96" s="128">
        <v>1.19</v>
      </c>
      <c r="V96" s="128">
        <v>1.2</v>
      </c>
      <c r="W96" s="128">
        <v>1.21</v>
      </c>
      <c r="X96" s="128">
        <v>1.22</v>
      </c>
      <c r="Y96" s="128">
        <v>1.23</v>
      </c>
      <c r="Z96" s="128">
        <v>1.24</v>
      </c>
      <c r="AA96" s="128">
        <v>1.25</v>
      </c>
      <c r="AB96" s="128">
        <v>1.26</v>
      </c>
      <c r="AC96" s="128">
        <v>1.27</v>
      </c>
      <c r="AD96" s="128">
        <v>1.28</v>
      </c>
      <c r="AE96" s="128">
        <v>1.29</v>
      </c>
      <c r="AF96" s="128">
        <v>1.3</v>
      </c>
      <c r="AG96" s="128">
        <v>1.31</v>
      </c>
      <c r="AH96" s="128">
        <v>1.32</v>
      </c>
      <c r="AI96" s="128">
        <v>1.33</v>
      </c>
      <c r="AJ96" s="128">
        <v>1.34</v>
      </c>
      <c r="AK96" s="128">
        <v>1.35</v>
      </c>
      <c r="AL96" s="128">
        <v>1.36</v>
      </c>
      <c r="AM96" s="128">
        <v>1.37</v>
      </c>
      <c r="AN96" s="128">
        <v>1.38</v>
      </c>
      <c r="AO96" s="128">
        <v>1.39</v>
      </c>
      <c r="AP96" s="128">
        <v>1.4</v>
      </c>
      <c r="AQ96" s="128">
        <v>1.41</v>
      </c>
      <c r="AR96" s="128">
        <v>1.42</v>
      </c>
      <c r="AS96" s="128">
        <v>1.43</v>
      </c>
      <c r="AT96" s="128">
        <v>1.44</v>
      </c>
      <c r="AU96" s="128">
        <v>1.45</v>
      </c>
      <c r="AV96" s="128">
        <v>1.46</v>
      </c>
      <c r="AW96" s="128">
        <v>1.47</v>
      </c>
      <c r="AX96" s="128">
        <v>1.48</v>
      </c>
      <c r="AY96" s="128">
        <v>1.49</v>
      </c>
      <c r="AZ96" s="128">
        <v>1.5</v>
      </c>
      <c r="BA96" s="128">
        <v>1.51</v>
      </c>
      <c r="BB96" s="128">
        <v>1.52</v>
      </c>
      <c r="BC96" s="128">
        <v>1.53</v>
      </c>
      <c r="BD96" s="128">
        <v>1.54</v>
      </c>
      <c r="BE96" s="128">
        <v>1.55</v>
      </c>
      <c r="BF96" s="128">
        <v>1.56</v>
      </c>
      <c r="BG96" s="128">
        <v>1.57</v>
      </c>
      <c r="BH96" s="128">
        <v>1.58</v>
      </c>
      <c r="BI96" s="128">
        <v>1.59</v>
      </c>
      <c r="BJ96" s="128">
        <v>1.6</v>
      </c>
      <c r="BK96" s="128">
        <v>1.61</v>
      </c>
      <c r="BL96" s="128">
        <v>1.62</v>
      </c>
      <c r="BM96" s="128">
        <v>1.63</v>
      </c>
      <c r="BN96" s="128">
        <v>1.64</v>
      </c>
      <c r="BO96" s="128">
        <v>1.65</v>
      </c>
      <c r="BP96" s="128">
        <v>1.66</v>
      </c>
      <c r="BQ96" s="128">
        <v>1.67</v>
      </c>
      <c r="BR96" s="128">
        <v>1.68</v>
      </c>
      <c r="BS96" s="128">
        <v>1.69</v>
      </c>
      <c r="BT96" s="128">
        <v>1.7</v>
      </c>
      <c r="BU96" s="128">
        <v>1.71</v>
      </c>
      <c r="BV96" s="128">
        <v>1.72</v>
      </c>
      <c r="BW96" s="128">
        <v>1.73</v>
      </c>
      <c r="BX96" s="128">
        <v>1.74</v>
      </c>
      <c r="BY96" s="128">
        <v>1.75</v>
      </c>
      <c r="BZ96" s="128">
        <v>1.76</v>
      </c>
      <c r="CA96" s="128">
        <v>1.77</v>
      </c>
      <c r="CB96" s="128">
        <v>1.78</v>
      </c>
      <c r="CC96" s="128">
        <v>1.79</v>
      </c>
      <c r="CD96" s="128">
        <v>1.8</v>
      </c>
      <c r="CE96" s="128">
        <v>1.81</v>
      </c>
      <c r="CF96" s="128">
        <v>1.82</v>
      </c>
      <c r="CG96" s="128">
        <v>1.83</v>
      </c>
      <c r="CH96" s="128">
        <v>1.84</v>
      </c>
      <c r="CI96" s="128">
        <v>1.85</v>
      </c>
      <c r="CJ96" s="128">
        <v>1.86</v>
      </c>
      <c r="CK96" s="128">
        <v>1.87</v>
      </c>
      <c r="CL96" s="128">
        <v>1.88</v>
      </c>
      <c r="CM96" s="128">
        <v>1.89</v>
      </c>
      <c r="CN96" s="128">
        <v>1.9</v>
      </c>
      <c r="CO96" s="128">
        <v>1.91</v>
      </c>
      <c r="CP96" s="128">
        <v>1.92</v>
      </c>
      <c r="CQ96" s="128">
        <v>1.93</v>
      </c>
      <c r="CR96" s="128">
        <v>1.93</v>
      </c>
      <c r="CS96" s="128">
        <v>1.93</v>
      </c>
      <c r="CT96" s="128">
        <v>1.93</v>
      </c>
      <c r="CU96" s="128">
        <v>1.93</v>
      </c>
      <c r="CV96" s="128">
        <v>1.93</v>
      </c>
      <c r="CW96" s="128">
        <v>1.93</v>
      </c>
      <c r="CX96" s="128">
        <v>1.93</v>
      </c>
      <c r="CZ96" s="126">
        <f>SUMIF(MatrixF1[[1]:[2]],MatrixF1[[#This Row],[Столбец1]])/MatrixF1[[#This Row],[Столбец1]]</f>
        <v>15</v>
      </c>
    </row>
    <row r="97" spans="1:104" ht="21" customHeight="1" x14ac:dyDescent="0.25">
      <c r="A97" s="127">
        <v>1.94</v>
      </c>
      <c r="B97" s="128">
        <v>1</v>
      </c>
      <c r="C97" s="128">
        <v>1.01</v>
      </c>
      <c r="D97" s="128">
        <v>1.02</v>
      </c>
      <c r="E97" s="128">
        <v>1.03</v>
      </c>
      <c r="F97" s="128">
        <v>1.04</v>
      </c>
      <c r="G97" s="128">
        <v>1.05</v>
      </c>
      <c r="H97" s="128">
        <v>1.06</v>
      </c>
      <c r="I97" s="128">
        <v>1.07</v>
      </c>
      <c r="J97" s="128">
        <v>1.08</v>
      </c>
      <c r="K97" s="128">
        <v>1.0900000000000001</v>
      </c>
      <c r="L97" s="128">
        <v>1.1000000000000001</v>
      </c>
      <c r="M97" s="128">
        <v>1.1100000000000001</v>
      </c>
      <c r="N97" s="128">
        <v>1.1200000000000001</v>
      </c>
      <c r="O97" s="128">
        <v>1.1299999999999999</v>
      </c>
      <c r="P97" s="128">
        <v>1.1399999999999999</v>
      </c>
      <c r="Q97" s="128">
        <v>1.1499999999999999</v>
      </c>
      <c r="R97" s="128">
        <v>1.1599999999999999</v>
      </c>
      <c r="S97" s="128">
        <v>1.17</v>
      </c>
      <c r="T97" s="128">
        <v>1.18</v>
      </c>
      <c r="U97" s="128">
        <v>1.19</v>
      </c>
      <c r="V97" s="128">
        <v>1.2</v>
      </c>
      <c r="W97" s="128">
        <v>1.21</v>
      </c>
      <c r="X97" s="128">
        <v>1.22</v>
      </c>
      <c r="Y97" s="128">
        <v>1.23</v>
      </c>
      <c r="Z97" s="128">
        <v>1.24</v>
      </c>
      <c r="AA97" s="128">
        <v>1.25</v>
      </c>
      <c r="AB97" s="128">
        <v>1.26</v>
      </c>
      <c r="AC97" s="128">
        <v>1.27</v>
      </c>
      <c r="AD97" s="128">
        <v>1.28</v>
      </c>
      <c r="AE97" s="128">
        <v>1.29</v>
      </c>
      <c r="AF97" s="128">
        <v>1.3</v>
      </c>
      <c r="AG97" s="128">
        <v>1.31</v>
      </c>
      <c r="AH97" s="128">
        <v>1.32</v>
      </c>
      <c r="AI97" s="128">
        <v>1.33</v>
      </c>
      <c r="AJ97" s="128">
        <v>1.34</v>
      </c>
      <c r="AK97" s="128">
        <v>1.35</v>
      </c>
      <c r="AL97" s="128">
        <v>1.36</v>
      </c>
      <c r="AM97" s="128">
        <v>1.37</v>
      </c>
      <c r="AN97" s="128">
        <v>1.38</v>
      </c>
      <c r="AO97" s="128">
        <v>1.39</v>
      </c>
      <c r="AP97" s="128">
        <v>1.4</v>
      </c>
      <c r="AQ97" s="128">
        <v>1.41</v>
      </c>
      <c r="AR97" s="128">
        <v>1.42</v>
      </c>
      <c r="AS97" s="128">
        <v>1.43</v>
      </c>
      <c r="AT97" s="128">
        <v>1.44</v>
      </c>
      <c r="AU97" s="128">
        <v>1.45</v>
      </c>
      <c r="AV97" s="128">
        <v>1.46</v>
      </c>
      <c r="AW97" s="128">
        <v>1.47</v>
      </c>
      <c r="AX97" s="128">
        <v>1.48</v>
      </c>
      <c r="AY97" s="128">
        <v>1.49</v>
      </c>
      <c r="AZ97" s="128">
        <v>1.5</v>
      </c>
      <c r="BA97" s="128">
        <v>1.51</v>
      </c>
      <c r="BB97" s="128">
        <v>1.52</v>
      </c>
      <c r="BC97" s="128">
        <v>1.53</v>
      </c>
      <c r="BD97" s="128">
        <v>1.54</v>
      </c>
      <c r="BE97" s="128">
        <v>1.55</v>
      </c>
      <c r="BF97" s="128">
        <v>1.56</v>
      </c>
      <c r="BG97" s="128">
        <v>1.57</v>
      </c>
      <c r="BH97" s="128">
        <v>1.58</v>
      </c>
      <c r="BI97" s="128">
        <v>1.59</v>
      </c>
      <c r="BJ97" s="128">
        <v>1.6</v>
      </c>
      <c r="BK97" s="128">
        <v>1.61</v>
      </c>
      <c r="BL97" s="128">
        <v>1.62</v>
      </c>
      <c r="BM97" s="128">
        <v>1.63</v>
      </c>
      <c r="BN97" s="128">
        <v>1.64</v>
      </c>
      <c r="BO97" s="128">
        <v>1.65</v>
      </c>
      <c r="BP97" s="128">
        <v>1.66</v>
      </c>
      <c r="BQ97" s="128">
        <v>1.67</v>
      </c>
      <c r="BR97" s="128">
        <v>1.68</v>
      </c>
      <c r="BS97" s="128">
        <v>1.69</v>
      </c>
      <c r="BT97" s="128">
        <v>1.7</v>
      </c>
      <c r="BU97" s="128">
        <v>1.71</v>
      </c>
      <c r="BV97" s="128">
        <v>1.72</v>
      </c>
      <c r="BW97" s="128">
        <v>1.73</v>
      </c>
      <c r="BX97" s="128">
        <v>1.74</v>
      </c>
      <c r="BY97" s="128">
        <v>1.75</v>
      </c>
      <c r="BZ97" s="128">
        <v>1.76</v>
      </c>
      <c r="CA97" s="128">
        <v>1.77</v>
      </c>
      <c r="CB97" s="128">
        <v>1.78</v>
      </c>
      <c r="CC97" s="128">
        <v>1.79</v>
      </c>
      <c r="CD97" s="128">
        <v>1.8</v>
      </c>
      <c r="CE97" s="128">
        <v>1.81</v>
      </c>
      <c r="CF97" s="128">
        <v>1.82</v>
      </c>
      <c r="CG97" s="128">
        <v>1.83</v>
      </c>
      <c r="CH97" s="128">
        <v>1.84</v>
      </c>
      <c r="CI97" s="128">
        <v>1.85</v>
      </c>
      <c r="CJ97" s="128">
        <v>1.86</v>
      </c>
      <c r="CK97" s="128">
        <v>1.87</v>
      </c>
      <c r="CL97" s="128">
        <v>1.88</v>
      </c>
      <c r="CM97" s="128">
        <v>1.89</v>
      </c>
      <c r="CN97" s="128">
        <v>1.9</v>
      </c>
      <c r="CO97" s="128">
        <v>1.91</v>
      </c>
      <c r="CP97" s="128">
        <v>1.92</v>
      </c>
      <c r="CQ97" s="128">
        <v>1.93</v>
      </c>
      <c r="CR97" s="128">
        <v>1.94</v>
      </c>
      <c r="CS97" s="128">
        <v>1.94</v>
      </c>
      <c r="CT97" s="128">
        <v>1.94</v>
      </c>
      <c r="CU97" s="128">
        <v>1.94</v>
      </c>
      <c r="CV97" s="128">
        <v>1.94</v>
      </c>
      <c r="CW97" s="128">
        <v>1.94</v>
      </c>
      <c r="CX97" s="128">
        <v>1.94</v>
      </c>
      <c r="CZ97" s="126">
        <f>SUMIF(MatrixF1[[1]:[2]],MatrixF1[[#This Row],[Столбец1]])/MatrixF1[[#This Row],[Столбец1]]</f>
        <v>13.000000000000002</v>
      </c>
    </row>
    <row r="98" spans="1:104" ht="21" customHeight="1" x14ac:dyDescent="0.25">
      <c r="A98" s="127">
        <v>1.95</v>
      </c>
      <c r="B98" s="128">
        <v>1</v>
      </c>
      <c r="C98" s="128">
        <v>1.01</v>
      </c>
      <c r="D98" s="128">
        <v>1.02</v>
      </c>
      <c r="E98" s="128">
        <v>1.03</v>
      </c>
      <c r="F98" s="128">
        <v>1.04</v>
      </c>
      <c r="G98" s="128">
        <v>1.05</v>
      </c>
      <c r="H98" s="128">
        <v>1.06</v>
      </c>
      <c r="I98" s="128">
        <v>1.07</v>
      </c>
      <c r="J98" s="128">
        <v>1.08</v>
      </c>
      <c r="K98" s="128">
        <v>1.0900000000000001</v>
      </c>
      <c r="L98" s="128">
        <v>1.1000000000000001</v>
      </c>
      <c r="M98" s="128">
        <v>1.1100000000000001</v>
      </c>
      <c r="N98" s="128">
        <v>1.1200000000000001</v>
      </c>
      <c r="O98" s="128">
        <v>1.1299999999999999</v>
      </c>
      <c r="P98" s="128">
        <v>1.1399999999999999</v>
      </c>
      <c r="Q98" s="128">
        <v>1.1499999999999999</v>
      </c>
      <c r="R98" s="128">
        <v>1.1599999999999999</v>
      </c>
      <c r="S98" s="128">
        <v>1.17</v>
      </c>
      <c r="T98" s="128">
        <v>1.18</v>
      </c>
      <c r="U98" s="128">
        <v>1.19</v>
      </c>
      <c r="V98" s="128">
        <v>1.2</v>
      </c>
      <c r="W98" s="128">
        <v>1.21</v>
      </c>
      <c r="X98" s="128">
        <v>1.22</v>
      </c>
      <c r="Y98" s="128">
        <v>1.23</v>
      </c>
      <c r="Z98" s="128">
        <v>1.24</v>
      </c>
      <c r="AA98" s="128">
        <v>1.25</v>
      </c>
      <c r="AB98" s="128">
        <v>1.26</v>
      </c>
      <c r="AC98" s="128">
        <v>1.27</v>
      </c>
      <c r="AD98" s="128">
        <v>1.28</v>
      </c>
      <c r="AE98" s="128">
        <v>1.29</v>
      </c>
      <c r="AF98" s="128">
        <v>1.3</v>
      </c>
      <c r="AG98" s="128">
        <v>1.31</v>
      </c>
      <c r="AH98" s="128">
        <v>1.32</v>
      </c>
      <c r="AI98" s="128">
        <v>1.33</v>
      </c>
      <c r="AJ98" s="128">
        <v>1.34</v>
      </c>
      <c r="AK98" s="128">
        <v>1.35</v>
      </c>
      <c r="AL98" s="128">
        <v>1.36</v>
      </c>
      <c r="AM98" s="128">
        <v>1.37</v>
      </c>
      <c r="AN98" s="128">
        <v>1.38</v>
      </c>
      <c r="AO98" s="128">
        <v>1.39</v>
      </c>
      <c r="AP98" s="128">
        <v>1.4</v>
      </c>
      <c r="AQ98" s="128">
        <v>1.41</v>
      </c>
      <c r="AR98" s="128">
        <v>1.42</v>
      </c>
      <c r="AS98" s="128">
        <v>1.43</v>
      </c>
      <c r="AT98" s="128">
        <v>1.44</v>
      </c>
      <c r="AU98" s="128">
        <v>1.45</v>
      </c>
      <c r="AV98" s="128">
        <v>1.46</v>
      </c>
      <c r="AW98" s="128">
        <v>1.47</v>
      </c>
      <c r="AX98" s="128">
        <v>1.48</v>
      </c>
      <c r="AY98" s="128">
        <v>1.49</v>
      </c>
      <c r="AZ98" s="128">
        <v>1.5</v>
      </c>
      <c r="BA98" s="128">
        <v>1.51</v>
      </c>
      <c r="BB98" s="128">
        <v>1.52</v>
      </c>
      <c r="BC98" s="128">
        <v>1.53</v>
      </c>
      <c r="BD98" s="128">
        <v>1.54</v>
      </c>
      <c r="BE98" s="128">
        <v>1.55</v>
      </c>
      <c r="BF98" s="128">
        <v>1.56</v>
      </c>
      <c r="BG98" s="128">
        <v>1.57</v>
      </c>
      <c r="BH98" s="128">
        <v>1.58</v>
      </c>
      <c r="BI98" s="128">
        <v>1.59</v>
      </c>
      <c r="BJ98" s="128">
        <v>1.6</v>
      </c>
      <c r="BK98" s="128">
        <v>1.61</v>
      </c>
      <c r="BL98" s="128">
        <v>1.62</v>
      </c>
      <c r="BM98" s="128">
        <v>1.63</v>
      </c>
      <c r="BN98" s="128">
        <v>1.64</v>
      </c>
      <c r="BO98" s="128">
        <v>1.65</v>
      </c>
      <c r="BP98" s="128">
        <v>1.66</v>
      </c>
      <c r="BQ98" s="128">
        <v>1.67</v>
      </c>
      <c r="BR98" s="128">
        <v>1.68</v>
      </c>
      <c r="BS98" s="128">
        <v>1.69</v>
      </c>
      <c r="BT98" s="128">
        <v>1.7</v>
      </c>
      <c r="BU98" s="128">
        <v>1.71</v>
      </c>
      <c r="BV98" s="128">
        <v>1.72</v>
      </c>
      <c r="BW98" s="128">
        <v>1.73</v>
      </c>
      <c r="BX98" s="128">
        <v>1.74</v>
      </c>
      <c r="BY98" s="128">
        <v>1.75</v>
      </c>
      <c r="BZ98" s="128">
        <v>1.76</v>
      </c>
      <c r="CA98" s="128">
        <v>1.77</v>
      </c>
      <c r="CB98" s="128">
        <v>1.78</v>
      </c>
      <c r="CC98" s="128">
        <v>1.79</v>
      </c>
      <c r="CD98" s="128">
        <v>1.8</v>
      </c>
      <c r="CE98" s="128">
        <v>1.81</v>
      </c>
      <c r="CF98" s="128">
        <v>1.82</v>
      </c>
      <c r="CG98" s="128">
        <v>1.83</v>
      </c>
      <c r="CH98" s="128">
        <v>1.84</v>
      </c>
      <c r="CI98" s="128">
        <v>1.85</v>
      </c>
      <c r="CJ98" s="128">
        <v>1.86</v>
      </c>
      <c r="CK98" s="128">
        <v>1.87</v>
      </c>
      <c r="CL98" s="128">
        <v>1.88</v>
      </c>
      <c r="CM98" s="128">
        <v>1.89</v>
      </c>
      <c r="CN98" s="128">
        <v>1.9</v>
      </c>
      <c r="CO98" s="128">
        <v>1.91</v>
      </c>
      <c r="CP98" s="128">
        <v>1.92</v>
      </c>
      <c r="CQ98" s="128">
        <v>1.93</v>
      </c>
      <c r="CR98" s="128">
        <v>1.94</v>
      </c>
      <c r="CS98" s="128">
        <v>1.95</v>
      </c>
      <c r="CT98" s="128">
        <v>1.95</v>
      </c>
      <c r="CU98" s="128">
        <v>1.95</v>
      </c>
      <c r="CV98" s="128">
        <v>1.95</v>
      </c>
      <c r="CW98" s="128">
        <v>1.95</v>
      </c>
      <c r="CX98" s="128">
        <v>1.95</v>
      </c>
      <c r="CZ98" s="126">
        <f>SUMIF(MatrixF1[[1]:[2]],MatrixF1[[#This Row],[Столбец1]])/MatrixF1[[#This Row],[Столбец1]]</f>
        <v>10.999999999999998</v>
      </c>
    </row>
    <row r="99" spans="1:104" ht="21" customHeight="1" x14ac:dyDescent="0.25">
      <c r="A99" s="127">
        <v>1.96</v>
      </c>
      <c r="B99" s="128">
        <v>1</v>
      </c>
      <c r="C99" s="128">
        <v>1.01</v>
      </c>
      <c r="D99" s="128">
        <v>1.02</v>
      </c>
      <c r="E99" s="128">
        <v>1.03</v>
      </c>
      <c r="F99" s="128">
        <v>1.04</v>
      </c>
      <c r="G99" s="128">
        <v>1.05</v>
      </c>
      <c r="H99" s="128">
        <v>1.06</v>
      </c>
      <c r="I99" s="128">
        <v>1.07</v>
      </c>
      <c r="J99" s="128">
        <v>1.08</v>
      </c>
      <c r="K99" s="128">
        <v>1.0900000000000001</v>
      </c>
      <c r="L99" s="128">
        <v>1.1000000000000001</v>
      </c>
      <c r="M99" s="128">
        <v>1.1100000000000001</v>
      </c>
      <c r="N99" s="128">
        <v>1.1200000000000001</v>
      </c>
      <c r="O99" s="128">
        <v>1.1299999999999999</v>
      </c>
      <c r="P99" s="128">
        <v>1.1399999999999999</v>
      </c>
      <c r="Q99" s="128">
        <v>1.1499999999999999</v>
      </c>
      <c r="R99" s="128">
        <v>1.1599999999999999</v>
      </c>
      <c r="S99" s="128">
        <v>1.17</v>
      </c>
      <c r="T99" s="128">
        <v>1.18</v>
      </c>
      <c r="U99" s="128">
        <v>1.19</v>
      </c>
      <c r="V99" s="128">
        <v>1.2</v>
      </c>
      <c r="W99" s="128">
        <v>1.21</v>
      </c>
      <c r="X99" s="128">
        <v>1.22</v>
      </c>
      <c r="Y99" s="128">
        <v>1.23</v>
      </c>
      <c r="Z99" s="128">
        <v>1.24</v>
      </c>
      <c r="AA99" s="128">
        <v>1.25</v>
      </c>
      <c r="AB99" s="128">
        <v>1.26</v>
      </c>
      <c r="AC99" s="128">
        <v>1.27</v>
      </c>
      <c r="AD99" s="128">
        <v>1.28</v>
      </c>
      <c r="AE99" s="128">
        <v>1.29</v>
      </c>
      <c r="AF99" s="128">
        <v>1.3</v>
      </c>
      <c r="AG99" s="128">
        <v>1.31</v>
      </c>
      <c r="AH99" s="128">
        <v>1.32</v>
      </c>
      <c r="AI99" s="128">
        <v>1.33</v>
      </c>
      <c r="AJ99" s="128">
        <v>1.34</v>
      </c>
      <c r="AK99" s="128">
        <v>1.35</v>
      </c>
      <c r="AL99" s="128">
        <v>1.36</v>
      </c>
      <c r="AM99" s="128">
        <v>1.37</v>
      </c>
      <c r="AN99" s="128">
        <v>1.38</v>
      </c>
      <c r="AO99" s="128">
        <v>1.39</v>
      </c>
      <c r="AP99" s="128">
        <v>1.4</v>
      </c>
      <c r="AQ99" s="128">
        <v>1.41</v>
      </c>
      <c r="AR99" s="128">
        <v>1.42</v>
      </c>
      <c r="AS99" s="128">
        <v>1.43</v>
      </c>
      <c r="AT99" s="128">
        <v>1.44</v>
      </c>
      <c r="AU99" s="128">
        <v>1.45</v>
      </c>
      <c r="AV99" s="128">
        <v>1.46</v>
      </c>
      <c r="AW99" s="128">
        <v>1.47</v>
      </c>
      <c r="AX99" s="128">
        <v>1.48</v>
      </c>
      <c r="AY99" s="128">
        <v>1.49</v>
      </c>
      <c r="AZ99" s="128">
        <v>1.5</v>
      </c>
      <c r="BA99" s="128">
        <v>1.51</v>
      </c>
      <c r="BB99" s="128">
        <v>1.52</v>
      </c>
      <c r="BC99" s="128">
        <v>1.53</v>
      </c>
      <c r="BD99" s="128">
        <v>1.54</v>
      </c>
      <c r="BE99" s="128">
        <v>1.55</v>
      </c>
      <c r="BF99" s="128">
        <v>1.56</v>
      </c>
      <c r="BG99" s="128">
        <v>1.57</v>
      </c>
      <c r="BH99" s="128">
        <v>1.58</v>
      </c>
      <c r="BI99" s="128">
        <v>1.59</v>
      </c>
      <c r="BJ99" s="128">
        <v>1.6</v>
      </c>
      <c r="BK99" s="128">
        <v>1.61</v>
      </c>
      <c r="BL99" s="128">
        <v>1.62</v>
      </c>
      <c r="BM99" s="128">
        <v>1.63</v>
      </c>
      <c r="BN99" s="128">
        <v>1.64</v>
      </c>
      <c r="BO99" s="128">
        <v>1.65</v>
      </c>
      <c r="BP99" s="128">
        <v>1.66</v>
      </c>
      <c r="BQ99" s="128">
        <v>1.67</v>
      </c>
      <c r="BR99" s="128">
        <v>1.68</v>
      </c>
      <c r="BS99" s="128">
        <v>1.69</v>
      </c>
      <c r="BT99" s="128">
        <v>1.7</v>
      </c>
      <c r="BU99" s="128">
        <v>1.71</v>
      </c>
      <c r="BV99" s="128">
        <v>1.72</v>
      </c>
      <c r="BW99" s="128">
        <v>1.73</v>
      </c>
      <c r="BX99" s="128">
        <v>1.74</v>
      </c>
      <c r="BY99" s="128">
        <v>1.75</v>
      </c>
      <c r="BZ99" s="128">
        <v>1.76</v>
      </c>
      <c r="CA99" s="128">
        <v>1.77</v>
      </c>
      <c r="CB99" s="128">
        <v>1.78</v>
      </c>
      <c r="CC99" s="128">
        <v>1.79</v>
      </c>
      <c r="CD99" s="128">
        <v>1.8</v>
      </c>
      <c r="CE99" s="128">
        <v>1.81</v>
      </c>
      <c r="CF99" s="128">
        <v>1.82</v>
      </c>
      <c r="CG99" s="128">
        <v>1.83</v>
      </c>
      <c r="CH99" s="128">
        <v>1.84</v>
      </c>
      <c r="CI99" s="128">
        <v>1.85</v>
      </c>
      <c r="CJ99" s="128">
        <v>1.86</v>
      </c>
      <c r="CK99" s="128">
        <v>1.87</v>
      </c>
      <c r="CL99" s="128">
        <v>1.88</v>
      </c>
      <c r="CM99" s="128">
        <v>1.89</v>
      </c>
      <c r="CN99" s="128">
        <v>1.9</v>
      </c>
      <c r="CO99" s="128">
        <v>1.91</v>
      </c>
      <c r="CP99" s="128">
        <v>1.92</v>
      </c>
      <c r="CQ99" s="128">
        <v>1.93</v>
      </c>
      <c r="CR99" s="128">
        <v>1.94</v>
      </c>
      <c r="CS99" s="128">
        <v>1.95</v>
      </c>
      <c r="CT99" s="128">
        <v>1.96</v>
      </c>
      <c r="CU99" s="128">
        <v>1.96</v>
      </c>
      <c r="CV99" s="128">
        <v>1.96</v>
      </c>
      <c r="CW99" s="128">
        <v>1.96</v>
      </c>
      <c r="CX99" s="128">
        <v>1.96</v>
      </c>
      <c r="CZ99" s="126">
        <f>SUMIF(MatrixF1[[1]:[2]],MatrixF1[[#This Row],[Столбец1]])/MatrixF1[[#This Row],[Столбец1]]</f>
        <v>9.0000000000000018</v>
      </c>
    </row>
    <row r="100" spans="1:104" ht="21" customHeight="1" x14ac:dyDescent="0.25">
      <c r="A100" s="127">
        <v>1.97</v>
      </c>
      <c r="B100" s="128">
        <v>1</v>
      </c>
      <c r="C100" s="128">
        <v>1.01</v>
      </c>
      <c r="D100" s="128">
        <v>1.02</v>
      </c>
      <c r="E100" s="128">
        <v>1.03</v>
      </c>
      <c r="F100" s="128">
        <v>1.04</v>
      </c>
      <c r="G100" s="128">
        <v>1.05</v>
      </c>
      <c r="H100" s="128">
        <v>1.06</v>
      </c>
      <c r="I100" s="128">
        <v>1.07</v>
      </c>
      <c r="J100" s="128">
        <v>1.08</v>
      </c>
      <c r="K100" s="128">
        <v>1.0900000000000001</v>
      </c>
      <c r="L100" s="128">
        <v>1.1000000000000001</v>
      </c>
      <c r="M100" s="128">
        <v>1.1100000000000001</v>
      </c>
      <c r="N100" s="128">
        <v>1.1200000000000001</v>
      </c>
      <c r="O100" s="128">
        <v>1.1299999999999999</v>
      </c>
      <c r="P100" s="128">
        <v>1.1399999999999999</v>
      </c>
      <c r="Q100" s="128">
        <v>1.1499999999999999</v>
      </c>
      <c r="R100" s="128">
        <v>1.1599999999999999</v>
      </c>
      <c r="S100" s="128">
        <v>1.17</v>
      </c>
      <c r="T100" s="128">
        <v>1.18</v>
      </c>
      <c r="U100" s="128">
        <v>1.19</v>
      </c>
      <c r="V100" s="128">
        <v>1.2</v>
      </c>
      <c r="W100" s="128">
        <v>1.21</v>
      </c>
      <c r="X100" s="128">
        <v>1.22</v>
      </c>
      <c r="Y100" s="128">
        <v>1.23</v>
      </c>
      <c r="Z100" s="128">
        <v>1.24</v>
      </c>
      <c r="AA100" s="128">
        <v>1.25</v>
      </c>
      <c r="AB100" s="128">
        <v>1.26</v>
      </c>
      <c r="AC100" s="128">
        <v>1.27</v>
      </c>
      <c r="AD100" s="128">
        <v>1.28</v>
      </c>
      <c r="AE100" s="128">
        <v>1.29</v>
      </c>
      <c r="AF100" s="128">
        <v>1.3</v>
      </c>
      <c r="AG100" s="128">
        <v>1.31</v>
      </c>
      <c r="AH100" s="128">
        <v>1.32</v>
      </c>
      <c r="AI100" s="128">
        <v>1.33</v>
      </c>
      <c r="AJ100" s="128">
        <v>1.34</v>
      </c>
      <c r="AK100" s="128">
        <v>1.35</v>
      </c>
      <c r="AL100" s="128">
        <v>1.36</v>
      </c>
      <c r="AM100" s="128">
        <v>1.37</v>
      </c>
      <c r="AN100" s="128">
        <v>1.38</v>
      </c>
      <c r="AO100" s="128">
        <v>1.39</v>
      </c>
      <c r="AP100" s="128">
        <v>1.4</v>
      </c>
      <c r="AQ100" s="128">
        <v>1.41</v>
      </c>
      <c r="AR100" s="128">
        <v>1.42</v>
      </c>
      <c r="AS100" s="128">
        <v>1.43</v>
      </c>
      <c r="AT100" s="128">
        <v>1.44</v>
      </c>
      <c r="AU100" s="128">
        <v>1.45</v>
      </c>
      <c r="AV100" s="128">
        <v>1.46</v>
      </c>
      <c r="AW100" s="128">
        <v>1.47</v>
      </c>
      <c r="AX100" s="128">
        <v>1.48</v>
      </c>
      <c r="AY100" s="128">
        <v>1.49</v>
      </c>
      <c r="AZ100" s="128">
        <v>1.5</v>
      </c>
      <c r="BA100" s="128">
        <v>1.51</v>
      </c>
      <c r="BB100" s="128">
        <v>1.52</v>
      </c>
      <c r="BC100" s="128">
        <v>1.53</v>
      </c>
      <c r="BD100" s="128">
        <v>1.54</v>
      </c>
      <c r="BE100" s="128">
        <v>1.55</v>
      </c>
      <c r="BF100" s="128">
        <v>1.56</v>
      </c>
      <c r="BG100" s="128">
        <v>1.57</v>
      </c>
      <c r="BH100" s="128">
        <v>1.58</v>
      </c>
      <c r="BI100" s="128">
        <v>1.59</v>
      </c>
      <c r="BJ100" s="128">
        <v>1.6</v>
      </c>
      <c r="BK100" s="128">
        <v>1.61</v>
      </c>
      <c r="BL100" s="128">
        <v>1.62</v>
      </c>
      <c r="BM100" s="128">
        <v>1.63</v>
      </c>
      <c r="BN100" s="128">
        <v>1.64</v>
      </c>
      <c r="BO100" s="128">
        <v>1.65</v>
      </c>
      <c r="BP100" s="128">
        <v>1.66</v>
      </c>
      <c r="BQ100" s="128">
        <v>1.67</v>
      </c>
      <c r="BR100" s="128">
        <v>1.68</v>
      </c>
      <c r="BS100" s="128">
        <v>1.69</v>
      </c>
      <c r="BT100" s="128">
        <v>1.7</v>
      </c>
      <c r="BU100" s="128">
        <v>1.71</v>
      </c>
      <c r="BV100" s="128">
        <v>1.72</v>
      </c>
      <c r="BW100" s="128">
        <v>1.73</v>
      </c>
      <c r="BX100" s="128">
        <v>1.74</v>
      </c>
      <c r="BY100" s="128">
        <v>1.75</v>
      </c>
      <c r="BZ100" s="128">
        <v>1.76</v>
      </c>
      <c r="CA100" s="128">
        <v>1.77</v>
      </c>
      <c r="CB100" s="128">
        <v>1.78</v>
      </c>
      <c r="CC100" s="128">
        <v>1.79</v>
      </c>
      <c r="CD100" s="128">
        <v>1.8</v>
      </c>
      <c r="CE100" s="128">
        <v>1.81</v>
      </c>
      <c r="CF100" s="128">
        <v>1.82</v>
      </c>
      <c r="CG100" s="128">
        <v>1.83</v>
      </c>
      <c r="CH100" s="128">
        <v>1.84</v>
      </c>
      <c r="CI100" s="128">
        <v>1.85</v>
      </c>
      <c r="CJ100" s="128">
        <v>1.86</v>
      </c>
      <c r="CK100" s="128">
        <v>1.87</v>
      </c>
      <c r="CL100" s="128">
        <v>1.88</v>
      </c>
      <c r="CM100" s="128">
        <v>1.89</v>
      </c>
      <c r="CN100" s="128">
        <v>1.9</v>
      </c>
      <c r="CO100" s="128">
        <v>1.91</v>
      </c>
      <c r="CP100" s="128">
        <v>1.92</v>
      </c>
      <c r="CQ100" s="128">
        <v>1.93</v>
      </c>
      <c r="CR100" s="128">
        <v>1.94</v>
      </c>
      <c r="CS100" s="128">
        <v>1.95</v>
      </c>
      <c r="CT100" s="128">
        <v>1.96</v>
      </c>
      <c r="CU100" s="128">
        <v>1.97</v>
      </c>
      <c r="CV100" s="128">
        <v>1.97</v>
      </c>
      <c r="CW100" s="128">
        <v>1.97</v>
      </c>
      <c r="CX100" s="128">
        <v>1.97</v>
      </c>
      <c r="CZ100" s="126">
        <f>SUMIF(MatrixF1[[1]:[2]],MatrixF1[[#This Row],[Столбец1]])/MatrixF1[[#This Row],[Столбец1]]</f>
        <v>7.0000000000000009</v>
      </c>
    </row>
    <row r="101" spans="1:104" ht="21" customHeight="1" x14ac:dyDescent="0.25">
      <c r="A101" s="127">
        <v>1.98</v>
      </c>
      <c r="B101" s="128">
        <v>1</v>
      </c>
      <c r="C101" s="128">
        <v>1.01</v>
      </c>
      <c r="D101" s="128">
        <v>1.02</v>
      </c>
      <c r="E101" s="128">
        <v>1.03</v>
      </c>
      <c r="F101" s="128">
        <v>1.04</v>
      </c>
      <c r="G101" s="128">
        <v>1.05</v>
      </c>
      <c r="H101" s="128">
        <v>1.06</v>
      </c>
      <c r="I101" s="128">
        <v>1.07</v>
      </c>
      <c r="J101" s="128">
        <v>1.08</v>
      </c>
      <c r="K101" s="128">
        <v>1.0900000000000001</v>
      </c>
      <c r="L101" s="128">
        <v>1.1000000000000001</v>
      </c>
      <c r="M101" s="128">
        <v>1.1100000000000001</v>
      </c>
      <c r="N101" s="128">
        <v>1.1200000000000001</v>
      </c>
      <c r="O101" s="128">
        <v>1.1299999999999999</v>
      </c>
      <c r="P101" s="128">
        <v>1.1399999999999999</v>
      </c>
      <c r="Q101" s="128">
        <v>1.1499999999999999</v>
      </c>
      <c r="R101" s="128">
        <v>1.1599999999999999</v>
      </c>
      <c r="S101" s="128">
        <v>1.17</v>
      </c>
      <c r="T101" s="128">
        <v>1.18</v>
      </c>
      <c r="U101" s="128">
        <v>1.19</v>
      </c>
      <c r="V101" s="128">
        <v>1.2</v>
      </c>
      <c r="W101" s="128">
        <v>1.21</v>
      </c>
      <c r="X101" s="128">
        <v>1.22</v>
      </c>
      <c r="Y101" s="128">
        <v>1.23</v>
      </c>
      <c r="Z101" s="128">
        <v>1.24</v>
      </c>
      <c r="AA101" s="128">
        <v>1.25</v>
      </c>
      <c r="AB101" s="128">
        <v>1.26</v>
      </c>
      <c r="AC101" s="128">
        <v>1.27</v>
      </c>
      <c r="AD101" s="128">
        <v>1.28</v>
      </c>
      <c r="AE101" s="128">
        <v>1.29</v>
      </c>
      <c r="AF101" s="128">
        <v>1.3</v>
      </c>
      <c r="AG101" s="128">
        <v>1.31</v>
      </c>
      <c r="AH101" s="128">
        <v>1.32</v>
      </c>
      <c r="AI101" s="128">
        <v>1.33</v>
      </c>
      <c r="AJ101" s="128">
        <v>1.34</v>
      </c>
      <c r="AK101" s="128">
        <v>1.35</v>
      </c>
      <c r="AL101" s="128">
        <v>1.36</v>
      </c>
      <c r="AM101" s="128">
        <v>1.37</v>
      </c>
      <c r="AN101" s="128">
        <v>1.38</v>
      </c>
      <c r="AO101" s="128">
        <v>1.39</v>
      </c>
      <c r="AP101" s="128">
        <v>1.4</v>
      </c>
      <c r="AQ101" s="128">
        <v>1.41</v>
      </c>
      <c r="AR101" s="128">
        <v>1.42</v>
      </c>
      <c r="AS101" s="128">
        <v>1.43</v>
      </c>
      <c r="AT101" s="128">
        <v>1.44</v>
      </c>
      <c r="AU101" s="128">
        <v>1.45</v>
      </c>
      <c r="AV101" s="128">
        <v>1.46</v>
      </c>
      <c r="AW101" s="128">
        <v>1.47</v>
      </c>
      <c r="AX101" s="128">
        <v>1.48</v>
      </c>
      <c r="AY101" s="128">
        <v>1.49</v>
      </c>
      <c r="AZ101" s="128">
        <v>1.5</v>
      </c>
      <c r="BA101" s="128">
        <v>1.51</v>
      </c>
      <c r="BB101" s="128">
        <v>1.52</v>
      </c>
      <c r="BC101" s="128">
        <v>1.53</v>
      </c>
      <c r="BD101" s="128">
        <v>1.54</v>
      </c>
      <c r="BE101" s="128">
        <v>1.55</v>
      </c>
      <c r="BF101" s="128">
        <v>1.56</v>
      </c>
      <c r="BG101" s="128">
        <v>1.57</v>
      </c>
      <c r="BH101" s="128">
        <v>1.58</v>
      </c>
      <c r="BI101" s="128">
        <v>1.59</v>
      </c>
      <c r="BJ101" s="128">
        <v>1.6</v>
      </c>
      <c r="BK101" s="128">
        <v>1.61</v>
      </c>
      <c r="BL101" s="128">
        <v>1.62</v>
      </c>
      <c r="BM101" s="128">
        <v>1.63</v>
      </c>
      <c r="BN101" s="128">
        <v>1.64</v>
      </c>
      <c r="BO101" s="128">
        <v>1.65</v>
      </c>
      <c r="BP101" s="128">
        <v>1.66</v>
      </c>
      <c r="BQ101" s="128">
        <v>1.67</v>
      </c>
      <c r="BR101" s="128">
        <v>1.68</v>
      </c>
      <c r="BS101" s="128">
        <v>1.69</v>
      </c>
      <c r="BT101" s="128">
        <v>1.7</v>
      </c>
      <c r="BU101" s="128">
        <v>1.71</v>
      </c>
      <c r="BV101" s="128">
        <v>1.72</v>
      </c>
      <c r="BW101" s="128">
        <v>1.73</v>
      </c>
      <c r="BX101" s="128">
        <v>1.74</v>
      </c>
      <c r="BY101" s="128">
        <v>1.75</v>
      </c>
      <c r="BZ101" s="128">
        <v>1.76</v>
      </c>
      <c r="CA101" s="128">
        <v>1.77</v>
      </c>
      <c r="CB101" s="128">
        <v>1.78</v>
      </c>
      <c r="CC101" s="128">
        <v>1.79</v>
      </c>
      <c r="CD101" s="128">
        <v>1.8</v>
      </c>
      <c r="CE101" s="128">
        <v>1.81</v>
      </c>
      <c r="CF101" s="128">
        <v>1.82</v>
      </c>
      <c r="CG101" s="128">
        <v>1.83</v>
      </c>
      <c r="CH101" s="128">
        <v>1.84</v>
      </c>
      <c r="CI101" s="128">
        <v>1.85</v>
      </c>
      <c r="CJ101" s="128">
        <v>1.86</v>
      </c>
      <c r="CK101" s="128">
        <v>1.87</v>
      </c>
      <c r="CL101" s="128">
        <v>1.88</v>
      </c>
      <c r="CM101" s="128">
        <v>1.89</v>
      </c>
      <c r="CN101" s="128">
        <v>1.9</v>
      </c>
      <c r="CO101" s="128">
        <v>1.91</v>
      </c>
      <c r="CP101" s="128">
        <v>1.92</v>
      </c>
      <c r="CQ101" s="128">
        <v>1.93</v>
      </c>
      <c r="CR101" s="128">
        <v>1.94</v>
      </c>
      <c r="CS101" s="128">
        <v>1.95</v>
      </c>
      <c r="CT101" s="128">
        <v>1.96</v>
      </c>
      <c r="CU101" s="128">
        <v>1.97</v>
      </c>
      <c r="CV101" s="128">
        <v>1.98</v>
      </c>
      <c r="CW101" s="128">
        <v>1.98</v>
      </c>
      <c r="CX101" s="128">
        <v>1.98</v>
      </c>
      <c r="CZ101" s="126">
        <f>SUMIF(MatrixF1[[1]:[2]],MatrixF1[[#This Row],[Столбец1]])/MatrixF1[[#This Row],[Столбец1]]</f>
        <v>5</v>
      </c>
    </row>
    <row r="102" spans="1:104" ht="21" customHeight="1" x14ac:dyDescent="0.25">
      <c r="A102" s="127">
        <v>1.99</v>
      </c>
      <c r="B102" s="128">
        <v>1</v>
      </c>
      <c r="C102" s="128">
        <v>1.01</v>
      </c>
      <c r="D102" s="128">
        <v>1.02</v>
      </c>
      <c r="E102" s="128">
        <v>1.03</v>
      </c>
      <c r="F102" s="128">
        <v>1.04</v>
      </c>
      <c r="G102" s="128">
        <v>1.05</v>
      </c>
      <c r="H102" s="128">
        <v>1.06</v>
      </c>
      <c r="I102" s="128">
        <v>1.07</v>
      </c>
      <c r="J102" s="128">
        <v>1.08</v>
      </c>
      <c r="K102" s="128">
        <v>1.0900000000000001</v>
      </c>
      <c r="L102" s="128">
        <v>1.1000000000000001</v>
      </c>
      <c r="M102" s="128">
        <v>1.1100000000000001</v>
      </c>
      <c r="N102" s="128">
        <v>1.1200000000000001</v>
      </c>
      <c r="O102" s="128">
        <v>1.1299999999999999</v>
      </c>
      <c r="P102" s="128">
        <v>1.1399999999999999</v>
      </c>
      <c r="Q102" s="128">
        <v>1.1499999999999999</v>
      </c>
      <c r="R102" s="128">
        <v>1.1599999999999999</v>
      </c>
      <c r="S102" s="128">
        <v>1.17</v>
      </c>
      <c r="T102" s="128">
        <v>1.18</v>
      </c>
      <c r="U102" s="128">
        <v>1.19</v>
      </c>
      <c r="V102" s="128">
        <v>1.2</v>
      </c>
      <c r="W102" s="128">
        <v>1.21</v>
      </c>
      <c r="X102" s="128">
        <v>1.22</v>
      </c>
      <c r="Y102" s="128">
        <v>1.23</v>
      </c>
      <c r="Z102" s="128">
        <v>1.24</v>
      </c>
      <c r="AA102" s="128">
        <v>1.25</v>
      </c>
      <c r="AB102" s="128">
        <v>1.26</v>
      </c>
      <c r="AC102" s="128">
        <v>1.27</v>
      </c>
      <c r="AD102" s="128">
        <v>1.28</v>
      </c>
      <c r="AE102" s="128">
        <v>1.29</v>
      </c>
      <c r="AF102" s="128">
        <v>1.3</v>
      </c>
      <c r="AG102" s="128">
        <v>1.31</v>
      </c>
      <c r="AH102" s="128">
        <v>1.32</v>
      </c>
      <c r="AI102" s="128">
        <v>1.33</v>
      </c>
      <c r="AJ102" s="128">
        <v>1.34</v>
      </c>
      <c r="AK102" s="128">
        <v>1.35</v>
      </c>
      <c r="AL102" s="128">
        <v>1.36</v>
      </c>
      <c r="AM102" s="128">
        <v>1.37</v>
      </c>
      <c r="AN102" s="128">
        <v>1.38</v>
      </c>
      <c r="AO102" s="128">
        <v>1.39</v>
      </c>
      <c r="AP102" s="128">
        <v>1.4</v>
      </c>
      <c r="AQ102" s="128">
        <v>1.41</v>
      </c>
      <c r="AR102" s="128">
        <v>1.42</v>
      </c>
      <c r="AS102" s="128">
        <v>1.43</v>
      </c>
      <c r="AT102" s="128">
        <v>1.44</v>
      </c>
      <c r="AU102" s="128">
        <v>1.45</v>
      </c>
      <c r="AV102" s="128">
        <v>1.46</v>
      </c>
      <c r="AW102" s="128">
        <v>1.47</v>
      </c>
      <c r="AX102" s="128">
        <v>1.48</v>
      </c>
      <c r="AY102" s="128">
        <v>1.49</v>
      </c>
      <c r="AZ102" s="128">
        <v>1.5</v>
      </c>
      <c r="BA102" s="128">
        <v>1.51</v>
      </c>
      <c r="BB102" s="128">
        <v>1.52</v>
      </c>
      <c r="BC102" s="128">
        <v>1.53</v>
      </c>
      <c r="BD102" s="128">
        <v>1.54</v>
      </c>
      <c r="BE102" s="128">
        <v>1.55</v>
      </c>
      <c r="BF102" s="128">
        <v>1.56</v>
      </c>
      <c r="BG102" s="128">
        <v>1.57</v>
      </c>
      <c r="BH102" s="128">
        <v>1.58</v>
      </c>
      <c r="BI102" s="128">
        <v>1.59</v>
      </c>
      <c r="BJ102" s="128">
        <v>1.6</v>
      </c>
      <c r="BK102" s="128">
        <v>1.61</v>
      </c>
      <c r="BL102" s="128">
        <v>1.62</v>
      </c>
      <c r="BM102" s="128">
        <v>1.63</v>
      </c>
      <c r="BN102" s="128">
        <v>1.64</v>
      </c>
      <c r="BO102" s="128">
        <v>1.65</v>
      </c>
      <c r="BP102" s="128">
        <v>1.66</v>
      </c>
      <c r="BQ102" s="128">
        <v>1.67</v>
      </c>
      <c r="BR102" s="128">
        <v>1.68</v>
      </c>
      <c r="BS102" s="128">
        <v>1.69</v>
      </c>
      <c r="BT102" s="128">
        <v>1.7</v>
      </c>
      <c r="BU102" s="128">
        <v>1.71</v>
      </c>
      <c r="BV102" s="128">
        <v>1.72</v>
      </c>
      <c r="BW102" s="128">
        <v>1.73</v>
      </c>
      <c r="BX102" s="128">
        <v>1.74</v>
      </c>
      <c r="BY102" s="128">
        <v>1.75</v>
      </c>
      <c r="BZ102" s="128">
        <v>1.76</v>
      </c>
      <c r="CA102" s="128">
        <v>1.77</v>
      </c>
      <c r="CB102" s="128">
        <v>1.78</v>
      </c>
      <c r="CC102" s="128">
        <v>1.79</v>
      </c>
      <c r="CD102" s="128">
        <v>1.8</v>
      </c>
      <c r="CE102" s="128">
        <v>1.81</v>
      </c>
      <c r="CF102" s="128">
        <v>1.82</v>
      </c>
      <c r="CG102" s="128">
        <v>1.83</v>
      </c>
      <c r="CH102" s="128">
        <v>1.84</v>
      </c>
      <c r="CI102" s="128">
        <v>1.85</v>
      </c>
      <c r="CJ102" s="128">
        <v>1.86</v>
      </c>
      <c r="CK102" s="128">
        <v>1.87</v>
      </c>
      <c r="CL102" s="128">
        <v>1.88</v>
      </c>
      <c r="CM102" s="128">
        <v>1.89</v>
      </c>
      <c r="CN102" s="128">
        <v>1.9</v>
      </c>
      <c r="CO102" s="128">
        <v>1.91</v>
      </c>
      <c r="CP102" s="128">
        <v>1.92</v>
      </c>
      <c r="CQ102" s="128">
        <v>1.93</v>
      </c>
      <c r="CR102" s="128">
        <v>1.94</v>
      </c>
      <c r="CS102" s="128">
        <v>1.95</v>
      </c>
      <c r="CT102" s="128">
        <v>1.96</v>
      </c>
      <c r="CU102" s="128">
        <v>1.97</v>
      </c>
      <c r="CV102" s="128">
        <v>1.98</v>
      </c>
      <c r="CW102" s="128">
        <v>1.99</v>
      </c>
      <c r="CX102" s="128">
        <v>1.99</v>
      </c>
      <c r="CZ102" s="126">
        <f>SUMIF(MatrixF1[[1]:[2]],MatrixF1[[#This Row],[Столбец1]])/MatrixF1[[#This Row],[Столбец1]]</f>
        <v>3</v>
      </c>
    </row>
    <row r="103" spans="1:104" ht="21" customHeight="1" x14ac:dyDescent="0.25">
      <c r="A103" s="127">
        <v>2</v>
      </c>
      <c r="B103" s="128">
        <v>1</v>
      </c>
      <c r="C103" s="128">
        <v>1.01</v>
      </c>
      <c r="D103" s="128">
        <v>1.02</v>
      </c>
      <c r="E103" s="128">
        <v>1.03</v>
      </c>
      <c r="F103" s="128">
        <v>1.04</v>
      </c>
      <c r="G103" s="128">
        <v>1.05</v>
      </c>
      <c r="H103" s="128">
        <v>1.06</v>
      </c>
      <c r="I103" s="128">
        <v>1.07</v>
      </c>
      <c r="J103" s="128">
        <v>1.08</v>
      </c>
      <c r="K103" s="128">
        <v>1.0900000000000001</v>
      </c>
      <c r="L103" s="128">
        <v>1.1000000000000001</v>
      </c>
      <c r="M103" s="128">
        <v>1.1100000000000001</v>
      </c>
      <c r="N103" s="128">
        <v>1.1200000000000001</v>
      </c>
      <c r="O103" s="128">
        <v>1.1299999999999999</v>
      </c>
      <c r="P103" s="128">
        <v>1.1399999999999999</v>
      </c>
      <c r="Q103" s="128">
        <v>1.1499999999999999</v>
      </c>
      <c r="R103" s="128">
        <v>1.1599999999999999</v>
      </c>
      <c r="S103" s="128">
        <v>1.17</v>
      </c>
      <c r="T103" s="128">
        <v>1.18</v>
      </c>
      <c r="U103" s="128">
        <v>1.19</v>
      </c>
      <c r="V103" s="128">
        <v>1.2</v>
      </c>
      <c r="W103" s="128">
        <v>1.21</v>
      </c>
      <c r="X103" s="128">
        <v>1.22</v>
      </c>
      <c r="Y103" s="128">
        <v>1.23</v>
      </c>
      <c r="Z103" s="128">
        <v>1.24</v>
      </c>
      <c r="AA103" s="128">
        <v>1.25</v>
      </c>
      <c r="AB103" s="128">
        <v>1.26</v>
      </c>
      <c r="AC103" s="128">
        <v>1.27</v>
      </c>
      <c r="AD103" s="128">
        <v>1.28</v>
      </c>
      <c r="AE103" s="128">
        <v>1.29</v>
      </c>
      <c r="AF103" s="128">
        <v>1.3</v>
      </c>
      <c r="AG103" s="128">
        <v>1.31</v>
      </c>
      <c r="AH103" s="128">
        <v>1.32</v>
      </c>
      <c r="AI103" s="128">
        <v>1.33</v>
      </c>
      <c r="AJ103" s="128">
        <v>1.34</v>
      </c>
      <c r="AK103" s="128">
        <v>1.35</v>
      </c>
      <c r="AL103" s="128">
        <v>1.36</v>
      </c>
      <c r="AM103" s="128">
        <v>1.37</v>
      </c>
      <c r="AN103" s="128">
        <v>1.38</v>
      </c>
      <c r="AO103" s="128">
        <v>1.39</v>
      </c>
      <c r="AP103" s="128">
        <v>1.4</v>
      </c>
      <c r="AQ103" s="128">
        <v>1.41</v>
      </c>
      <c r="AR103" s="128">
        <v>1.42</v>
      </c>
      <c r="AS103" s="128">
        <v>1.43</v>
      </c>
      <c r="AT103" s="128">
        <v>1.44</v>
      </c>
      <c r="AU103" s="128">
        <v>1.45</v>
      </c>
      <c r="AV103" s="128">
        <v>1.46</v>
      </c>
      <c r="AW103" s="128">
        <v>1.47</v>
      </c>
      <c r="AX103" s="128">
        <v>1.48</v>
      </c>
      <c r="AY103" s="128">
        <v>1.49</v>
      </c>
      <c r="AZ103" s="128">
        <v>1.5</v>
      </c>
      <c r="BA103" s="128">
        <v>1.51</v>
      </c>
      <c r="BB103" s="128">
        <v>1.52</v>
      </c>
      <c r="BC103" s="128">
        <v>1.53</v>
      </c>
      <c r="BD103" s="128">
        <v>1.54</v>
      </c>
      <c r="BE103" s="128">
        <v>1.55</v>
      </c>
      <c r="BF103" s="128">
        <v>1.56</v>
      </c>
      <c r="BG103" s="128">
        <v>1.57</v>
      </c>
      <c r="BH103" s="128">
        <v>1.58</v>
      </c>
      <c r="BI103" s="128">
        <v>1.59</v>
      </c>
      <c r="BJ103" s="128">
        <v>1.6</v>
      </c>
      <c r="BK103" s="128">
        <v>1.61</v>
      </c>
      <c r="BL103" s="128">
        <v>1.62</v>
      </c>
      <c r="BM103" s="128">
        <v>1.63</v>
      </c>
      <c r="BN103" s="128">
        <v>1.64</v>
      </c>
      <c r="BO103" s="128">
        <v>1.65</v>
      </c>
      <c r="BP103" s="128">
        <v>1.66</v>
      </c>
      <c r="BQ103" s="128">
        <v>1.67</v>
      </c>
      <c r="BR103" s="128">
        <v>1.68</v>
      </c>
      <c r="BS103" s="128">
        <v>1.69</v>
      </c>
      <c r="BT103" s="128">
        <v>1.7</v>
      </c>
      <c r="BU103" s="128">
        <v>1.71</v>
      </c>
      <c r="BV103" s="128">
        <v>1.72</v>
      </c>
      <c r="BW103" s="128">
        <v>1.73</v>
      </c>
      <c r="BX103" s="128">
        <v>1.74</v>
      </c>
      <c r="BY103" s="128">
        <v>1.75</v>
      </c>
      <c r="BZ103" s="128">
        <v>1.76</v>
      </c>
      <c r="CA103" s="128">
        <v>1.77</v>
      </c>
      <c r="CB103" s="128">
        <v>1.78</v>
      </c>
      <c r="CC103" s="128">
        <v>1.79</v>
      </c>
      <c r="CD103" s="128">
        <v>1.8</v>
      </c>
      <c r="CE103" s="128">
        <v>1.81</v>
      </c>
      <c r="CF103" s="128">
        <v>1.82</v>
      </c>
      <c r="CG103" s="128">
        <v>1.83</v>
      </c>
      <c r="CH103" s="128">
        <v>1.84</v>
      </c>
      <c r="CI103" s="128">
        <v>1.85</v>
      </c>
      <c r="CJ103" s="128">
        <v>1.86</v>
      </c>
      <c r="CK103" s="128">
        <v>1.87</v>
      </c>
      <c r="CL103" s="128">
        <v>1.88</v>
      </c>
      <c r="CM103" s="128">
        <v>1.89</v>
      </c>
      <c r="CN103" s="128">
        <v>1.9</v>
      </c>
      <c r="CO103" s="128">
        <v>1.91</v>
      </c>
      <c r="CP103" s="128">
        <v>1.92</v>
      </c>
      <c r="CQ103" s="128">
        <v>1.93</v>
      </c>
      <c r="CR103" s="128">
        <v>1.94</v>
      </c>
      <c r="CS103" s="128">
        <v>1.95</v>
      </c>
      <c r="CT103" s="128">
        <v>1.96</v>
      </c>
      <c r="CU103" s="128">
        <v>1.97</v>
      </c>
      <c r="CV103" s="128">
        <v>1.98</v>
      </c>
      <c r="CW103" s="128">
        <v>1.99</v>
      </c>
      <c r="CX103" s="128">
        <v>2</v>
      </c>
      <c r="CZ103" s="126">
        <f>SUMIF(MatrixF1[[1]:[2]],MatrixF1[[#This Row],[Столбец1]])/MatrixF1[[#This Row],[Столбец1]]</f>
        <v>1</v>
      </c>
    </row>
    <row r="105" spans="1:104" s="126" customFormat="1" ht="21" customHeight="1" x14ac:dyDescent="0.25">
      <c r="B105" s="126">
        <f>SUMIF(MatrixF1[[1]:[2]],MatrixF1[[#Headers],[1]])/MatrixF1[[#Headers],[1]]</f>
        <v>201</v>
      </c>
      <c r="C105" s="126">
        <f>SUMIF(MatrixF1[[1]:[2]],MatrixF1[[#Headers],[1,01]])/MatrixF1[[#Headers],[1,01]]</f>
        <v>137.00000000000017</v>
      </c>
      <c r="D105" s="126">
        <f>SUMIF(MatrixF1[[1]:[2]],MatrixF1[[#Headers],[1,02]])/MatrixF1[[#Headers],[1,02]]</f>
        <v>145.00000000000003</v>
      </c>
      <c r="E105" s="126">
        <f>SUMIF(MatrixF1[[1]:[2]],MatrixF1[[#Headers],[1,03]])/MatrixF1[[#Headers],[1,03]]</f>
        <v>157.00000000000014</v>
      </c>
      <c r="F105" s="126">
        <f>SUMIF(MatrixF1[[1]:[2]],MatrixF1[[#Headers],[1,04]])/MatrixF1[[#Headers],[1,04]]</f>
        <v>153.00000000000011</v>
      </c>
      <c r="G105" s="126">
        <f>SUMIF(MatrixF1[[1]:[2]],MatrixF1[[#Headers],[1,05]])/MatrixF1[[#Headers],[1,05]]</f>
        <v>161.0000000000002</v>
      </c>
      <c r="H105" s="126">
        <f>SUMIF(MatrixF1[[1]:[2]],MatrixF1[[#Headers],[1,06]])/MatrixF1[[#Headers],[1,06]]</f>
        <v>149.00000000000023</v>
      </c>
      <c r="I105" s="126">
        <f>SUMIF(MatrixF1[[1]:[2]],MatrixF1[[#Headers],[1,07]])/MatrixF1[[#Headers],[1,07]]</f>
        <v>158.99999999999937</v>
      </c>
      <c r="J105" s="126">
        <f>SUMIF(MatrixF1[[1]:[2]],MatrixF1[[#Headers],[1,08]])/MatrixF1[[#Headers],[1,08]]</f>
        <v>155.00000000000026</v>
      </c>
      <c r="K105" s="126">
        <f>SUMIF(MatrixF1[[1]:[2]],MatrixF1[[#Headers],[1,09]])/MatrixF1[[#Headers],[1,09]]</f>
        <v>159.00000000000037</v>
      </c>
      <c r="L105" s="126">
        <f>SUMIF(MatrixF1[[1]:[2]],MatrixF1[[#Headers],[1,1]])/MatrixF1[[#Headers],[1,1]]</f>
        <v>158.99999999999952</v>
      </c>
      <c r="M105" s="126">
        <f>SUMIF(MatrixF1[[1]:[2]],MatrixF1[[#Headers],[1,11]])/MatrixF1[[#Headers],[1,11]]</f>
        <v>163.00000000000054</v>
      </c>
      <c r="N105" s="126">
        <f>SUMIF(MatrixF1[[1]:[2]],MatrixF1[[#Headers],[1,12]])/MatrixF1[[#Headers],[1,12]]</f>
        <v>165.00000000000037</v>
      </c>
      <c r="O105" s="126">
        <f>SUMIF(MatrixF1[[1]:[2]],MatrixF1[[#Headers],[1,13]])/MatrixF1[[#Headers],[1,13]]</f>
        <v>152.99999999999969</v>
      </c>
      <c r="P105" s="126">
        <f>SUMIF(MatrixF1[[1]:[2]],MatrixF1[[#Headers],[1,14]])/MatrixF1[[#Headers],[1,14]]</f>
        <v>164.99999999999943</v>
      </c>
      <c r="Q105" s="126">
        <f>SUMIF(MatrixF1[[1]:[2]],MatrixF1[[#Headers],[1,15]])/MatrixF1[[#Headers],[1,15]]</f>
        <v>163.00000000000048</v>
      </c>
      <c r="R105" s="126">
        <f>SUMIF(MatrixF1[[1]:[2]],MatrixF1[[#Headers],[1,16]])/MatrixF1[[#Headers],[1,16]]</f>
        <v>166.99999999999963</v>
      </c>
      <c r="S105" s="126">
        <f>SUMIF(MatrixF1[[1]:[2]],MatrixF1[[#Headers],[1,17]])/MatrixF1[[#Headers],[1,17]]</f>
        <v>150.99999999999972</v>
      </c>
      <c r="T105" s="126">
        <f>SUMIF(MatrixF1[[1]:[2]],MatrixF1[[#Headers],[1,18]])/MatrixF1[[#Headers],[1,18]]</f>
        <v>165.00000000000063</v>
      </c>
      <c r="U105" s="126">
        <f>SUMIF(MatrixF1[[1]:[2]],MatrixF1[[#Headers],[1,19]])/MatrixF1[[#Headers],[1,19]]</f>
        <v>162.99999999999977</v>
      </c>
      <c r="V105" s="126">
        <f>SUMIF(MatrixF1[[1]:[2]],MatrixF1[[#Headers],[1,2]])/MatrixF1[[#Headers],[1,2]]</f>
        <v>162.99999999999966</v>
      </c>
      <c r="W105" s="126">
        <f>SUMIF(MatrixF1[[1]:[2]],MatrixF1[[#Headers],[1,21]])/MatrixF1[[#Headers],[1,21]]</f>
        <v>159.00000000000011</v>
      </c>
      <c r="X105" s="126">
        <f>SUMIF(MatrixF1[[1]:[2]],MatrixF1[[#Headers],[1,22]])/MatrixF1[[#Headers],[1,22]]</f>
        <v>168.99999999999986</v>
      </c>
      <c r="Y105" s="126">
        <f>SUMIF(MatrixF1[[1]:[2]],MatrixF1[[#Headers],[1,23]])/MatrixF1[[#Headers],[1,23]]</f>
        <v>158.99999999999966</v>
      </c>
      <c r="Z105" s="126">
        <f>SUMIF(MatrixF1[[1]:[2]],MatrixF1[[#Headers],[1,24]])/MatrixF1[[#Headers],[1,24]]</f>
        <v>169.00000000000031</v>
      </c>
      <c r="AA105" s="126">
        <f>SUMIF(MatrixF1[[1]:[2]],MatrixF1[[#Headers],[1,25]])/MatrixF1[[#Headers],[1,25]]</f>
        <v>151</v>
      </c>
      <c r="AB105" s="126">
        <f>SUMIF(MatrixF1[[1]:[2]],MatrixF1[[#Headers],[1,26]])/MatrixF1[[#Headers],[1,26]]</f>
        <v>164.99999999999974</v>
      </c>
      <c r="AC105" s="126">
        <f>SUMIF(MatrixF1[[1]:[2]],MatrixF1[[#Headers],[1,27]])/MatrixF1[[#Headers],[1,27]]</f>
        <v>161.00000000000037</v>
      </c>
      <c r="AD105" s="126">
        <f>SUMIF(MatrixF1[[1]:[2]],MatrixF1[[#Headers],[1,28]])/MatrixF1[[#Headers],[1,28]]</f>
        <v>161.00000000000011</v>
      </c>
      <c r="AE105" s="126">
        <f>SUMIF(MatrixF1[[1]:[2]],MatrixF1[[#Headers],[1,29]])/MatrixF1[[#Headers],[1,29]]</f>
        <v>162.99999999999983</v>
      </c>
      <c r="AF105" s="126">
        <f>SUMIF(MatrixF1[[1]:[2]],MatrixF1[[#Headers],[1,3]])/MatrixF1[[#Headers],[1,3]]</f>
        <v>157.00000000000037</v>
      </c>
      <c r="AG105" s="126">
        <f>SUMIF(MatrixF1[[1]:[2]],MatrixF1[[#Headers],[1,31]])/MatrixF1[[#Headers],[1,31]]</f>
        <v>155.0000000000002</v>
      </c>
      <c r="AH105" s="126">
        <f>SUMIF(MatrixF1[[1]:[2]],MatrixF1[[#Headers],[1,32]])/MatrixF1[[#Headers],[1,32]]</f>
        <v>158.99999999999943</v>
      </c>
      <c r="AI105" s="126">
        <f>SUMIF(MatrixF1[[1]:[2]],MatrixF1[[#Headers],[1,33]])/MatrixF1[[#Headers],[1,33]]</f>
        <v>159.00000000000048</v>
      </c>
      <c r="AJ105" s="126">
        <f>SUMIF(MatrixF1[[1]:[2]],MatrixF1[[#Headers],[1,34]])/MatrixF1[[#Headers],[1,34]]</f>
        <v>153.00000000000031</v>
      </c>
      <c r="AK105" s="126">
        <f>SUMIF(MatrixF1[[1]:[2]],MatrixF1[[#Headers],[1,35]])/MatrixF1[[#Headers],[1,35]]</f>
        <v>154.99999999999957</v>
      </c>
      <c r="AL105" s="126">
        <f>SUMIF(MatrixF1[[1]:[2]],MatrixF1[[#Headers],[1,36]])/MatrixF1[[#Headers],[1,36]]</f>
        <v>149.00000000000051</v>
      </c>
      <c r="AM105" s="126">
        <f>SUMIF(MatrixF1[[1]:[2]],MatrixF1[[#Headers],[1,37]])/MatrixF1[[#Headers],[1,37]]</f>
        <v>143.00000000000028</v>
      </c>
      <c r="AN105" s="126">
        <f>SUMIF(MatrixF1[[1]:[2]],MatrixF1[[#Headers],[1,38]])/MatrixF1[[#Headers],[1,38]]</f>
        <v>150.99999999999969</v>
      </c>
      <c r="AO105" s="126">
        <f>SUMIF(MatrixF1[[1]:[2]],MatrixF1[[#Headers],[1,39]])/MatrixF1[[#Headers],[1,39]]</f>
        <v>142.99999999999955</v>
      </c>
      <c r="AP105" s="126">
        <f>SUMIF(MatrixF1[[1]:[2]],MatrixF1[[#Headers],[1,4]])/MatrixF1[[#Headers],[1,4]]</f>
        <v>147.00000000000037</v>
      </c>
      <c r="AQ105" s="126">
        <f>SUMIF(MatrixF1[[1]:[2]],MatrixF1[[#Headers],[1,41]])/MatrixF1[[#Headers],[1,41]]</f>
        <v>138.99999999999974</v>
      </c>
      <c r="AR105" s="126">
        <f>SUMIF(MatrixF1[[1]:[2]],MatrixF1[[#Headers],[1,42]])/MatrixF1[[#Headers],[1,42]]</f>
        <v>132.99999999999972</v>
      </c>
      <c r="AS105" s="126">
        <f>SUMIF(MatrixF1[[1]:[2]],MatrixF1[[#Headers],[1,43]])/MatrixF1[[#Headers],[1,43]]</f>
        <v>137.00000000000045</v>
      </c>
      <c r="AT105" s="126">
        <f>SUMIF(MatrixF1[[1]:[2]],MatrixF1[[#Headers],[1,44]])/MatrixF1[[#Headers],[1,44]]</f>
        <v>126.99999999999986</v>
      </c>
      <c r="AU105" s="126">
        <f>SUMIF(MatrixF1[[1]:[2]],MatrixF1[[#Headers],[1,45]])/MatrixF1[[#Headers],[1,45]]</f>
        <v>126.99999999999982</v>
      </c>
      <c r="AV105" s="126">
        <f>SUMIF(MatrixF1[[1]:[2]],MatrixF1[[#Headers],[1,46]])/MatrixF1[[#Headers],[1,46]]</f>
        <v>123.00000000000003</v>
      </c>
      <c r="AW105" s="126">
        <f>SUMIF(MatrixF1[[1]:[2]],MatrixF1[[#Headers],[1,47]])/MatrixF1[[#Headers],[1,47]]</f>
        <v>116.99999999999993</v>
      </c>
      <c r="AX105" s="126">
        <f>SUMIF(MatrixF1[[1]:[2]],MatrixF1[[#Headers],[1,48]])/MatrixF1[[#Headers],[1,48]]</f>
        <v>110.9999999999999</v>
      </c>
      <c r="AY105" s="126">
        <f>SUMIF(MatrixF1[[1]:[2]],MatrixF1[[#Headers],[1,49]])/MatrixF1[[#Headers],[1,49]]</f>
        <v>105</v>
      </c>
      <c r="AZ105" s="126">
        <f>SUMIF(MatrixF1[[1]:[2]],MatrixF1[[#Headers],[1,5]])/MatrixF1[[#Headers],[1,5]]</f>
        <v>101</v>
      </c>
      <c r="BA105" s="126">
        <f>SUMIF(MatrixF1[[1]:[2]],MatrixF1[[#Headers],[1,51]])/MatrixF1[[#Headers],[1,51]]</f>
        <v>99.000000000000043</v>
      </c>
      <c r="BB105" s="126">
        <f>SUMIF(MatrixF1[[1]:[2]],MatrixF1[[#Headers],[1,52]])/MatrixF1[[#Headers],[1,52]]</f>
        <v>97.000000000000014</v>
      </c>
      <c r="BC105" s="126">
        <f>SUMIF(MatrixF1[[1]:[2]],MatrixF1[[#Headers],[1,53]])/MatrixF1[[#Headers],[1,53]]</f>
        <v>95.000000000000057</v>
      </c>
      <c r="BD105" s="126">
        <f>SUMIF(MatrixF1[[1]:[2]],MatrixF1[[#Headers],[1,54]])/MatrixF1[[#Headers],[1,54]]</f>
        <v>93.000000000000114</v>
      </c>
      <c r="BE105" s="126">
        <f>SUMIF(MatrixF1[[1]:[2]],MatrixF1[[#Headers],[1,55]])/MatrixF1[[#Headers],[1,55]]</f>
        <v>90.999999999999943</v>
      </c>
      <c r="BF105" s="126">
        <f>SUMIF(MatrixF1[[1]:[2]],MatrixF1[[#Headers],[1,56]])/MatrixF1[[#Headers],[1,56]]</f>
        <v>89.000000000000085</v>
      </c>
      <c r="BG105" s="126">
        <f>SUMIF(MatrixF1[[1]:[2]],MatrixF1[[#Headers],[1,57]])/MatrixF1[[#Headers],[1,57]]</f>
        <v>86.999999999999801</v>
      </c>
      <c r="BH105" s="126">
        <f>SUMIF(MatrixF1[[1]:[2]],MatrixF1[[#Headers],[1,58]])/MatrixF1[[#Headers],[1,58]]</f>
        <v>84.999999999999943</v>
      </c>
      <c r="BI105" s="126">
        <f>SUMIF(MatrixF1[[1]:[2]],MatrixF1[[#Headers],[1,59]])/MatrixF1[[#Headers],[1,59]]</f>
        <v>83.000000000000114</v>
      </c>
      <c r="BJ105" s="126">
        <f>SUMIF(MatrixF1[[1]:[2]],MatrixF1[[#Headers],[1,6]])/MatrixF1[[#Headers],[1,6]]</f>
        <v>80.999999999999872</v>
      </c>
      <c r="BK105" s="126">
        <f>SUMIF(MatrixF1[[1]:[2]],MatrixF1[[#Headers],[1,61]])/MatrixF1[[#Headers],[1,61]]</f>
        <v>78.999999999999972</v>
      </c>
      <c r="BL105" s="126">
        <f>SUMIF(MatrixF1[[1]:[2]],MatrixF1[[#Headers],[1,62]])/MatrixF1[[#Headers],[1,62]]</f>
        <v>77.000000000000085</v>
      </c>
      <c r="BM105" s="126">
        <f>SUMIF(MatrixF1[[1]:[2]],MatrixF1[[#Headers],[1,63]])/MatrixF1[[#Headers],[1,63]]</f>
        <v>74.999999999999929</v>
      </c>
      <c r="BN105" s="126">
        <f>SUMIF(MatrixF1[[1]:[2]],MatrixF1[[#Headers],[1,64]])/MatrixF1[[#Headers],[1,64]]</f>
        <v>73.000000000000014</v>
      </c>
      <c r="BO105" s="126">
        <f>SUMIF(MatrixF1[[1]:[2]],MatrixF1[[#Headers],[1,65]])/MatrixF1[[#Headers],[1,65]]</f>
        <v>71.000000000000099</v>
      </c>
      <c r="BP105" s="126">
        <f>SUMIF(MatrixF1[[1]:[2]],MatrixF1[[#Headers],[1,66]])/MatrixF1[[#Headers],[1,66]]</f>
        <v>68.999999999999901</v>
      </c>
      <c r="BQ105" s="126">
        <f>SUMIF(MatrixF1[[1]:[2]],MatrixF1[[#Headers],[1,67]])/MatrixF1[[#Headers],[1,67]]</f>
        <v>67.000000000000057</v>
      </c>
      <c r="BR105" s="126">
        <f>SUMIF(MatrixF1[[1]:[2]],MatrixF1[[#Headers],[1,68]])/MatrixF1[[#Headers],[1,68]]</f>
        <v>65.000000000000099</v>
      </c>
      <c r="BS105" s="126">
        <f>SUMIF(MatrixF1[[1]:[2]],MatrixF1[[#Headers],[1,69]])/MatrixF1[[#Headers],[1,69]]</f>
        <v>62.99999999999995</v>
      </c>
      <c r="BT105" s="126">
        <f>SUMIF(MatrixF1[[1]:[2]],MatrixF1[[#Headers],[1,7]])/MatrixF1[[#Headers],[1,7]]</f>
        <v>61.000000000000064</v>
      </c>
      <c r="BU105" s="126">
        <f>SUMIF(MatrixF1[[1]:[2]],MatrixF1[[#Headers],[1,71]])/MatrixF1[[#Headers],[1,71]]</f>
        <v>58.999999999999936</v>
      </c>
      <c r="BV105" s="126">
        <f>SUMIF(MatrixF1[[1]:[2]],MatrixF1[[#Headers],[1,72]])/MatrixF1[[#Headers],[1,72]]</f>
        <v>56.999999999999972</v>
      </c>
      <c r="BW105" s="126">
        <f>SUMIF(MatrixF1[[1]:[2]],MatrixF1[[#Headers],[1,73]])/MatrixF1[[#Headers],[1,73]]</f>
        <v>55.000000000000014</v>
      </c>
      <c r="BX105" s="126">
        <f>SUMIF(MatrixF1[[1]:[2]],MatrixF1[[#Headers],[1,74]])/MatrixF1[[#Headers],[1,74]]</f>
        <v>52.999999999999964</v>
      </c>
      <c r="BY105" s="126">
        <f>SUMIF(MatrixF1[[1]:[2]],MatrixF1[[#Headers],[1,75]])/MatrixF1[[#Headers],[1,75]]</f>
        <v>51</v>
      </c>
      <c r="BZ105" s="126">
        <f>SUMIF(MatrixF1[[1]:[2]],MatrixF1[[#Headers],[1,76]])/MatrixF1[[#Headers],[1,76]]</f>
        <v>49.000000000000021</v>
      </c>
      <c r="CA105" s="126">
        <f>SUMIF(MatrixF1[[1]:[2]],MatrixF1[[#Headers],[1,77]])/MatrixF1[[#Headers],[1,77]]</f>
        <v>47.000000000000007</v>
      </c>
      <c r="CB105" s="126">
        <f>SUMIF(MatrixF1[[1]:[2]],MatrixF1[[#Headers],[1,78]])/MatrixF1[[#Headers],[1,78]]</f>
        <v>45.000000000000021</v>
      </c>
      <c r="CC105" s="126">
        <f>SUMIF(MatrixF1[[1]:[2]],MatrixF1[[#Headers],[1,79]])/MatrixF1[[#Headers],[1,79]]</f>
        <v>43.000000000000014</v>
      </c>
      <c r="CD105" s="126">
        <f>SUMIF(MatrixF1[[1]:[2]],MatrixF1[[#Headers],[1,8]])/MatrixF1[[#Headers],[1,8]]</f>
        <v>40.999999999999964</v>
      </c>
      <c r="CE105" s="126">
        <f>SUMIF(MatrixF1[[1]:[2]],MatrixF1[[#Headers],[1,81]])/MatrixF1[[#Headers],[1,81]]</f>
        <v>39.000000000000014</v>
      </c>
      <c r="CF105" s="126">
        <f>SUMIF(MatrixF1[[1]:[2]],MatrixF1[[#Headers],[1,82]])/MatrixF1[[#Headers],[1,82]]</f>
        <v>36.999999999999993</v>
      </c>
      <c r="CG105" s="126">
        <f>SUMIF(MatrixF1[[1]:[2]],MatrixF1[[#Headers],[1,83]])/MatrixF1[[#Headers],[1,83]]</f>
        <v>34.999999999999972</v>
      </c>
      <c r="CH105" s="126">
        <f>SUMIF(MatrixF1[[1]:[2]],MatrixF1[[#Headers],[1,84]])/MatrixF1[[#Headers],[1,84]]</f>
        <v>33.000000000000028</v>
      </c>
      <c r="CI105" s="126">
        <f>SUMIF(MatrixF1[[1]:[2]],MatrixF1[[#Headers],[1,85]])/MatrixF1[[#Headers],[1,85]]</f>
        <v>31.000000000000014</v>
      </c>
      <c r="CJ105" s="126">
        <f>SUMIF(MatrixF1[[1]:[2]],MatrixF1[[#Headers],[1,86]])/MatrixF1[[#Headers],[1,86]]</f>
        <v>28.999999999999993</v>
      </c>
      <c r="CK105" s="126">
        <f>SUMIF(MatrixF1[[1]:[2]],MatrixF1[[#Headers],[1,87]])/MatrixF1[[#Headers],[1,87]]</f>
        <v>26.999999999999993</v>
      </c>
      <c r="CL105" s="126">
        <f>SUMIF(MatrixF1[[1]:[2]],MatrixF1[[#Headers],[1,88]])/MatrixF1[[#Headers],[1,88]]</f>
        <v>25.000000000000004</v>
      </c>
      <c r="CM105" s="126">
        <f>SUMIF(MatrixF1[[1]:[2]],MatrixF1[[#Headers],[1,89]])/MatrixF1[[#Headers],[1,89]]</f>
        <v>23.000000000000004</v>
      </c>
      <c r="CN105" s="126">
        <f>SUMIF(MatrixF1[[1]:[2]],MatrixF1[[#Headers],[1,9]])/MatrixF1[[#Headers],[1,9]]</f>
        <v>20.999999999999993</v>
      </c>
      <c r="CO105" s="126">
        <f>SUMIF(MatrixF1[[1]:[2]],MatrixF1[[#Headers],[1,91]])/MatrixF1[[#Headers],[1,91]]</f>
        <v>18.999999999999996</v>
      </c>
      <c r="CP105" s="126">
        <f>SUMIF(MatrixF1[[1]:[2]],MatrixF1[[#Headers],[1,92]])/MatrixF1[[#Headers],[1,92]]</f>
        <v>17.000000000000007</v>
      </c>
      <c r="CQ105" s="126">
        <f>SUMIF(MatrixF1[[1]:[2]],MatrixF1[[#Headers],[1,93]])/MatrixF1[[#Headers],[1,93]]</f>
        <v>15</v>
      </c>
      <c r="CR105" s="126">
        <f>SUMIF(MatrixF1[[1]:[2]],MatrixF1[[#Headers],[1,94]])/MatrixF1[[#Headers],[1,94]]</f>
        <v>13.000000000000002</v>
      </c>
      <c r="CS105" s="126">
        <f>SUMIF(MatrixF1[[1]:[2]],MatrixF1[[#Headers],[1,95]])/MatrixF1[[#Headers],[1,95]]</f>
        <v>10.999999999999998</v>
      </c>
      <c r="CT105" s="126">
        <f>SUMIF(MatrixF1[[1]:[2]],MatrixF1[[#Headers],[1,96]])/MatrixF1[[#Headers],[1,96]]</f>
        <v>9.0000000000000018</v>
      </c>
      <c r="CU105" s="126">
        <f>SUMIF(MatrixF1[[1]:[2]],MatrixF1[[#Headers],[1,97]])/MatrixF1[[#Headers],[1,97]]</f>
        <v>7.0000000000000009</v>
      </c>
      <c r="CV105" s="126">
        <f>SUMIF(MatrixF1[[1]:[2]],MatrixF1[[#Headers],[1,98]])/MatrixF1[[#Headers],[1,98]]</f>
        <v>5</v>
      </c>
      <c r="CW105" s="126">
        <f>SUMIF(MatrixF1[[1]:[2]],MatrixF1[[#Headers],[1,99]])/MatrixF1[[#Headers],[1,99]]</f>
        <v>3</v>
      </c>
      <c r="CX105" s="126">
        <f>SUMIF(MatrixF1[[1]:[2]],MatrixF1[[#Headers],[2]])/MatrixF1[[#Headers],[2]]</f>
        <v>1</v>
      </c>
      <c r="CZ105" s="126">
        <f>SUM(CZ3:CZ103)</f>
        <v>10201</v>
      </c>
    </row>
  </sheetData>
  <mergeCells count="1">
    <mergeCell ref="A1:C1"/>
  </mergeCells>
  <conditionalFormatting sqref="B3:CX103">
    <cfRule type="cellIs" dxfId="11" priority="1" operator="equal">
      <formula>1.57</formula>
    </cfRule>
    <cfRule type="colorScale" priority="2">
      <colorScale>
        <cfvo type="min"/>
        <cfvo type="percentile" val="50"/>
        <cfvo type="max"/>
        <color rgb="FFF8696B"/>
        <color rgb="FFFFEB84"/>
        <color rgb="FF63BE7B"/>
      </colorScale>
    </cfRule>
  </conditionalFormatting>
  <hyperlinks>
    <hyperlink ref="A1:C1" location="Содержание!A1" display="&lt;&lt;НАЗАД" xr:uid="{00000000-0004-0000-0D00-000000000000}"/>
  </hyperlinks>
  <pageMargins left="0.7" right="0.7" top="0.75" bottom="0.75" header="0.3" footer="0.3"/>
  <pageSetup paperSize="9"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711"/>
  <dimension ref="A1:CZ105"/>
  <sheetViews>
    <sheetView zoomScale="205" zoomScaleNormal="205" workbookViewId="0">
      <pane xSplit="1" ySplit="2" topLeftCell="D3" activePane="bottomRight" state="frozen"/>
      <selection pane="topRight" activeCell="B1" sqref="B1"/>
      <selection pane="bottomLeft" activeCell="A3" sqref="A3"/>
      <selection pane="bottomRight" activeCell="E1" sqref="E1:G1"/>
    </sheetView>
  </sheetViews>
  <sheetFormatPr defaultColWidth="4.7109375" defaultRowHeight="21" customHeight="1" x14ac:dyDescent="0.25"/>
  <cols>
    <col min="1" max="103" width="4.7109375" style="2"/>
    <col min="104" max="104" width="4.7109375" style="126" customWidth="1"/>
    <col min="105" max="16384" width="4.7109375" style="2"/>
  </cols>
  <sheetData>
    <row r="1" spans="1:104" ht="21" customHeight="1" x14ac:dyDescent="0.25">
      <c r="A1" s="261" t="s">
        <v>109</v>
      </c>
      <c r="B1" s="261"/>
      <c r="C1" s="261"/>
      <c r="E1" s="205">
        <v>1.57</v>
      </c>
      <c r="F1" s="206" t="s">
        <v>614</v>
      </c>
      <c r="G1" s="205">
        <f>COUNTIF(MatrixF2[[1]:[2]],"="&amp;E1)</f>
        <v>112</v>
      </c>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8">
        <v>1</v>
      </c>
      <c r="C3" s="128">
        <v>1.01</v>
      </c>
      <c r="D3" s="128">
        <v>1.02</v>
      </c>
      <c r="E3" s="128">
        <v>1.03</v>
      </c>
      <c r="F3" s="128">
        <v>1.04</v>
      </c>
      <c r="G3" s="128">
        <v>1.05</v>
      </c>
      <c r="H3" s="128">
        <v>1.06</v>
      </c>
      <c r="I3" s="128">
        <v>1.07</v>
      </c>
      <c r="J3" s="128">
        <v>1.08</v>
      </c>
      <c r="K3" s="128">
        <v>1.0900000000000001</v>
      </c>
      <c r="L3" s="128">
        <v>1.1000000000000001</v>
      </c>
      <c r="M3" s="128">
        <v>1.1100000000000001</v>
      </c>
      <c r="N3" s="128">
        <v>1.1200000000000001</v>
      </c>
      <c r="O3" s="128">
        <v>1.1299999999999999</v>
      </c>
      <c r="P3" s="128">
        <v>1.1399999999999999</v>
      </c>
      <c r="Q3" s="128">
        <v>1.1499999999999999</v>
      </c>
      <c r="R3" s="128">
        <v>1.1599999999999999</v>
      </c>
      <c r="S3" s="128">
        <v>1.17</v>
      </c>
      <c r="T3" s="128">
        <v>1.18</v>
      </c>
      <c r="U3" s="128">
        <v>1.19</v>
      </c>
      <c r="V3" s="128">
        <v>1.2</v>
      </c>
      <c r="W3" s="128">
        <v>1.21</v>
      </c>
      <c r="X3" s="128">
        <v>1.22</v>
      </c>
      <c r="Y3" s="128">
        <v>1.23</v>
      </c>
      <c r="Z3" s="128">
        <v>1.24</v>
      </c>
      <c r="AA3" s="128">
        <v>1.25</v>
      </c>
      <c r="AB3" s="128">
        <v>1.26</v>
      </c>
      <c r="AC3" s="128">
        <v>1.27</v>
      </c>
      <c r="AD3" s="128">
        <v>1.28</v>
      </c>
      <c r="AE3" s="128">
        <v>1.29</v>
      </c>
      <c r="AF3" s="128">
        <v>1.3</v>
      </c>
      <c r="AG3" s="128">
        <v>1.31</v>
      </c>
      <c r="AH3" s="128">
        <v>1.32</v>
      </c>
      <c r="AI3" s="128">
        <v>1.33</v>
      </c>
      <c r="AJ3" s="128">
        <v>1.34</v>
      </c>
      <c r="AK3" s="128">
        <v>1.35</v>
      </c>
      <c r="AL3" s="128">
        <v>1.36</v>
      </c>
      <c r="AM3" s="128">
        <v>1.37</v>
      </c>
      <c r="AN3" s="128">
        <v>1.38</v>
      </c>
      <c r="AO3" s="128">
        <v>1.39</v>
      </c>
      <c r="AP3" s="128">
        <v>1.4</v>
      </c>
      <c r="AQ3" s="128">
        <v>1.41</v>
      </c>
      <c r="AR3" s="128">
        <v>1.42</v>
      </c>
      <c r="AS3" s="128">
        <v>1.43</v>
      </c>
      <c r="AT3" s="128">
        <v>1.44</v>
      </c>
      <c r="AU3" s="128">
        <v>1.45</v>
      </c>
      <c r="AV3" s="128">
        <v>1.46</v>
      </c>
      <c r="AW3" s="128">
        <v>1.47</v>
      </c>
      <c r="AX3" s="128">
        <v>1.48</v>
      </c>
      <c r="AY3" s="128">
        <v>1.49</v>
      </c>
      <c r="AZ3" s="128">
        <v>1.5</v>
      </c>
      <c r="BA3" s="128">
        <v>1.51</v>
      </c>
      <c r="BB3" s="128">
        <v>1.52</v>
      </c>
      <c r="BC3" s="128">
        <v>1.53</v>
      </c>
      <c r="BD3" s="128">
        <v>1.54</v>
      </c>
      <c r="BE3" s="128">
        <v>1.55</v>
      </c>
      <c r="BF3" s="128">
        <v>1.56</v>
      </c>
      <c r="BG3" s="128">
        <v>1.57</v>
      </c>
      <c r="BH3" s="128">
        <v>1.58</v>
      </c>
      <c r="BI3" s="128">
        <v>1.59</v>
      </c>
      <c r="BJ3" s="128">
        <v>1.6</v>
      </c>
      <c r="BK3" s="128">
        <v>1.61</v>
      </c>
      <c r="BL3" s="128">
        <v>1.62</v>
      </c>
      <c r="BM3" s="128">
        <v>1.63</v>
      </c>
      <c r="BN3" s="128">
        <v>1.64</v>
      </c>
      <c r="BO3" s="128">
        <v>1.65</v>
      </c>
      <c r="BP3" s="128">
        <v>1.66</v>
      </c>
      <c r="BQ3" s="128">
        <v>1.67</v>
      </c>
      <c r="BR3" s="128">
        <v>1.68</v>
      </c>
      <c r="BS3" s="128">
        <v>1.69</v>
      </c>
      <c r="BT3" s="128">
        <v>1.7</v>
      </c>
      <c r="BU3" s="128">
        <v>1.71</v>
      </c>
      <c r="BV3" s="128">
        <v>1.72</v>
      </c>
      <c r="BW3" s="128">
        <v>1.73</v>
      </c>
      <c r="BX3" s="128">
        <v>1.74</v>
      </c>
      <c r="BY3" s="128">
        <v>1.75</v>
      </c>
      <c r="BZ3" s="128">
        <v>1.76</v>
      </c>
      <c r="CA3" s="128">
        <v>1.77</v>
      </c>
      <c r="CB3" s="128">
        <v>1.78</v>
      </c>
      <c r="CC3" s="128">
        <v>1.79</v>
      </c>
      <c r="CD3" s="128">
        <v>1.8</v>
      </c>
      <c r="CE3" s="128">
        <v>1.81</v>
      </c>
      <c r="CF3" s="128">
        <v>1.82</v>
      </c>
      <c r="CG3" s="128">
        <v>1.83</v>
      </c>
      <c r="CH3" s="128">
        <v>1.84</v>
      </c>
      <c r="CI3" s="128">
        <v>1.85</v>
      </c>
      <c r="CJ3" s="128">
        <v>1.86</v>
      </c>
      <c r="CK3" s="128">
        <v>1.87</v>
      </c>
      <c r="CL3" s="128">
        <v>1.88</v>
      </c>
      <c r="CM3" s="128">
        <v>1.89</v>
      </c>
      <c r="CN3" s="128">
        <v>1.9</v>
      </c>
      <c r="CO3" s="128">
        <v>1.91</v>
      </c>
      <c r="CP3" s="128">
        <v>1.92</v>
      </c>
      <c r="CQ3" s="128">
        <v>1.93</v>
      </c>
      <c r="CR3" s="128">
        <v>1.94</v>
      </c>
      <c r="CS3" s="128">
        <v>1.95</v>
      </c>
      <c r="CT3" s="128">
        <v>1.96</v>
      </c>
      <c r="CU3" s="128">
        <v>1.97</v>
      </c>
      <c r="CV3" s="128">
        <v>1.98</v>
      </c>
      <c r="CW3" s="128">
        <v>1.99</v>
      </c>
      <c r="CX3" s="128">
        <v>2</v>
      </c>
      <c r="CZ3" s="126">
        <f>SUMIF(MatrixF2[[1]:[2]],MatrixF2[[#This Row],[Столбец1]])/MatrixF2[[#This Row],[Столбец1]]</f>
        <v>101</v>
      </c>
    </row>
    <row r="4" spans="1:104" ht="21" customHeight="1" x14ac:dyDescent="0.25">
      <c r="A4" s="127">
        <v>1.01</v>
      </c>
      <c r="B4" s="128">
        <v>1</v>
      </c>
      <c r="C4" s="128">
        <v>1.01</v>
      </c>
      <c r="D4" s="128">
        <v>1.02</v>
      </c>
      <c r="E4" s="128">
        <v>1.03</v>
      </c>
      <c r="F4" s="128">
        <v>1.04</v>
      </c>
      <c r="G4" s="128">
        <v>1.05</v>
      </c>
      <c r="H4" s="128">
        <v>1.06</v>
      </c>
      <c r="I4" s="128">
        <v>1.07</v>
      </c>
      <c r="J4" s="128">
        <v>1.08</v>
      </c>
      <c r="K4" s="128">
        <v>1.0900000000000001</v>
      </c>
      <c r="L4" s="128">
        <v>1.1000000000000001</v>
      </c>
      <c r="M4" s="128">
        <v>1.1100000000000001</v>
      </c>
      <c r="N4" s="128">
        <v>1.1200000000000001</v>
      </c>
      <c r="O4" s="128">
        <v>1.1299999999999999</v>
      </c>
      <c r="P4" s="128">
        <v>1.1399999999999999</v>
      </c>
      <c r="Q4" s="128">
        <v>1.1499999999999999</v>
      </c>
      <c r="R4" s="128">
        <v>1.1599999999999999</v>
      </c>
      <c r="S4" s="128">
        <v>1.17</v>
      </c>
      <c r="T4" s="128">
        <v>1.18</v>
      </c>
      <c r="U4" s="128">
        <v>1.19</v>
      </c>
      <c r="V4" s="128">
        <v>1.2</v>
      </c>
      <c r="W4" s="128">
        <v>1.21</v>
      </c>
      <c r="X4" s="128">
        <v>1.22</v>
      </c>
      <c r="Y4" s="128">
        <v>1.23</v>
      </c>
      <c r="Z4" s="128">
        <v>1.24</v>
      </c>
      <c r="AA4" s="128">
        <v>1.25</v>
      </c>
      <c r="AB4" s="128">
        <v>1.26</v>
      </c>
      <c r="AC4" s="128">
        <v>1.27</v>
      </c>
      <c r="AD4" s="128">
        <v>1.28</v>
      </c>
      <c r="AE4" s="128">
        <v>1.29</v>
      </c>
      <c r="AF4" s="128">
        <v>1.3</v>
      </c>
      <c r="AG4" s="128">
        <v>1.31</v>
      </c>
      <c r="AH4" s="128">
        <v>1.32</v>
      </c>
      <c r="AI4" s="128">
        <v>1.33</v>
      </c>
      <c r="AJ4" s="128">
        <v>1.34</v>
      </c>
      <c r="AK4" s="128">
        <v>1.35</v>
      </c>
      <c r="AL4" s="128">
        <v>1.36</v>
      </c>
      <c r="AM4" s="128">
        <v>1.37</v>
      </c>
      <c r="AN4" s="128">
        <v>1.38</v>
      </c>
      <c r="AO4" s="128">
        <v>1.39</v>
      </c>
      <c r="AP4" s="128">
        <v>1.4</v>
      </c>
      <c r="AQ4" s="128">
        <v>1.41</v>
      </c>
      <c r="AR4" s="128">
        <v>1.42</v>
      </c>
      <c r="AS4" s="128">
        <v>1.43</v>
      </c>
      <c r="AT4" s="128">
        <v>1.44</v>
      </c>
      <c r="AU4" s="128">
        <v>1.45</v>
      </c>
      <c r="AV4" s="128">
        <v>1.46</v>
      </c>
      <c r="AW4" s="128">
        <v>1.47</v>
      </c>
      <c r="AX4" s="128">
        <v>1.48</v>
      </c>
      <c r="AY4" s="128">
        <v>1.49</v>
      </c>
      <c r="AZ4" s="128">
        <v>1.5</v>
      </c>
      <c r="BA4" s="128">
        <v>1.51</v>
      </c>
      <c r="BB4" s="128">
        <v>1.52</v>
      </c>
      <c r="BC4" s="128">
        <v>1.53</v>
      </c>
      <c r="BD4" s="128">
        <v>1.54</v>
      </c>
      <c r="BE4" s="128">
        <v>1.55</v>
      </c>
      <c r="BF4" s="128">
        <v>1.56</v>
      </c>
      <c r="BG4" s="128">
        <v>1.57</v>
      </c>
      <c r="BH4" s="128">
        <v>1.58</v>
      </c>
      <c r="BI4" s="128">
        <v>1.59</v>
      </c>
      <c r="BJ4" s="128">
        <v>1.6</v>
      </c>
      <c r="BK4" s="128">
        <v>1.61</v>
      </c>
      <c r="BL4" s="128">
        <v>1.62</v>
      </c>
      <c r="BM4" s="128">
        <v>1.63</v>
      </c>
      <c r="BN4" s="128">
        <v>1.64</v>
      </c>
      <c r="BO4" s="128">
        <v>1.65</v>
      </c>
      <c r="BP4" s="128">
        <v>1.66</v>
      </c>
      <c r="BQ4" s="128">
        <v>1.67</v>
      </c>
      <c r="BR4" s="128">
        <v>1.68</v>
      </c>
      <c r="BS4" s="128">
        <v>1.69</v>
      </c>
      <c r="BT4" s="128">
        <v>1.7</v>
      </c>
      <c r="BU4" s="128">
        <v>1.71</v>
      </c>
      <c r="BV4" s="128">
        <v>1.72</v>
      </c>
      <c r="BW4" s="128">
        <v>1.73</v>
      </c>
      <c r="BX4" s="128">
        <v>1.74</v>
      </c>
      <c r="BY4" s="128">
        <v>1.75</v>
      </c>
      <c r="BZ4" s="128">
        <v>1.76</v>
      </c>
      <c r="CA4" s="128">
        <v>1.77</v>
      </c>
      <c r="CB4" s="128">
        <v>1.78</v>
      </c>
      <c r="CC4" s="128">
        <v>1.79</v>
      </c>
      <c r="CD4" s="128">
        <v>1.8</v>
      </c>
      <c r="CE4" s="128">
        <v>1.81</v>
      </c>
      <c r="CF4" s="128">
        <v>1.82</v>
      </c>
      <c r="CG4" s="128">
        <v>1.83</v>
      </c>
      <c r="CH4" s="128">
        <v>1.84</v>
      </c>
      <c r="CI4" s="128">
        <v>1.85</v>
      </c>
      <c r="CJ4" s="128">
        <v>1.86</v>
      </c>
      <c r="CK4" s="128">
        <v>1.87</v>
      </c>
      <c r="CL4" s="128">
        <v>1.88</v>
      </c>
      <c r="CM4" s="128">
        <v>1.89</v>
      </c>
      <c r="CN4" s="128">
        <v>1.9</v>
      </c>
      <c r="CO4" s="128">
        <v>1.91</v>
      </c>
      <c r="CP4" s="128">
        <v>1.92</v>
      </c>
      <c r="CQ4" s="128">
        <v>1.93</v>
      </c>
      <c r="CR4" s="128">
        <v>1.94</v>
      </c>
      <c r="CS4" s="128">
        <v>1.95</v>
      </c>
      <c r="CT4" s="128">
        <v>1.96</v>
      </c>
      <c r="CU4" s="128">
        <v>1.97</v>
      </c>
      <c r="CV4" s="128">
        <v>1.98</v>
      </c>
      <c r="CW4" s="128">
        <v>1.99</v>
      </c>
      <c r="CX4" s="128">
        <v>2</v>
      </c>
      <c r="CZ4" s="126">
        <f>SUMIF(MatrixF2[[1]:[2]],MatrixF2[[#This Row],[Столбец1]])/MatrixF2[[#This Row],[Столбец1]]</f>
        <v>69.999999999999986</v>
      </c>
    </row>
    <row r="5" spans="1:104" ht="21" customHeight="1" x14ac:dyDescent="0.25">
      <c r="A5" s="127">
        <v>1.02</v>
      </c>
      <c r="B5" s="128">
        <v>1</v>
      </c>
      <c r="C5" s="128">
        <v>1.01</v>
      </c>
      <c r="D5" s="128">
        <v>1.02</v>
      </c>
      <c r="E5" s="128">
        <v>1.03</v>
      </c>
      <c r="F5" s="128">
        <v>1.04</v>
      </c>
      <c r="G5" s="128">
        <v>1.05</v>
      </c>
      <c r="H5" s="128">
        <v>1.06</v>
      </c>
      <c r="I5" s="128">
        <v>1.07</v>
      </c>
      <c r="J5" s="128">
        <v>1.08</v>
      </c>
      <c r="K5" s="128">
        <v>1.0900000000000001</v>
      </c>
      <c r="L5" s="128">
        <v>1.1000000000000001</v>
      </c>
      <c r="M5" s="128">
        <v>1.1100000000000001</v>
      </c>
      <c r="N5" s="128">
        <v>1.1200000000000001</v>
      </c>
      <c r="O5" s="128">
        <v>1.1299999999999999</v>
      </c>
      <c r="P5" s="128">
        <v>1.1399999999999999</v>
      </c>
      <c r="Q5" s="128">
        <v>1.1499999999999999</v>
      </c>
      <c r="R5" s="128">
        <v>1.1599999999999999</v>
      </c>
      <c r="S5" s="128">
        <v>1.17</v>
      </c>
      <c r="T5" s="128">
        <v>1.18</v>
      </c>
      <c r="U5" s="128">
        <v>1.19</v>
      </c>
      <c r="V5" s="128">
        <v>1.2</v>
      </c>
      <c r="W5" s="128">
        <v>1.21</v>
      </c>
      <c r="X5" s="128">
        <v>1.22</v>
      </c>
      <c r="Y5" s="128">
        <v>1.23</v>
      </c>
      <c r="Z5" s="128">
        <v>1.24</v>
      </c>
      <c r="AA5" s="128">
        <v>1.25</v>
      </c>
      <c r="AB5" s="128">
        <v>1.26</v>
      </c>
      <c r="AC5" s="128">
        <v>1.27</v>
      </c>
      <c r="AD5" s="128">
        <v>1.28</v>
      </c>
      <c r="AE5" s="128">
        <v>1.29</v>
      </c>
      <c r="AF5" s="128">
        <v>1.3</v>
      </c>
      <c r="AG5" s="128">
        <v>1.31</v>
      </c>
      <c r="AH5" s="128">
        <v>1.32</v>
      </c>
      <c r="AI5" s="128">
        <v>1.33</v>
      </c>
      <c r="AJ5" s="128">
        <v>1.34</v>
      </c>
      <c r="AK5" s="128">
        <v>1.35</v>
      </c>
      <c r="AL5" s="128">
        <v>1.36</v>
      </c>
      <c r="AM5" s="128">
        <v>1.37</v>
      </c>
      <c r="AN5" s="128">
        <v>1.38</v>
      </c>
      <c r="AO5" s="128">
        <v>1.39</v>
      </c>
      <c r="AP5" s="128">
        <v>1.4</v>
      </c>
      <c r="AQ5" s="128">
        <v>1.41</v>
      </c>
      <c r="AR5" s="128">
        <v>1.42</v>
      </c>
      <c r="AS5" s="128">
        <v>1.43</v>
      </c>
      <c r="AT5" s="128">
        <v>1.44</v>
      </c>
      <c r="AU5" s="128">
        <v>1.45</v>
      </c>
      <c r="AV5" s="128">
        <v>1.46</v>
      </c>
      <c r="AW5" s="128">
        <v>1.47</v>
      </c>
      <c r="AX5" s="128">
        <v>1.48</v>
      </c>
      <c r="AY5" s="128">
        <v>1.49</v>
      </c>
      <c r="AZ5" s="128">
        <v>1.5</v>
      </c>
      <c r="BA5" s="128">
        <v>1.51</v>
      </c>
      <c r="BB5" s="128">
        <v>1.52</v>
      </c>
      <c r="BC5" s="128">
        <v>1.53</v>
      </c>
      <c r="BD5" s="128">
        <v>1.54</v>
      </c>
      <c r="BE5" s="128">
        <v>1.55</v>
      </c>
      <c r="BF5" s="128">
        <v>1.56</v>
      </c>
      <c r="BG5" s="128">
        <v>1.57</v>
      </c>
      <c r="BH5" s="128">
        <v>1.58</v>
      </c>
      <c r="BI5" s="128">
        <v>1.59</v>
      </c>
      <c r="BJ5" s="128">
        <v>1.6</v>
      </c>
      <c r="BK5" s="128">
        <v>1.61</v>
      </c>
      <c r="BL5" s="128">
        <v>1.62</v>
      </c>
      <c r="BM5" s="128">
        <v>1.63</v>
      </c>
      <c r="BN5" s="128">
        <v>1.64</v>
      </c>
      <c r="BO5" s="128">
        <v>1.65</v>
      </c>
      <c r="BP5" s="128">
        <v>1.66</v>
      </c>
      <c r="BQ5" s="128">
        <v>1.67</v>
      </c>
      <c r="BR5" s="128">
        <v>1.68</v>
      </c>
      <c r="BS5" s="128">
        <v>1.69</v>
      </c>
      <c r="BT5" s="128">
        <v>1.7</v>
      </c>
      <c r="BU5" s="128">
        <v>1.71</v>
      </c>
      <c r="BV5" s="128">
        <v>1.72</v>
      </c>
      <c r="BW5" s="128">
        <v>1.73</v>
      </c>
      <c r="BX5" s="128">
        <v>1.74</v>
      </c>
      <c r="BY5" s="128">
        <v>1.75</v>
      </c>
      <c r="BZ5" s="128">
        <v>1.76</v>
      </c>
      <c r="CA5" s="128">
        <v>1.77</v>
      </c>
      <c r="CB5" s="128">
        <v>1.78</v>
      </c>
      <c r="CC5" s="128">
        <v>1.79</v>
      </c>
      <c r="CD5" s="128">
        <v>1.8</v>
      </c>
      <c r="CE5" s="128">
        <v>1.81</v>
      </c>
      <c r="CF5" s="128">
        <v>1.82</v>
      </c>
      <c r="CG5" s="128">
        <v>1.83</v>
      </c>
      <c r="CH5" s="128">
        <v>1.84</v>
      </c>
      <c r="CI5" s="128">
        <v>1.85</v>
      </c>
      <c r="CJ5" s="128">
        <v>1.86</v>
      </c>
      <c r="CK5" s="128">
        <v>1.87</v>
      </c>
      <c r="CL5" s="128">
        <v>1.88</v>
      </c>
      <c r="CM5" s="128">
        <v>1.89</v>
      </c>
      <c r="CN5" s="128">
        <v>1.9</v>
      </c>
      <c r="CO5" s="128">
        <v>1.91</v>
      </c>
      <c r="CP5" s="128">
        <v>1.92</v>
      </c>
      <c r="CQ5" s="128">
        <v>1.93</v>
      </c>
      <c r="CR5" s="128">
        <v>1.94</v>
      </c>
      <c r="CS5" s="128">
        <v>1.95</v>
      </c>
      <c r="CT5" s="128">
        <v>1.96</v>
      </c>
      <c r="CU5" s="128">
        <v>1.97</v>
      </c>
      <c r="CV5" s="128">
        <v>1.98</v>
      </c>
      <c r="CW5" s="128">
        <v>1.99</v>
      </c>
      <c r="CX5" s="128">
        <v>2</v>
      </c>
      <c r="CZ5" s="126">
        <f>SUMIF(MatrixF2[[1]:[2]],MatrixF2[[#This Row],[Столбец1]])/MatrixF2[[#This Row],[Столбец1]]</f>
        <v>75.000000000000043</v>
      </c>
    </row>
    <row r="6" spans="1:104" ht="21" customHeight="1" x14ac:dyDescent="0.25">
      <c r="A6" s="127">
        <v>1.03</v>
      </c>
      <c r="B6" s="128">
        <v>1</v>
      </c>
      <c r="C6" s="128">
        <v>1.01</v>
      </c>
      <c r="D6" s="128">
        <v>1.02</v>
      </c>
      <c r="E6" s="128">
        <v>1.03</v>
      </c>
      <c r="F6" s="128">
        <v>1.04</v>
      </c>
      <c r="G6" s="128">
        <v>1.05</v>
      </c>
      <c r="H6" s="128">
        <v>1.06</v>
      </c>
      <c r="I6" s="128">
        <v>1.07</v>
      </c>
      <c r="J6" s="128">
        <v>1.08</v>
      </c>
      <c r="K6" s="128">
        <v>1.0900000000000001</v>
      </c>
      <c r="L6" s="128">
        <v>1.1000000000000001</v>
      </c>
      <c r="M6" s="128">
        <v>1.1100000000000001</v>
      </c>
      <c r="N6" s="128">
        <v>1.1200000000000001</v>
      </c>
      <c r="O6" s="128">
        <v>1.1299999999999999</v>
      </c>
      <c r="P6" s="128">
        <v>1.1399999999999999</v>
      </c>
      <c r="Q6" s="128">
        <v>1.1499999999999999</v>
      </c>
      <c r="R6" s="128">
        <v>1.1599999999999999</v>
      </c>
      <c r="S6" s="128">
        <v>1.17</v>
      </c>
      <c r="T6" s="128">
        <v>1.18</v>
      </c>
      <c r="U6" s="128">
        <v>1.19</v>
      </c>
      <c r="V6" s="128">
        <v>1.2</v>
      </c>
      <c r="W6" s="128">
        <v>1.21</v>
      </c>
      <c r="X6" s="128">
        <v>1.22</v>
      </c>
      <c r="Y6" s="128">
        <v>1.23</v>
      </c>
      <c r="Z6" s="128">
        <v>1.24</v>
      </c>
      <c r="AA6" s="128">
        <v>1.25</v>
      </c>
      <c r="AB6" s="128">
        <v>1.26</v>
      </c>
      <c r="AC6" s="128">
        <v>1.27</v>
      </c>
      <c r="AD6" s="128">
        <v>1.28</v>
      </c>
      <c r="AE6" s="128">
        <v>1.29</v>
      </c>
      <c r="AF6" s="128">
        <v>1.3</v>
      </c>
      <c r="AG6" s="128">
        <v>1.31</v>
      </c>
      <c r="AH6" s="128">
        <v>1.32</v>
      </c>
      <c r="AI6" s="128">
        <v>1.33</v>
      </c>
      <c r="AJ6" s="128">
        <v>1.34</v>
      </c>
      <c r="AK6" s="128">
        <v>1.35</v>
      </c>
      <c r="AL6" s="128">
        <v>1.36</v>
      </c>
      <c r="AM6" s="128">
        <v>1.37</v>
      </c>
      <c r="AN6" s="128">
        <v>1.38</v>
      </c>
      <c r="AO6" s="128">
        <v>1.39</v>
      </c>
      <c r="AP6" s="128">
        <v>1.4</v>
      </c>
      <c r="AQ6" s="128">
        <v>1.41</v>
      </c>
      <c r="AR6" s="128">
        <v>1.42</v>
      </c>
      <c r="AS6" s="128">
        <v>1.43</v>
      </c>
      <c r="AT6" s="128">
        <v>1.44</v>
      </c>
      <c r="AU6" s="128">
        <v>1.45</v>
      </c>
      <c r="AV6" s="128">
        <v>1.46</v>
      </c>
      <c r="AW6" s="128">
        <v>1.47</v>
      </c>
      <c r="AX6" s="128">
        <v>1.48</v>
      </c>
      <c r="AY6" s="128">
        <v>1.49</v>
      </c>
      <c r="AZ6" s="128">
        <v>1.5</v>
      </c>
      <c r="BA6" s="128">
        <v>1.51</v>
      </c>
      <c r="BB6" s="128">
        <v>1.52</v>
      </c>
      <c r="BC6" s="128">
        <v>1.53</v>
      </c>
      <c r="BD6" s="128">
        <v>1.54</v>
      </c>
      <c r="BE6" s="128">
        <v>1.55</v>
      </c>
      <c r="BF6" s="128">
        <v>1.56</v>
      </c>
      <c r="BG6" s="128">
        <v>1.57</v>
      </c>
      <c r="BH6" s="128">
        <v>1.58</v>
      </c>
      <c r="BI6" s="128">
        <v>1.59</v>
      </c>
      <c r="BJ6" s="128">
        <v>1.6</v>
      </c>
      <c r="BK6" s="128">
        <v>1.61</v>
      </c>
      <c r="BL6" s="128">
        <v>1.62</v>
      </c>
      <c r="BM6" s="128">
        <v>1.63</v>
      </c>
      <c r="BN6" s="128">
        <v>1.64</v>
      </c>
      <c r="BO6" s="128">
        <v>1.65</v>
      </c>
      <c r="BP6" s="128">
        <v>1.66</v>
      </c>
      <c r="BQ6" s="128">
        <v>1.67</v>
      </c>
      <c r="BR6" s="128">
        <v>1.68</v>
      </c>
      <c r="BS6" s="128">
        <v>1.69</v>
      </c>
      <c r="BT6" s="128">
        <v>1.7</v>
      </c>
      <c r="BU6" s="128">
        <v>1.71</v>
      </c>
      <c r="BV6" s="128">
        <v>1.72</v>
      </c>
      <c r="BW6" s="128">
        <v>1.73</v>
      </c>
      <c r="BX6" s="128">
        <v>1.74</v>
      </c>
      <c r="BY6" s="128">
        <v>1.75</v>
      </c>
      <c r="BZ6" s="128">
        <v>1.76</v>
      </c>
      <c r="CA6" s="128">
        <v>1.77</v>
      </c>
      <c r="CB6" s="128">
        <v>1.78</v>
      </c>
      <c r="CC6" s="128">
        <v>1.79</v>
      </c>
      <c r="CD6" s="128">
        <v>1.8</v>
      </c>
      <c r="CE6" s="128">
        <v>1.81</v>
      </c>
      <c r="CF6" s="128">
        <v>1.82</v>
      </c>
      <c r="CG6" s="128">
        <v>1.83</v>
      </c>
      <c r="CH6" s="128">
        <v>1.84</v>
      </c>
      <c r="CI6" s="128">
        <v>1.85</v>
      </c>
      <c r="CJ6" s="128">
        <v>1.86</v>
      </c>
      <c r="CK6" s="128">
        <v>1.87</v>
      </c>
      <c r="CL6" s="128">
        <v>1.88</v>
      </c>
      <c r="CM6" s="128">
        <v>1.89</v>
      </c>
      <c r="CN6" s="128">
        <v>1.9</v>
      </c>
      <c r="CO6" s="128">
        <v>1.91</v>
      </c>
      <c r="CP6" s="128">
        <v>1.92</v>
      </c>
      <c r="CQ6" s="128">
        <v>1.93</v>
      </c>
      <c r="CR6" s="128">
        <v>1.94</v>
      </c>
      <c r="CS6" s="128">
        <v>1.95</v>
      </c>
      <c r="CT6" s="128">
        <v>1.96</v>
      </c>
      <c r="CU6" s="128">
        <v>1.97</v>
      </c>
      <c r="CV6" s="128">
        <v>1.98</v>
      </c>
      <c r="CW6" s="128">
        <v>1.99</v>
      </c>
      <c r="CX6" s="128">
        <v>2</v>
      </c>
      <c r="CZ6" s="126">
        <f>SUMIF(MatrixF2[[1]:[2]],MatrixF2[[#This Row],[Столбец1]])/MatrixF2[[#This Row],[Столбец1]]</f>
        <v>82.000000000000057</v>
      </c>
    </row>
    <row r="7" spans="1:104" ht="21" customHeight="1" x14ac:dyDescent="0.25">
      <c r="A7" s="127">
        <v>1.04</v>
      </c>
      <c r="B7" s="128">
        <v>1</v>
      </c>
      <c r="C7" s="128">
        <v>1.01</v>
      </c>
      <c r="D7" s="128">
        <v>1.02</v>
      </c>
      <c r="E7" s="128">
        <v>1.03</v>
      </c>
      <c r="F7" s="128">
        <v>1.04</v>
      </c>
      <c r="G7" s="128">
        <v>1.05</v>
      </c>
      <c r="H7" s="128">
        <v>1.06</v>
      </c>
      <c r="I7" s="128">
        <v>1.07</v>
      </c>
      <c r="J7" s="128">
        <v>1.08</v>
      </c>
      <c r="K7" s="128">
        <v>1.0900000000000001</v>
      </c>
      <c r="L7" s="128">
        <v>1.1000000000000001</v>
      </c>
      <c r="M7" s="128">
        <v>1.1100000000000001</v>
      </c>
      <c r="N7" s="128">
        <v>1.1200000000000001</v>
      </c>
      <c r="O7" s="128">
        <v>1.1299999999999999</v>
      </c>
      <c r="P7" s="128">
        <v>1.1399999999999999</v>
      </c>
      <c r="Q7" s="128">
        <v>1.1499999999999999</v>
      </c>
      <c r="R7" s="128">
        <v>1.1599999999999999</v>
      </c>
      <c r="S7" s="128">
        <v>1.17</v>
      </c>
      <c r="T7" s="128">
        <v>1.18</v>
      </c>
      <c r="U7" s="128">
        <v>1.19</v>
      </c>
      <c r="V7" s="128">
        <v>1.2</v>
      </c>
      <c r="W7" s="128">
        <v>1.21</v>
      </c>
      <c r="X7" s="128">
        <v>1.22</v>
      </c>
      <c r="Y7" s="128">
        <v>1.23</v>
      </c>
      <c r="Z7" s="128">
        <v>1.24</v>
      </c>
      <c r="AA7" s="128">
        <v>1.25</v>
      </c>
      <c r="AB7" s="128">
        <v>1.26</v>
      </c>
      <c r="AC7" s="128">
        <v>1.27</v>
      </c>
      <c r="AD7" s="128">
        <v>1.28</v>
      </c>
      <c r="AE7" s="128">
        <v>1.29</v>
      </c>
      <c r="AF7" s="128">
        <v>1.3</v>
      </c>
      <c r="AG7" s="128">
        <v>1.31</v>
      </c>
      <c r="AH7" s="128">
        <v>1.32</v>
      </c>
      <c r="AI7" s="128">
        <v>1.33</v>
      </c>
      <c r="AJ7" s="128">
        <v>1.34</v>
      </c>
      <c r="AK7" s="128">
        <v>1.35</v>
      </c>
      <c r="AL7" s="128">
        <v>1.36</v>
      </c>
      <c r="AM7" s="128">
        <v>1.37</v>
      </c>
      <c r="AN7" s="128">
        <v>1.38</v>
      </c>
      <c r="AO7" s="128">
        <v>1.39</v>
      </c>
      <c r="AP7" s="128">
        <v>1.4</v>
      </c>
      <c r="AQ7" s="128">
        <v>1.41</v>
      </c>
      <c r="AR7" s="128">
        <v>1.42</v>
      </c>
      <c r="AS7" s="128">
        <v>1.43</v>
      </c>
      <c r="AT7" s="128">
        <v>1.44</v>
      </c>
      <c r="AU7" s="128">
        <v>1.45</v>
      </c>
      <c r="AV7" s="128">
        <v>1.46</v>
      </c>
      <c r="AW7" s="128">
        <v>1.47</v>
      </c>
      <c r="AX7" s="128">
        <v>1.48</v>
      </c>
      <c r="AY7" s="128">
        <v>1.49</v>
      </c>
      <c r="AZ7" s="128">
        <v>1.5</v>
      </c>
      <c r="BA7" s="128">
        <v>1.51</v>
      </c>
      <c r="BB7" s="128">
        <v>1.52</v>
      </c>
      <c r="BC7" s="128">
        <v>1.53</v>
      </c>
      <c r="BD7" s="128">
        <v>1.54</v>
      </c>
      <c r="BE7" s="128">
        <v>1.55</v>
      </c>
      <c r="BF7" s="128">
        <v>1.56</v>
      </c>
      <c r="BG7" s="128">
        <v>1.57</v>
      </c>
      <c r="BH7" s="128">
        <v>1.58</v>
      </c>
      <c r="BI7" s="128">
        <v>1.59</v>
      </c>
      <c r="BJ7" s="128">
        <v>1.6</v>
      </c>
      <c r="BK7" s="128">
        <v>1.61</v>
      </c>
      <c r="BL7" s="128">
        <v>1.62</v>
      </c>
      <c r="BM7" s="128">
        <v>1.63</v>
      </c>
      <c r="BN7" s="128">
        <v>1.64</v>
      </c>
      <c r="BO7" s="128">
        <v>1.65</v>
      </c>
      <c r="BP7" s="128">
        <v>1.66</v>
      </c>
      <c r="BQ7" s="128">
        <v>1.67</v>
      </c>
      <c r="BR7" s="128">
        <v>1.68</v>
      </c>
      <c r="BS7" s="128">
        <v>1.69</v>
      </c>
      <c r="BT7" s="128">
        <v>1.7</v>
      </c>
      <c r="BU7" s="128">
        <v>1.71</v>
      </c>
      <c r="BV7" s="128">
        <v>1.72</v>
      </c>
      <c r="BW7" s="128">
        <v>1.73</v>
      </c>
      <c r="BX7" s="128">
        <v>1.74</v>
      </c>
      <c r="BY7" s="128">
        <v>1.75</v>
      </c>
      <c r="BZ7" s="128">
        <v>1.76</v>
      </c>
      <c r="CA7" s="128">
        <v>1.77</v>
      </c>
      <c r="CB7" s="128">
        <v>1.78</v>
      </c>
      <c r="CC7" s="128">
        <v>1.79</v>
      </c>
      <c r="CD7" s="128">
        <v>1.8</v>
      </c>
      <c r="CE7" s="128">
        <v>1.81</v>
      </c>
      <c r="CF7" s="128">
        <v>1.82</v>
      </c>
      <c r="CG7" s="128">
        <v>1.83</v>
      </c>
      <c r="CH7" s="128">
        <v>1.84</v>
      </c>
      <c r="CI7" s="128">
        <v>1.85</v>
      </c>
      <c r="CJ7" s="128">
        <v>1.86</v>
      </c>
      <c r="CK7" s="128">
        <v>1.87</v>
      </c>
      <c r="CL7" s="128">
        <v>1.88</v>
      </c>
      <c r="CM7" s="128">
        <v>1.89</v>
      </c>
      <c r="CN7" s="128">
        <v>1.9</v>
      </c>
      <c r="CO7" s="128">
        <v>1.91</v>
      </c>
      <c r="CP7" s="128">
        <v>1.92</v>
      </c>
      <c r="CQ7" s="128">
        <v>1.93</v>
      </c>
      <c r="CR7" s="128">
        <v>1.94</v>
      </c>
      <c r="CS7" s="128">
        <v>1.95</v>
      </c>
      <c r="CT7" s="128">
        <v>1.96</v>
      </c>
      <c r="CU7" s="128">
        <v>1.97</v>
      </c>
      <c r="CV7" s="128">
        <v>1.98</v>
      </c>
      <c r="CW7" s="128">
        <v>1.99</v>
      </c>
      <c r="CX7" s="128">
        <v>2</v>
      </c>
      <c r="CZ7" s="126">
        <f>SUMIF(MatrixF2[[1]:[2]],MatrixF2[[#This Row],[Столбец1]])/MatrixF2[[#This Row],[Столбец1]]</f>
        <v>81.000000000000071</v>
      </c>
    </row>
    <row r="8" spans="1:104" ht="21" customHeight="1" x14ac:dyDescent="0.25">
      <c r="A8" s="127">
        <v>1.05</v>
      </c>
      <c r="B8" s="128">
        <v>1</v>
      </c>
      <c r="C8" s="128">
        <v>1.01</v>
      </c>
      <c r="D8" s="128">
        <v>1.02</v>
      </c>
      <c r="E8" s="128">
        <v>1.03</v>
      </c>
      <c r="F8" s="128">
        <v>1.04</v>
      </c>
      <c r="G8" s="128">
        <v>1.05</v>
      </c>
      <c r="H8" s="128">
        <v>1.06</v>
      </c>
      <c r="I8" s="128">
        <v>1.07</v>
      </c>
      <c r="J8" s="128">
        <v>1.08</v>
      </c>
      <c r="K8" s="128">
        <v>1.0900000000000001</v>
      </c>
      <c r="L8" s="128">
        <v>1.1000000000000001</v>
      </c>
      <c r="M8" s="128">
        <v>1.1100000000000001</v>
      </c>
      <c r="N8" s="128">
        <v>1.1200000000000001</v>
      </c>
      <c r="O8" s="128">
        <v>1.1299999999999999</v>
      </c>
      <c r="P8" s="128">
        <v>1.1399999999999999</v>
      </c>
      <c r="Q8" s="128">
        <v>1.1499999999999999</v>
      </c>
      <c r="R8" s="128">
        <v>1.1599999999999999</v>
      </c>
      <c r="S8" s="128">
        <v>1.17</v>
      </c>
      <c r="T8" s="128">
        <v>1.18</v>
      </c>
      <c r="U8" s="128">
        <v>1.19</v>
      </c>
      <c r="V8" s="128">
        <v>1.2</v>
      </c>
      <c r="W8" s="128">
        <v>1.21</v>
      </c>
      <c r="X8" s="128">
        <v>1.22</v>
      </c>
      <c r="Y8" s="128">
        <v>1.23</v>
      </c>
      <c r="Z8" s="128">
        <v>1.24</v>
      </c>
      <c r="AA8" s="128">
        <v>1.25</v>
      </c>
      <c r="AB8" s="128">
        <v>1.26</v>
      </c>
      <c r="AC8" s="128">
        <v>1.27</v>
      </c>
      <c r="AD8" s="128">
        <v>1.28</v>
      </c>
      <c r="AE8" s="128">
        <v>1.29</v>
      </c>
      <c r="AF8" s="128">
        <v>1.3</v>
      </c>
      <c r="AG8" s="128">
        <v>1.31</v>
      </c>
      <c r="AH8" s="128">
        <v>1.32</v>
      </c>
      <c r="AI8" s="128">
        <v>1.33</v>
      </c>
      <c r="AJ8" s="128">
        <v>1.34</v>
      </c>
      <c r="AK8" s="128">
        <v>1.35</v>
      </c>
      <c r="AL8" s="128">
        <v>1.36</v>
      </c>
      <c r="AM8" s="128">
        <v>1.37</v>
      </c>
      <c r="AN8" s="128">
        <v>1.38</v>
      </c>
      <c r="AO8" s="128">
        <v>1.39</v>
      </c>
      <c r="AP8" s="128">
        <v>1.4</v>
      </c>
      <c r="AQ8" s="128">
        <v>1.41</v>
      </c>
      <c r="AR8" s="128">
        <v>1.42</v>
      </c>
      <c r="AS8" s="128">
        <v>1.43</v>
      </c>
      <c r="AT8" s="128">
        <v>1.44</v>
      </c>
      <c r="AU8" s="128">
        <v>1.45</v>
      </c>
      <c r="AV8" s="128">
        <v>1.46</v>
      </c>
      <c r="AW8" s="128">
        <v>1.47</v>
      </c>
      <c r="AX8" s="128">
        <v>1.48</v>
      </c>
      <c r="AY8" s="128">
        <v>1.49</v>
      </c>
      <c r="AZ8" s="128">
        <v>1.5</v>
      </c>
      <c r="BA8" s="128">
        <v>1.51</v>
      </c>
      <c r="BB8" s="128">
        <v>1.52</v>
      </c>
      <c r="BC8" s="128">
        <v>1.53</v>
      </c>
      <c r="BD8" s="128">
        <v>1.54</v>
      </c>
      <c r="BE8" s="128">
        <v>1.55</v>
      </c>
      <c r="BF8" s="128">
        <v>1.56</v>
      </c>
      <c r="BG8" s="128">
        <v>1.57</v>
      </c>
      <c r="BH8" s="128">
        <v>1.58</v>
      </c>
      <c r="BI8" s="128">
        <v>1.59</v>
      </c>
      <c r="BJ8" s="128">
        <v>1.6</v>
      </c>
      <c r="BK8" s="128">
        <v>1.61</v>
      </c>
      <c r="BL8" s="128">
        <v>1.62</v>
      </c>
      <c r="BM8" s="128">
        <v>1.63</v>
      </c>
      <c r="BN8" s="128">
        <v>1.64</v>
      </c>
      <c r="BO8" s="128">
        <v>1.65</v>
      </c>
      <c r="BP8" s="128">
        <v>1.66</v>
      </c>
      <c r="BQ8" s="128">
        <v>1.67</v>
      </c>
      <c r="BR8" s="128">
        <v>1.68</v>
      </c>
      <c r="BS8" s="128">
        <v>1.69</v>
      </c>
      <c r="BT8" s="128">
        <v>1.7</v>
      </c>
      <c r="BU8" s="128">
        <v>1.71</v>
      </c>
      <c r="BV8" s="128">
        <v>1.72</v>
      </c>
      <c r="BW8" s="128">
        <v>1.73</v>
      </c>
      <c r="BX8" s="128">
        <v>1.74</v>
      </c>
      <c r="BY8" s="128">
        <v>1.75</v>
      </c>
      <c r="BZ8" s="128">
        <v>1.76</v>
      </c>
      <c r="CA8" s="128">
        <v>1.77</v>
      </c>
      <c r="CB8" s="128">
        <v>1.78</v>
      </c>
      <c r="CC8" s="128">
        <v>1.79</v>
      </c>
      <c r="CD8" s="128">
        <v>1.8</v>
      </c>
      <c r="CE8" s="128">
        <v>1.81</v>
      </c>
      <c r="CF8" s="128">
        <v>1.82</v>
      </c>
      <c r="CG8" s="128">
        <v>1.83</v>
      </c>
      <c r="CH8" s="128">
        <v>1.84</v>
      </c>
      <c r="CI8" s="128">
        <v>1.85</v>
      </c>
      <c r="CJ8" s="128">
        <v>1.86</v>
      </c>
      <c r="CK8" s="128">
        <v>1.87</v>
      </c>
      <c r="CL8" s="128">
        <v>1.88</v>
      </c>
      <c r="CM8" s="128">
        <v>1.89</v>
      </c>
      <c r="CN8" s="128">
        <v>1.9</v>
      </c>
      <c r="CO8" s="128">
        <v>1.91</v>
      </c>
      <c r="CP8" s="128">
        <v>1.92</v>
      </c>
      <c r="CQ8" s="128">
        <v>1.93</v>
      </c>
      <c r="CR8" s="128">
        <v>1.94</v>
      </c>
      <c r="CS8" s="128">
        <v>1.95</v>
      </c>
      <c r="CT8" s="128">
        <v>1.96</v>
      </c>
      <c r="CU8" s="128">
        <v>1.97</v>
      </c>
      <c r="CV8" s="128">
        <v>1.98</v>
      </c>
      <c r="CW8" s="128">
        <v>1.99</v>
      </c>
      <c r="CX8" s="128">
        <v>2</v>
      </c>
      <c r="CZ8" s="126">
        <f>SUMIF(MatrixF2[[1]:[2]],MatrixF2[[#This Row],[Столбец1]])/MatrixF2[[#This Row],[Столбец1]]</f>
        <v>85.999999999999858</v>
      </c>
    </row>
    <row r="9" spans="1:104" ht="21" customHeight="1" x14ac:dyDescent="0.25">
      <c r="A9" s="127">
        <v>1.06</v>
      </c>
      <c r="B9" s="128">
        <v>1</v>
      </c>
      <c r="C9" s="128">
        <v>1.01</v>
      </c>
      <c r="D9" s="128">
        <v>1.02</v>
      </c>
      <c r="E9" s="128">
        <v>1.03</v>
      </c>
      <c r="F9" s="128">
        <v>1.04</v>
      </c>
      <c r="G9" s="128">
        <v>1.05</v>
      </c>
      <c r="H9" s="128">
        <v>1.06</v>
      </c>
      <c r="I9" s="128">
        <v>1.07</v>
      </c>
      <c r="J9" s="128">
        <v>1.08</v>
      </c>
      <c r="K9" s="128">
        <v>1.0900000000000001</v>
      </c>
      <c r="L9" s="128">
        <v>1.1000000000000001</v>
      </c>
      <c r="M9" s="128">
        <v>1.1100000000000001</v>
      </c>
      <c r="N9" s="128">
        <v>1.1200000000000001</v>
      </c>
      <c r="O9" s="128">
        <v>1.1299999999999999</v>
      </c>
      <c r="P9" s="128">
        <v>1.1399999999999999</v>
      </c>
      <c r="Q9" s="128">
        <v>1.1499999999999999</v>
      </c>
      <c r="R9" s="128">
        <v>1.1599999999999999</v>
      </c>
      <c r="S9" s="128">
        <v>1.17</v>
      </c>
      <c r="T9" s="128">
        <v>1.18</v>
      </c>
      <c r="U9" s="128">
        <v>1.19</v>
      </c>
      <c r="V9" s="128">
        <v>1.2</v>
      </c>
      <c r="W9" s="128">
        <v>1.21</v>
      </c>
      <c r="X9" s="128">
        <v>1.22</v>
      </c>
      <c r="Y9" s="128">
        <v>1.23</v>
      </c>
      <c r="Z9" s="128">
        <v>1.24</v>
      </c>
      <c r="AA9" s="128">
        <v>1.25</v>
      </c>
      <c r="AB9" s="128">
        <v>1.26</v>
      </c>
      <c r="AC9" s="128">
        <v>1.27</v>
      </c>
      <c r="AD9" s="128">
        <v>1.28</v>
      </c>
      <c r="AE9" s="128">
        <v>1.29</v>
      </c>
      <c r="AF9" s="128">
        <v>1.3</v>
      </c>
      <c r="AG9" s="128">
        <v>1.31</v>
      </c>
      <c r="AH9" s="128">
        <v>1.32</v>
      </c>
      <c r="AI9" s="128">
        <v>1.33</v>
      </c>
      <c r="AJ9" s="128">
        <v>1.34</v>
      </c>
      <c r="AK9" s="128">
        <v>1.35</v>
      </c>
      <c r="AL9" s="128">
        <v>1.36</v>
      </c>
      <c r="AM9" s="128">
        <v>1.37</v>
      </c>
      <c r="AN9" s="128">
        <v>1.38</v>
      </c>
      <c r="AO9" s="128">
        <v>1.39</v>
      </c>
      <c r="AP9" s="128">
        <v>1.4</v>
      </c>
      <c r="AQ9" s="128">
        <v>1.41</v>
      </c>
      <c r="AR9" s="128">
        <v>1.42</v>
      </c>
      <c r="AS9" s="128">
        <v>1.43</v>
      </c>
      <c r="AT9" s="128">
        <v>1.44</v>
      </c>
      <c r="AU9" s="128">
        <v>1.45</v>
      </c>
      <c r="AV9" s="128">
        <v>1.46</v>
      </c>
      <c r="AW9" s="128">
        <v>1.47</v>
      </c>
      <c r="AX9" s="128">
        <v>1.48</v>
      </c>
      <c r="AY9" s="128">
        <v>1.49</v>
      </c>
      <c r="AZ9" s="128">
        <v>1.5</v>
      </c>
      <c r="BA9" s="128">
        <v>1.51</v>
      </c>
      <c r="BB9" s="128">
        <v>1.52</v>
      </c>
      <c r="BC9" s="128">
        <v>1.53</v>
      </c>
      <c r="BD9" s="128">
        <v>1.54</v>
      </c>
      <c r="BE9" s="128">
        <v>1.55</v>
      </c>
      <c r="BF9" s="128">
        <v>1.56</v>
      </c>
      <c r="BG9" s="128">
        <v>1.57</v>
      </c>
      <c r="BH9" s="128">
        <v>1.58</v>
      </c>
      <c r="BI9" s="128">
        <v>1.59</v>
      </c>
      <c r="BJ9" s="128">
        <v>1.6</v>
      </c>
      <c r="BK9" s="128">
        <v>1.61</v>
      </c>
      <c r="BL9" s="128">
        <v>1.62</v>
      </c>
      <c r="BM9" s="128">
        <v>1.63</v>
      </c>
      <c r="BN9" s="128">
        <v>1.64</v>
      </c>
      <c r="BO9" s="128">
        <v>1.65</v>
      </c>
      <c r="BP9" s="128">
        <v>1.66</v>
      </c>
      <c r="BQ9" s="128">
        <v>1.67</v>
      </c>
      <c r="BR9" s="128">
        <v>1.68</v>
      </c>
      <c r="BS9" s="128">
        <v>1.69</v>
      </c>
      <c r="BT9" s="128">
        <v>1.7</v>
      </c>
      <c r="BU9" s="128">
        <v>1.71</v>
      </c>
      <c r="BV9" s="128">
        <v>1.72</v>
      </c>
      <c r="BW9" s="128">
        <v>1.73</v>
      </c>
      <c r="BX9" s="128">
        <v>1.74</v>
      </c>
      <c r="BY9" s="128">
        <v>1.75</v>
      </c>
      <c r="BZ9" s="128">
        <v>1.76</v>
      </c>
      <c r="CA9" s="128">
        <v>1.77</v>
      </c>
      <c r="CB9" s="128">
        <v>1.78</v>
      </c>
      <c r="CC9" s="128">
        <v>1.79</v>
      </c>
      <c r="CD9" s="128">
        <v>1.8</v>
      </c>
      <c r="CE9" s="128">
        <v>1.81</v>
      </c>
      <c r="CF9" s="128">
        <v>1.82</v>
      </c>
      <c r="CG9" s="128">
        <v>1.83</v>
      </c>
      <c r="CH9" s="128">
        <v>1.84</v>
      </c>
      <c r="CI9" s="128">
        <v>1.85</v>
      </c>
      <c r="CJ9" s="128">
        <v>1.86</v>
      </c>
      <c r="CK9" s="128">
        <v>1.87</v>
      </c>
      <c r="CL9" s="128">
        <v>1.88</v>
      </c>
      <c r="CM9" s="128">
        <v>1.89</v>
      </c>
      <c r="CN9" s="128">
        <v>1.9</v>
      </c>
      <c r="CO9" s="128">
        <v>1.91</v>
      </c>
      <c r="CP9" s="128">
        <v>1.92</v>
      </c>
      <c r="CQ9" s="128">
        <v>1.93</v>
      </c>
      <c r="CR9" s="128">
        <v>1.94</v>
      </c>
      <c r="CS9" s="128">
        <v>1.95</v>
      </c>
      <c r="CT9" s="128">
        <v>1.96</v>
      </c>
      <c r="CU9" s="128">
        <v>1.97</v>
      </c>
      <c r="CV9" s="128">
        <v>1.98</v>
      </c>
      <c r="CW9" s="128">
        <v>1.99</v>
      </c>
      <c r="CX9" s="128">
        <v>2</v>
      </c>
      <c r="CZ9" s="126">
        <f>SUMIF(MatrixF2[[1]:[2]],MatrixF2[[#This Row],[Столбец1]])/MatrixF2[[#This Row],[Столбец1]]</f>
        <v>81.000000000000085</v>
      </c>
    </row>
    <row r="10" spans="1:104" ht="21" customHeight="1" x14ac:dyDescent="0.25">
      <c r="A10" s="127">
        <v>1.07</v>
      </c>
      <c r="B10" s="128">
        <v>1</v>
      </c>
      <c r="C10" s="128">
        <v>1.01</v>
      </c>
      <c r="D10" s="128">
        <v>1.02</v>
      </c>
      <c r="E10" s="128">
        <v>1.03</v>
      </c>
      <c r="F10" s="128">
        <v>1.04</v>
      </c>
      <c r="G10" s="128">
        <v>1.05</v>
      </c>
      <c r="H10" s="128">
        <v>1.06</v>
      </c>
      <c r="I10" s="128">
        <v>1.07</v>
      </c>
      <c r="J10" s="128">
        <v>1.08</v>
      </c>
      <c r="K10" s="128">
        <v>1.0900000000000001</v>
      </c>
      <c r="L10" s="128">
        <v>1.1000000000000001</v>
      </c>
      <c r="M10" s="128">
        <v>1.1100000000000001</v>
      </c>
      <c r="N10" s="128">
        <v>1.1200000000000001</v>
      </c>
      <c r="O10" s="128">
        <v>1.1299999999999999</v>
      </c>
      <c r="P10" s="128">
        <v>1.1399999999999999</v>
      </c>
      <c r="Q10" s="128">
        <v>1.1499999999999999</v>
      </c>
      <c r="R10" s="128">
        <v>1.1599999999999999</v>
      </c>
      <c r="S10" s="128">
        <v>1.17</v>
      </c>
      <c r="T10" s="128">
        <v>1.18</v>
      </c>
      <c r="U10" s="128">
        <v>1.19</v>
      </c>
      <c r="V10" s="128">
        <v>1.2</v>
      </c>
      <c r="W10" s="128">
        <v>1.21</v>
      </c>
      <c r="X10" s="128">
        <v>1.22</v>
      </c>
      <c r="Y10" s="128">
        <v>1.23</v>
      </c>
      <c r="Z10" s="128">
        <v>1.24</v>
      </c>
      <c r="AA10" s="128">
        <v>1.25</v>
      </c>
      <c r="AB10" s="128">
        <v>1.26</v>
      </c>
      <c r="AC10" s="128">
        <v>1.27</v>
      </c>
      <c r="AD10" s="128">
        <v>1.28</v>
      </c>
      <c r="AE10" s="128">
        <v>1.29</v>
      </c>
      <c r="AF10" s="128">
        <v>1.3</v>
      </c>
      <c r="AG10" s="128">
        <v>1.31</v>
      </c>
      <c r="AH10" s="128">
        <v>1.32</v>
      </c>
      <c r="AI10" s="128">
        <v>1.33</v>
      </c>
      <c r="AJ10" s="128">
        <v>1.34</v>
      </c>
      <c r="AK10" s="128">
        <v>1.35</v>
      </c>
      <c r="AL10" s="128">
        <v>1.36</v>
      </c>
      <c r="AM10" s="128">
        <v>1.37</v>
      </c>
      <c r="AN10" s="128">
        <v>1.38</v>
      </c>
      <c r="AO10" s="128">
        <v>1.39</v>
      </c>
      <c r="AP10" s="128">
        <v>1.4</v>
      </c>
      <c r="AQ10" s="128">
        <v>1.41</v>
      </c>
      <c r="AR10" s="128">
        <v>1.42</v>
      </c>
      <c r="AS10" s="128">
        <v>1.43</v>
      </c>
      <c r="AT10" s="128">
        <v>1.44</v>
      </c>
      <c r="AU10" s="128">
        <v>1.45</v>
      </c>
      <c r="AV10" s="128">
        <v>1.46</v>
      </c>
      <c r="AW10" s="128">
        <v>1.47</v>
      </c>
      <c r="AX10" s="128">
        <v>1.48</v>
      </c>
      <c r="AY10" s="128">
        <v>1.49</v>
      </c>
      <c r="AZ10" s="128">
        <v>1.5</v>
      </c>
      <c r="BA10" s="128">
        <v>1.51</v>
      </c>
      <c r="BB10" s="128">
        <v>1.52</v>
      </c>
      <c r="BC10" s="128">
        <v>1.53</v>
      </c>
      <c r="BD10" s="128">
        <v>1.54</v>
      </c>
      <c r="BE10" s="128">
        <v>1.55</v>
      </c>
      <c r="BF10" s="128">
        <v>1.56</v>
      </c>
      <c r="BG10" s="128">
        <v>1.57</v>
      </c>
      <c r="BH10" s="128">
        <v>1.58</v>
      </c>
      <c r="BI10" s="128">
        <v>1.59</v>
      </c>
      <c r="BJ10" s="128">
        <v>1.6</v>
      </c>
      <c r="BK10" s="128">
        <v>1.61</v>
      </c>
      <c r="BL10" s="128">
        <v>1.62</v>
      </c>
      <c r="BM10" s="128">
        <v>1.63</v>
      </c>
      <c r="BN10" s="128">
        <v>1.64</v>
      </c>
      <c r="BO10" s="128">
        <v>1.65</v>
      </c>
      <c r="BP10" s="128">
        <v>1.66</v>
      </c>
      <c r="BQ10" s="128">
        <v>1.67</v>
      </c>
      <c r="BR10" s="128">
        <v>1.68</v>
      </c>
      <c r="BS10" s="128">
        <v>1.69</v>
      </c>
      <c r="BT10" s="128">
        <v>1.7</v>
      </c>
      <c r="BU10" s="128">
        <v>1.71</v>
      </c>
      <c r="BV10" s="128">
        <v>1.72</v>
      </c>
      <c r="BW10" s="128">
        <v>1.73</v>
      </c>
      <c r="BX10" s="128">
        <v>1.74</v>
      </c>
      <c r="BY10" s="128">
        <v>1.75</v>
      </c>
      <c r="BZ10" s="128">
        <v>1.76</v>
      </c>
      <c r="CA10" s="128">
        <v>1.77</v>
      </c>
      <c r="CB10" s="128">
        <v>1.78</v>
      </c>
      <c r="CC10" s="128">
        <v>1.79</v>
      </c>
      <c r="CD10" s="128">
        <v>1.8</v>
      </c>
      <c r="CE10" s="128">
        <v>1.81</v>
      </c>
      <c r="CF10" s="128">
        <v>1.82</v>
      </c>
      <c r="CG10" s="128">
        <v>1.83</v>
      </c>
      <c r="CH10" s="128">
        <v>1.84</v>
      </c>
      <c r="CI10" s="128">
        <v>1.85</v>
      </c>
      <c r="CJ10" s="128">
        <v>1.86</v>
      </c>
      <c r="CK10" s="128">
        <v>1.87</v>
      </c>
      <c r="CL10" s="128">
        <v>1.88</v>
      </c>
      <c r="CM10" s="128">
        <v>1.89</v>
      </c>
      <c r="CN10" s="128">
        <v>1.9</v>
      </c>
      <c r="CO10" s="128">
        <v>1.91</v>
      </c>
      <c r="CP10" s="128">
        <v>1.92</v>
      </c>
      <c r="CQ10" s="128">
        <v>1.93</v>
      </c>
      <c r="CR10" s="128">
        <v>1.94</v>
      </c>
      <c r="CS10" s="128">
        <v>1.95</v>
      </c>
      <c r="CT10" s="128">
        <v>1.96</v>
      </c>
      <c r="CU10" s="128">
        <v>1.97</v>
      </c>
      <c r="CV10" s="128">
        <v>1.98</v>
      </c>
      <c r="CW10" s="128">
        <v>1.99</v>
      </c>
      <c r="CX10" s="128">
        <v>2</v>
      </c>
      <c r="CZ10" s="126">
        <f>SUMIF(MatrixF2[[1]:[2]],MatrixF2[[#This Row],[Столбец1]])/MatrixF2[[#This Row],[Столбец1]]</f>
        <v>86.999999999999829</v>
      </c>
    </row>
    <row r="11" spans="1:104" ht="21" customHeight="1" x14ac:dyDescent="0.25">
      <c r="A11" s="127">
        <v>1.08</v>
      </c>
      <c r="B11" s="128">
        <v>1</v>
      </c>
      <c r="C11" s="128">
        <v>1.01</v>
      </c>
      <c r="D11" s="128">
        <v>1.02</v>
      </c>
      <c r="E11" s="128">
        <v>1.03</v>
      </c>
      <c r="F11" s="128">
        <v>1.04</v>
      </c>
      <c r="G11" s="128">
        <v>1.05</v>
      </c>
      <c r="H11" s="128">
        <v>1.06</v>
      </c>
      <c r="I11" s="128">
        <v>1.07</v>
      </c>
      <c r="J11" s="128">
        <v>1.08</v>
      </c>
      <c r="K11" s="128">
        <v>1.0900000000000001</v>
      </c>
      <c r="L11" s="128">
        <v>1.1000000000000001</v>
      </c>
      <c r="M11" s="128">
        <v>1.1100000000000001</v>
      </c>
      <c r="N11" s="128">
        <v>1.1200000000000001</v>
      </c>
      <c r="O11" s="128">
        <v>1.1299999999999999</v>
      </c>
      <c r="P11" s="128">
        <v>1.1399999999999999</v>
      </c>
      <c r="Q11" s="128">
        <v>1.1499999999999999</v>
      </c>
      <c r="R11" s="128">
        <v>1.1599999999999999</v>
      </c>
      <c r="S11" s="128">
        <v>1.17</v>
      </c>
      <c r="T11" s="128">
        <v>1.18</v>
      </c>
      <c r="U11" s="128">
        <v>1.19</v>
      </c>
      <c r="V11" s="128">
        <v>1.2</v>
      </c>
      <c r="W11" s="128">
        <v>1.21</v>
      </c>
      <c r="X11" s="128">
        <v>1.22</v>
      </c>
      <c r="Y11" s="128">
        <v>1.23</v>
      </c>
      <c r="Z11" s="128">
        <v>1.24</v>
      </c>
      <c r="AA11" s="128">
        <v>1.25</v>
      </c>
      <c r="AB11" s="128">
        <v>1.26</v>
      </c>
      <c r="AC11" s="128">
        <v>1.27</v>
      </c>
      <c r="AD11" s="128">
        <v>1.28</v>
      </c>
      <c r="AE11" s="128">
        <v>1.29</v>
      </c>
      <c r="AF11" s="128">
        <v>1.3</v>
      </c>
      <c r="AG11" s="128">
        <v>1.31</v>
      </c>
      <c r="AH11" s="128">
        <v>1.32</v>
      </c>
      <c r="AI11" s="128">
        <v>1.33</v>
      </c>
      <c r="AJ11" s="128">
        <v>1.34</v>
      </c>
      <c r="AK11" s="128">
        <v>1.35</v>
      </c>
      <c r="AL11" s="128">
        <v>1.36</v>
      </c>
      <c r="AM11" s="128">
        <v>1.37</v>
      </c>
      <c r="AN11" s="128">
        <v>1.38</v>
      </c>
      <c r="AO11" s="128">
        <v>1.39</v>
      </c>
      <c r="AP11" s="128">
        <v>1.4</v>
      </c>
      <c r="AQ11" s="128">
        <v>1.41</v>
      </c>
      <c r="AR11" s="128">
        <v>1.42</v>
      </c>
      <c r="AS11" s="128">
        <v>1.43</v>
      </c>
      <c r="AT11" s="128">
        <v>1.44</v>
      </c>
      <c r="AU11" s="128">
        <v>1.45</v>
      </c>
      <c r="AV11" s="128">
        <v>1.46</v>
      </c>
      <c r="AW11" s="128">
        <v>1.47</v>
      </c>
      <c r="AX11" s="128">
        <v>1.48</v>
      </c>
      <c r="AY11" s="128">
        <v>1.49</v>
      </c>
      <c r="AZ11" s="128">
        <v>1.5</v>
      </c>
      <c r="BA11" s="128">
        <v>1.51</v>
      </c>
      <c r="BB11" s="128">
        <v>1.52</v>
      </c>
      <c r="BC11" s="128">
        <v>1.53</v>
      </c>
      <c r="BD11" s="128">
        <v>1.54</v>
      </c>
      <c r="BE11" s="128">
        <v>1.55</v>
      </c>
      <c r="BF11" s="128">
        <v>1.56</v>
      </c>
      <c r="BG11" s="128">
        <v>1.57</v>
      </c>
      <c r="BH11" s="128">
        <v>1.58</v>
      </c>
      <c r="BI11" s="128">
        <v>1.59</v>
      </c>
      <c r="BJ11" s="128">
        <v>1.6</v>
      </c>
      <c r="BK11" s="128">
        <v>1.61</v>
      </c>
      <c r="BL11" s="128">
        <v>1.62</v>
      </c>
      <c r="BM11" s="128">
        <v>1.63</v>
      </c>
      <c r="BN11" s="128">
        <v>1.64</v>
      </c>
      <c r="BO11" s="128">
        <v>1.65</v>
      </c>
      <c r="BP11" s="128">
        <v>1.66</v>
      </c>
      <c r="BQ11" s="128">
        <v>1.67</v>
      </c>
      <c r="BR11" s="128">
        <v>1.68</v>
      </c>
      <c r="BS11" s="128">
        <v>1.69</v>
      </c>
      <c r="BT11" s="128">
        <v>1.7</v>
      </c>
      <c r="BU11" s="128">
        <v>1.71</v>
      </c>
      <c r="BV11" s="128">
        <v>1.72</v>
      </c>
      <c r="BW11" s="128">
        <v>1.73</v>
      </c>
      <c r="BX11" s="128">
        <v>1.74</v>
      </c>
      <c r="BY11" s="128">
        <v>1.75</v>
      </c>
      <c r="BZ11" s="128">
        <v>1.76</v>
      </c>
      <c r="CA11" s="128">
        <v>1.77</v>
      </c>
      <c r="CB11" s="128">
        <v>1.78</v>
      </c>
      <c r="CC11" s="128">
        <v>1.79</v>
      </c>
      <c r="CD11" s="128">
        <v>1.8</v>
      </c>
      <c r="CE11" s="128">
        <v>1.81</v>
      </c>
      <c r="CF11" s="128">
        <v>1.82</v>
      </c>
      <c r="CG11" s="128">
        <v>1.83</v>
      </c>
      <c r="CH11" s="128">
        <v>1.84</v>
      </c>
      <c r="CI11" s="128">
        <v>1.85</v>
      </c>
      <c r="CJ11" s="128">
        <v>1.86</v>
      </c>
      <c r="CK11" s="128">
        <v>1.87</v>
      </c>
      <c r="CL11" s="128">
        <v>1.88</v>
      </c>
      <c r="CM11" s="128">
        <v>1.89</v>
      </c>
      <c r="CN11" s="128">
        <v>1.9</v>
      </c>
      <c r="CO11" s="128">
        <v>1.91</v>
      </c>
      <c r="CP11" s="128">
        <v>1.92</v>
      </c>
      <c r="CQ11" s="128">
        <v>1.93</v>
      </c>
      <c r="CR11" s="128">
        <v>1.94</v>
      </c>
      <c r="CS11" s="128">
        <v>1.95</v>
      </c>
      <c r="CT11" s="128">
        <v>1.96</v>
      </c>
      <c r="CU11" s="128">
        <v>1.97</v>
      </c>
      <c r="CV11" s="128">
        <v>1.98</v>
      </c>
      <c r="CW11" s="128">
        <v>1.99</v>
      </c>
      <c r="CX11" s="128">
        <v>2</v>
      </c>
      <c r="CZ11" s="126">
        <f>SUMIF(MatrixF2[[1]:[2]],MatrixF2[[#This Row],[Столбец1]])/MatrixF2[[#This Row],[Столбец1]]</f>
        <v>85.999999999999886</v>
      </c>
    </row>
    <row r="12" spans="1:104" ht="21" customHeight="1" x14ac:dyDescent="0.25">
      <c r="A12" s="127">
        <v>1.0900000000000001</v>
      </c>
      <c r="B12" s="128">
        <v>1</v>
      </c>
      <c r="C12" s="128">
        <v>1.01</v>
      </c>
      <c r="D12" s="128">
        <v>1.02</v>
      </c>
      <c r="E12" s="128">
        <v>1.03</v>
      </c>
      <c r="F12" s="128">
        <v>1.04</v>
      </c>
      <c r="G12" s="128">
        <v>1.05</v>
      </c>
      <c r="H12" s="128">
        <v>1.06</v>
      </c>
      <c r="I12" s="128">
        <v>1.07</v>
      </c>
      <c r="J12" s="128">
        <v>1.08</v>
      </c>
      <c r="K12" s="128">
        <v>1.0900000000000001</v>
      </c>
      <c r="L12" s="128">
        <v>1.1000000000000001</v>
      </c>
      <c r="M12" s="128">
        <v>1.1100000000000001</v>
      </c>
      <c r="N12" s="128">
        <v>1.1200000000000001</v>
      </c>
      <c r="O12" s="128">
        <v>1.1299999999999999</v>
      </c>
      <c r="P12" s="128">
        <v>1.1399999999999999</v>
      </c>
      <c r="Q12" s="128">
        <v>1.1499999999999999</v>
      </c>
      <c r="R12" s="128">
        <v>1.1599999999999999</v>
      </c>
      <c r="S12" s="128">
        <v>1.17</v>
      </c>
      <c r="T12" s="128">
        <v>1.18</v>
      </c>
      <c r="U12" s="128">
        <v>1.19</v>
      </c>
      <c r="V12" s="128">
        <v>1.2</v>
      </c>
      <c r="W12" s="128">
        <v>1.21</v>
      </c>
      <c r="X12" s="128">
        <v>1.22</v>
      </c>
      <c r="Y12" s="128">
        <v>1.23</v>
      </c>
      <c r="Z12" s="128">
        <v>1.24</v>
      </c>
      <c r="AA12" s="128">
        <v>1.25</v>
      </c>
      <c r="AB12" s="128">
        <v>1.26</v>
      </c>
      <c r="AC12" s="128">
        <v>1.27</v>
      </c>
      <c r="AD12" s="128">
        <v>1.28</v>
      </c>
      <c r="AE12" s="128">
        <v>1.29</v>
      </c>
      <c r="AF12" s="128">
        <v>1.3</v>
      </c>
      <c r="AG12" s="128">
        <v>1.31</v>
      </c>
      <c r="AH12" s="128">
        <v>1.32</v>
      </c>
      <c r="AI12" s="128">
        <v>1.33</v>
      </c>
      <c r="AJ12" s="128">
        <v>1.34</v>
      </c>
      <c r="AK12" s="128">
        <v>1.35</v>
      </c>
      <c r="AL12" s="128">
        <v>1.36</v>
      </c>
      <c r="AM12" s="128">
        <v>1.37</v>
      </c>
      <c r="AN12" s="128">
        <v>1.38</v>
      </c>
      <c r="AO12" s="128">
        <v>1.39</v>
      </c>
      <c r="AP12" s="128">
        <v>1.4</v>
      </c>
      <c r="AQ12" s="128">
        <v>1.41</v>
      </c>
      <c r="AR12" s="128">
        <v>1.42</v>
      </c>
      <c r="AS12" s="128">
        <v>1.43</v>
      </c>
      <c r="AT12" s="128">
        <v>1.44</v>
      </c>
      <c r="AU12" s="128">
        <v>1.45</v>
      </c>
      <c r="AV12" s="128">
        <v>1.46</v>
      </c>
      <c r="AW12" s="128">
        <v>1.47</v>
      </c>
      <c r="AX12" s="128">
        <v>1.48</v>
      </c>
      <c r="AY12" s="128">
        <v>1.49</v>
      </c>
      <c r="AZ12" s="128">
        <v>1.5</v>
      </c>
      <c r="BA12" s="128">
        <v>1.51</v>
      </c>
      <c r="BB12" s="128">
        <v>1.52</v>
      </c>
      <c r="BC12" s="128">
        <v>1.53</v>
      </c>
      <c r="BD12" s="128">
        <v>1.54</v>
      </c>
      <c r="BE12" s="128">
        <v>1.55</v>
      </c>
      <c r="BF12" s="128">
        <v>1.56</v>
      </c>
      <c r="BG12" s="128">
        <v>1.57</v>
      </c>
      <c r="BH12" s="128">
        <v>1.58</v>
      </c>
      <c r="BI12" s="128">
        <v>1.59</v>
      </c>
      <c r="BJ12" s="128">
        <v>1.6</v>
      </c>
      <c r="BK12" s="128">
        <v>1.61</v>
      </c>
      <c r="BL12" s="128">
        <v>1.62</v>
      </c>
      <c r="BM12" s="128">
        <v>1.63</v>
      </c>
      <c r="BN12" s="128">
        <v>1.64</v>
      </c>
      <c r="BO12" s="128">
        <v>1.65</v>
      </c>
      <c r="BP12" s="128">
        <v>1.66</v>
      </c>
      <c r="BQ12" s="128">
        <v>1.67</v>
      </c>
      <c r="BR12" s="128">
        <v>1.68</v>
      </c>
      <c r="BS12" s="128">
        <v>1.69</v>
      </c>
      <c r="BT12" s="128">
        <v>1.7</v>
      </c>
      <c r="BU12" s="128">
        <v>1.71</v>
      </c>
      <c r="BV12" s="128">
        <v>1.72</v>
      </c>
      <c r="BW12" s="128">
        <v>1.73</v>
      </c>
      <c r="BX12" s="128">
        <v>1.74</v>
      </c>
      <c r="BY12" s="128">
        <v>1.75</v>
      </c>
      <c r="BZ12" s="128">
        <v>1.76</v>
      </c>
      <c r="CA12" s="128">
        <v>1.77</v>
      </c>
      <c r="CB12" s="128">
        <v>1.78</v>
      </c>
      <c r="CC12" s="128">
        <v>1.79</v>
      </c>
      <c r="CD12" s="128">
        <v>1.8</v>
      </c>
      <c r="CE12" s="128">
        <v>1.81</v>
      </c>
      <c r="CF12" s="128">
        <v>1.82</v>
      </c>
      <c r="CG12" s="128">
        <v>1.83</v>
      </c>
      <c r="CH12" s="128">
        <v>1.84</v>
      </c>
      <c r="CI12" s="128">
        <v>1.85</v>
      </c>
      <c r="CJ12" s="128">
        <v>1.86</v>
      </c>
      <c r="CK12" s="128">
        <v>1.87</v>
      </c>
      <c r="CL12" s="128">
        <v>1.88</v>
      </c>
      <c r="CM12" s="128">
        <v>1.89</v>
      </c>
      <c r="CN12" s="128">
        <v>1.9</v>
      </c>
      <c r="CO12" s="128">
        <v>1.91</v>
      </c>
      <c r="CP12" s="128">
        <v>1.92</v>
      </c>
      <c r="CQ12" s="128">
        <v>1.93</v>
      </c>
      <c r="CR12" s="128">
        <v>1.94</v>
      </c>
      <c r="CS12" s="128">
        <v>1.95</v>
      </c>
      <c r="CT12" s="128">
        <v>1.96</v>
      </c>
      <c r="CU12" s="128">
        <v>1.97</v>
      </c>
      <c r="CV12" s="128">
        <v>1.98</v>
      </c>
      <c r="CW12" s="128">
        <v>1.99</v>
      </c>
      <c r="CX12" s="128">
        <v>2</v>
      </c>
      <c r="CZ12" s="126">
        <f>SUMIF(MatrixF2[[1]:[2]],MatrixF2[[#This Row],[Столбец1]])/MatrixF2[[#This Row],[Столбец1]]</f>
        <v>89.000000000000185</v>
      </c>
    </row>
    <row r="13" spans="1:104" ht="21" customHeight="1" x14ac:dyDescent="0.25">
      <c r="A13" s="127">
        <v>1.1000000000000001</v>
      </c>
      <c r="B13" s="128">
        <v>1</v>
      </c>
      <c r="C13" s="128">
        <v>1.01</v>
      </c>
      <c r="D13" s="128">
        <v>1.02</v>
      </c>
      <c r="E13" s="128">
        <v>1.03</v>
      </c>
      <c r="F13" s="128">
        <v>1.04</v>
      </c>
      <c r="G13" s="128">
        <v>1.05</v>
      </c>
      <c r="H13" s="128">
        <v>1.06</v>
      </c>
      <c r="I13" s="128">
        <v>1.07</v>
      </c>
      <c r="J13" s="128">
        <v>1.08</v>
      </c>
      <c r="K13" s="128">
        <v>1.0900000000000001</v>
      </c>
      <c r="L13" s="128">
        <v>1.1000000000000001</v>
      </c>
      <c r="M13" s="128">
        <v>1.1100000000000001</v>
      </c>
      <c r="N13" s="128">
        <v>1.1200000000000001</v>
      </c>
      <c r="O13" s="128">
        <v>1.1299999999999999</v>
      </c>
      <c r="P13" s="128">
        <v>1.1399999999999999</v>
      </c>
      <c r="Q13" s="128">
        <v>1.1499999999999999</v>
      </c>
      <c r="R13" s="128">
        <v>1.1599999999999999</v>
      </c>
      <c r="S13" s="128">
        <v>1.17</v>
      </c>
      <c r="T13" s="128">
        <v>1.18</v>
      </c>
      <c r="U13" s="128">
        <v>1.19</v>
      </c>
      <c r="V13" s="128">
        <v>1.2</v>
      </c>
      <c r="W13" s="128">
        <v>1.21</v>
      </c>
      <c r="X13" s="128">
        <v>1.22</v>
      </c>
      <c r="Y13" s="128">
        <v>1.23</v>
      </c>
      <c r="Z13" s="128">
        <v>1.24</v>
      </c>
      <c r="AA13" s="128">
        <v>1.25</v>
      </c>
      <c r="AB13" s="128">
        <v>1.26</v>
      </c>
      <c r="AC13" s="128">
        <v>1.27</v>
      </c>
      <c r="AD13" s="128">
        <v>1.28</v>
      </c>
      <c r="AE13" s="128">
        <v>1.29</v>
      </c>
      <c r="AF13" s="128">
        <v>1.3</v>
      </c>
      <c r="AG13" s="128">
        <v>1.31</v>
      </c>
      <c r="AH13" s="128">
        <v>1.32</v>
      </c>
      <c r="AI13" s="128">
        <v>1.33</v>
      </c>
      <c r="AJ13" s="128">
        <v>1.34</v>
      </c>
      <c r="AK13" s="128">
        <v>1.35</v>
      </c>
      <c r="AL13" s="128">
        <v>1.36</v>
      </c>
      <c r="AM13" s="128">
        <v>1.37</v>
      </c>
      <c r="AN13" s="128">
        <v>1.38</v>
      </c>
      <c r="AO13" s="128">
        <v>1.39</v>
      </c>
      <c r="AP13" s="128">
        <v>1.4</v>
      </c>
      <c r="AQ13" s="128">
        <v>1.41</v>
      </c>
      <c r="AR13" s="128">
        <v>1.42</v>
      </c>
      <c r="AS13" s="128">
        <v>1.43</v>
      </c>
      <c r="AT13" s="128">
        <v>1.44</v>
      </c>
      <c r="AU13" s="128">
        <v>1.45</v>
      </c>
      <c r="AV13" s="128">
        <v>1.46</v>
      </c>
      <c r="AW13" s="128">
        <v>1.47</v>
      </c>
      <c r="AX13" s="128">
        <v>1.48</v>
      </c>
      <c r="AY13" s="128">
        <v>1.49</v>
      </c>
      <c r="AZ13" s="128">
        <v>1.5</v>
      </c>
      <c r="BA13" s="128">
        <v>1.51</v>
      </c>
      <c r="BB13" s="128">
        <v>1.52</v>
      </c>
      <c r="BC13" s="128">
        <v>1.53</v>
      </c>
      <c r="BD13" s="128">
        <v>1.54</v>
      </c>
      <c r="BE13" s="128">
        <v>1.55</v>
      </c>
      <c r="BF13" s="128">
        <v>1.56</v>
      </c>
      <c r="BG13" s="128">
        <v>1.57</v>
      </c>
      <c r="BH13" s="128">
        <v>1.58</v>
      </c>
      <c r="BI13" s="128">
        <v>1.59</v>
      </c>
      <c r="BJ13" s="128">
        <v>1.6</v>
      </c>
      <c r="BK13" s="128">
        <v>1.61</v>
      </c>
      <c r="BL13" s="128">
        <v>1.62</v>
      </c>
      <c r="BM13" s="128">
        <v>1.63</v>
      </c>
      <c r="BN13" s="128">
        <v>1.64</v>
      </c>
      <c r="BO13" s="128">
        <v>1.65</v>
      </c>
      <c r="BP13" s="128">
        <v>1.66</v>
      </c>
      <c r="BQ13" s="128">
        <v>1.67</v>
      </c>
      <c r="BR13" s="128">
        <v>1.68</v>
      </c>
      <c r="BS13" s="128">
        <v>1.69</v>
      </c>
      <c r="BT13" s="128">
        <v>1.7</v>
      </c>
      <c r="BU13" s="128">
        <v>1.71</v>
      </c>
      <c r="BV13" s="128">
        <v>1.72</v>
      </c>
      <c r="BW13" s="128">
        <v>1.73</v>
      </c>
      <c r="BX13" s="128">
        <v>1.74</v>
      </c>
      <c r="BY13" s="128">
        <v>1.75</v>
      </c>
      <c r="BZ13" s="128">
        <v>1.76</v>
      </c>
      <c r="CA13" s="128">
        <v>1.77</v>
      </c>
      <c r="CB13" s="128">
        <v>1.78</v>
      </c>
      <c r="CC13" s="128">
        <v>1.79</v>
      </c>
      <c r="CD13" s="128">
        <v>1.8</v>
      </c>
      <c r="CE13" s="128">
        <v>1.81</v>
      </c>
      <c r="CF13" s="128">
        <v>1.82</v>
      </c>
      <c r="CG13" s="128">
        <v>1.83</v>
      </c>
      <c r="CH13" s="128">
        <v>1.84</v>
      </c>
      <c r="CI13" s="128">
        <v>1.85</v>
      </c>
      <c r="CJ13" s="128">
        <v>1.86</v>
      </c>
      <c r="CK13" s="128">
        <v>1.87</v>
      </c>
      <c r="CL13" s="128">
        <v>1.88</v>
      </c>
      <c r="CM13" s="128">
        <v>1.89</v>
      </c>
      <c r="CN13" s="128">
        <v>1.9</v>
      </c>
      <c r="CO13" s="128">
        <v>1.91</v>
      </c>
      <c r="CP13" s="128">
        <v>1.92</v>
      </c>
      <c r="CQ13" s="128">
        <v>1.93</v>
      </c>
      <c r="CR13" s="128">
        <v>1.94</v>
      </c>
      <c r="CS13" s="128">
        <v>1.95</v>
      </c>
      <c r="CT13" s="128">
        <v>1.96</v>
      </c>
      <c r="CU13" s="128">
        <v>1.97</v>
      </c>
      <c r="CV13" s="128">
        <v>1.98</v>
      </c>
      <c r="CW13" s="128">
        <v>1.99</v>
      </c>
      <c r="CX13" s="128">
        <v>2</v>
      </c>
      <c r="CZ13" s="126">
        <f>SUMIF(MatrixF2[[1]:[2]],MatrixF2[[#This Row],[Столбец1]])/MatrixF2[[#This Row],[Столбец1]]</f>
        <v>89.999999999999872</v>
      </c>
    </row>
    <row r="14" spans="1:104" ht="21" customHeight="1" x14ac:dyDescent="0.25">
      <c r="A14" s="127">
        <v>1.1100000000000001</v>
      </c>
      <c r="B14" s="128">
        <v>1</v>
      </c>
      <c r="C14" s="128">
        <v>1.01</v>
      </c>
      <c r="D14" s="128">
        <v>1.02</v>
      </c>
      <c r="E14" s="128">
        <v>1.03</v>
      </c>
      <c r="F14" s="128">
        <v>1.04</v>
      </c>
      <c r="G14" s="128">
        <v>1.05</v>
      </c>
      <c r="H14" s="128">
        <v>1.06</v>
      </c>
      <c r="I14" s="128">
        <v>1.07</v>
      </c>
      <c r="J14" s="128">
        <v>1.08</v>
      </c>
      <c r="K14" s="128">
        <v>1.0900000000000001</v>
      </c>
      <c r="L14" s="128">
        <v>1.1000000000000001</v>
      </c>
      <c r="M14" s="128">
        <v>1.1100000000000001</v>
      </c>
      <c r="N14" s="128">
        <v>1.1200000000000001</v>
      </c>
      <c r="O14" s="128">
        <v>1.1299999999999999</v>
      </c>
      <c r="P14" s="128">
        <v>1.1399999999999999</v>
      </c>
      <c r="Q14" s="128">
        <v>1.1499999999999999</v>
      </c>
      <c r="R14" s="128">
        <v>1.1599999999999999</v>
      </c>
      <c r="S14" s="128">
        <v>1.17</v>
      </c>
      <c r="T14" s="128">
        <v>1.18</v>
      </c>
      <c r="U14" s="128">
        <v>1.19</v>
      </c>
      <c r="V14" s="128">
        <v>1.2</v>
      </c>
      <c r="W14" s="128">
        <v>1.21</v>
      </c>
      <c r="X14" s="128">
        <v>1.22</v>
      </c>
      <c r="Y14" s="128">
        <v>1.23</v>
      </c>
      <c r="Z14" s="128">
        <v>1.24</v>
      </c>
      <c r="AA14" s="128">
        <v>1.25</v>
      </c>
      <c r="AB14" s="128">
        <v>1.26</v>
      </c>
      <c r="AC14" s="128">
        <v>1.27</v>
      </c>
      <c r="AD14" s="128">
        <v>1.28</v>
      </c>
      <c r="AE14" s="128">
        <v>1.29</v>
      </c>
      <c r="AF14" s="128">
        <v>1.3</v>
      </c>
      <c r="AG14" s="128">
        <v>1.31</v>
      </c>
      <c r="AH14" s="128">
        <v>1.32</v>
      </c>
      <c r="AI14" s="128">
        <v>1.33</v>
      </c>
      <c r="AJ14" s="128">
        <v>1.34</v>
      </c>
      <c r="AK14" s="128">
        <v>1.35</v>
      </c>
      <c r="AL14" s="128">
        <v>1.36</v>
      </c>
      <c r="AM14" s="128">
        <v>1.37</v>
      </c>
      <c r="AN14" s="128">
        <v>1.38</v>
      </c>
      <c r="AO14" s="128">
        <v>1.39</v>
      </c>
      <c r="AP14" s="128">
        <v>1.4</v>
      </c>
      <c r="AQ14" s="128">
        <v>1.41</v>
      </c>
      <c r="AR14" s="128">
        <v>1.42</v>
      </c>
      <c r="AS14" s="128">
        <v>1.43</v>
      </c>
      <c r="AT14" s="128">
        <v>1.44</v>
      </c>
      <c r="AU14" s="128">
        <v>1.45</v>
      </c>
      <c r="AV14" s="128">
        <v>1.46</v>
      </c>
      <c r="AW14" s="128">
        <v>1.47</v>
      </c>
      <c r="AX14" s="128">
        <v>1.48</v>
      </c>
      <c r="AY14" s="128">
        <v>1.49</v>
      </c>
      <c r="AZ14" s="128">
        <v>1.5</v>
      </c>
      <c r="BA14" s="128">
        <v>1.51</v>
      </c>
      <c r="BB14" s="128">
        <v>1.52</v>
      </c>
      <c r="BC14" s="128">
        <v>1.53</v>
      </c>
      <c r="BD14" s="128">
        <v>1.54</v>
      </c>
      <c r="BE14" s="128">
        <v>1.55</v>
      </c>
      <c r="BF14" s="128">
        <v>1.56</v>
      </c>
      <c r="BG14" s="128">
        <v>1.57</v>
      </c>
      <c r="BH14" s="128">
        <v>1.58</v>
      </c>
      <c r="BI14" s="128">
        <v>1.59</v>
      </c>
      <c r="BJ14" s="128">
        <v>1.6</v>
      </c>
      <c r="BK14" s="128">
        <v>1.61</v>
      </c>
      <c r="BL14" s="128">
        <v>1.62</v>
      </c>
      <c r="BM14" s="128">
        <v>1.63</v>
      </c>
      <c r="BN14" s="128">
        <v>1.64</v>
      </c>
      <c r="BO14" s="128">
        <v>1.65</v>
      </c>
      <c r="BP14" s="128">
        <v>1.66</v>
      </c>
      <c r="BQ14" s="128">
        <v>1.67</v>
      </c>
      <c r="BR14" s="128">
        <v>1.68</v>
      </c>
      <c r="BS14" s="128">
        <v>1.69</v>
      </c>
      <c r="BT14" s="128">
        <v>1.7</v>
      </c>
      <c r="BU14" s="128">
        <v>1.71</v>
      </c>
      <c r="BV14" s="128">
        <v>1.72</v>
      </c>
      <c r="BW14" s="128">
        <v>1.73</v>
      </c>
      <c r="BX14" s="128">
        <v>1.74</v>
      </c>
      <c r="BY14" s="128">
        <v>1.75</v>
      </c>
      <c r="BZ14" s="128">
        <v>1.76</v>
      </c>
      <c r="CA14" s="128">
        <v>1.77</v>
      </c>
      <c r="CB14" s="128">
        <v>1.78</v>
      </c>
      <c r="CC14" s="128">
        <v>1.79</v>
      </c>
      <c r="CD14" s="128">
        <v>1.8</v>
      </c>
      <c r="CE14" s="128">
        <v>1.81</v>
      </c>
      <c r="CF14" s="128">
        <v>1.82</v>
      </c>
      <c r="CG14" s="128">
        <v>1.83</v>
      </c>
      <c r="CH14" s="128">
        <v>1.84</v>
      </c>
      <c r="CI14" s="128">
        <v>1.85</v>
      </c>
      <c r="CJ14" s="128">
        <v>1.86</v>
      </c>
      <c r="CK14" s="128">
        <v>1.87</v>
      </c>
      <c r="CL14" s="128">
        <v>1.88</v>
      </c>
      <c r="CM14" s="128">
        <v>1.89</v>
      </c>
      <c r="CN14" s="128">
        <v>1.9</v>
      </c>
      <c r="CO14" s="128">
        <v>1.91</v>
      </c>
      <c r="CP14" s="128">
        <v>1.92</v>
      </c>
      <c r="CQ14" s="128">
        <v>1.93</v>
      </c>
      <c r="CR14" s="128">
        <v>1.94</v>
      </c>
      <c r="CS14" s="128">
        <v>1.95</v>
      </c>
      <c r="CT14" s="128">
        <v>1.96</v>
      </c>
      <c r="CU14" s="128">
        <v>1.97</v>
      </c>
      <c r="CV14" s="128">
        <v>1.98</v>
      </c>
      <c r="CW14" s="128">
        <v>1.99</v>
      </c>
      <c r="CX14" s="128">
        <v>2</v>
      </c>
      <c r="CZ14" s="126">
        <f>SUMIF(MatrixF2[[1]:[2]],MatrixF2[[#This Row],[Столбец1]])/MatrixF2[[#This Row],[Столбец1]]</f>
        <v>92.999999999999957</v>
      </c>
    </row>
    <row r="15" spans="1:104" ht="21" customHeight="1" x14ac:dyDescent="0.25">
      <c r="A15" s="127">
        <v>1.1200000000000001</v>
      </c>
      <c r="B15" s="128">
        <v>1</v>
      </c>
      <c r="C15" s="128">
        <v>1.01</v>
      </c>
      <c r="D15" s="128">
        <v>1.02</v>
      </c>
      <c r="E15" s="128">
        <v>1.03</v>
      </c>
      <c r="F15" s="128">
        <v>1.04</v>
      </c>
      <c r="G15" s="128">
        <v>1.05</v>
      </c>
      <c r="H15" s="128">
        <v>1.06</v>
      </c>
      <c r="I15" s="128">
        <v>1.07</v>
      </c>
      <c r="J15" s="128">
        <v>1.08</v>
      </c>
      <c r="K15" s="128">
        <v>1.0900000000000001</v>
      </c>
      <c r="L15" s="128">
        <v>1.1000000000000001</v>
      </c>
      <c r="M15" s="128">
        <v>1.1100000000000001</v>
      </c>
      <c r="N15" s="128">
        <v>1.1200000000000001</v>
      </c>
      <c r="O15" s="128">
        <v>1.1299999999999999</v>
      </c>
      <c r="P15" s="128">
        <v>1.1399999999999999</v>
      </c>
      <c r="Q15" s="128">
        <v>1.1499999999999999</v>
      </c>
      <c r="R15" s="128">
        <v>1.1599999999999999</v>
      </c>
      <c r="S15" s="128">
        <v>1.17</v>
      </c>
      <c r="T15" s="128">
        <v>1.18</v>
      </c>
      <c r="U15" s="128">
        <v>1.19</v>
      </c>
      <c r="V15" s="128">
        <v>1.2</v>
      </c>
      <c r="W15" s="128">
        <v>1.21</v>
      </c>
      <c r="X15" s="128">
        <v>1.22</v>
      </c>
      <c r="Y15" s="128">
        <v>1.23</v>
      </c>
      <c r="Z15" s="128">
        <v>1.24</v>
      </c>
      <c r="AA15" s="128">
        <v>1.25</v>
      </c>
      <c r="AB15" s="128">
        <v>1.26</v>
      </c>
      <c r="AC15" s="128">
        <v>1.27</v>
      </c>
      <c r="AD15" s="128">
        <v>1.28</v>
      </c>
      <c r="AE15" s="128">
        <v>1.29</v>
      </c>
      <c r="AF15" s="128">
        <v>1.3</v>
      </c>
      <c r="AG15" s="128">
        <v>1.31</v>
      </c>
      <c r="AH15" s="128">
        <v>1.32</v>
      </c>
      <c r="AI15" s="128">
        <v>1.33</v>
      </c>
      <c r="AJ15" s="128">
        <v>1.34</v>
      </c>
      <c r="AK15" s="128">
        <v>1.35</v>
      </c>
      <c r="AL15" s="128">
        <v>1.36</v>
      </c>
      <c r="AM15" s="128">
        <v>1.37</v>
      </c>
      <c r="AN15" s="128">
        <v>1.38</v>
      </c>
      <c r="AO15" s="128">
        <v>1.39</v>
      </c>
      <c r="AP15" s="128">
        <v>1.4</v>
      </c>
      <c r="AQ15" s="128">
        <v>1.41</v>
      </c>
      <c r="AR15" s="128">
        <v>1.42</v>
      </c>
      <c r="AS15" s="128">
        <v>1.43</v>
      </c>
      <c r="AT15" s="128">
        <v>1.44</v>
      </c>
      <c r="AU15" s="128">
        <v>1.45</v>
      </c>
      <c r="AV15" s="128">
        <v>1.46</v>
      </c>
      <c r="AW15" s="128">
        <v>1.47</v>
      </c>
      <c r="AX15" s="128">
        <v>1.48</v>
      </c>
      <c r="AY15" s="128">
        <v>1.49</v>
      </c>
      <c r="AZ15" s="128">
        <v>1.5</v>
      </c>
      <c r="BA15" s="128">
        <v>1.51</v>
      </c>
      <c r="BB15" s="128">
        <v>1.52</v>
      </c>
      <c r="BC15" s="128">
        <v>1.53</v>
      </c>
      <c r="BD15" s="128">
        <v>1.54</v>
      </c>
      <c r="BE15" s="128">
        <v>1.55</v>
      </c>
      <c r="BF15" s="128">
        <v>1.56</v>
      </c>
      <c r="BG15" s="128">
        <v>1.57</v>
      </c>
      <c r="BH15" s="128">
        <v>1.58</v>
      </c>
      <c r="BI15" s="128">
        <v>1.59</v>
      </c>
      <c r="BJ15" s="128">
        <v>1.6</v>
      </c>
      <c r="BK15" s="128">
        <v>1.61</v>
      </c>
      <c r="BL15" s="128">
        <v>1.62</v>
      </c>
      <c r="BM15" s="128">
        <v>1.63</v>
      </c>
      <c r="BN15" s="128">
        <v>1.64</v>
      </c>
      <c r="BO15" s="128">
        <v>1.65</v>
      </c>
      <c r="BP15" s="128">
        <v>1.66</v>
      </c>
      <c r="BQ15" s="128">
        <v>1.67</v>
      </c>
      <c r="BR15" s="128">
        <v>1.68</v>
      </c>
      <c r="BS15" s="128">
        <v>1.69</v>
      </c>
      <c r="BT15" s="128">
        <v>1.7</v>
      </c>
      <c r="BU15" s="128">
        <v>1.71</v>
      </c>
      <c r="BV15" s="128">
        <v>1.72</v>
      </c>
      <c r="BW15" s="128">
        <v>1.73</v>
      </c>
      <c r="BX15" s="128">
        <v>1.74</v>
      </c>
      <c r="BY15" s="128">
        <v>1.75</v>
      </c>
      <c r="BZ15" s="128">
        <v>1.76</v>
      </c>
      <c r="CA15" s="128">
        <v>1.77</v>
      </c>
      <c r="CB15" s="128">
        <v>1.78</v>
      </c>
      <c r="CC15" s="128">
        <v>1.79</v>
      </c>
      <c r="CD15" s="128">
        <v>1.8</v>
      </c>
      <c r="CE15" s="128">
        <v>1.81</v>
      </c>
      <c r="CF15" s="128">
        <v>1.82</v>
      </c>
      <c r="CG15" s="128">
        <v>1.83</v>
      </c>
      <c r="CH15" s="128">
        <v>1.84</v>
      </c>
      <c r="CI15" s="128">
        <v>1.85</v>
      </c>
      <c r="CJ15" s="128">
        <v>1.86</v>
      </c>
      <c r="CK15" s="128">
        <v>1.87</v>
      </c>
      <c r="CL15" s="128">
        <v>1.88</v>
      </c>
      <c r="CM15" s="128">
        <v>1.89</v>
      </c>
      <c r="CN15" s="128">
        <v>1.9</v>
      </c>
      <c r="CO15" s="128">
        <v>1.91</v>
      </c>
      <c r="CP15" s="128">
        <v>1.92</v>
      </c>
      <c r="CQ15" s="128">
        <v>1.93</v>
      </c>
      <c r="CR15" s="128">
        <v>1.94</v>
      </c>
      <c r="CS15" s="128">
        <v>1.95</v>
      </c>
      <c r="CT15" s="128">
        <v>1.96</v>
      </c>
      <c r="CU15" s="128">
        <v>1.97</v>
      </c>
      <c r="CV15" s="128">
        <v>1.98</v>
      </c>
      <c r="CW15" s="128">
        <v>1.99</v>
      </c>
      <c r="CX15" s="128">
        <v>2</v>
      </c>
      <c r="CZ15" s="126">
        <f>SUMIF(MatrixF2[[1]:[2]],MatrixF2[[#This Row],[Столбец1]])/MatrixF2[[#This Row],[Столбец1]]</f>
        <v>95.000000000000099</v>
      </c>
    </row>
    <row r="16" spans="1:104" ht="21" customHeight="1" x14ac:dyDescent="0.25">
      <c r="A16" s="127">
        <v>1.1299999999999999</v>
      </c>
      <c r="B16" s="128">
        <v>1</v>
      </c>
      <c r="C16" s="128">
        <v>1.01</v>
      </c>
      <c r="D16" s="128">
        <v>1.02</v>
      </c>
      <c r="E16" s="128">
        <v>1.03</v>
      </c>
      <c r="F16" s="128">
        <v>1.04</v>
      </c>
      <c r="G16" s="128">
        <v>1.05</v>
      </c>
      <c r="H16" s="128">
        <v>1.06</v>
      </c>
      <c r="I16" s="128">
        <v>1.07</v>
      </c>
      <c r="J16" s="128">
        <v>1.08</v>
      </c>
      <c r="K16" s="128">
        <v>1.0900000000000001</v>
      </c>
      <c r="L16" s="128">
        <v>1.1000000000000001</v>
      </c>
      <c r="M16" s="128">
        <v>1.1100000000000001</v>
      </c>
      <c r="N16" s="128">
        <v>1.1200000000000001</v>
      </c>
      <c r="O16" s="128">
        <v>1.1299999999999999</v>
      </c>
      <c r="P16" s="128">
        <v>1.1399999999999999</v>
      </c>
      <c r="Q16" s="128">
        <v>1.1499999999999999</v>
      </c>
      <c r="R16" s="128">
        <v>1.1599999999999999</v>
      </c>
      <c r="S16" s="128">
        <v>1.17</v>
      </c>
      <c r="T16" s="128">
        <v>1.18</v>
      </c>
      <c r="U16" s="128">
        <v>1.19</v>
      </c>
      <c r="V16" s="128">
        <v>1.2</v>
      </c>
      <c r="W16" s="128">
        <v>1.21</v>
      </c>
      <c r="X16" s="128">
        <v>1.22</v>
      </c>
      <c r="Y16" s="128">
        <v>1.23</v>
      </c>
      <c r="Z16" s="128">
        <v>1.24</v>
      </c>
      <c r="AA16" s="128">
        <v>1.25</v>
      </c>
      <c r="AB16" s="128">
        <v>1.26</v>
      </c>
      <c r="AC16" s="128">
        <v>1.27</v>
      </c>
      <c r="AD16" s="128">
        <v>1.28</v>
      </c>
      <c r="AE16" s="128">
        <v>1.29</v>
      </c>
      <c r="AF16" s="128">
        <v>1.3</v>
      </c>
      <c r="AG16" s="128">
        <v>1.31</v>
      </c>
      <c r="AH16" s="128">
        <v>1.32</v>
      </c>
      <c r="AI16" s="128">
        <v>1.33</v>
      </c>
      <c r="AJ16" s="128">
        <v>1.34</v>
      </c>
      <c r="AK16" s="128">
        <v>1.35</v>
      </c>
      <c r="AL16" s="128">
        <v>1.36</v>
      </c>
      <c r="AM16" s="128">
        <v>1.37</v>
      </c>
      <c r="AN16" s="128">
        <v>1.38</v>
      </c>
      <c r="AO16" s="128">
        <v>1.39</v>
      </c>
      <c r="AP16" s="128">
        <v>1.4</v>
      </c>
      <c r="AQ16" s="128">
        <v>1.41</v>
      </c>
      <c r="AR16" s="128">
        <v>1.42</v>
      </c>
      <c r="AS16" s="128">
        <v>1.43</v>
      </c>
      <c r="AT16" s="128">
        <v>1.44</v>
      </c>
      <c r="AU16" s="128">
        <v>1.45</v>
      </c>
      <c r="AV16" s="128">
        <v>1.46</v>
      </c>
      <c r="AW16" s="128">
        <v>1.47</v>
      </c>
      <c r="AX16" s="128">
        <v>1.48</v>
      </c>
      <c r="AY16" s="128">
        <v>1.49</v>
      </c>
      <c r="AZ16" s="128">
        <v>1.5</v>
      </c>
      <c r="BA16" s="128">
        <v>1.51</v>
      </c>
      <c r="BB16" s="128">
        <v>1.52</v>
      </c>
      <c r="BC16" s="128">
        <v>1.53</v>
      </c>
      <c r="BD16" s="128">
        <v>1.54</v>
      </c>
      <c r="BE16" s="128">
        <v>1.55</v>
      </c>
      <c r="BF16" s="128">
        <v>1.56</v>
      </c>
      <c r="BG16" s="128">
        <v>1.57</v>
      </c>
      <c r="BH16" s="128">
        <v>1.58</v>
      </c>
      <c r="BI16" s="128">
        <v>1.59</v>
      </c>
      <c r="BJ16" s="128">
        <v>1.6</v>
      </c>
      <c r="BK16" s="128">
        <v>1.61</v>
      </c>
      <c r="BL16" s="128">
        <v>1.62</v>
      </c>
      <c r="BM16" s="128">
        <v>1.63</v>
      </c>
      <c r="BN16" s="128">
        <v>1.64</v>
      </c>
      <c r="BO16" s="128">
        <v>1.65</v>
      </c>
      <c r="BP16" s="128">
        <v>1.66</v>
      </c>
      <c r="BQ16" s="128">
        <v>1.67</v>
      </c>
      <c r="BR16" s="128">
        <v>1.68</v>
      </c>
      <c r="BS16" s="128">
        <v>1.69</v>
      </c>
      <c r="BT16" s="128">
        <v>1.7</v>
      </c>
      <c r="BU16" s="128">
        <v>1.71</v>
      </c>
      <c r="BV16" s="128">
        <v>1.72</v>
      </c>
      <c r="BW16" s="128">
        <v>1.73</v>
      </c>
      <c r="BX16" s="128">
        <v>1.74</v>
      </c>
      <c r="BY16" s="128">
        <v>1.75</v>
      </c>
      <c r="BZ16" s="128">
        <v>1.76</v>
      </c>
      <c r="CA16" s="128">
        <v>1.77</v>
      </c>
      <c r="CB16" s="128">
        <v>1.78</v>
      </c>
      <c r="CC16" s="128">
        <v>1.79</v>
      </c>
      <c r="CD16" s="128">
        <v>1.8</v>
      </c>
      <c r="CE16" s="128">
        <v>1.81</v>
      </c>
      <c r="CF16" s="128">
        <v>1.82</v>
      </c>
      <c r="CG16" s="128">
        <v>1.83</v>
      </c>
      <c r="CH16" s="128">
        <v>1.84</v>
      </c>
      <c r="CI16" s="128">
        <v>1.85</v>
      </c>
      <c r="CJ16" s="128">
        <v>1.86</v>
      </c>
      <c r="CK16" s="128">
        <v>1.87</v>
      </c>
      <c r="CL16" s="128">
        <v>1.88</v>
      </c>
      <c r="CM16" s="128">
        <v>1.89</v>
      </c>
      <c r="CN16" s="128">
        <v>1.9</v>
      </c>
      <c r="CO16" s="128">
        <v>1.91</v>
      </c>
      <c r="CP16" s="128">
        <v>1.92</v>
      </c>
      <c r="CQ16" s="128">
        <v>1.93</v>
      </c>
      <c r="CR16" s="128">
        <v>1.94</v>
      </c>
      <c r="CS16" s="128">
        <v>1.95</v>
      </c>
      <c r="CT16" s="128">
        <v>1.96</v>
      </c>
      <c r="CU16" s="128">
        <v>1.97</v>
      </c>
      <c r="CV16" s="128">
        <v>1.98</v>
      </c>
      <c r="CW16" s="128">
        <v>1.99</v>
      </c>
      <c r="CX16" s="128">
        <v>2</v>
      </c>
      <c r="CZ16" s="126">
        <f>SUMIF(MatrixF2[[1]:[2]],MatrixF2[[#This Row],[Столбец1]])/MatrixF2[[#This Row],[Столбец1]]</f>
        <v>89.999999999999929</v>
      </c>
    </row>
    <row r="17" spans="1:104" ht="21" customHeight="1" x14ac:dyDescent="0.25">
      <c r="A17" s="127">
        <v>1.1399999999999999</v>
      </c>
      <c r="B17" s="128">
        <v>1</v>
      </c>
      <c r="C17" s="128">
        <v>1.01</v>
      </c>
      <c r="D17" s="128">
        <v>1.02</v>
      </c>
      <c r="E17" s="128">
        <v>1.03</v>
      </c>
      <c r="F17" s="128">
        <v>1.04</v>
      </c>
      <c r="G17" s="128">
        <v>1.05</v>
      </c>
      <c r="H17" s="128">
        <v>1.07</v>
      </c>
      <c r="I17" s="128">
        <v>1.08</v>
      </c>
      <c r="J17" s="128">
        <v>1.0900000000000001</v>
      </c>
      <c r="K17" s="128">
        <v>1.0900000000000001</v>
      </c>
      <c r="L17" s="128">
        <v>1.1000000000000001</v>
      </c>
      <c r="M17" s="128">
        <v>1.1100000000000001</v>
      </c>
      <c r="N17" s="128">
        <v>1.1200000000000001</v>
      </c>
      <c r="O17" s="128">
        <v>1.1299999999999999</v>
      </c>
      <c r="P17" s="128">
        <v>1.1399999999999999</v>
      </c>
      <c r="Q17" s="128">
        <v>1.1499999999999999</v>
      </c>
      <c r="R17" s="128">
        <v>1.1599999999999999</v>
      </c>
      <c r="S17" s="128">
        <v>1.17</v>
      </c>
      <c r="T17" s="128">
        <v>1.18</v>
      </c>
      <c r="U17" s="128">
        <v>1.19</v>
      </c>
      <c r="V17" s="128">
        <v>1.2</v>
      </c>
      <c r="W17" s="128">
        <v>1.21</v>
      </c>
      <c r="X17" s="128">
        <v>1.22</v>
      </c>
      <c r="Y17" s="128">
        <v>1.23</v>
      </c>
      <c r="Z17" s="128">
        <v>1.24</v>
      </c>
      <c r="AA17" s="128">
        <v>1.25</v>
      </c>
      <c r="AB17" s="128">
        <v>1.26</v>
      </c>
      <c r="AC17" s="128">
        <v>1.27</v>
      </c>
      <c r="AD17" s="128">
        <v>1.28</v>
      </c>
      <c r="AE17" s="128">
        <v>1.29</v>
      </c>
      <c r="AF17" s="128">
        <v>1.3</v>
      </c>
      <c r="AG17" s="128">
        <v>1.31</v>
      </c>
      <c r="AH17" s="128">
        <v>1.32</v>
      </c>
      <c r="AI17" s="128">
        <v>1.33</v>
      </c>
      <c r="AJ17" s="128">
        <v>1.34</v>
      </c>
      <c r="AK17" s="128">
        <v>1.35</v>
      </c>
      <c r="AL17" s="128">
        <v>1.36</v>
      </c>
      <c r="AM17" s="128">
        <v>1.37</v>
      </c>
      <c r="AN17" s="128">
        <v>1.38</v>
      </c>
      <c r="AO17" s="128">
        <v>1.39</v>
      </c>
      <c r="AP17" s="128">
        <v>1.4</v>
      </c>
      <c r="AQ17" s="128">
        <v>1.41</v>
      </c>
      <c r="AR17" s="128">
        <v>1.42</v>
      </c>
      <c r="AS17" s="128">
        <v>1.43</v>
      </c>
      <c r="AT17" s="128">
        <v>1.44</v>
      </c>
      <c r="AU17" s="128">
        <v>1.45</v>
      </c>
      <c r="AV17" s="128">
        <v>1.46</v>
      </c>
      <c r="AW17" s="128">
        <v>1.47</v>
      </c>
      <c r="AX17" s="128">
        <v>1.48</v>
      </c>
      <c r="AY17" s="128">
        <v>1.49</v>
      </c>
      <c r="AZ17" s="128">
        <v>1.5</v>
      </c>
      <c r="BA17" s="128">
        <v>1.51</v>
      </c>
      <c r="BB17" s="128">
        <v>1.52</v>
      </c>
      <c r="BC17" s="128">
        <v>1.53</v>
      </c>
      <c r="BD17" s="128">
        <v>1.54</v>
      </c>
      <c r="BE17" s="128">
        <v>1.55</v>
      </c>
      <c r="BF17" s="128">
        <v>1.56</v>
      </c>
      <c r="BG17" s="128">
        <v>1.57</v>
      </c>
      <c r="BH17" s="128">
        <v>1.58</v>
      </c>
      <c r="BI17" s="128">
        <v>1.59</v>
      </c>
      <c r="BJ17" s="128">
        <v>1.6</v>
      </c>
      <c r="BK17" s="128">
        <v>1.61</v>
      </c>
      <c r="BL17" s="128">
        <v>1.62</v>
      </c>
      <c r="BM17" s="128">
        <v>1.63</v>
      </c>
      <c r="BN17" s="128">
        <v>1.64</v>
      </c>
      <c r="BO17" s="128">
        <v>1.65</v>
      </c>
      <c r="BP17" s="128">
        <v>1.66</v>
      </c>
      <c r="BQ17" s="128">
        <v>1.67</v>
      </c>
      <c r="BR17" s="128">
        <v>1.68</v>
      </c>
      <c r="BS17" s="128">
        <v>1.69</v>
      </c>
      <c r="BT17" s="128">
        <v>1.7</v>
      </c>
      <c r="BU17" s="128">
        <v>1.71</v>
      </c>
      <c r="BV17" s="128">
        <v>1.72</v>
      </c>
      <c r="BW17" s="128">
        <v>1.73</v>
      </c>
      <c r="BX17" s="128">
        <v>1.74</v>
      </c>
      <c r="BY17" s="128">
        <v>1.75</v>
      </c>
      <c r="BZ17" s="128">
        <v>1.76</v>
      </c>
      <c r="CA17" s="128">
        <v>1.77</v>
      </c>
      <c r="CB17" s="128">
        <v>1.78</v>
      </c>
      <c r="CC17" s="128">
        <v>1.79</v>
      </c>
      <c r="CD17" s="128">
        <v>1.8</v>
      </c>
      <c r="CE17" s="128">
        <v>1.81</v>
      </c>
      <c r="CF17" s="128">
        <v>1.82</v>
      </c>
      <c r="CG17" s="128">
        <v>1.83</v>
      </c>
      <c r="CH17" s="128">
        <v>1.84</v>
      </c>
      <c r="CI17" s="128">
        <v>1.85</v>
      </c>
      <c r="CJ17" s="128">
        <v>1.86</v>
      </c>
      <c r="CK17" s="128">
        <v>1.87</v>
      </c>
      <c r="CL17" s="128">
        <v>1.88</v>
      </c>
      <c r="CM17" s="128">
        <v>1.89</v>
      </c>
      <c r="CN17" s="128">
        <v>1.9</v>
      </c>
      <c r="CO17" s="128">
        <v>1.91</v>
      </c>
      <c r="CP17" s="128">
        <v>1.91</v>
      </c>
      <c r="CQ17" s="128">
        <v>1.92</v>
      </c>
      <c r="CR17" s="128">
        <v>1.93</v>
      </c>
      <c r="CS17" s="128">
        <v>1.95</v>
      </c>
      <c r="CT17" s="128">
        <v>1.96</v>
      </c>
      <c r="CU17" s="128">
        <v>1.97</v>
      </c>
      <c r="CV17" s="128">
        <v>1.98</v>
      </c>
      <c r="CW17" s="128">
        <v>1.99</v>
      </c>
      <c r="CX17" s="128">
        <v>2</v>
      </c>
      <c r="CZ17" s="126">
        <f>SUMIF(MatrixF2[[1]:[2]],MatrixF2[[#This Row],[Столбец1]])/MatrixF2[[#This Row],[Столбец1]]</f>
        <v>97.000000000000043</v>
      </c>
    </row>
    <row r="18" spans="1:104" ht="21" customHeight="1" x14ac:dyDescent="0.25">
      <c r="A18" s="127">
        <v>1.1499999999999999</v>
      </c>
      <c r="B18" s="128">
        <v>1</v>
      </c>
      <c r="C18" s="128">
        <v>1.01</v>
      </c>
      <c r="D18" s="128">
        <v>1.02</v>
      </c>
      <c r="E18" s="128">
        <v>1.03</v>
      </c>
      <c r="F18" s="128">
        <v>1.04</v>
      </c>
      <c r="G18" s="128">
        <v>1.06</v>
      </c>
      <c r="H18" s="128">
        <v>1.07</v>
      </c>
      <c r="I18" s="128">
        <v>1.08</v>
      </c>
      <c r="J18" s="128">
        <v>1.0900000000000001</v>
      </c>
      <c r="K18" s="128">
        <v>1.1000000000000001</v>
      </c>
      <c r="L18" s="128">
        <v>1.1100000000000001</v>
      </c>
      <c r="M18" s="128">
        <v>1.1100000000000001</v>
      </c>
      <c r="N18" s="128">
        <v>1.1200000000000001</v>
      </c>
      <c r="O18" s="128">
        <v>1.1299999999999999</v>
      </c>
      <c r="P18" s="128">
        <v>1.1399999999999999</v>
      </c>
      <c r="Q18" s="128">
        <v>1.1499999999999999</v>
      </c>
      <c r="R18" s="128">
        <v>1.1599999999999999</v>
      </c>
      <c r="S18" s="128">
        <v>1.17</v>
      </c>
      <c r="T18" s="128">
        <v>1.18</v>
      </c>
      <c r="U18" s="128">
        <v>1.19</v>
      </c>
      <c r="V18" s="128">
        <v>1.2</v>
      </c>
      <c r="W18" s="128">
        <v>1.21</v>
      </c>
      <c r="X18" s="128">
        <v>1.22</v>
      </c>
      <c r="Y18" s="128">
        <v>1.23</v>
      </c>
      <c r="Z18" s="128">
        <v>1.24</v>
      </c>
      <c r="AA18" s="128">
        <v>1.25</v>
      </c>
      <c r="AB18" s="128">
        <v>1.26</v>
      </c>
      <c r="AC18" s="128">
        <v>1.27</v>
      </c>
      <c r="AD18" s="128">
        <v>1.28</v>
      </c>
      <c r="AE18" s="128">
        <v>1.29</v>
      </c>
      <c r="AF18" s="128">
        <v>1.3</v>
      </c>
      <c r="AG18" s="128">
        <v>1.31</v>
      </c>
      <c r="AH18" s="128">
        <v>1.32</v>
      </c>
      <c r="AI18" s="128">
        <v>1.33</v>
      </c>
      <c r="AJ18" s="128">
        <v>1.34</v>
      </c>
      <c r="AK18" s="128">
        <v>1.35</v>
      </c>
      <c r="AL18" s="128">
        <v>1.36</v>
      </c>
      <c r="AM18" s="128">
        <v>1.37</v>
      </c>
      <c r="AN18" s="128">
        <v>1.38</v>
      </c>
      <c r="AO18" s="128">
        <v>1.39</v>
      </c>
      <c r="AP18" s="128">
        <v>1.4</v>
      </c>
      <c r="AQ18" s="128">
        <v>1.41</v>
      </c>
      <c r="AR18" s="128">
        <v>1.42</v>
      </c>
      <c r="AS18" s="128">
        <v>1.43</v>
      </c>
      <c r="AT18" s="128">
        <v>1.44</v>
      </c>
      <c r="AU18" s="128">
        <v>1.45</v>
      </c>
      <c r="AV18" s="128">
        <v>1.46</v>
      </c>
      <c r="AW18" s="128">
        <v>1.47</v>
      </c>
      <c r="AX18" s="128">
        <v>1.48</v>
      </c>
      <c r="AY18" s="128">
        <v>1.49</v>
      </c>
      <c r="AZ18" s="128">
        <v>1.5</v>
      </c>
      <c r="BA18" s="128">
        <v>1.51</v>
      </c>
      <c r="BB18" s="128">
        <v>1.52</v>
      </c>
      <c r="BC18" s="128">
        <v>1.53</v>
      </c>
      <c r="BD18" s="128">
        <v>1.54</v>
      </c>
      <c r="BE18" s="128">
        <v>1.55</v>
      </c>
      <c r="BF18" s="128">
        <v>1.56</v>
      </c>
      <c r="BG18" s="128">
        <v>1.57</v>
      </c>
      <c r="BH18" s="128">
        <v>1.58</v>
      </c>
      <c r="BI18" s="128">
        <v>1.59</v>
      </c>
      <c r="BJ18" s="128">
        <v>1.6</v>
      </c>
      <c r="BK18" s="128">
        <v>1.61</v>
      </c>
      <c r="BL18" s="128">
        <v>1.62</v>
      </c>
      <c r="BM18" s="128">
        <v>1.63</v>
      </c>
      <c r="BN18" s="128">
        <v>1.64</v>
      </c>
      <c r="BO18" s="128">
        <v>1.65</v>
      </c>
      <c r="BP18" s="128">
        <v>1.66</v>
      </c>
      <c r="BQ18" s="128">
        <v>1.67</v>
      </c>
      <c r="BR18" s="128">
        <v>1.68</v>
      </c>
      <c r="BS18" s="128">
        <v>1.69</v>
      </c>
      <c r="BT18" s="128">
        <v>1.7</v>
      </c>
      <c r="BU18" s="128">
        <v>1.71</v>
      </c>
      <c r="BV18" s="128">
        <v>1.72</v>
      </c>
      <c r="BW18" s="128">
        <v>1.73</v>
      </c>
      <c r="BX18" s="128">
        <v>1.74</v>
      </c>
      <c r="BY18" s="128">
        <v>1.75</v>
      </c>
      <c r="BZ18" s="128">
        <v>1.76</v>
      </c>
      <c r="CA18" s="128">
        <v>1.77</v>
      </c>
      <c r="CB18" s="128">
        <v>1.78</v>
      </c>
      <c r="CC18" s="128">
        <v>1.79</v>
      </c>
      <c r="CD18" s="128">
        <v>1.8</v>
      </c>
      <c r="CE18" s="128">
        <v>1.81</v>
      </c>
      <c r="CF18" s="128">
        <v>1.82</v>
      </c>
      <c r="CG18" s="128">
        <v>1.83</v>
      </c>
      <c r="CH18" s="128">
        <v>1.84</v>
      </c>
      <c r="CI18" s="128">
        <v>1.85</v>
      </c>
      <c r="CJ18" s="128">
        <v>1.86</v>
      </c>
      <c r="CK18" s="128">
        <v>1.87</v>
      </c>
      <c r="CL18" s="128">
        <v>1.88</v>
      </c>
      <c r="CM18" s="128">
        <v>1.89</v>
      </c>
      <c r="CN18" s="128">
        <v>1.89</v>
      </c>
      <c r="CO18" s="128">
        <v>1.9</v>
      </c>
      <c r="CP18" s="128">
        <v>1.91</v>
      </c>
      <c r="CQ18" s="128">
        <v>1.92</v>
      </c>
      <c r="CR18" s="128">
        <v>1.93</v>
      </c>
      <c r="CS18" s="128">
        <v>1.94</v>
      </c>
      <c r="CT18" s="128">
        <v>1.96</v>
      </c>
      <c r="CU18" s="128">
        <v>1.97</v>
      </c>
      <c r="CV18" s="128">
        <v>1.98</v>
      </c>
      <c r="CW18" s="128">
        <v>1.99</v>
      </c>
      <c r="CX18" s="128">
        <v>2</v>
      </c>
      <c r="CZ18" s="126">
        <f>SUMIF(MatrixF2[[1]:[2]],MatrixF2[[#This Row],[Столбец1]])/MatrixF2[[#This Row],[Столбец1]]</f>
        <v>97.000000000000171</v>
      </c>
    </row>
    <row r="19" spans="1:104" ht="21" customHeight="1" x14ac:dyDescent="0.25">
      <c r="A19" s="127">
        <v>1.1599999999999999</v>
      </c>
      <c r="B19" s="128">
        <v>1</v>
      </c>
      <c r="C19" s="128">
        <v>1.01</v>
      </c>
      <c r="D19" s="128">
        <v>1.02</v>
      </c>
      <c r="E19" s="128">
        <v>1.03</v>
      </c>
      <c r="F19" s="128">
        <v>1.05</v>
      </c>
      <c r="G19" s="128">
        <v>1.06</v>
      </c>
      <c r="H19" s="128">
        <v>1.07</v>
      </c>
      <c r="I19" s="128">
        <v>1.08</v>
      </c>
      <c r="J19" s="128">
        <v>1.0900000000000001</v>
      </c>
      <c r="K19" s="128">
        <v>1.1000000000000001</v>
      </c>
      <c r="L19" s="128">
        <v>1.1100000000000001</v>
      </c>
      <c r="M19" s="128">
        <v>1.1200000000000001</v>
      </c>
      <c r="N19" s="128">
        <v>1.1200000000000001</v>
      </c>
      <c r="O19" s="128">
        <v>1.1299999999999999</v>
      </c>
      <c r="P19" s="128">
        <v>1.1399999999999999</v>
      </c>
      <c r="Q19" s="128">
        <v>1.1499999999999999</v>
      </c>
      <c r="R19" s="128">
        <v>1.1599999999999999</v>
      </c>
      <c r="S19" s="128">
        <v>1.17</v>
      </c>
      <c r="T19" s="128">
        <v>1.18</v>
      </c>
      <c r="U19" s="128">
        <v>1.19</v>
      </c>
      <c r="V19" s="128">
        <v>1.2</v>
      </c>
      <c r="W19" s="128">
        <v>1.21</v>
      </c>
      <c r="X19" s="128">
        <v>1.22</v>
      </c>
      <c r="Y19" s="128">
        <v>1.23</v>
      </c>
      <c r="Z19" s="128">
        <v>1.24</v>
      </c>
      <c r="AA19" s="128">
        <v>1.25</v>
      </c>
      <c r="AB19" s="128">
        <v>1.26</v>
      </c>
      <c r="AC19" s="128">
        <v>1.27</v>
      </c>
      <c r="AD19" s="128">
        <v>1.28</v>
      </c>
      <c r="AE19" s="128">
        <v>1.29</v>
      </c>
      <c r="AF19" s="128">
        <v>1.3</v>
      </c>
      <c r="AG19" s="128">
        <v>1.31</v>
      </c>
      <c r="AH19" s="128">
        <v>1.32</v>
      </c>
      <c r="AI19" s="128">
        <v>1.33</v>
      </c>
      <c r="AJ19" s="128">
        <v>1.34</v>
      </c>
      <c r="AK19" s="128">
        <v>1.35</v>
      </c>
      <c r="AL19" s="128">
        <v>1.36</v>
      </c>
      <c r="AM19" s="128">
        <v>1.37</v>
      </c>
      <c r="AN19" s="128">
        <v>1.38</v>
      </c>
      <c r="AO19" s="128">
        <v>1.39</v>
      </c>
      <c r="AP19" s="128">
        <v>1.4</v>
      </c>
      <c r="AQ19" s="128">
        <v>1.41</v>
      </c>
      <c r="AR19" s="128">
        <v>1.42</v>
      </c>
      <c r="AS19" s="128">
        <v>1.43</v>
      </c>
      <c r="AT19" s="128">
        <v>1.44</v>
      </c>
      <c r="AU19" s="128">
        <v>1.45</v>
      </c>
      <c r="AV19" s="128">
        <v>1.46</v>
      </c>
      <c r="AW19" s="128">
        <v>1.47</v>
      </c>
      <c r="AX19" s="128">
        <v>1.48</v>
      </c>
      <c r="AY19" s="128">
        <v>1.49</v>
      </c>
      <c r="AZ19" s="128">
        <v>1.5</v>
      </c>
      <c r="BA19" s="128">
        <v>1.51</v>
      </c>
      <c r="BB19" s="128">
        <v>1.52</v>
      </c>
      <c r="BC19" s="128">
        <v>1.53</v>
      </c>
      <c r="BD19" s="128">
        <v>1.54</v>
      </c>
      <c r="BE19" s="128">
        <v>1.55</v>
      </c>
      <c r="BF19" s="128">
        <v>1.56</v>
      </c>
      <c r="BG19" s="128">
        <v>1.57</v>
      </c>
      <c r="BH19" s="128">
        <v>1.58</v>
      </c>
      <c r="BI19" s="128">
        <v>1.59</v>
      </c>
      <c r="BJ19" s="128">
        <v>1.6</v>
      </c>
      <c r="BK19" s="128">
        <v>1.61</v>
      </c>
      <c r="BL19" s="128">
        <v>1.62</v>
      </c>
      <c r="BM19" s="128">
        <v>1.63</v>
      </c>
      <c r="BN19" s="128">
        <v>1.64</v>
      </c>
      <c r="BO19" s="128">
        <v>1.65</v>
      </c>
      <c r="BP19" s="128">
        <v>1.66</v>
      </c>
      <c r="BQ19" s="128">
        <v>1.67</v>
      </c>
      <c r="BR19" s="128">
        <v>1.68</v>
      </c>
      <c r="BS19" s="128">
        <v>1.69</v>
      </c>
      <c r="BT19" s="128">
        <v>1.7</v>
      </c>
      <c r="BU19" s="128">
        <v>1.71</v>
      </c>
      <c r="BV19" s="128">
        <v>1.72</v>
      </c>
      <c r="BW19" s="128">
        <v>1.73</v>
      </c>
      <c r="BX19" s="128">
        <v>1.74</v>
      </c>
      <c r="BY19" s="128">
        <v>1.75</v>
      </c>
      <c r="BZ19" s="128">
        <v>1.76</v>
      </c>
      <c r="CA19" s="128">
        <v>1.77</v>
      </c>
      <c r="CB19" s="128">
        <v>1.78</v>
      </c>
      <c r="CC19" s="128">
        <v>1.79</v>
      </c>
      <c r="CD19" s="128">
        <v>1.8</v>
      </c>
      <c r="CE19" s="128">
        <v>1.81</v>
      </c>
      <c r="CF19" s="128">
        <v>1.82</v>
      </c>
      <c r="CG19" s="128">
        <v>1.83</v>
      </c>
      <c r="CH19" s="128">
        <v>1.84</v>
      </c>
      <c r="CI19" s="128">
        <v>1.85</v>
      </c>
      <c r="CJ19" s="128">
        <v>1.86</v>
      </c>
      <c r="CK19" s="128">
        <v>1.87</v>
      </c>
      <c r="CL19" s="128">
        <v>1.88</v>
      </c>
      <c r="CM19" s="128">
        <v>1.88</v>
      </c>
      <c r="CN19" s="128">
        <v>1.89</v>
      </c>
      <c r="CO19" s="128">
        <v>1.9</v>
      </c>
      <c r="CP19" s="128">
        <v>1.91</v>
      </c>
      <c r="CQ19" s="128">
        <v>1.92</v>
      </c>
      <c r="CR19" s="128">
        <v>1.93</v>
      </c>
      <c r="CS19" s="128">
        <v>1.94</v>
      </c>
      <c r="CT19" s="128">
        <v>1.95</v>
      </c>
      <c r="CU19" s="128">
        <v>1.97</v>
      </c>
      <c r="CV19" s="128">
        <v>1.98</v>
      </c>
      <c r="CW19" s="128">
        <v>1.99</v>
      </c>
      <c r="CX19" s="128">
        <v>2</v>
      </c>
      <c r="CZ19" s="126">
        <f>SUMIF(MatrixF2[[1]:[2]],MatrixF2[[#This Row],[Столбец1]])/MatrixF2[[#This Row],[Столбец1]]</f>
        <v>99.999999999999801</v>
      </c>
    </row>
    <row r="20" spans="1:104" ht="21" customHeight="1" x14ac:dyDescent="0.25">
      <c r="A20" s="127">
        <v>1.17</v>
      </c>
      <c r="B20" s="128">
        <v>1</v>
      </c>
      <c r="C20" s="128">
        <v>1.01</v>
      </c>
      <c r="D20" s="128">
        <v>1.02</v>
      </c>
      <c r="E20" s="128">
        <v>1.03</v>
      </c>
      <c r="F20" s="128">
        <v>1.05</v>
      </c>
      <c r="G20" s="128">
        <v>1.06</v>
      </c>
      <c r="H20" s="128">
        <v>1.07</v>
      </c>
      <c r="I20" s="128">
        <v>1.08</v>
      </c>
      <c r="J20" s="128">
        <v>1.0900000000000001</v>
      </c>
      <c r="K20" s="128">
        <v>1.1000000000000001</v>
      </c>
      <c r="L20" s="128">
        <v>1.1100000000000001</v>
      </c>
      <c r="M20" s="128">
        <v>1.1200000000000001</v>
      </c>
      <c r="N20" s="128">
        <v>1.1299999999999999</v>
      </c>
      <c r="O20" s="128">
        <v>1.1399999999999999</v>
      </c>
      <c r="P20" s="128">
        <v>1.1399999999999999</v>
      </c>
      <c r="Q20" s="128">
        <v>1.1499999999999999</v>
      </c>
      <c r="R20" s="128">
        <v>1.1599999999999999</v>
      </c>
      <c r="S20" s="128">
        <v>1.17</v>
      </c>
      <c r="T20" s="128">
        <v>1.18</v>
      </c>
      <c r="U20" s="128">
        <v>1.19</v>
      </c>
      <c r="V20" s="128">
        <v>1.2</v>
      </c>
      <c r="W20" s="128">
        <v>1.21</v>
      </c>
      <c r="X20" s="128">
        <v>1.22</v>
      </c>
      <c r="Y20" s="128">
        <v>1.23</v>
      </c>
      <c r="Z20" s="128">
        <v>1.24</v>
      </c>
      <c r="AA20" s="128">
        <v>1.25</v>
      </c>
      <c r="AB20" s="128">
        <v>1.26</v>
      </c>
      <c r="AC20" s="128">
        <v>1.27</v>
      </c>
      <c r="AD20" s="128">
        <v>1.28</v>
      </c>
      <c r="AE20" s="128">
        <v>1.29</v>
      </c>
      <c r="AF20" s="128">
        <v>1.3</v>
      </c>
      <c r="AG20" s="128">
        <v>1.31</v>
      </c>
      <c r="AH20" s="128">
        <v>1.32</v>
      </c>
      <c r="AI20" s="128">
        <v>1.33</v>
      </c>
      <c r="AJ20" s="128">
        <v>1.34</v>
      </c>
      <c r="AK20" s="128">
        <v>1.35</v>
      </c>
      <c r="AL20" s="128">
        <v>1.36</v>
      </c>
      <c r="AM20" s="128">
        <v>1.37</v>
      </c>
      <c r="AN20" s="128">
        <v>1.38</v>
      </c>
      <c r="AO20" s="128">
        <v>1.39</v>
      </c>
      <c r="AP20" s="128">
        <v>1.4</v>
      </c>
      <c r="AQ20" s="128">
        <v>1.41</v>
      </c>
      <c r="AR20" s="128">
        <v>1.42</v>
      </c>
      <c r="AS20" s="128">
        <v>1.43</v>
      </c>
      <c r="AT20" s="128">
        <v>1.44</v>
      </c>
      <c r="AU20" s="128">
        <v>1.45</v>
      </c>
      <c r="AV20" s="128">
        <v>1.46</v>
      </c>
      <c r="AW20" s="128">
        <v>1.47</v>
      </c>
      <c r="AX20" s="128">
        <v>1.48</v>
      </c>
      <c r="AY20" s="128">
        <v>1.49</v>
      </c>
      <c r="AZ20" s="128">
        <v>1.5</v>
      </c>
      <c r="BA20" s="128">
        <v>1.51</v>
      </c>
      <c r="BB20" s="128">
        <v>1.52</v>
      </c>
      <c r="BC20" s="128">
        <v>1.53</v>
      </c>
      <c r="BD20" s="128">
        <v>1.54</v>
      </c>
      <c r="BE20" s="128">
        <v>1.55</v>
      </c>
      <c r="BF20" s="128">
        <v>1.56</v>
      </c>
      <c r="BG20" s="128">
        <v>1.57</v>
      </c>
      <c r="BH20" s="128">
        <v>1.58</v>
      </c>
      <c r="BI20" s="128">
        <v>1.59</v>
      </c>
      <c r="BJ20" s="128">
        <v>1.6</v>
      </c>
      <c r="BK20" s="128">
        <v>1.61</v>
      </c>
      <c r="BL20" s="128">
        <v>1.62</v>
      </c>
      <c r="BM20" s="128">
        <v>1.63</v>
      </c>
      <c r="BN20" s="128">
        <v>1.64</v>
      </c>
      <c r="BO20" s="128">
        <v>1.65</v>
      </c>
      <c r="BP20" s="128">
        <v>1.66</v>
      </c>
      <c r="BQ20" s="128">
        <v>1.67</v>
      </c>
      <c r="BR20" s="128">
        <v>1.68</v>
      </c>
      <c r="BS20" s="128">
        <v>1.69</v>
      </c>
      <c r="BT20" s="128">
        <v>1.7</v>
      </c>
      <c r="BU20" s="128">
        <v>1.71</v>
      </c>
      <c r="BV20" s="128">
        <v>1.72</v>
      </c>
      <c r="BW20" s="128">
        <v>1.73</v>
      </c>
      <c r="BX20" s="128">
        <v>1.74</v>
      </c>
      <c r="BY20" s="128">
        <v>1.75</v>
      </c>
      <c r="BZ20" s="128">
        <v>1.76</v>
      </c>
      <c r="CA20" s="128">
        <v>1.77</v>
      </c>
      <c r="CB20" s="128">
        <v>1.78</v>
      </c>
      <c r="CC20" s="128">
        <v>1.79</v>
      </c>
      <c r="CD20" s="128">
        <v>1.8</v>
      </c>
      <c r="CE20" s="128">
        <v>1.81</v>
      </c>
      <c r="CF20" s="128">
        <v>1.82</v>
      </c>
      <c r="CG20" s="128">
        <v>1.83</v>
      </c>
      <c r="CH20" s="128">
        <v>1.84</v>
      </c>
      <c r="CI20" s="128">
        <v>1.85</v>
      </c>
      <c r="CJ20" s="128">
        <v>1.86</v>
      </c>
      <c r="CK20" s="128">
        <v>1.86</v>
      </c>
      <c r="CL20" s="128">
        <v>1.87</v>
      </c>
      <c r="CM20" s="128">
        <v>1.88</v>
      </c>
      <c r="CN20" s="128">
        <v>1.89</v>
      </c>
      <c r="CO20" s="128">
        <v>1.9</v>
      </c>
      <c r="CP20" s="128">
        <v>1.91</v>
      </c>
      <c r="CQ20" s="128">
        <v>1.92</v>
      </c>
      <c r="CR20" s="128">
        <v>1.93</v>
      </c>
      <c r="CS20" s="128">
        <v>1.94</v>
      </c>
      <c r="CT20" s="128">
        <v>1.95</v>
      </c>
      <c r="CU20" s="128">
        <v>1.97</v>
      </c>
      <c r="CV20" s="128">
        <v>1.98</v>
      </c>
      <c r="CW20" s="128">
        <v>1.99</v>
      </c>
      <c r="CX20" s="128">
        <v>2</v>
      </c>
      <c r="CZ20" s="126">
        <f>SUMIF(MatrixF2[[1]:[2]],MatrixF2[[#This Row],[Столбец1]])/MatrixF2[[#This Row],[Столбец1]]</f>
        <v>93.000000000000114</v>
      </c>
    </row>
    <row r="21" spans="1:104" ht="21" customHeight="1" x14ac:dyDescent="0.25">
      <c r="A21" s="127">
        <v>1.18</v>
      </c>
      <c r="B21" s="128">
        <v>1</v>
      </c>
      <c r="C21" s="128">
        <v>1.01</v>
      </c>
      <c r="D21" s="128">
        <v>1.02</v>
      </c>
      <c r="E21" s="128">
        <v>1.04</v>
      </c>
      <c r="F21" s="128">
        <v>1.05</v>
      </c>
      <c r="G21" s="128">
        <v>1.06</v>
      </c>
      <c r="H21" s="128">
        <v>1.07</v>
      </c>
      <c r="I21" s="128">
        <v>1.08</v>
      </c>
      <c r="J21" s="128">
        <v>1.0900000000000001</v>
      </c>
      <c r="K21" s="128">
        <v>1.1000000000000001</v>
      </c>
      <c r="L21" s="128">
        <v>1.1100000000000001</v>
      </c>
      <c r="M21" s="128">
        <v>1.1200000000000001</v>
      </c>
      <c r="N21" s="128">
        <v>1.1299999999999999</v>
      </c>
      <c r="O21" s="128">
        <v>1.1399999999999999</v>
      </c>
      <c r="P21" s="128">
        <v>1.1499999999999999</v>
      </c>
      <c r="Q21" s="128">
        <v>1.1499999999999999</v>
      </c>
      <c r="R21" s="128">
        <v>1.1599999999999999</v>
      </c>
      <c r="S21" s="128">
        <v>1.17</v>
      </c>
      <c r="T21" s="128">
        <v>1.18</v>
      </c>
      <c r="U21" s="128">
        <v>1.19</v>
      </c>
      <c r="V21" s="128">
        <v>1.2</v>
      </c>
      <c r="W21" s="128">
        <v>1.21</v>
      </c>
      <c r="X21" s="128">
        <v>1.22</v>
      </c>
      <c r="Y21" s="128">
        <v>1.23</v>
      </c>
      <c r="Z21" s="128">
        <v>1.24</v>
      </c>
      <c r="AA21" s="128">
        <v>1.25</v>
      </c>
      <c r="AB21" s="128">
        <v>1.26</v>
      </c>
      <c r="AC21" s="128">
        <v>1.27</v>
      </c>
      <c r="AD21" s="128">
        <v>1.28</v>
      </c>
      <c r="AE21" s="128">
        <v>1.29</v>
      </c>
      <c r="AF21" s="128">
        <v>1.3</v>
      </c>
      <c r="AG21" s="128">
        <v>1.31</v>
      </c>
      <c r="AH21" s="128">
        <v>1.32</v>
      </c>
      <c r="AI21" s="128">
        <v>1.33</v>
      </c>
      <c r="AJ21" s="128">
        <v>1.34</v>
      </c>
      <c r="AK21" s="128">
        <v>1.35</v>
      </c>
      <c r="AL21" s="128">
        <v>1.36</v>
      </c>
      <c r="AM21" s="128">
        <v>1.37</v>
      </c>
      <c r="AN21" s="128">
        <v>1.38</v>
      </c>
      <c r="AO21" s="128">
        <v>1.39</v>
      </c>
      <c r="AP21" s="128">
        <v>1.4</v>
      </c>
      <c r="AQ21" s="128">
        <v>1.41</v>
      </c>
      <c r="AR21" s="128">
        <v>1.42</v>
      </c>
      <c r="AS21" s="128">
        <v>1.43</v>
      </c>
      <c r="AT21" s="128">
        <v>1.44</v>
      </c>
      <c r="AU21" s="128">
        <v>1.45</v>
      </c>
      <c r="AV21" s="128">
        <v>1.46</v>
      </c>
      <c r="AW21" s="128">
        <v>1.47</v>
      </c>
      <c r="AX21" s="128">
        <v>1.48</v>
      </c>
      <c r="AY21" s="128">
        <v>1.49</v>
      </c>
      <c r="AZ21" s="128">
        <v>1.5</v>
      </c>
      <c r="BA21" s="128">
        <v>1.51</v>
      </c>
      <c r="BB21" s="128">
        <v>1.52</v>
      </c>
      <c r="BC21" s="128">
        <v>1.53</v>
      </c>
      <c r="BD21" s="128">
        <v>1.54</v>
      </c>
      <c r="BE21" s="128">
        <v>1.55</v>
      </c>
      <c r="BF21" s="128">
        <v>1.56</v>
      </c>
      <c r="BG21" s="128">
        <v>1.57</v>
      </c>
      <c r="BH21" s="128">
        <v>1.58</v>
      </c>
      <c r="BI21" s="128">
        <v>1.59</v>
      </c>
      <c r="BJ21" s="128">
        <v>1.6</v>
      </c>
      <c r="BK21" s="128">
        <v>1.61</v>
      </c>
      <c r="BL21" s="128">
        <v>1.62</v>
      </c>
      <c r="BM21" s="128">
        <v>1.63</v>
      </c>
      <c r="BN21" s="128">
        <v>1.64</v>
      </c>
      <c r="BO21" s="128">
        <v>1.65</v>
      </c>
      <c r="BP21" s="128">
        <v>1.66</v>
      </c>
      <c r="BQ21" s="128">
        <v>1.67</v>
      </c>
      <c r="BR21" s="128">
        <v>1.68</v>
      </c>
      <c r="BS21" s="128">
        <v>1.69</v>
      </c>
      <c r="BT21" s="128">
        <v>1.7</v>
      </c>
      <c r="BU21" s="128">
        <v>1.71</v>
      </c>
      <c r="BV21" s="128">
        <v>1.72</v>
      </c>
      <c r="BW21" s="128">
        <v>1.73</v>
      </c>
      <c r="BX21" s="128">
        <v>1.74</v>
      </c>
      <c r="BY21" s="128">
        <v>1.75</v>
      </c>
      <c r="BZ21" s="128">
        <v>1.76</v>
      </c>
      <c r="CA21" s="128">
        <v>1.77</v>
      </c>
      <c r="CB21" s="128">
        <v>1.78</v>
      </c>
      <c r="CC21" s="128">
        <v>1.79</v>
      </c>
      <c r="CD21" s="128">
        <v>1.8</v>
      </c>
      <c r="CE21" s="128">
        <v>1.81</v>
      </c>
      <c r="CF21" s="128">
        <v>1.82</v>
      </c>
      <c r="CG21" s="128">
        <v>1.83</v>
      </c>
      <c r="CH21" s="128">
        <v>1.84</v>
      </c>
      <c r="CI21" s="128">
        <v>1.85</v>
      </c>
      <c r="CJ21" s="128">
        <v>1.85</v>
      </c>
      <c r="CK21" s="128">
        <v>1.86</v>
      </c>
      <c r="CL21" s="128">
        <v>1.87</v>
      </c>
      <c r="CM21" s="128">
        <v>1.88</v>
      </c>
      <c r="CN21" s="128">
        <v>1.89</v>
      </c>
      <c r="CO21" s="128">
        <v>1.9</v>
      </c>
      <c r="CP21" s="128">
        <v>1.91</v>
      </c>
      <c r="CQ21" s="128">
        <v>1.92</v>
      </c>
      <c r="CR21" s="128">
        <v>1.93</v>
      </c>
      <c r="CS21" s="128">
        <v>1.94</v>
      </c>
      <c r="CT21" s="128">
        <v>1.95</v>
      </c>
      <c r="CU21" s="128">
        <v>1.96</v>
      </c>
      <c r="CV21" s="128">
        <v>1.98</v>
      </c>
      <c r="CW21" s="128">
        <v>1.99</v>
      </c>
      <c r="CX21" s="128">
        <v>2</v>
      </c>
      <c r="CZ21" s="126">
        <f>SUMIF(MatrixF2[[1]:[2]],MatrixF2[[#This Row],[Столбец1]])/MatrixF2[[#This Row],[Столбец1]]</f>
        <v>101.00000000000027</v>
      </c>
    </row>
    <row r="22" spans="1:104" ht="21" customHeight="1" x14ac:dyDescent="0.25">
      <c r="A22" s="127">
        <v>1.19</v>
      </c>
      <c r="B22" s="128">
        <v>1</v>
      </c>
      <c r="C22" s="128">
        <v>1.01</v>
      </c>
      <c r="D22" s="128">
        <v>1.02</v>
      </c>
      <c r="E22" s="128">
        <v>1.04</v>
      </c>
      <c r="F22" s="128">
        <v>1.05</v>
      </c>
      <c r="G22" s="128">
        <v>1.06</v>
      </c>
      <c r="H22" s="128">
        <v>1.07</v>
      </c>
      <c r="I22" s="128">
        <v>1.08</v>
      </c>
      <c r="J22" s="128">
        <v>1.0900000000000001</v>
      </c>
      <c r="K22" s="128">
        <v>1.1000000000000001</v>
      </c>
      <c r="L22" s="128">
        <v>1.1100000000000001</v>
      </c>
      <c r="M22" s="128">
        <v>1.1200000000000001</v>
      </c>
      <c r="N22" s="128">
        <v>1.1299999999999999</v>
      </c>
      <c r="O22" s="128">
        <v>1.1399999999999999</v>
      </c>
      <c r="P22" s="128">
        <v>1.1499999999999999</v>
      </c>
      <c r="Q22" s="128">
        <v>1.1599999999999999</v>
      </c>
      <c r="R22" s="128">
        <v>1.1599999999999999</v>
      </c>
      <c r="S22" s="128">
        <v>1.17</v>
      </c>
      <c r="T22" s="128">
        <v>1.18</v>
      </c>
      <c r="U22" s="128">
        <v>1.19</v>
      </c>
      <c r="V22" s="128">
        <v>1.2</v>
      </c>
      <c r="W22" s="128">
        <v>1.21</v>
      </c>
      <c r="X22" s="128">
        <v>1.22</v>
      </c>
      <c r="Y22" s="128">
        <v>1.23</v>
      </c>
      <c r="Z22" s="128">
        <v>1.24</v>
      </c>
      <c r="AA22" s="128">
        <v>1.25</v>
      </c>
      <c r="AB22" s="128">
        <v>1.26</v>
      </c>
      <c r="AC22" s="128">
        <v>1.27</v>
      </c>
      <c r="AD22" s="128">
        <v>1.28</v>
      </c>
      <c r="AE22" s="128">
        <v>1.29</v>
      </c>
      <c r="AF22" s="128">
        <v>1.3</v>
      </c>
      <c r="AG22" s="128">
        <v>1.31</v>
      </c>
      <c r="AH22" s="128">
        <v>1.32</v>
      </c>
      <c r="AI22" s="128">
        <v>1.33</v>
      </c>
      <c r="AJ22" s="128">
        <v>1.34</v>
      </c>
      <c r="AK22" s="128">
        <v>1.35</v>
      </c>
      <c r="AL22" s="128">
        <v>1.36</v>
      </c>
      <c r="AM22" s="128">
        <v>1.37</v>
      </c>
      <c r="AN22" s="128">
        <v>1.38</v>
      </c>
      <c r="AO22" s="128">
        <v>1.39</v>
      </c>
      <c r="AP22" s="128">
        <v>1.4</v>
      </c>
      <c r="AQ22" s="128">
        <v>1.41</v>
      </c>
      <c r="AR22" s="128">
        <v>1.42</v>
      </c>
      <c r="AS22" s="128">
        <v>1.43</v>
      </c>
      <c r="AT22" s="128">
        <v>1.44</v>
      </c>
      <c r="AU22" s="128">
        <v>1.45</v>
      </c>
      <c r="AV22" s="128">
        <v>1.46</v>
      </c>
      <c r="AW22" s="128">
        <v>1.47</v>
      </c>
      <c r="AX22" s="128">
        <v>1.48</v>
      </c>
      <c r="AY22" s="128">
        <v>1.49</v>
      </c>
      <c r="AZ22" s="128">
        <v>1.5</v>
      </c>
      <c r="BA22" s="128">
        <v>1.51</v>
      </c>
      <c r="BB22" s="128">
        <v>1.52</v>
      </c>
      <c r="BC22" s="128">
        <v>1.53</v>
      </c>
      <c r="BD22" s="128">
        <v>1.54</v>
      </c>
      <c r="BE22" s="128">
        <v>1.55</v>
      </c>
      <c r="BF22" s="128">
        <v>1.56</v>
      </c>
      <c r="BG22" s="128">
        <v>1.57</v>
      </c>
      <c r="BH22" s="128">
        <v>1.58</v>
      </c>
      <c r="BI22" s="128">
        <v>1.59</v>
      </c>
      <c r="BJ22" s="128">
        <v>1.6</v>
      </c>
      <c r="BK22" s="128">
        <v>1.61</v>
      </c>
      <c r="BL22" s="128">
        <v>1.62</v>
      </c>
      <c r="BM22" s="128">
        <v>1.63</v>
      </c>
      <c r="BN22" s="128">
        <v>1.64</v>
      </c>
      <c r="BO22" s="128">
        <v>1.65</v>
      </c>
      <c r="BP22" s="128">
        <v>1.66</v>
      </c>
      <c r="BQ22" s="128">
        <v>1.67</v>
      </c>
      <c r="BR22" s="128">
        <v>1.68</v>
      </c>
      <c r="BS22" s="128">
        <v>1.69</v>
      </c>
      <c r="BT22" s="128">
        <v>1.7</v>
      </c>
      <c r="BU22" s="128">
        <v>1.71</v>
      </c>
      <c r="BV22" s="128">
        <v>1.72</v>
      </c>
      <c r="BW22" s="128">
        <v>1.73</v>
      </c>
      <c r="BX22" s="128">
        <v>1.74</v>
      </c>
      <c r="BY22" s="128">
        <v>1.75</v>
      </c>
      <c r="BZ22" s="128">
        <v>1.76</v>
      </c>
      <c r="CA22" s="128">
        <v>1.77</v>
      </c>
      <c r="CB22" s="128">
        <v>1.78</v>
      </c>
      <c r="CC22" s="128">
        <v>1.79</v>
      </c>
      <c r="CD22" s="128">
        <v>1.8</v>
      </c>
      <c r="CE22" s="128">
        <v>1.81</v>
      </c>
      <c r="CF22" s="128">
        <v>1.82</v>
      </c>
      <c r="CG22" s="128">
        <v>1.83</v>
      </c>
      <c r="CH22" s="128">
        <v>1.84</v>
      </c>
      <c r="CI22" s="128">
        <v>1.84</v>
      </c>
      <c r="CJ22" s="128">
        <v>1.85</v>
      </c>
      <c r="CK22" s="128">
        <v>1.86</v>
      </c>
      <c r="CL22" s="128">
        <v>1.87</v>
      </c>
      <c r="CM22" s="128">
        <v>1.88</v>
      </c>
      <c r="CN22" s="128">
        <v>1.89</v>
      </c>
      <c r="CO22" s="128">
        <v>1.9</v>
      </c>
      <c r="CP22" s="128">
        <v>1.91</v>
      </c>
      <c r="CQ22" s="128">
        <v>1.92</v>
      </c>
      <c r="CR22" s="128">
        <v>1.93</v>
      </c>
      <c r="CS22" s="128">
        <v>1.94</v>
      </c>
      <c r="CT22" s="128">
        <v>1.95</v>
      </c>
      <c r="CU22" s="128">
        <v>1.96</v>
      </c>
      <c r="CV22" s="128">
        <v>1.98</v>
      </c>
      <c r="CW22" s="128">
        <v>1.99</v>
      </c>
      <c r="CX22" s="128">
        <v>2</v>
      </c>
      <c r="CZ22" s="126">
        <f>SUMIF(MatrixF2[[1]:[2]],MatrixF2[[#This Row],[Столбец1]])/MatrixF2[[#This Row],[Столбец1]]</f>
        <v>100.99999999999987</v>
      </c>
    </row>
    <row r="23" spans="1:104" ht="21" customHeight="1" x14ac:dyDescent="0.25">
      <c r="A23" s="127">
        <v>1.2</v>
      </c>
      <c r="B23" s="128">
        <v>1</v>
      </c>
      <c r="C23" s="128">
        <v>1.01</v>
      </c>
      <c r="D23" s="128">
        <v>1.02</v>
      </c>
      <c r="E23" s="128">
        <v>1.04</v>
      </c>
      <c r="F23" s="128">
        <v>1.05</v>
      </c>
      <c r="G23" s="128">
        <v>1.06</v>
      </c>
      <c r="H23" s="128">
        <v>1.07</v>
      </c>
      <c r="I23" s="128">
        <v>1.08</v>
      </c>
      <c r="J23" s="128">
        <v>1.0900000000000001</v>
      </c>
      <c r="K23" s="128">
        <v>1.1000000000000001</v>
      </c>
      <c r="L23" s="128">
        <v>1.1100000000000001</v>
      </c>
      <c r="M23" s="128">
        <v>1.1200000000000001</v>
      </c>
      <c r="N23" s="128">
        <v>1.1299999999999999</v>
      </c>
      <c r="O23" s="128">
        <v>1.1399999999999999</v>
      </c>
      <c r="P23" s="128">
        <v>1.1499999999999999</v>
      </c>
      <c r="Q23" s="128">
        <v>1.1599999999999999</v>
      </c>
      <c r="R23" s="128">
        <v>1.17</v>
      </c>
      <c r="S23" s="128">
        <v>1.18</v>
      </c>
      <c r="T23" s="128">
        <v>1.18</v>
      </c>
      <c r="U23" s="128">
        <v>1.19</v>
      </c>
      <c r="V23" s="128">
        <v>1.2</v>
      </c>
      <c r="W23" s="128">
        <v>1.21</v>
      </c>
      <c r="X23" s="128">
        <v>1.22</v>
      </c>
      <c r="Y23" s="128">
        <v>1.23</v>
      </c>
      <c r="Z23" s="128">
        <v>1.24</v>
      </c>
      <c r="AA23" s="128">
        <v>1.25</v>
      </c>
      <c r="AB23" s="128">
        <v>1.26</v>
      </c>
      <c r="AC23" s="128">
        <v>1.27</v>
      </c>
      <c r="AD23" s="128">
        <v>1.28</v>
      </c>
      <c r="AE23" s="128">
        <v>1.29</v>
      </c>
      <c r="AF23" s="128">
        <v>1.3</v>
      </c>
      <c r="AG23" s="128">
        <v>1.31</v>
      </c>
      <c r="AH23" s="128">
        <v>1.32</v>
      </c>
      <c r="AI23" s="128">
        <v>1.33</v>
      </c>
      <c r="AJ23" s="128">
        <v>1.34</v>
      </c>
      <c r="AK23" s="128">
        <v>1.35</v>
      </c>
      <c r="AL23" s="128">
        <v>1.36</v>
      </c>
      <c r="AM23" s="128">
        <v>1.37</v>
      </c>
      <c r="AN23" s="128">
        <v>1.38</v>
      </c>
      <c r="AO23" s="128">
        <v>1.39</v>
      </c>
      <c r="AP23" s="128">
        <v>1.4</v>
      </c>
      <c r="AQ23" s="128">
        <v>1.41</v>
      </c>
      <c r="AR23" s="128">
        <v>1.42</v>
      </c>
      <c r="AS23" s="128">
        <v>1.43</v>
      </c>
      <c r="AT23" s="128">
        <v>1.44</v>
      </c>
      <c r="AU23" s="128">
        <v>1.45</v>
      </c>
      <c r="AV23" s="128">
        <v>1.46</v>
      </c>
      <c r="AW23" s="128">
        <v>1.47</v>
      </c>
      <c r="AX23" s="128">
        <v>1.48</v>
      </c>
      <c r="AY23" s="128">
        <v>1.49</v>
      </c>
      <c r="AZ23" s="128">
        <v>1.5</v>
      </c>
      <c r="BA23" s="128">
        <v>1.51</v>
      </c>
      <c r="BB23" s="128">
        <v>1.52</v>
      </c>
      <c r="BC23" s="128">
        <v>1.53</v>
      </c>
      <c r="BD23" s="128">
        <v>1.54</v>
      </c>
      <c r="BE23" s="128">
        <v>1.55</v>
      </c>
      <c r="BF23" s="128">
        <v>1.56</v>
      </c>
      <c r="BG23" s="128">
        <v>1.57</v>
      </c>
      <c r="BH23" s="128">
        <v>1.58</v>
      </c>
      <c r="BI23" s="128">
        <v>1.59</v>
      </c>
      <c r="BJ23" s="128">
        <v>1.6</v>
      </c>
      <c r="BK23" s="128">
        <v>1.61</v>
      </c>
      <c r="BL23" s="128">
        <v>1.62</v>
      </c>
      <c r="BM23" s="128">
        <v>1.63</v>
      </c>
      <c r="BN23" s="128">
        <v>1.64</v>
      </c>
      <c r="BO23" s="128">
        <v>1.65</v>
      </c>
      <c r="BP23" s="128">
        <v>1.66</v>
      </c>
      <c r="BQ23" s="128">
        <v>1.67</v>
      </c>
      <c r="BR23" s="128">
        <v>1.68</v>
      </c>
      <c r="BS23" s="128">
        <v>1.69</v>
      </c>
      <c r="BT23" s="128">
        <v>1.7</v>
      </c>
      <c r="BU23" s="128">
        <v>1.71</v>
      </c>
      <c r="BV23" s="128">
        <v>1.72</v>
      </c>
      <c r="BW23" s="128">
        <v>1.73</v>
      </c>
      <c r="BX23" s="128">
        <v>1.74</v>
      </c>
      <c r="BY23" s="128">
        <v>1.75</v>
      </c>
      <c r="BZ23" s="128">
        <v>1.76</v>
      </c>
      <c r="CA23" s="128">
        <v>1.77</v>
      </c>
      <c r="CB23" s="128">
        <v>1.78</v>
      </c>
      <c r="CC23" s="128">
        <v>1.79</v>
      </c>
      <c r="CD23" s="128">
        <v>1.8</v>
      </c>
      <c r="CE23" s="128">
        <v>1.81</v>
      </c>
      <c r="CF23" s="128">
        <v>1.82</v>
      </c>
      <c r="CG23" s="128">
        <v>1.82</v>
      </c>
      <c r="CH23" s="128">
        <v>1.83</v>
      </c>
      <c r="CI23" s="128">
        <v>1.84</v>
      </c>
      <c r="CJ23" s="128">
        <v>1.85</v>
      </c>
      <c r="CK23" s="128">
        <v>1.86</v>
      </c>
      <c r="CL23" s="128">
        <v>1.87</v>
      </c>
      <c r="CM23" s="128">
        <v>1.88</v>
      </c>
      <c r="CN23" s="128">
        <v>1.89</v>
      </c>
      <c r="CO23" s="128">
        <v>1.9</v>
      </c>
      <c r="CP23" s="128">
        <v>1.91</v>
      </c>
      <c r="CQ23" s="128">
        <v>1.92</v>
      </c>
      <c r="CR23" s="128">
        <v>1.93</v>
      </c>
      <c r="CS23" s="128">
        <v>1.94</v>
      </c>
      <c r="CT23" s="128">
        <v>1.95</v>
      </c>
      <c r="CU23" s="128">
        <v>1.96</v>
      </c>
      <c r="CV23" s="128">
        <v>1.98</v>
      </c>
      <c r="CW23" s="128">
        <v>1.99</v>
      </c>
      <c r="CX23" s="128">
        <v>2</v>
      </c>
      <c r="CZ23" s="126">
        <f>SUMIF(MatrixF2[[1]:[2]],MatrixF2[[#This Row],[Столбец1]])/MatrixF2[[#This Row],[Столбец1]]</f>
        <v>102.00000000000017</v>
      </c>
    </row>
    <row r="24" spans="1:104" ht="21" customHeight="1" x14ac:dyDescent="0.25">
      <c r="A24" s="127">
        <v>1.21</v>
      </c>
      <c r="B24" s="128">
        <v>1</v>
      </c>
      <c r="C24" s="128">
        <v>1.01</v>
      </c>
      <c r="D24" s="128">
        <v>1.02</v>
      </c>
      <c r="E24" s="128">
        <v>1.04</v>
      </c>
      <c r="F24" s="128">
        <v>1.05</v>
      </c>
      <c r="G24" s="128">
        <v>1.06</v>
      </c>
      <c r="H24" s="128">
        <v>1.07</v>
      </c>
      <c r="I24" s="128">
        <v>1.08</v>
      </c>
      <c r="J24" s="128">
        <v>1.0900000000000001</v>
      </c>
      <c r="K24" s="128">
        <v>1.1000000000000001</v>
      </c>
      <c r="L24" s="128">
        <v>1.1100000000000001</v>
      </c>
      <c r="M24" s="128">
        <v>1.1200000000000001</v>
      </c>
      <c r="N24" s="128">
        <v>1.1299999999999999</v>
      </c>
      <c r="O24" s="128">
        <v>1.1399999999999999</v>
      </c>
      <c r="P24" s="128">
        <v>1.1499999999999999</v>
      </c>
      <c r="Q24" s="128">
        <v>1.1599999999999999</v>
      </c>
      <c r="R24" s="128">
        <v>1.17</v>
      </c>
      <c r="S24" s="128">
        <v>1.18</v>
      </c>
      <c r="T24" s="128">
        <v>1.19</v>
      </c>
      <c r="U24" s="128">
        <v>1.19</v>
      </c>
      <c r="V24" s="128">
        <v>1.2</v>
      </c>
      <c r="W24" s="128">
        <v>1.21</v>
      </c>
      <c r="X24" s="128">
        <v>1.22</v>
      </c>
      <c r="Y24" s="128">
        <v>1.23</v>
      </c>
      <c r="Z24" s="128">
        <v>1.24</v>
      </c>
      <c r="AA24" s="128">
        <v>1.25</v>
      </c>
      <c r="AB24" s="128">
        <v>1.26</v>
      </c>
      <c r="AC24" s="128">
        <v>1.27</v>
      </c>
      <c r="AD24" s="128">
        <v>1.28</v>
      </c>
      <c r="AE24" s="128">
        <v>1.29</v>
      </c>
      <c r="AF24" s="128">
        <v>1.3</v>
      </c>
      <c r="AG24" s="128">
        <v>1.31</v>
      </c>
      <c r="AH24" s="128">
        <v>1.32</v>
      </c>
      <c r="AI24" s="128">
        <v>1.33</v>
      </c>
      <c r="AJ24" s="128">
        <v>1.34</v>
      </c>
      <c r="AK24" s="128">
        <v>1.35</v>
      </c>
      <c r="AL24" s="128">
        <v>1.36</v>
      </c>
      <c r="AM24" s="128">
        <v>1.37</v>
      </c>
      <c r="AN24" s="128">
        <v>1.38</v>
      </c>
      <c r="AO24" s="128">
        <v>1.39</v>
      </c>
      <c r="AP24" s="128">
        <v>1.4</v>
      </c>
      <c r="AQ24" s="128">
        <v>1.41</v>
      </c>
      <c r="AR24" s="128">
        <v>1.42</v>
      </c>
      <c r="AS24" s="128">
        <v>1.43</v>
      </c>
      <c r="AT24" s="128">
        <v>1.44</v>
      </c>
      <c r="AU24" s="128">
        <v>1.45</v>
      </c>
      <c r="AV24" s="128">
        <v>1.46</v>
      </c>
      <c r="AW24" s="128">
        <v>1.47</v>
      </c>
      <c r="AX24" s="128">
        <v>1.48</v>
      </c>
      <c r="AY24" s="128">
        <v>1.49</v>
      </c>
      <c r="AZ24" s="128">
        <v>1.5</v>
      </c>
      <c r="BA24" s="128">
        <v>1.51</v>
      </c>
      <c r="BB24" s="128">
        <v>1.52</v>
      </c>
      <c r="BC24" s="128">
        <v>1.53</v>
      </c>
      <c r="BD24" s="128">
        <v>1.54</v>
      </c>
      <c r="BE24" s="128">
        <v>1.55</v>
      </c>
      <c r="BF24" s="128">
        <v>1.56</v>
      </c>
      <c r="BG24" s="128">
        <v>1.57</v>
      </c>
      <c r="BH24" s="128">
        <v>1.58</v>
      </c>
      <c r="BI24" s="128">
        <v>1.59</v>
      </c>
      <c r="BJ24" s="128">
        <v>1.6</v>
      </c>
      <c r="BK24" s="128">
        <v>1.61</v>
      </c>
      <c r="BL24" s="128">
        <v>1.62</v>
      </c>
      <c r="BM24" s="128">
        <v>1.63</v>
      </c>
      <c r="BN24" s="128">
        <v>1.64</v>
      </c>
      <c r="BO24" s="128">
        <v>1.65</v>
      </c>
      <c r="BP24" s="128">
        <v>1.66</v>
      </c>
      <c r="BQ24" s="128">
        <v>1.67</v>
      </c>
      <c r="BR24" s="128">
        <v>1.68</v>
      </c>
      <c r="BS24" s="128">
        <v>1.69</v>
      </c>
      <c r="BT24" s="128">
        <v>1.7</v>
      </c>
      <c r="BU24" s="128">
        <v>1.71</v>
      </c>
      <c r="BV24" s="128">
        <v>1.72</v>
      </c>
      <c r="BW24" s="128">
        <v>1.73</v>
      </c>
      <c r="BX24" s="128">
        <v>1.74</v>
      </c>
      <c r="BY24" s="128">
        <v>1.75</v>
      </c>
      <c r="BZ24" s="128">
        <v>1.76</v>
      </c>
      <c r="CA24" s="128">
        <v>1.77</v>
      </c>
      <c r="CB24" s="128">
        <v>1.78</v>
      </c>
      <c r="CC24" s="128">
        <v>1.79</v>
      </c>
      <c r="CD24" s="128">
        <v>1.8</v>
      </c>
      <c r="CE24" s="128">
        <v>1.81</v>
      </c>
      <c r="CF24" s="128">
        <v>1.81</v>
      </c>
      <c r="CG24" s="128">
        <v>1.82</v>
      </c>
      <c r="CH24" s="128">
        <v>1.83</v>
      </c>
      <c r="CI24" s="128">
        <v>1.84</v>
      </c>
      <c r="CJ24" s="128">
        <v>1.85</v>
      </c>
      <c r="CK24" s="128">
        <v>1.86</v>
      </c>
      <c r="CL24" s="128">
        <v>1.87</v>
      </c>
      <c r="CM24" s="128">
        <v>1.88</v>
      </c>
      <c r="CN24" s="128">
        <v>1.89</v>
      </c>
      <c r="CO24" s="128">
        <v>1.9</v>
      </c>
      <c r="CP24" s="128">
        <v>1.91</v>
      </c>
      <c r="CQ24" s="128">
        <v>1.92</v>
      </c>
      <c r="CR24" s="128">
        <v>1.93</v>
      </c>
      <c r="CS24" s="128">
        <v>1.94</v>
      </c>
      <c r="CT24" s="128">
        <v>1.95</v>
      </c>
      <c r="CU24" s="128">
        <v>1.96</v>
      </c>
      <c r="CV24" s="128">
        <v>1.98</v>
      </c>
      <c r="CW24" s="128">
        <v>1.99</v>
      </c>
      <c r="CX24" s="128">
        <v>2</v>
      </c>
      <c r="CZ24" s="126">
        <f>SUMIF(MatrixF2[[1]:[2]],MatrixF2[[#This Row],[Столбец1]])/MatrixF2[[#This Row],[Столбец1]]</f>
        <v>100.99999999999979</v>
      </c>
    </row>
    <row r="25" spans="1:104" ht="21" customHeight="1" x14ac:dyDescent="0.25">
      <c r="A25" s="127">
        <v>1.22</v>
      </c>
      <c r="B25" s="128">
        <v>1</v>
      </c>
      <c r="C25" s="128">
        <v>1.01</v>
      </c>
      <c r="D25" s="128">
        <v>1.03</v>
      </c>
      <c r="E25" s="128">
        <v>1.04</v>
      </c>
      <c r="F25" s="128">
        <v>1.05</v>
      </c>
      <c r="G25" s="128">
        <v>1.06</v>
      </c>
      <c r="H25" s="128">
        <v>1.07</v>
      </c>
      <c r="I25" s="128">
        <v>1.08</v>
      </c>
      <c r="J25" s="128">
        <v>1.0900000000000001</v>
      </c>
      <c r="K25" s="128">
        <v>1.1000000000000001</v>
      </c>
      <c r="L25" s="128">
        <v>1.1100000000000001</v>
      </c>
      <c r="M25" s="128">
        <v>1.1200000000000001</v>
      </c>
      <c r="N25" s="128">
        <v>1.1299999999999999</v>
      </c>
      <c r="O25" s="128">
        <v>1.1399999999999999</v>
      </c>
      <c r="P25" s="128">
        <v>1.1499999999999999</v>
      </c>
      <c r="Q25" s="128">
        <v>1.1599999999999999</v>
      </c>
      <c r="R25" s="128">
        <v>1.17</v>
      </c>
      <c r="S25" s="128">
        <v>1.18</v>
      </c>
      <c r="T25" s="128">
        <v>1.19</v>
      </c>
      <c r="U25" s="128">
        <v>1.2</v>
      </c>
      <c r="V25" s="128">
        <v>1.2</v>
      </c>
      <c r="W25" s="128">
        <v>1.21</v>
      </c>
      <c r="X25" s="128">
        <v>1.22</v>
      </c>
      <c r="Y25" s="128">
        <v>1.23</v>
      </c>
      <c r="Z25" s="128">
        <v>1.24</v>
      </c>
      <c r="AA25" s="128">
        <v>1.25</v>
      </c>
      <c r="AB25" s="128">
        <v>1.26</v>
      </c>
      <c r="AC25" s="128">
        <v>1.27</v>
      </c>
      <c r="AD25" s="128">
        <v>1.28</v>
      </c>
      <c r="AE25" s="128">
        <v>1.29</v>
      </c>
      <c r="AF25" s="128">
        <v>1.3</v>
      </c>
      <c r="AG25" s="128">
        <v>1.31</v>
      </c>
      <c r="AH25" s="128">
        <v>1.32</v>
      </c>
      <c r="AI25" s="128">
        <v>1.33</v>
      </c>
      <c r="AJ25" s="128">
        <v>1.34</v>
      </c>
      <c r="AK25" s="128">
        <v>1.35</v>
      </c>
      <c r="AL25" s="128">
        <v>1.36</v>
      </c>
      <c r="AM25" s="128">
        <v>1.37</v>
      </c>
      <c r="AN25" s="128">
        <v>1.38</v>
      </c>
      <c r="AO25" s="128">
        <v>1.39</v>
      </c>
      <c r="AP25" s="128">
        <v>1.4</v>
      </c>
      <c r="AQ25" s="128">
        <v>1.41</v>
      </c>
      <c r="AR25" s="128">
        <v>1.42</v>
      </c>
      <c r="AS25" s="128">
        <v>1.43</v>
      </c>
      <c r="AT25" s="128">
        <v>1.44</v>
      </c>
      <c r="AU25" s="128">
        <v>1.45</v>
      </c>
      <c r="AV25" s="128">
        <v>1.46</v>
      </c>
      <c r="AW25" s="128">
        <v>1.47</v>
      </c>
      <c r="AX25" s="128">
        <v>1.48</v>
      </c>
      <c r="AY25" s="128">
        <v>1.49</v>
      </c>
      <c r="AZ25" s="128">
        <v>1.5</v>
      </c>
      <c r="BA25" s="128">
        <v>1.51</v>
      </c>
      <c r="BB25" s="128">
        <v>1.52</v>
      </c>
      <c r="BC25" s="128">
        <v>1.53</v>
      </c>
      <c r="BD25" s="128">
        <v>1.54</v>
      </c>
      <c r="BE25" s="128">
        <v>1.55</v>
      </c>
      <c r="BF25" s="128">
        <v>1.56</v>
      </c>
      <c r="BG25" s="128">
        <v>1.57</v>
      </c>
      <c r="BH25" s="128">
        <v>1.58</v>
      </c>
      <c r="BI25" s="128">
        <v>1.59</v>
      </c>
      <c r="BJ25" s="128">
        <v>1.6</v>
      </c>
      <c r="BK25" s="128">
        <v>1.61</v>
      </c>
      <c r="BL25" s="128">
        <v>1.62</v>
      </c>
      <c r="BM25" s="128">
        <v>1.63</v>
      </c>
      <c r="BN25" s="128">
        <v>1.64</v>
      </c>
      <c r="BO25" s="128">
        <v>1.65</v>
      </c>
      <c r="BP25" s="128">
        <v>1.66</v>
      </c>
      <c r="BQ25" s="128">
        <v>1.67</v>
      </c>
      <c r="BR25" s="128">
        <v>1.68</v>
      </c>
      <c r="BS25" s="128">
        <v>1.69</v>
      </c>
      <c r="BT25" s="128">
        <v>1.7</v>
      </c>
      <c r="BU25" s="128">
        <v>1.71</v>
      </c>
      <c r="BV25" s="128">
        <v>1.72</v>
      </c>
      <c r="BW25" s="128">
        <v>1.73</v>
      </c>
      <c r="BX25" s="128">
        <v>1.74</v>
      </c>
      <c r="BY25" s="128">
        <v>1.75</v>
      </c>
      <c r="BZ25" s="128">
        <v>1.76</v>
      </c>
      <c r="CA25" s="128">
        <v>1.77</v>
      </c>
      <c r="CB25" s="128">
        <v>1.78</v>
      </c>
      <c r="CC25" s="128">
        <v>1.79</v>
      </c>
      <c r="CD25" s="128">
        <v>1.8</v>
      </c>
      <c r="CE25" s="128">
        <v>1.8</v>
      </c>
      <c r="CF25" s="128">
        <v>1.81</v>
      </c>
      <c r="CG25" s="128">
        <v>1.82</v>
      </c>
      <c r="CH25" s="128">
        <v>1.83</v>
      </c>
      <c r="CI25" s="128">
        <v>1.84</v>
      </c>
      <c r="CJ25" s="128">
        <v>1.85</v>
      </c>
      <c r="CK25" s="128">
        <v>1.86</v>
      </c>
      <c r="CL25" s="128">
        <v>1.87</v>
      </c>
      <c r="CM25" s="128">
        <v>1.88</v>
      </c>
      <c r="CN25" s="128">
        <v>1.89</v>
      </c>
      <c r="CO25" s="128">
        <v>1.9</v>
      </c>
      <c r="CP25" s="128">
        <v>1.91</v>
      </c>
      <c r="CQ25" s="128">
        <v>1.92</v>
      </c>
      <c r="CR25" s="128">
        <v>1.93</v>
      </c>
      <c r="CS25" s="128">
        <v>1.94</v>
      </c>
      <c r="CT25" s="128">
        <v>1.95</v>
      </c>
      <c r="CU25" s="128">
        <v>1.96</v>
      </c>
      <c r="CV25" s="128">
        <v>1.98</v>
      </c>
      <c r="CW25" s="128">
        <v>1.99</v>
      </c>
      <c r="CX25" s="128">
        <v>2</v>
      </c>
      <c r="CZ25" s="126">
        <f>SUMIF(MatrixF2[[1]:[2]],MatrixF2[[#This Row],[Столбец1]])/MatrixF2[[#This Row],[Столбец1]]</f>
        <v>106.99999999999993</v>
      </c>
    </row>
    <row r="26" spans="1:104" ht="21" customHeight="1" x14ac:dyDescent="0.25">
      <c r="A26" s="127">
        <v>1.23</v>
      </c>
      <c r="B26" s="128">
        <v>1</v>
      </c>
      <c r="C26" s="128">
        <v>1.01</v>
      </c>
      <c r="D26" s="128">
        <v>1.03</v>
      </c>
      <c r="E26" s="128">
        <v>1.04</v>
      </c>
      <c r="F26" s="128">
        <v>1.05</v>
      </c>
      <c r="G26" s="128">
        <v>1.06</v>
      </c>
      <c r="H26" s="128">
        <v>1.07</v>
      </c>
      <c r="I26" s="128">
        <v>1.08</v>
      </c>
      <c r="J26" s="128">
        <v>1.0900000000000001</v>
      </c>
      <c r="K26" s="128">
        <v>1.1000000000000001</v>
      </c>
      <c r="L26" s="128">
        <v>1.1100000000000001</v>
      </c>
      <c r="M26" s="128">
        <v>1.1200000000000001</v>
      </c>
      <c r="N26" s="128">
        <v>1.1299999999999999</v>
      </c>
      <c r="O26" s="128">
        <v>1.1399999999999999</v>
      </c>
      <c r="P26" s="128">
        <v>1.1499999999999999</v>
      </c>
      <c r="Q26" s="128">
        <v>1.1599999999999999</v>
      </c>
      <c r="R26" s="128">
        <v>1.17</v>
      </c>
      <c r="S26" s="128">
        <v>1.18</v>
      </c>
      <c r="T26" s="128">
        <v>1.19</v>
      </c>
      <c r="U26" s="128">
        <v>1.2</v>
      </c>
      <c r="V26" s="128">
        <v>1.21</v>
      </c>
      <c r="W26" s="128">
        <v>1.21</v>
      </c>
      <c r="X26" s="128">
        <v>1.22</v>
      </c>
      <c r="Y26" s="128">
        <v>1.23</v>
      </c>
      <c r="Z26" s="128">
        <v>1.24</v>
      </c>
      <c r="AA26" s="128">
        <v>1.25</v>
      </c>
      <c r="AB26" s="128">
        <v>1.26</v>
      </c>
      <c r="AC26" s="128">
        <v>1.27</v>
      </c>
      <c r="AD26" s="128">
        <v>1.28</v>
      </c>
      <c r="AE26" s="128">
        <v>1.29</v>
      </c>
      <c r="AF26" s="128">
        <v>1.3</v>
      </c>
      <c r="AG26" s="128">
        <v>1.31</v>
      </c>
      <c r="AH26" s="128">
        <v>1.32</v>
      </c>
      <c r="AI26" s="128">
        <v>1.33</v>
      </c>
      <c r="AJ26" s="128">
        <v>1.34</v>
      </c>
      <c r="AK26" s="128">
        <v>1.35</v>
      </c>
      <c r="AL26" s="128">
        <v>1.36</v>
      </c>
      <c r="AM26" s="128">
        <v>1.37</v>
      </c>
      <c r="AN26" s="128">
        <v>1.38</v>
      </c>
      <c r="AO26" s="128">
        <v>1.39</v>
      </c>
      <c r="AP26" s="128">
        <v>1.4</v>
      </c>
      <c r="AQ26" s="128">
        <v>1.41</v>
      </c>
      <c r="AR26" s="128">
        <v>1.42</v>
      </c>
      <c r="AS26" s="128">
        <v>1.43</v>
      </c>
      <c r="AT26" s="128">
        <v>1.44</v>
      </c>
      <c r="AU26" s="128">
        <v>1.45</v>
      </c>
      <c r="AV26" s="128">
        <v>1.46</v>
      </c>
      <c r="AW26" s="128">
        <v>1.47</v>
      </c>
      <c r="AX26" s="128">
        <v>1.48</v>
      </c>
      <c r="AY26" s="128">
        <v>1.49</v>
      </c>
      <c r="AZ26" s="128">
        <v>1.5</v>
      </c>
      <c r="BA26" s="128">
        <v>1.51</v>
      </c>
      <c r="BB26" s="128">
        <v>1.52</v>
      </c>
      <c r="BC26" s="128">
        <v>1.53</v>
      </c>
      <c r="BD26" s="128">
        <v>1.54</v>
      </c>
      <c r="BE26" s="128">
        <v>1.55</v>
      </c>
      <c r="BF26" s="128">
        <v>1.56</v>
      </c>
      <c r="BG26" s="128">
        <v>1.57</v>
      </c>
      <c r="BH26" s="128">
        <v>1.58</v>
      </c>
      <c r="BI26" s="128">
        <v>1.59</v>
      </c>
      <c r="BJ26" s="128">
        <v>1.6</v>
      </c>
      <c r="BK26" s="128">
        <v>1.61</v>
      </c>
      <c r="BL26" s="128">
        <v>1.62</v>
      </c>
      <c r="BM26" s="128">
        <v>1.63</v>
      </c>
      <c r="BN26" s="128">
        <v>1.64</v>
      </c>
      <c r="BO26" s="128">
        <v>1.65</v>
      </c>
      <c r="BP26" s="128">
        <v>1.66</v>
      </c>
      <c r="BQ26" s="128">
        <v>1.67</v>
      </c>
      <c r="BR26" s="128">
        <v>1.68</v>
      </c>
      <c r="BS26" s="128">
        <v>1.69</v>
      </c>
      <c r="BT26" s="128">
        <v>1.7</v>
      </c>
      <c r="BU26" s="128">
        <v>1.71</v>
      </c>
      <c r="BV26" s="128">
        <v>1.72</v>
      </c>
      <c r="BW26" s="128">
        <v>1.73</v>
      </c>
      <c r="BX26" s="128">
        <v>1.74</v>
      </c>
      <c r="BY26" s="128">
        <v>1.75</v>
      </c>
      <c r="BZ26" s="128">
        <v>1.76</v>
      </c>
      <c r="CA26" s="128">
        <v>1.77</v>
      </c>
      <c r="CB26" s="128">
        <v>1.78</v>
      </c>
      <c r="CC26" s="128">
        <v>1.79</v>
      </c>
      <c r="CD26" s="128">
        <v>1.79</v>
      </c>
      <c r="CE26" s="128">
        <v>1.8</v>
      </c>
      <c r="CF26" s="128">
        <v>1.81</v>
      </c>
      <c r="CG26" s="128">
        <v>1.82</v>
      </c>
      <c r="CH26" s="128">
        <v>1.83</v>
      </c>
      <c r="CI26" s="128">
        <v>1.84</v>
      </c>
      <c r="CJ26" s="128">
        <v>1.85</v>
      </c>
      <c r="CK26" s="128">
        <v>1.86</v>
      </c>
      <c r="CL26" s="128">
        <v>1.87</v>
      </c>
      <c r="CM26" s="128">
        <v>1.88</v>
      </c>
      <c r="CN26" s="128">
        <v>1.89</v>
      </c>
      <c r="CO26" s="128">
        <v>1.9</v>
      </c>
      <c r="CP26" s="128">
        <v>1.91</v>
      </c>
      <c r="CQ26" s="128">
        <v>1.92</v>
      </c>
      <c r="CR26" s="128">
        <v>1.93</v>
      </c>
      <c r="CS26" s="128">
        <v>1.94</v>
      </c>
      <c r="CT26" s="128">
        <v>1.95</v>
      </c>
      <c r="CU26" s="128">
        <v>1.96</v>
      </c>
      <c r="CV26" s="128">
        <v>1.97</v>
      </c>
      <c r="CW26" s="128">
        <v>1.99</v>
      </c>
      <c r="CX26" s="128">
        <v>2</v>
      </c>
      <c r="CZ26" s="126">
        <f>SUMIF(MatrixF2[[1]:[2]],MatrixF2[[#This Row],[Столбец1]])/MatrixF2[[#This Row],[Столбец1]]</f>
        <v>103.0000000000001</v>
      </c>
    </row>
    <row r="27" spans="1:104" ht="21" customHeight="1" x14ac:dyDescent="0.25">
      <c r="A27" s="127">
        <v>1.24</v>
      </c>
      <c r="B27" s="128">
        <v>1</v>
      </c>
      <c r="C27" s="128">
        <v>1.01</v>
      </c>
      <c r="D27" s="128">
        <v>1.03</v>
      </c>
      <c r="E27" s="128">
        <v>1.04</v>
      </c>
      <c r="F27" s="128">
        <v>1.05</v>
      </c>
      <c r="G27" s="128">
        <v>1.06</v>
      </c>
      <c r="H27" s="128">
        <v>1.07</v>
      </c>
      <c r="I27" s="128">
        <v>1.08</v>
      </c>
      <c r="J27" s="128">
        <v>1.1000000000000001</v>
      </c>
      <c r="K27" s="128">
        <v>1.1100000000000001</v>
      </c>
      <c r="L27" s="128">
        <v>1.1200000000000001</v>
      </c>
      <c r="M27" s="128">
        <v>1.1299999999999999</v>
      </c>
      <c r="N27" s="128">
        <v>1.1399999999999999</v>
      </c>
      <c r="O27" s="128">
        <v>1.1499999999999999</v>
      </c>
      <c r="P27" s="128">
        <v>1.1599999999999999</v>
      </c>
      <c r="Q27" s="128">
        <v>1.1599999999999999</v>
      </c>
      <c r="R27" s="128">
        <v>1.17</v>
      </c>
      <c r="S27" s="128">
        <v>1.18</v>
      </c>
      <c r="T27" s="128">
        <v>1.19</v>
      </c>
      <c r="U27" s="128">
        <v>1.2</v>
      </c>
      <c r="V27" s="128">
        <v>1.21</v>
      </c>
      <c r="W27" s="128">
        <v>1.22</v>
      </c>
      <c r="X27" s="128">
        <v>1.22</v>
      </c>
      <c r="Y27" s="128">
        <v>1.23</v>
      </c>
      <c r="Z27" s="128">
        <v>1.24</v>
      </c>
      <c r="AA27" s="128">
        <v>1.25</v>
      </c>
      <c r="AB27" s="128">
        <v>1.26</v>
      </c>
      <c r="AC27" s="128">
        <v>1.27</v>
      </c>
      <c r="AD27" s="128">
        <v>1.28</v>
      </c>
      <c r="AE27" s="128">
        <v>1.29</v>
      </c>
      <c r="AF27" s="128">
        <v>1.3</v>
      </c>
      <c r="AG27" s="128">
        <v>1.31</v>
      </c>
      <c r="AH27" s="128">
        <v>1.32</v>
      </c>
      <c r="AI27" s="128">
        <v>1.33</v>
      </c>
      <c r="AJ27" s="128">
        <v>1.34</v>
      </c>
      <c r="AK27" s="128">
        <v>1.35</v>
      </c>
      <c r="AL27" s="128">
        <v>1.36</v>
      </c>
      <c r="AM27" s="128">
        <v>1.37</v>
      </c>
      <c r="AN27" s="128">
        <v>1.38</v>
      </c>
      <c r="AO27" s="128">
        <v>1.39</v>
      </c>
      <c r="AP27" s="128">
        <v>1.4</v>
      </c>
      <c r="AQ27" s="128">
        <v>1.41</v>
      </c>
      <c r="AR27" s="128">
        <v>1.42</v>
      </c>
      <c r="AS27" s="128">
        <v>1.43</v>
      </c>
      <c r="AT27" s="128">
        <v>1.44</v>
      </c>
      <c r="AU27" s="128">
        <v>1.45</v>
      </c>
      <c r="AV27" s="128">
        <v>1.46</v>
      </c>
      <c r="AW27" s="128">
        <v>1.47</v>
      </c>
      <c r="AX27" s="128">
        <v>1.48</v>
      </c>
      <c r="AY27" s="128">
        <v>1.49</v>
      </c>
      <c r="AZ27" s="128">
        <v>1.5</v>
      </c>
      <c r="BA27" s="128">
        <v>1.51</v>
      </c>
      <c r="BB27" s="128">
        <v>1.52</v>
      </c>
      <c r="BC27" s="128">
        <v>1.53</v>
      </c>
      <c r="BD27" s="128">
        <v>1.54</v>
      </c>
      <c r="BE27" s="128">
        <v>1.55</v>
      </c>
      <c r="BF27" s="128">
        <v>1.56</v>
      </c>
      <c r="BG27" s="128">
        <v>1.57</v>
      </c>
      <c r="BH27" s="128">
        <v>1.58</v>
      </c>
      <c r="BI27" s="128">
        <v>1.59</v>
      </c>
      <c r="BJ27" s="128">
        <v>1.6</v>
      </c>
      <c r="BK27" s="128">
        <v>1.61</v>
      </c>
      <c r="BL27" s="128">
        <v>1.62</v>
      </c>
      <c r="BM27" s="128">
        <v>1.63</v>
      </c>
      <c r="BN27" s="128">
        <v>1.64</v>
      </c>
      <c r="BO27" s="128">
        <v>1.65</v>
      </c>
      <c r="BP27" s="128">
        <v>1.66</v>
      </c>
      <c r="BQ27" s="128">
        <v>1.67</v>
      </c>
      <c r="BR27" s="128">
        <v>1.68</v>
      </c>
      <c r="BS27" s="128">
        <v>1.69</v>
      </c>
      <c r="BT27" s="128">
        <v>1.7</v>
      </c>
      <c r="BU27" s="128">
        <v>1.71</v>
      </c>
      <c r="BV27" s="128">
        <v>1.72</v>
      </c>
      <c r="BW27" s="128">
        <v>1.73</v>
      </c>
      <c r="BX27" s="128">
        <v>1.74</v>
      </c>
      <c r="BY27" s="128">
        <v>1.75</v>
      </c>
      <c r="BZ27" s="128">
        <v>1.76</v>
      </c>
      <c r="CA27" s="128">
        <v>1.77</v>
      </c>
      <c r="CB27" s="128">
        <v>1.78</v>
      </c>
      <c r="CC27" s="128">
        <v>1.78</v>
      </c>
      <c r="CD27" s="128">
        <v>1.79</v>
      </c>
      <c r="CE27" s="128">
        <v>1.8</v>
      </c>
      <c r="CF27" s="128">
        <v>1.81</v>
      </c>
      <c r="CG27" s="128">
        <v>1.82</v>
      </c>
      <c r="CH27" s="128">
        <v>1.83</v>
      </c>
      <c r="CI27" s="128">
        <v>1.84</v>
      </c>
      <c r="CJ27" s="128">
        <v>1.84</v>
      </c>
      <c r="CK27" s="128">
        <v>1.85</v>
      </c>
      <c r="CL27" s="128">
        <v>1.86</v>
      </c>
      <c r="CM27" s="128">
        <v>1.87</v>
      </c>
      <c r="CN27" s="128">
        <v>1.88</v>
      </c>
      <c r="CO27" s="128">
        <v>1.89</v>
      </c>
      <c r="CP27" s="128">
        <v>1.9</v>
      </c>
      <c r="CQ27" s="128">
        <v>1.92</v>
      </c>
      <c r="CR27" s="128">
        <v>1.93</v>
      </c>
      <c r="CS27" s="128">
        <v>1.94</v>
      </c>
      <c r="CT27" s="128">
        <v>1.95</v>
      </c>
      <c r="CU27" s="128">
        <v>1.96</v>
      </c>
      <c r="CV27" s="128">
        <v>1.97</v>
      </c>
      <c r="CW27" s="128">
        <v>1.99</v>
      </c>
      <c r="CX27" s="128">
        <v>2</v>
      </c>
      <c r="CZ27" s="126">
        <f>SUMIF(MatrixF2[[1]:[2]],MatrixF2[[#This Row],[Столбец1]])/MatrixF2[[#This Row],[Столбец1]]</f>
        <v>108.99999999999986</v>
      </c>
    </row>
    <row r="28" spans="1:104" ht="21" customHeight="1" x14ac:dyDescent="0.25">
      <c r="A28" s="127">
        <v>1.25</v>
      </c>
      <c r="B28" s="128">
        <v>1</v>
      </c>
      <c r="C28" s="128">
        <v>1.01</v>
      </c>
      <c r="D28" s="128">
        <v>1.03</v>
      </c>
      <c r="E28" s="128">
        <v>1.04</v>
      </c>
      <c r="F28" s="128">
        <v>1.05</v>
      </c>
      <c r="G28" s="128">
        <v>1.06</v>
      </c>
      <c r="H28" s="128">
        <v>1.07</v>
      </c>
      <c r="I28" s="128">
        <v>1.0900000000000001</v>
      </c>
      <c r="J28" s="128">
        <v>1.1000000000000001</v>
      </c>
      <c r="K28" s="128">
        <v>1.1100000000000001</v>
      </c>
      <c r="L28" s="128">
        <v>1.1200000000000001</v>
      </c>
      <c r="M28" s="128">
        <v>1.1299999999999999</v>
      </c>
      <c r="N28" s="128">
        <v>1.1399999999999999</v>
      </c>
      <c r="O28" s="128">
        <v>1.1499999999999999</v>
      </c>
      <c r="P28" s="128">
        <v>1.1599999999999999</v>
      </c>
      <c r="Q28" s="128">
        <v>1.17</v>
      </c>
      <c r="R28" s="128">
        <v>1.18</v>
      </c>
      <c r="S28" s="128">
        <v>1.18</v>
      </c>
      <c r="T28" s="128">
        <v>1.19</v>
      </c>
      <c r="U28" s="128">
        <v>1.2</v>
      </c>
      <c r="V28" s="128">
        <v>1.21</v>
      </c>
      <c r="W28" s="128">
        <v>1.22</v>
      </c>
      <c r="X28" s="128">
        <v>1.23</v>
      </c>
      <c r="Y28" s="128">
        <v>1.23</v>
      </c>
      <c r="Z28" s="128">
        <v>1.24</v>
      </c>
      <c r="AA28" s="128">
        <v>1.25</v>
      </c>
      <c r="AB28" s="128">
        <v>1.26</v>
      </c>
      <c r="AC28" s="128">
        <v>1.27</v>
      </c>
      <c r="AD28" s="128">
        <v>1.28</v>
      </c>
      <c r="AE28" s="128">
        <v>1.29</v>
      </c>
      <c r="AF28" s="128">
        <v>1.3</v>
      </c>
      <c r="AG28" s="128">
        <v>1.31</v>
      </c>
      <c r="AH28" s="128">
        <v>1.32</v>
      </c>
      <c r="AI28" s="128">
        <v>1.33</v>
      </c>
      <c r="AJ28" s="128">
        <v>1.34</v>
      </c>
      <c r="AK28" s="128">
        <v>1.35</v>
      </c>
      <c r="AL28" s="128">
        <v>1.36</v>
      </c>
      <c r="AM28" s="128">
        <v>1.37</v>
      </c>
      <c r="AN28" s="128">
        <v>1.38</v>
      </c>
      <c r="AO28" s="128">
        <v>1.39</v>
      </c>
      <c r="AP28" s="128">
        <v>1.4</v>
      </c>
      <c r="AQ28" s="128">
        <v>1.41</v>
      </c>
      <c r="AR28" s="128">
        <v>1.42</v>
      </c>
      <c r="AS28" s="128">
        <v>1.43</v>
      </c>
      <c r="AT28" s="128">
        <v>1.44</v>
      </c>
      <c r="AU28" s="128">
        <v>1.45</v>
      </c>
      <c r="AV28" s="128">
        <v>1.46</v>
      </c>
      <c r="AW28" s="128">
        <v>1.47</v>
      </c>
      <c r="AX28" s="128">
        <v>1.48</v>
      </c>
      <c r="AY28" s="128">
        <v>1.49</v>
      </c>
      <c r="AZ28" s="128">
        <v>1.5</v>
      </c>
      <c r="BA28" s="128">
        <v>1.51</v>
      </c>
      <c r="BB28" s="128">
        <v>1.52</v>
      </c>
      <c r="BC28" s="128">
        <v>1.53</v>
      </c>
      <c r="BD28" s="128">
        <v>1.54</v>
      </c>
      <c r="BE28" s="128">
        <v>1.55</v>
      </c>
      <c r="BF28" s="128">
        <v>1.56</v>
      </c>
      <c r="BG28" s="128">
        <v>1.57</v>
      </c>
      <c r="BH28" s="128">
        <v>1.58</v>
      </c>
      <c r="BI28" s="128">
        <v>1.59</v>
      </c>
      <c r="BJ28" s="128">
        <v>1.6</v>
      </c>
      <c r="BK28" s="128">
        <v>1.61</v>
      </c>
      <c r="BL28" s="128">
        <v>1.62</v>
      </c>
      <c r="BM28" s="128">
        <v>1.63</v>
      </c>
      <c r="BN28" s="128">
        <v>1.64</v>
      </c>
      <c r="BO28" s="128">
        <v>1.65</v>
      </c>
      <c r="BP28" s="128">
        <v>1.66</v>
      </c>
      <c r="BQ28" s="128">
        <v>1.67</v>
      </c>
      <c r="BR28" s="128">
        <v>1.68</v>
      </c>
      <c r="BS28" s="128">
        <v>1.69</v>
      </c>
      <c r="BT28" s="128">
        <v>1.7</v>
      </c>
      <c r="BU28" s="128">
        <v>1.71</v>
      </c>
      <c r="BV28" s="128">
        <v>1.72</v>
      </c>
      <c r="BW28" s="128">
        <v>1.73</v>
      </c>
      <c r="BX28" s="128">
        <v>1.74</v>
      </c>
      <c r="BY28" s="128">
        <v>1.75</v>
      </c>
      <c r="BZ28" s="128">
        <v>1.76</v>
      </c>
      <c r="CA28" s="128">
        <v>1.77</v>
      </c>
      <c r="CB28" s="128">
        <v>1.77</v>
      </c>
      <c r="CC28" s="128">
        <v>1.78</v>
      </c>
      <c r="CD28" s="128">
        <v>1.79</v>
      </c>
      <c r="CE28" s="128">
        <v>1.8</v>
      </c>
      <c r="CF28" s="128">
        <v>1.81</v>
      </c>
      <c r="CG28" s="128">
        <v>1.82</v>
      </c>
      <c r="CH28" s="128">
        <v>1.82</v>
      </c>
      <c r="CI28" s="128">
        <v>1.83</v>
      </c>
      <c r="CJ28" s="128">
        <v>1.84</v>
      </c>
      <c r="CK28" s="128">
        <v>1.85</v>
      </c>
      <c r="CL28" s="128">
        <v>1.86</v>
      </c>
      <c r="CM28" s="128">
        <v>1.87</v>
      </c>
      <c r="CN28" s="128">
        <v>1.88</v>
      </c>
      <c r="CO28" s="128">
        <v>1.89</v>
      </c>
      <c r="CP28" s="128">
        <v>1.9</v>
      </c>
      <c r="CQ28" s="128">
        <v>1.91</v>
      </c>
      <c r="CR28" s="128">
        <v>1.93</v>
      </c>
      <c r="CS28" s="128">
        <v>1.94</v>
      </c>
      <c r="CT28" s="128">
        <v>1.95</v>
      </c>
      <c r="CU28" s="128">
        <v>1.96</v>
      </c>
      <c r="CV28" s="128">
        <v>1.97</v>
      </c>
      <c r="CW28" s="128">
        <v>1.99</v>
      </c>
      <c r="CX28" s="128">
        <v>2</v>
      </c>
      <c r="CZ28" s="126">
        <f>SUMIF(MatrixF2[[1]:[2]],MatrixF2[[#This Row],[Столбец1]])/MatrixF2[[#This Row],[Столбец1]]</f>
        <v>101</v>
      </c>
    </row>
    <row r="29" spans="1:104" ht="21" customHeight="1" x14ac:dyDescent="0.25">
      <c r="A29" s="127">
        <v>1.26</v>
      </c>
      <c r="B29" s="128">
        <v>1</v>
      </c>
      <c r="C29" s="128">
        <v>1.01</v>
      </c>
      <c r="D29" s="128">
        <v>1.03</v>
      </c>
      <c r="E29" s="128">
        <v>1.04</v>
      </c>
      <c r="F29" s="128">
        <v>1.05</v>
      </c>
      <c r="G29" s="128">
        <v>1.06</v>
      </c>
      <c r="H29" s="128">
        <v>1.08</v>
      </c>
      <c r="I29" s="128">
        <v>1.0900000000000001</v>
      </c>
      <c r="J29" s="128">
        <v>1.1000000000000001</v>
      </c>
      <c r="K29" s="128">
        <v>1.1100000000000001</v>
      </c>
      <c r="L29" s="128">
        <v>1.1200000000000001</v>
      </c>
      <c r="M29" s="128">
        <v>1.1299999999999999</v>
      </c>
      <c r="N29" s="128">
        <v>1.1399999999999999</v>
      </c>
      <c r="O29" s="128">
        <v>1.1499999999999999</v>
      </c>
      <c r="P29" s="128">
        <v>1.1599999999999999</v>
      </c>
      <c r="Q29" s="128">
        <v>1.17</v>
      </c>
      <c r="R29" s="128">
        <v>1.18</v>
      </c>
      <c r="S29" s="128">
        <v>1.19</v>
      </c>
      <c r="T29" s="128">
        <v>1.2</v>
      </c>
      <c r="U29" s="128">
        <v>1.2</v>
      </c>
      <c r="V29" s="128">
        <v>1.21</v>
      </c>
      <c r="W29" s="128">
        <v>1.22</v>
      </c>
      <c r="X29" s="128">
        <v>1.23</v>
      </c>
      <c r="Y29" s="128">
        <v>1.24</v>
      </c>
      <c r="Z29" s="128">
        <v>1.24</v>
      </c>
      <c r="AA29" s="128">
        <v>1.25</v>
      </c>
      <c r="AB29" s="128">
        <v>1.26</v>
      </c>
      <c r="AC29" s="128">
        <v>1.27</v>
      </c>
      <c r="AD29" s="128">
        <v>1.28</v>
      </c>
      <c r="AE29" s="128">
        <v>1.29</v>
      </c>
      <c r="AF29" s="128">
        <v>1.3</v>
      </c>
      <c r="AG29" s="128">
        <v>1.31</v>
      </c>
      <c r="AH29" s="128">
        <v>1.32</v>
      </c>
      <c r="AI29" s="128">
        <v>1.33</v>
      </c>
      <c r="AJ29" s="128">
        <v>1.34</v>
      </c>
      <c r="AK29" s="128">
        <v>1.35</v>
      </c>
      <c r="AL29" s="128">
        <v>1.36</v>
      </c>
      <c r="AM29" s="128">
        <v>1.37</v>
      </c>
      <c r="AN29" s="128">
        <v>1.38</v>
      </c>
      <c r="AO29" s="128">
        <v>1.39</v>
      </c>
      <c r="AP29" s="128">
        <v>1.4</v>
      </c>
      <c r="AQ29" s="128">
        <v>1.41</v>
      </c>
      <c r="AR29" s="128">
        <v>1.42</v>
      </c>
      <c r="AS29" s="128">
        <v>1.43</v>
      </c>
      <c r="AT29" s="128">
        <v>1.44</v>
      </c>
      <c r="AU29" s="128">
        <v>1.45</v>
      </c>
      <c r="AV29" s="128">
        <v>1.46</v>
      </c>
      <c r="AW29" s="128">
        <v>1.47</v>
      </c>
      <c r="AX29" s="128">
        <v>1.48</v>
      </c>
      <c r="AY29" s="128">
        <v>1.49</v>
      </c>
      <c r="AZ29" s="128">
        <v>1.5</v>
      </c>
      <c r="BA29" s="128">
        <v>1.51</v>
      </c>
      <c r="BB29" s="128">
        <v>1.52</v>
      </c>
      <c r="BC29" s="128">
        <v>1.53</v>
      </c>
      <c r="BD29" s="128">
        <v>1.54</v>
      </c>
      <c r="BE29" s="128">
        <v>1.55</v>
      </c>
      <c r="BF29" s="128">
        <v>1.56</v>
      </c>
      <c r="BG29" s="128">
        <v>1.57</v>
      </c>
      <c r="BH29" s="128">
        <v>1.58</v>
      </c>
      <c r="BI29" s="128">
        <v>1.59</v>
      </c>
      <c r="BJ29" s="128">
        <v>1.6</v>
      </c>
      <c r="BK29" s="128">
        <v>1.61</v>
      </c>
      <c r="BL29" s="128">
        <v>1.62</v>
      </c>
      <c r="BM29" s="128">
        <v>1.63</v>
      </c>
      <c r="BN29" s="128">
        <v>1.64</v>
      </c>
      <c r="BO29" s="128">
        <v>1.65</v>
      </c>
      <c r="BP29" s="128">
        <v>1.66</v>
      </c>
      <c r="BQ29" s="128">
        <v>1.67</v>
      </c>
      <c r="BR29" s="128">
        <v>1.68</v>
      </c>
      <c r="BS29" s="128">
        <v>1.69</v>
      </c>
      <c r="BT29" s="128">
        <v>1.7</v>
      </c>
      <c r="BU29" s="128">
        <v>1.71</v>
      </c>
      <c r="BV29" s="128">
        <v>1.72</v>
      </c>
      <c r="BW29" s="128">
        <v>1.73</v>
      </c>
      <c r="BX29" s="128">
        <v>1.74</v>
      </c>
      <c r="BY29" s="128">
        <v>1.75</v>
      </c>
      <c r="BZ29" s="128">
        <v>1.76</v>
      </c>
      <c r="CA29" s="128">
        <v>1.76</v>
      </c>
      <c r="CB29" s="128">
        <v>1.77</v>
      </c>
      <c r="CC29" s="128">
        <v>1.78</v>
      </c>
      <c r="CD29" s="128">
        <v>1.79</v>
      </c>
      <c r="CE29" s="128">
        <v>1.8</v>
      </c>
      <c r="CF29" s="128">
        <v>1.8</v>
      </c>
      <c r="CG29" s="128">
        <v>1.81</v>
      </c>
      <c r="CH29" s="128">
        <v>1.82</v>
      </c>
      <c r="CI29" s="128">
        <v>1.83</v>
      </c>
      <c r="CJ29" s="128">
        <v>1.84</v>
      </c>
      <c r="CK29" s="128">
        <v>1.85</v>
      </c>
      <c r="CL29" s="128">
        <v>1.86</v>
      </c>
      <c r="CM29" s="128">
        <v>1.87</v>
      </c>
      <c r="CN29" s="128">
        <v>1.88</v>
      </c>
      <c r="CO29" s="128">
        <v>1.89</v>
      </c>
      <c r="CP29" s="128">
        <v>1.9</v>
      </c>
      <c r="CQ29" s="128">
        <v>1.91</v>
      </c>
      <c r="CR29" s="128">
        <v>1.92</v>
      </c>
      <c r="CS29" s="128">
        <v>1.94</v>
      </c>
      <c r="CT29" s="128">
        <v>1.95</v>
      </c>
      <c r="CU29" s="128">
        <v>1.96</v>
      </c>
      <c r="CV29" s="128">
        <v>1.97</v>
      </c>
      <c r="CW29" s="128">
        <v>1.99</v>
      </c>
      <c r="CX29" s="128">
        <v>2</v>
      </c>
      <c r="CZ29" s="126">
        <f>SUMIF(MatrixF2[[1]:[2]],MatrixF2[[#This Row],[Столбец1]])/MatrixF2[[#This Row],[Столбец1]]</f>
        <v>109.00000000000014</v>
      </c>
    </row>
    <row r="30" spans="1:104" ht="21" customHeight="1" x14ac:dyDescent="0.25">
      <c r="A30" s="127">
        <v>1.27</v>
      </c>
      <c r="B30" s="128">
        <v>1</v>
      </c>
      <c r="C30" s="128">
        <v>1.01</v>
      </c>
      <c r="D30" s="128">
        <v>1.03</v>
      </c>
      <c r="E30" s="128">
        <v>1.04</v>
      </c>
      <c r="F30" s="128">
        <v>1.05</v>
      </c>
      <c r="G30" s="128">
        <v>1.06</v>
      </c>
      <c r="H30" s="128">
        <v>1.08</v>
      </c>
      <c r="I30" s="128">
        <v>1.0900000000000001</v>
      </c>
      <c r="J30" s="128">
        <v>1.1000000000000001</v>
      </c>
      <c r="K30" s="128">
        <v>1.1100000000000001</v>
      </c>
      <c r="L30" s="128">
        <v>1.1200000000000001</v>
      </c>
      <c r="M30" s="128">
        <v>1.1299999999999999</v>
      </c>
      <c r="N30" s="128">
        <v>1.1399999999999999</v>
      </c>
      <c r="O30" s="128">
        <v>1.1499999999999999</v>
      </c>
      <c r="P30" s="128">
        <v>1.1599999999999999</v>
      </c>
      <c r="Q30" s="128">
        <v>1.17</v>
      </c>
      <c r="R30" s="128">
        <v>1.18</v>
      </c>
      <c r="S30" s="128">
        <v>1.19</v>
      </c>
      <c r="T30" s="128">
        <v>1.2</v>
      </c>
      <c r="U30" s="128">
        <v>1.21</v>
      </c>
      <c r="V30" s="128">
        <v>1.22</v>
      </c>
      <c r="W30" s="128">
        <v>1.22</v>
      </c>
      <c r="X30" s="128">
        <v>1.23</v>
      </c>
      <c r="Y30" s="128">
        <v>1.24</v>
      </c>
      <c r="Z30" s="128">
        <v>1.25</v>
      </c>
      <c r="AA30" s="128">
        <v>1.26</v>
      </c>
      <c r="AB30" s="128">
        <v>1.26</v>
      </c>
      <c r="AC30" s="128">
        <v>1.27</v>
      </c>
      <c r="AD30" s="128">
        <v>1.28</v>
      </c>
      <c r="AE30" s="128">
        <v>1.29</v>
      </c>
      <c r="AF30" s="128">
        <v>1.3</v>
      </c>
      <c r="AG30" s="128">
        <v>1.31</v>
      </c>
      <c r="AH30" s="128">
        <v>1.32</v>
      </c>
      <c r="AI30" s="128">
        <v>1.33</v>
      </c>
      <c r="AJ30" s="128">
        <v>1.34</v>
      </c>
      <c r="AK30" s="128">
        <v>1.35</v>
      </c>
      <c r="AL30" s="128">
        <v>1.36</v>
      </c>
      <c r="AM30" s="128">
        <v>1.37</v>
      </c>
      <c r="AN30" s="128">
        <v>1.38</v>
      </c>
      <c r="AO30" s="128">
        <v>1.39</v>
      </c>
      <c r="AP30" s="128">
        <v>1.4</v>
      </c>
      <c r="AQ30" s="128">
        <v>1.41</v>
      </c>
      <c r="AR30" s="128">
        <v>1.42</v>
      </c>
      <c r="AS30" s="128">
        <v>1.43</v>
      </c>
      <c r="AT30" s="128">
        <v>1.44</v>
      </c>
      <c r="AU30" s="128">
        <v>1.45</v>
      </c>
      <c r="AV30" s="128">
        <v>1.46</v>
      </c>
      <c r="AW30" s="128">
        <v>1.47</v>
      </c>
      <c r="AX30" s="128">
        <v>1.48</v>
      </c>
      <c r="AY30" s="128">
        <v>1.49</v>
      </c>
      <c r="AZ30" s="128">
        <v>1.5</v>
      </c>
      <c r="BA30" s="128">
        <v>1.51</v>
      </c>
      <c r="BB30" s="128">
        <v>1.52</v>
      </c>
      <c r="BC30" s="128">
        <v>1.53</v>
      </c>
      <c r="BD30" s="128">
        <v>1.54</v>
      </c>
      <c r="BE30" s="128">
        <v>1.55</v>
      </c>
      <c r="BF30" s="128">
        <v>1.56</v>
      </c>
      <c r="BG30" s="128">
        <v>1.57</v>
      </c>
      <c r="BH30" s="128">
        <v>1.58</v>
      </c>
      <c r="BI30" s="128">
        <v>1.59</v>
      </c>
      <c r="BJ30" s="128">
        <v>1.6</v>
      </c>
      <c r="BK30" s="128">
        <v>1.61</v>
      </c>
      <c r="BL30" s="128">
        <v>1.62</v>
      </c>
      <c r="BM30" s="128">
        <v>1.63</v>
      </c>
      <c r="BN30" s="128">
        <v>1.64</v>
      </c>
      <c r="BO30" s="128">
        <v>1.65</v>
      </c>
      <c r="BP30" s="128">
        <v>1.66</v>
      </c>
      <c r="BQ30" s="128">
        <v>1.67</v>
      </c>
      <c r="BR30" s="128">
        <v>1.68</v>
      </c>
      <c r="BS30" s="128">
        <v>1.69</v>
      </c>
      <c r="BT30" s="128">
        <v>1.7</v>
      </c>
      <c r="BU30" s="128">
        <v>1.71</v>
      </c>
      <c r="BV30" s="128">
        <v>1.72</v>
      </c>
      <c r="BW30" s="128">
        <v>1.73</v>
      </c>
      <c r="BX30" s="128">
        <v>1.74</v>
      </c>
      <c r="BY30" s="128">
        <v>1.74</v>
      </c>
      <c r="BZ30" s="128">
        <v>1.75</v>
      </c>
      <c r="CA30" s="128">
        <v>1.76</v>
      </c>
      <c r="CB30" s="128">
        <v>1.77</v>
      </c>
      <c r="CC30" s="128">
        <v>1.78</v>
      </c>
      <c r="CD30" s="128">
        <v>1.78</v>
      </c>
      <c r="CE30" s="128">
        <v>1.79</v>
      </c>
      <c r="CF30" s="128">
        <v>1.8</v>
      </c>
      <c r="CG30" s="128">
        <v>1.81</v>
      </c>
      <c r="CH30" s="128">
        <v>1.82</v>
      </c>
      <c r="CI30" s="128">
        <v>1.83</v>
      </c>
      <c r="CJ30" s="128">
        <v>1.84</v>
      </c>
      <c r="CK30" s="128">
        <v>1.85</v>
      </c>
      <c r="CL30" s="128">
        <v>1.86</v>
      </c>
      <c r="CM30" s="128">
        <v>1.87</v>
      </c>
      <c r="CN30" s="128">
        <v>1.88</v>
      </c>
      <c r="CO30" s="128">
        <v>1.89</v>
      </c>
      <c r="CP30" s="128">
        <v>1.9</v>
      </c>
      <c r="CQ30" s="128">
        <v>1.91</v>
      </c>
      <c r="CR30" s="128">
        <v>1.92</v>
      </c>
      <c r="CS30" s="128">
        <v>1.94</v>
      </c>
      <c r="CT30" s="128">
        <v>1.95</v>
      </c>
      <c r="CU30" s="128">
        <v>1.96</v>
      </c>
      <c r="CV30" s="128">
        <v>1.97</v>
      </c>
      <c r="CW30" s="128">
        <v>1.99</v>
      </c>
      <c r="CX30" s="128">
        <v>2</v>
      </c>
      <c r="CZ30" s="126">
        <f>SUMIF(MatrixF2[[1]:[2]],MatrixF2[[#This Row],[Столбец1]])/MatrixF2[[#This Row],[Столбец1]]</f>
        <v>107.99999999999996</v>
      </c>
    </row>
    <row r="31" spans="1:104" ht="21" customHeight="1" x14ac:dyDescent="0.25">
      <c r="A31" s="127">
        <v>1.28</v>
      </c>
      <c r="B31" s="128">
        <v>1</v>
      </c>
      <c r="C31" s="128">
        <v>1.01</v>
      </c>
      <c r="D31" s="128">
        <v>1.03</v>
      </c>
      <c r="E31" s="128">
        <v>1.04</v>
      </c>
      <c r="F31" s="128">
        <v>1.05</v>
      </c>
      <c r="G31" s="128">
        <v>1.06</v>
      </c>
      <c r="H31" s="128">
        <v>1.08</v>
      </c>
      <c r="I31" s="128">
        <v>1.0900000000000001</v>
      </c>
      <c r="J31" s="128">
        <v>1.1000000000000001</v>
      </c>
      <c r="K31" s="128">
        <v>1.1100000000000001</v>
      </c>
      <c r="L31" s="128">
        <v>1.1200000000000001</v>
      </c>
      <c r="M31" s="128">
        <v>1.1299999999999999</v>
      </c>
      <c r="N31" s="128">
        <v>1.1399999999999999</v>
      </c>
      <c r="O31" s="128">
        <v>1.1499999999999999</v>
      </c>
      <c r="P31" s="128">
        <v>1.1599999999999999</v>
      </c>
      <c r="Q31" s="128">
        <v>1.17</v>
      </c>
      <c r="R31" s="128">
        <v>1.18</v>
      </c>
      <c r="S31" s="128">
        <v>1.19</v>
      </c>
      <c r="T31" s="128">
        <v>1.2</v>
      </c>
      <c r="U31" s="128">
        <v>1.21</v>
      </c>
      <c r="V31" s="128">
        <v>1.22</v>
      </c>
      <c r="W31" s="128">
        <v>1.23</v>
      </c>
      <c r="X31" s="128">
        <v>1.23</v>
      </c>
      <c r="Y31" s="128">
        <v>1.24</v>
      </c>
      <c r="Z31" s="128">
        <v>1.25</v>
      </c>
      <c r="AA31" s="128">
        <v>1.26</v>
      </c>
      <c r="AB31" s="128">
        <v>1.27</v>
      </c>
      <c r="AC31" s="128">
        <v>1.27</v>
      </c>
      <c r="AD31" s="128">
        <v>1.28</v>
      </c>
      <c r="AE31" s="128">
        <v>1.29</v>
      </c>
      <c r="AF31" s="128">
        <v>1.3</v>
      </c>
      <c r="AG31" s="128">
        <v>1.31</v>
      </c>
      <c r="AH31" s="128">
        <v>1.32</v>
      </c>
      <c r="AI31" s="128">
        <v>1.33</v>
      </c>
      <c r="AJ31" s="128">
        <v>1.34</v>
      </c>
      <c r="AK31" s="128">
        <v>1.35</v>
      </c>
      <c r="AL31" s="128">
        <v>1.36</v>
      </c>
      <c r="AM31" s="128">
        <v>1.37</v>
      </c>
      <c r="AN31" s="128">
        <v>1.38</v>
      </c>
      <c r="AO31" s="128">
        <v>1.39</v>
      </c>
      <c r="AP31" s="128">
        <v>1.4</v>
      </c>
      <c r="AQ31" s="128">
        <v>1.41</v>
      </c>
      <c r="AR31" s="128">
        <v>1.42</v>
      </c>
      <c r="AS31" s="128">
        <v>1.43</v>
      </c>
      <c r="AT31" s="128">
        <v>1.44</v>
      </c>
      <c r="AU31" s="128">
        <v>1.45</v>
      </c>
      <c r="AV31" s="128">
        <v>1.46</v>
      </c>
      <c r="AW31" s="128">
        <v>1.47</v>
      </c>
      <c r="AX31" s="128">
        <v>1.48</v>
      </c>
      <c r="AY31" s="128">
        <v>1.49</v>
      </c>
      <c r="AZ31" s="128">
        <v>1.5</v>
      </c>
      <c r="BA31" s="128">
        <v>1.51</v>
      </c>
      <c r="BB31" s="128">
        <v>1.52</v>
      </c>
      <c r="BC31" s="128">
        <v>1.53</v>
      </c>
      <c r="BD31" s="128">
        <v>1.54</v>
      </c>
      <c r="BE31" s="128">
        <v>1.55</v>
      </c>
      <c r="BF31" s="128">
        <v>1.56</v>
      </c>
      <c r="BG31" s="128">
        <v>1.57</v>
      </c>
      <c r="BH31" s="128">
        <v>1.58</v>
      </c>
      <c r="BI31" s="128">
        <v>1.59</v>
      </c>
      <c r="BJ31" s="128">
        <v>1.6</v>
      </c>
      <c r="BK31" s="128">
        <v>1.61</v>
      </c>
      <c r="BL31" s="128">
        <v>1.62</v>
      </c>
      <c r="BM31" s="128">
        <v>1.63</v>
      </c>
      <c r="BN31" s="128">
        <v>1.64</v>
      </c>
      <c r="BO31" s="128">
        <v>1.65</v>
      </c>
      <c r="BP31" s="128">
        <v>1.66</v>
      </c>
      <c r="BQ31" s="128">
        <v>1.67</v>
      </c>
      <c r="BR31" s="128">
        <v>1.68</v>
      </c>
      <c r="BS31" s="128">
        <v>1.69</v>
      </c>
      <c r="BT31" s="128">
        <v>1.7</v>
      </c>
      <c r="BU31" s="128">
        <v>1.71</v>
      </c>
      <c r="BV31" s="128">
        <v>1.72</v>
      </c>
      <c r="BW31" s="128">
        <v>1.73</v>
      </c>
      <c r="BX31" s="128">
        <v>1.73</v>
      </c>
      <c r="BY31" s="128">
        <v>1.74</v>
      </c>
      <c r="BZ31" s="128">
        <v>1.75</v>
      </c>
      <c r="CA31" s="128">
        <v>1.76</v>
      </c>
      <c r="CB31" s="128">
        <v>1.77</v>
      </c>
      <c r="CC31" s="128">
        <v>1.77</v>
      </c>
      <c r="CD31" s="128">
        <v>1.78</v>
      </c>
      <c r="CE31" s="128">
        <v>1.79</v>
      </c>
      <c r="CF31" s="128">
        <v>1.8</v>
      </c>
      <c r="CG31" s="128">
        <v>1.81</v>
      </c>
      <c r="CH31" s="128">
        <v>1.82</v>
      </c>
      <c r="CI31" s="128">
        <v>1.83</v>
      </c>
      <c r="CJ31" s="128">
        <v>1.84</v>
      </c>
      <c r="CK31" s="128">
        <v>1.85</v>
      </c>
      <c r="CL31" s="128">
        <v>1.86</v>
      </c>
      <c r="CM31" s="128">
        <v>1.87</v>
      </c>
      <c r="CN31" s="128">
        <v>1.88</v>
      </c>
      <c r="CO31" s="128">
        <v>1.89</v>
      </c>
      <c r="CP31" s="128">
        <v>1.9</v>
      </c>
      <c r="CQ31" s="128">
        <v>1.91</v>
      </c>
      <c r="CR31" s="128">
        <v>1.92</v>
      </c>
      <c r="CS31" s="128">
        <v>1.94</v>
      </c>
      <c r="CT31" s="128">
        <v>1.95</v>
      </c>
      <c r="CU31" s="128">
        <v>1.96</v>
      </c>
      <c r="CV31" s="128">
        <v>1.97</v>
      </c>
      <c r="CW31" s="128">
        <v>1.99</v>
      </c>
      <c r="CX31" s="128">
        <v>2</v>
      </c>
      <c r="CZ31" s="126">
        <f>SUMIF(MatrixF2[[1]:[2]],MatrixF2[[#This Row],[Столбец1]])/MatrixF2[[#This Row],[Столбец1]]</f>
        <v>109.00000000000007</v>
      </c>
    </row>
    <row r="32" spans="1:104" ht="21" customHeight="1" x14ac:dyDescent="0.25">
      <c r="A32" s="127">
        <v>1.29</v>
      </c>
      <c r="B32" s="128">
        <v>1</v>
      </c>
      <c r="C32" s="128">
        <v>1.01</v>
      </c>
      <c r="D32" s="128">
        <v>1.03</v>
      </c>
      <c r="E32" s="128">
        <v>1.04</v>
      </c>
      <c r="F32" s="128">
        <v>1.05</v>
      </c>
      <c r="G32" s="128">
        <v>1.07</v>
      </c>
      <c r="H32" s="128">
        <v>1.08</v>
      </c>
      <c r="I32" s="128">
        <v>1.0900000000000001</v>
      </c>
      <c r="J32" s="128">
        <v>1.1000000000000001</v>
      </c>
      <c r="K32" s="128">
        <v>1.1100000000000001</v>
      </c>
      <c r="L32" s="128">
        <v>1.1200000000000001</v>
      </c>
      <c r="M32" s="128">
        <v>1.1299999999999999</v>
      </c>
      <c r="N32" s="128">
        <v>1.1399999999999999</v>
      </c>
      <c r="O32" s="128">
        <v>1.1499999999999999</v>
      </c>
      <c r="P32" s="128">
        <v>1.1599999999999999</v>
      </c>
      <c r="Q32" s="128">
        <v>1.17</v>
      </c>
      <c r="R32" s="128">
        <v>1.18</v>
      </c>
      <c r="S32" s="128">
        <v>1.19</v>
      </c>
      <c r="T32" s="128">
        <v>1.2</v>
      </c>
      <c r="U32" s="128">
        <v>1.21</v>
      </c>
      <c r="V32" s="128">
        <v>1.22</v>
      </c>
      <c r="W32" s="128">
        <v>1.23</v>
      </c>
      <c r="X32" s="128">
        <v>1.24</v>
      </c>
      <c r="Y32" s="128">
        <v>1.24</v>
      </c>
      <c r="Z32" s="128">
        <v>1.25</v>
      </c>
      <c r="AA32" s="128">
        <v>1.26</v>
      </c>
      <c r="AB32" s="128">
        <v>1.27</v>
      </c>
      <c r="AC32" s="128">
        <v>1.28</v>
      </c>
      <c r="AD32" s="128">
        <v>1.28</v>
      </c>
      <c r="AE32" s="128">
        <v>1.29</v>
      </c>
      <c r="AF32" s="128">
        <v>1.3</v>
      </c>
      <c r="AG32" s="128">
        <v>1.31</v>
      </c>
      <c r="AH32" s="128">
        <v>1.32</v>
      </c>
      <c r="AI32" s="128">
        <v>1.33</v>
      </c>
      <c r="AJ32" s="128">
        <v>1.34</v>
      </c>
      <c r="AK32" s="128">
        <v>1.35</v>
      </c>
      <c r="AL32" s="128">
        <v>1.36</v>
      </c>
      <c r="AM32" s="128">
        <v>1.37</v>
      </c>
      <c r="AN32" s="128">
        <v>1.38</v>
      </c>
      <c r="AO32" s="128">
        <v>1.39</v>
      </c>
      <c r="AP32" s="128">
        <v>1.4</v>
      </c>
      <c r="AQ32" s="128">
        <v>1.41</v>
      </c>
      <c r="AR32" s="128">
        <v>1.42</v>
      </c>
      <c r="AS32" s="128">
        <v>1.43</v>
      </c>
      <c r="AT32" s="128">
        <v>1.44</v>
      </c>
      <c r="AU32" s="128">
        <v>1.45</v>
      </c>
      <c r="AV32" s="128">
        <v>1.46</v>
      </c>
      <c r="AW32" s="128">
        <v>1.47</v>
      </c>
      <c r="AX32" s="128">
        <v>1.48</v>
      </c>
      <c r="AY32" s="128">
        <v>1.49</v>
      </c>
      <c r="AZ32" s="128">
        <v>1.5</v>
      </c>
      <c r="BA32" s="128">
        <v>1.51</v>
      </c>
      <c r="BB32" s="128">
        <v>1.52</v>
      </c>
      <c r="BC32" s="128">
        <v>1.53</v>
      </c>
      <c r="BD32" s="128">
        <v>1.54</v>
      </c>
      <c r="BE32" s="128">
        <v>1.55</v>
      </c>
      <c r="BF32" s="128">
        <v>1.56</v>
      </c>
      <c r="BG32" s="128">
        <v>1.57</v>
      </c>
      <c r="BH32" s="128">
        <v>1.58</v>
      </c>
      <c r="BI32" s="128">
        <v>1.59</v>
      </c>
      <c r="BJ32" s="128">
        <v>1.6</v>
      </c>
      <c r="BK32" s="128">
        <v>1.61</v>
      </c>
      <c r="BL32" s="128">
        <v>1.62</v>
      </c>
      <c r="BM32" s="128">
        <v>1.63</v>
      </c>
      <c r="BN32" s="128">
        <v>1.64</v>
      </c>
      <c r="BO32" s="128">
        <v>1.65</v>
      </c>
      <c r="BP32" s="128">
        <v>1.66</v>
      </c>
      <c r="BQ32" s="128">
        <v>1.67</v>
      </c>
      <c r="BR32" s="128">
        <v>1.68</v>
      </c>
      <c r="BS32" s="128">
        <v>1.69</v>
      </c>
      <c r="BT32" s="128">
        <v>1.7</v>
      </c>
      <c r="BU32" s="128">
        <v>1.71</v>
      </c>
      <c r="BV32" s="128">
        <v>1.72</v>
      </c>
      <c r="BW32" s="128">
        <v>1.72</v>
      </c>
      <c r="BX32" s="128">
        <v>1.73</v>
      </c>
      <c r="BY32" s="128">
        <v>1.74</v>
      </c>
      <c r="BZ32" s="128">
        <v>1.75</v>
      </c>
      <c r="CA32" s="128">
        <v>1.76</v>
      </c>
      <c r="CB32" s="128">
        <v>1.76</v>
      </c>
      <c r="CC32" s="128">
        <v>1.77</v>
      </c>
      <c r="CD32" s="128">
        <v>1.78</v>
      </c>
      <c r="CE32" s="128">
        <v>1.79</v>
      </c>
      <c r="CF32" s="128">
        <v>1.8</v>
      </c>
      <c r="CG32" s="128">
        <v>1.81</v>
      </c>
      <c r="CH32" s="128">
        <v>1.82</v>
      </c>
      <c r="CI32" s="128">
        <v>1.83</v>
      </c>
      <c r="CJ32" s="128">
        <v>1.84</v>
      </c>
      <c r="CK32" s="128">
        <v>1.85</v>
      </c>
      <c r="CL32" s="128">
        <v>1.86</v>
      </c>
      <c r="CM32" s="128">
        <v>1.87</v>
      </c>
      <c r="CN32" s="128">
        <v>1.88</v>
      </c>
      <c r="CO32" s="128">
        <v>1.89</v>
      </c>
      <c r="CP32" s="128">
        <v>1.9</v>
      </c>
      <c r="CQ32" s="128">
        <v>1.91</v>
      </c>
      <c r="CR32" s="128">
        <v>1.92</v>
      </c>
      <c r="CS32" s="128">
        <v>1.93</v>
      </c>
      <c r="CT32" s="128">
        <v>1.95</v>
      </c>
      <c r="CU32" s="128">
        <v>1.96</v>
      </c>
      <c r="CV32" s="128">
        <v>1.97</v>
      </c>
      <c r="CW32" s="128">
        <v>1.99</v>
      </c>
      <c r="CX32" s="128">
        <v>2</v>
      </c>
      <c r="CZ32" s="126">
        <f>SUMIF(MatrixF2[[1]:[2]],MatrixF2[[#This Row],[Столбец1]])/MatrixF2[[#This Row],[Столбец1]]</f>
        <v>111.00000000000016</v>
      </c>
    </row>
    <row r="33" spans="1:104" ht="21" customHeight="1" x14ac:dyDescent="0.25">
      <c r="A33" s="127">
        <v>1.3</v>
      </c>
      <c r="B33" s="128">
        <v>1</v>
      </c>
      <c r="C33" s="128">
        <v>1.01</v>
      </c>
      <c r="D33" s="128">
        <v>1.03</v>
      </c>
      <c r="E33" s="128">
        <v>1.04</v>
      </c>
      <c r="F33" s="128">
        <v>1.05</v>
      </c>
      <c r="G33" s="128">
        <v>1.07</v>
      </c>
      <c r="H33" s="128">
        <v>1.08</v>
      </c>
      <c r="I33" s="128">
        <v>1.0900000000000001</v>
      </c>
      <c r="J33" s="128">
        <v>1.1000000000000001</v>
      </c>
      <c r="K33" s="128">
        <v>1.1100000000000001</v>
      </c>
      <c r="L33" s="128">
        <v>1.1200000000000001</v>
      </c>
      <c r="M33" s="128">
        <v>1.1399999999999999</v>
      </c>
      <c r="N33" s="128">
        <v>1.1499999999999999</v>
      </c>
      <c r="O33" s="128">
        <v>1.1599999999999999</v>
      </c>
      <c r="P33" s="128">
        <v>1.17</v>
      </c>
      <c r="Q33" s="128">
        <v>1.18</v>
      </c>
      <c r="R33" s="128">
        <v>1.19</v>
      </c>
      <c r="S33" s="128">
        <v>1.2</v>
      </c>
      <c r="T33" s="128">
        <v>1.2</v>
      </c>
      <c r="U33" s="128">
        <v>1.21</v>
      </c>
      <c r="V33" s="128">
        <v>1.22</v>
      </c>
      <c r="W33" s="128">
        <v>1.23</v>
      </c>
      <c r="X33" s="128">
        <v>1.24</v>
      </c>
      <c r="Y33" s="128">
        <v>1.25</v>
      </c>
      <c r="Z33" s="128">
        <v>1.26</v>
      </c>
      <c r="AA33" s="128">
        <v>1.26</v>
      </c>
      <c r="AB33" s="128">
        <v>1.27</v>
      </c>
      <c r="AC33" s="128">
        <v>1.28</v>
      </c>
      <c r="AD33" s="128">
        <v>1.29</v>
      </c>
      <c r="AE33" s="128">
        <v>1.29</v>
      </c>
      <c r="AF33" s="128">
        <v>1.3</v>
      </c>
      <c r="AG33" s="128">
        <v>1.31</v>
      </c>
      <c r="AH33" s="128">
        <v>1.32</v>
      </c>
      <c r="AI33" s="128">
        <v>1.33</v>
      </c>
      <c r="AJ33" s="128">
        <v>1.34</v>
      </c>
      <c r="AK33" s="128">
        <v>1.35</v>
      </c>
      <c r="AL33" s="128">
        <v>1.36</v>
      </c>
      <c r="AM33" s="128">
        <v>1.37</v>
      </c>
      <c r="AN33" s="128">
        <v>1.38</v>
      </c>
      <c r="AO33" s="128">
        <v>1.39</v>
      </c>
      <c r="AP33" s="128">
        <v>1.4</v>
      </c>
      <c r="AQ33" s="128">
        <v>1.41</v>
      </c>
      <c r="AR33" s="128">
        <v>1.42</v>
      </c>
      <c r="AS33" s="128">
        <v>1.43</v>
      </c>
      <c r="AT33" s="128">
        <v>1.44</v>
      </c>
      <c r="AU33" s="128">
        <v>1.45</v>
      </c>
      <c r="AV33" s="128">
        <v>1.46</v>
      </c>
      <c r="AW33" s="128">
        <v>1.47</v>
      </c>
      <c r="AX33" s="128">
        <v>1.48</v>
      </c>
      <c r="AY33" s="128">
        <v>1.49</v>
      </c>
      <c r="AZ33" s="128">
        <v>1.5</v>
      </c>
      <c r="BA33" s="128">
        <v>1.51</v>
      </c>
      <c r="BB33" s="128">
        <v>1.52</v>
      </c>
      <c r="BC33" s="128">
        <v>1.53</v>
      </c>
      <c r="BD33" s="128">
        <v>1.54</v>
      </c>
      <c r="BE33" s="128">
        <v>1.55</v>
      </c>
      <c r="BF33" s="128">
        <v>1.56</v>
      </c>
      <c r="BG33" s="128">
        <v>1.57</v>
      </c>
      <c r="BH33" s="128">
        <v>1.58</v>
      </c>
      <c r="BI33" s="128">
        <v>1.59</v>
      </c>
      <c r="BJ33" s="128">
        <v>1.6</v>
      </c>
      <c r="BK33" s="128">
        <v>1.61</v>
      </c>
      <c r="BL33" s="128">
        <v>1.62</v>
      </c>
      <c r="BM33" s="128">
        <v>1.63</v>
      </c>
      <c r="BN33" s="128">
        <v>1.64</v>
      </c>
      <c r="BO33" s="128">
        <v>1.65</v>
      </c>
      <c r="BP33" s="128">
        <v>1.66</v>
      </c>
      <c r="BQ33" s="128">
        <v>1.67</v>
      </c>
      <c r="BR33" s="128">
        <v>1.68</v>
      </c>
      <c r="BS33" s="128">
        <v>1.69</v>
      </c>
      <c r="BT33" s="128">
        <v>1.7</v>
      </c>
      <c r="BU33" s="128">
        <v>1.71</v>
      </c>
      <c r="BV33" s="128">
        <v>1.71</v>
      </c>
      <c r="BW33" s="128">
        <v>1.72</v>
      </c>
      <c r="BX33" s="128">
        <v>1.73</v>
      </c>
      <c r="BY33" s="128">
        <v>1.74</v>
      </c>
      <c r="BZ33" s="128">
        <v>1.74</v>
      </c>
      <c r="CA33" s="128">
        <v>1.75</v>
      </c>
      <c r="CB33" s="128">
        <v>1.76</v>
      </c>
      <c r="CC33" s="128">
        <v>1.77</v>
      </c>
      <c r="CD33" s="128">
        <v>1.78</v>
      </c>
      <c r="CE33" s="128">
        <v>1.79</v>
      </c>
      <c r="CF33" s="128">
        <v>1.8</v>
      </c>
      <c r="CG33" s="128">
        <v>1.8</v>
      </c>
      <c r="CH33" s="128">
        <v>1.81</v>
      </c>
      <c r="CI33" s="128">
        <v>1.82</v>
      </c>
      <c r="CJ33" s="128">
        <v>1.83</v>
      </c>
      <c r="CK33" s="128">
        <v>1.84</v>
      </c>
      <c r="CL33" s="128">
        <v>1.85</v>
      </c>
      <c r="CM33" s="128">
        <v>1.86</v>
      </c>
      <c r="CN33" s="128">
        <v>1.88</v>
      </c>
      <c r="CO33" s="128">
        <v>1.89</v>
      </c>
      <c r="CP33" s="128">
        <v>1.9</v>
      </c>
      <c r="CQ33" s="128">
        <v>1.91</v>
      </c>
      <c r="CR33" s="128">
        <v>1.92</v>
      </c>
      <c r="CS33" s="128">
        <v>1.93</v>
      </c>
      <c r="CT33" s="128">
        <v>1.95</v>
      </c>
      <c r="CU33" s="128">
        <v>1.96</v>
      </c>
      <c r="CV33" s="128">
        <v>1.97</v>
      </c>
      <c r="CW33" s="128">
        <v>1.99</v>
      </c>
      <c r="CX33" s="128">
        <v>2</v>
      </c>
      <c r="CZ33" s="126">
        <f>SUMIF(MatrixF2[[1]:[2]],MatrixF2[[#This Row],[Столбец1]])/MatrixF2[[#This Row],[Столбец1]]</f>
        <v>108.99999999999994</v>
      </c>
    </row>
    <row r="34" spans="1:104" ht="21" customHeight="1" x14ac:dyDescent="0.25">
      <c r="A34" s="127">
        <v>1.31</v>
      </c>
      <c r="B34" s="128">
        <v>1</v>
      </c>
      <c r="C34" s="128">
        <v>1.01</v>
      </c>
      <c r="D34" s="128">
        <v>1.03</v>
      </c>
      <c r="E34" s="128">
        <v>1.04</v>
      </c>
      <c r="F34" s="128">
        <v>1.05</v>
      </c>
      <c r="G34" s="128">
        <v>1.07</v>
      </c>
      <c r="H34" s="128">
        <v>1.08</v>
      </c>
      <c r="I34" s="128">
        <v>1.0900000000000001</v>
      </c>
      <c r="J34" s="128">
        <v>1.1000000000000001</v>
      </c>
      <c r="K34" s="128">
        <v>1.1200000000000001</v>
      </c>
      <c r="L34" s="128">
        <v>1.1299999999999999</v>
      </c>
      <c r="M34" s="128">
        <v>1.1399999999999999</v>
      </c>
      <c r="N34" s="128">
        <v>1.1499999999999999</v>
      </c>
      <c r="O34" s="128">
        <v>1.1599999999999999</v>
      </c>
      <c r="P34" s="128">
        <v>1.17</v>
      </c>
      <c r="Q34" s="128">
        <v>1.18</v>
      </c>
      <c r="R34" s="128">
        <v>1.19</v>
      </c>
      <c r="S34" s="128">
        <v>1.2</v>
      </c>
      <c r="T34" s="128">
        <v>1.21</v>
      </c>
      <c r="U34" s="128">
        <v>1.22</v>
      </c>
      <c r="V34" s="128">
        <v>1.22</v>
      </c>
      <c r="W34" s="128">
        <v>1.23</v>
      </c>
      <c r="X34" s="128">
        <v>1.24</v>
      </c>
      <c r="Y34" s="128">
        <v>1.25</v>
      </c>
      <c r="Z34" s="128">
        <v>1.26</v>
      </c>
      <c r="AA34" s="128">
        <v>1.27</v>
      </c>
      <c r="AB34" s="128">
        <v>1.27</v>
      </c>
      <c r="AC34" s="128">
        <v>1.28</v>
      </c>
      <c r="AD34" s="128">
        <v>1.29</v>
      </c>
      <c r="AE34" s="128">
        <v>1.3</v>
      </c>
      <c r="AF34" s="128">
        <v>1.3</v>
      </c>
      <c r="AG34" s="128">
        <v>1.31</v>
      </c>
      <c r="AH34" s="128">
        <v>1.32</v>
      </c>
      <c r="AI34" s="128">
        <v>1.33</v>
      </c>
      <c r="AJ34" s="128">
        <v>1.34</v>
      </c>
      <c r="AK34" s="128">
        <v>1.35</v>
      </c>
      <c r="AL34" s="128">
        <v>1.36</v>
      </c>
      <c r="AM34" s="128">
        <v>1.37</v>
      </c>
      <c r="AN34" s="128">
        <v>1.38</v>
      </c>
      <c r="AO34" s="128">
        <v>1.39</v>
      </c>
      <c r="AP34" s="128">
        <v>1.4</v>
      </c>
      <c r="AQ34" s="128">
        <v>1.41</v>
      </c>
      <c r="AR34" s="128">
        <v>1.42</v>
      </c>
      <c r="AS34" s="128">
        <v>1.43</v>
      </c>
      <c r="AT34" s="128">
        <v>1.44</v>
      </c>
      <c r="AU34" s="128">
        <v>1.45</v>
      </c>
      <c r="AV34" s="128">
        <v>1.46</v>
      </c>
      <c r="AW34" s="128">
        <v>1.47</v>
      </c>
      <c r="AX34" s="128">
        <v>1.48</v>
      </c>
      <c r="AY34" s="128">
        <v>1.49</v>
      </c>
      <c r="AZ34" s="128">
        <v>1.5</v>
      </c>
      <c r="BA34" s="128">
        <v>1.51</v>
      </c>
      <c r="BB34" s="128">
        <v>1.52</v>
      </c>
      <c r="BC34" s="128">
        <v>1.53</v>
      </c>
      <c r="BD34" s="128">
        <v>1.54</v>
      </c>
      <c r="BE34" s="128">
        <v>1.55</v>
      </c>
      <c r="BF34" s="128">
        <v>1.56</v>
      </c>
      <c r="BG34" s="128">
        <v>1.57</v>
      </c>
      <c r="BH34" s="128">
        <v>1.58</v>
      </c>
      <c r="BI34" s="128">
        <v>1.59</v>
      </c>
      <c r="BJ34" s="128">
        <v>1.6</v>
      </c>
      <c r="BK34" s="128">
        <v>1.61</v>
      </c>
      <c r="BL34" s="128">
        <v>1.62</v>
      </c>
      <c r="BM34" s="128">
        <v>1.63</v>
      </c>
      <c r="BN34" s="128">
        <v>1.64</v>
      </c>
      <c r="BO34" s="128">
        <v>1.65</v>
      </c>
      <c r="BP34" s="128">
        <v>1.66</v>
      </c>
      <c r="BQ34" s="128">
        <v>1.67</v>
      </c>
      <c r="BR34" s="128">
        <v>1.68</v>
      </c>
      <c r="BS34" s="128">
        <v>1.69</v>
      </c>
      <c r="BT34" s="128">
        <v>1.7</v>
      </c>
      <c r="BU34" s="128">
        <v>1.7</v>
      </c>
      <c r="BV34" s="128">
        <v>1.71</v>
      </c>
      <c r="BW34" s="128">
        <v>1.72</v>
      </c>
      <c r="BX34" s="128">
        <v>1.73</v>
      </c>
      <c r="BY34" s="128">
        <v>1.73</v>
      </c>
      <c r="BZ34" s="128">
        <v>1.74</v>
      </c>
      <c r="CA34" s="128">
        <v>1.75</v>
      </c>
      <c r="CB34" s="128">
        <v>1.76</v>
      </c>
      <c r="CC34" s="128">
        <v>1.77</v>
      </c>
      <c r="CD34" s="128">
        <v>1.78</v>
      </c>
      <c r="CE34" s="128">
        <v>1.78</v>
      </c>
      <c r="CF34" s="128">
        <v>1.79</v>
      </c>
      <c r="CG34" s="128">
        <v>1.8</v>
      </c>
      <c r="CH34" s="128">
        <v>1.81</v>
      </c>
      <c r="CI34" s="128">
        <v>1.82</v>
      </c>
      <c r="CJ34" s="128">
        <v>1.83</v>
      </c>
      <c r="CK34" s="128">
        <v>1.84</v>
      </c>
      <c r="CL34" s="128">
        <v>1.85</v>
      </c>
      <c r="CM34" s="128">
        <v>1.86</v>
      </c>
      <c r="CN34" s="128">
        <v>1.87</v>
      </c>
      <c r="CO34" s="128">
        <v>1.88</v>
      </c>
      <c r="CP34" s="128">
        <v>1.9</v>
      </c>
      <c r="CQ34" s="128">
        <v>1.91</v>
      </c>
      <c r="CR34" s="128">
        <v>1.92</v>
      </c>
      <c r="CS34" s="128">
        <v>1.93</v>
      </c>
      <c r="CT34" s="128">
        <v>1.95</v>
      </c>
      <c r="CU34" s="128">
        <v>1.96</v>
      </c>
      <c r="CV34" s="128">
        <v>1.97</v>
      </c>
      <c r="CW34" s="128">
        <v>1.99</v>
      </c>
      <c r="CX34" s="128">
        <v>2</v>
      </c>
      <c r="CZ34" s="126">
        <f>SUMIF(MatrixF2[[1]:[2]],MatrixF2[[#This Row],[Столбец1]])/MatrixF2[[#This Row],[Столбец1]]</f>
        <v>109.00000000000011</v>
      </c>
    </row>
    <row r="35" spans="1:104" ht="21" customHeight="1" x14ac:dyDescent="0.25">
      <c r="A35" s="127">
        <v>1.32</v>
      </c>
      <c r="B35" s="128">
        <v>1</v>
      </c>
      <c r="C35" s="128">
        <v>1.01</v>
      </c>
      <c r="D35" s="128">
        <v>1.03</v>
      </c>
      <c r="E35" s="128">
        <v>1.04</v>
      </c>
      <c r="F35" s="128">
        <v>1.06</v>
      </c>
      <c r="G35" s="128">
        <v>1.07</v>
      </c>
      <c r="H35" s="128">
        <v>1.08</v>
      </c>
      <c r="I35" s="128">
        <v>1.0900000000000001</v>
      </c>
      <c r="J35" s="128">
        <v>1.1100000000000001</v>
      </c>
      <c r="K35" s="128">
        <v>1.1200000000000001</v>
      </c>
      <c r="L35" s="128">
        <v>1.1299999999999999</v>
      </c>
      <c r="M35" s="128">
        <v>1.1399999999999999</v>
      </c>
      <c r="N35" s="128">
        <v>1.1499999999999999</v>
      </c>
      <c r="O35" s="128">
        <v>1.1599999999999999</v>
      </c>
      <c r="P35" s="128">
        <v>1.17</v>
      </c>
      <c r="Q35" s="128">
        <v>1.18</v>
      </c>
      <c r="R35" s="128">
        <v>1.19</v>
      </c>
      <c r="S35" s="128">
        <v>1.2</v>
      </c>
      <c r="T35" s="128">
        <v>1.21</v>
      </c>
      <c r="U35" s="128">
        <v>1.22</v>
      </c>
      <c r="V35" s="128">
        <v>1.23</v>
      </c>
      <c r="W35" s="128">
        <v>1.24</v>
      </c>
      <c r="X35" s="128">
        <v>1.24</v>
      </c>
      <c r="Y35" s="128">
        <v>1.25</v>
      </c>
      <c r="Z35" s="128">
        <v>1.26</v>
      </c>
      <c r="AA35" s="128">
        <v>1.27</v>
      </c>
      <c r="AB35" s="128">
        <v>1.28</v>
      </c>
      <c r="AC35" s="128">
        <v>1.28</v>
      </c>
      <c r="AD35" s="128">
        <v>1.29</v>
      </c>
      <c r="AE35" s="128">
        <v>1.3</v>
      </c>
      <c r="AF35" s="128">
        <v>1.31</v>
      </c>
      <c r="AG35" s="128">
        <v>1.31</v>
      </c>
      <c r="AH35" s="128">
        <v>1.32</v>
      </c>
      <c r="AI35" s="128">
        <v>1.33</v>
      </c>
      <c r="AJ35" s="128">
        <v>1.34</v>
      </c>
      <c r="AK35" s="128">
        <v>1.35</v>
      </c>
      <c r="AL35" s="128">
        <v>1.36</v>
      </c>
      <c r="AM35" s="128">
        <v>1.37</v>
      </c>
      <c r="AN35" s="128">
        <v>1.38</v>
      </c>
      <c r="AO35" s="128">
        <v>1.39</v>
      </c>
      <c r="AP35" s="128">
        <v>1.4</v>
      </c>
      <c r="AQ35" s="128">
        <v>1.41</v>
      </c>
      <c r="AR35" s="128">
        <v>1.42</v>
      </c>
      <c r="AS35" s="128">
        <v>1.43</v>
      </c>
      <c r="AT35" s="128">
        <v>1.44</v>
      </c>
      <c r="AU35" s="128">
        <v>1.45</v>
      </c>
      <c r="AV35" s="128">
        <v>1.46</v>
      </c>
      <c r="AW35" s="128">
        <v>1.47</v>
      </c>
      <c r="AX35" s="128">
        <v>1.48</v>
      </c>
      <c r="AY35" s="128">
        <v>1.49</v>
      </c>
      <c r="AZ35" s="128">
        <v>1.5</v>
      </c>
      <c r="BA35" s="128">
        <v>1.51</v>
      </c>
      <c r="BB35" s="128">
        <v>1.52</v>
      </c>
      <c r="BC35" s="128">
        <v>1.53</v>
      </c>
      <c r="BD35" s="128">
        <v>1.54</v>
      </c>
      <c r="BE35" s="128">
        <v>1.55</v>
      </c>
      <c r="BF35" s="128">
        <v>1.56</v>
      </c>
      <c r="BG35" s="128">
        <v>1.57</v>
      </c>
      <c r="BH35" s="128">
        <v>1.58</v>
      </c>
      <c r="BI35" s="128">
        <v>1.59</v>
      </c>
      <c r="BJ35" s="128">
        <v>1.6</v>
      </c>
      <c r="BK35" s="128">
        <v>1.61</v>
      </c>
      <c r="BL35" s="128">
        <v>1.62</v>
      </c>
      <c r="BM35" s="128">
        <v>1.63</v>
      </c>
      <c r="BN35" s="128">
        <v>1.64</v>
      </c>
      <c r="BO35" s="128">
        <v>1.65</v>
      </c>
      <c r="BP35" s="128">
        <v>1.66</v>
      </c>
      <c r="BQ35" s="128">
        <v>1.67</v>
      </c>
      <c r="BR35" s="128">
        <v>1.68</v>
      </c>
      <c r="BS35" s="128">
        <v>1.69</v>
      </c>
      <c r="BT35" s="128">
        <v>1.69</v>
      </c>
      <c r="BU35" s="128">
        <v>1.7</v>
      </c>
      <c r="BV35" s="128">
        <v>1.71</v>
      </c>
      <c r="BW35" s="128">
        <v>1.72</v>
      </c>
      <c r="BX35" s="128">
        <v>1.72</v>
      </c>
      <c r="BY35" s="128">
        <v>1.73</v>
      </c>
      <c r="BZ35" s="128">
        <v>1.74</v>
      </c>
      <c r="CA35" s="128">
        <v>1.75</v>
      </c>
      <c r="CB35" s="128">
        <v>1.76</v>
      </c>
      <c r="CC35" s="128">
        <v>1.76</v>
      </c>
      <c r="CD35" s="128">
        <v>1.77</v>
      </c>
      <c r="CE35" s="128">
        <v>1.78</v>
      </c>
      <c r="CF35" s="128">
        <v>1.79</v>
      </c>
      <c r="CG35" s="128">
        <v>1.8</v>
      </c>
      <c r="CH35" s="128">
        <v>1.81</v>
      </c>
      <c r="CI35" s="128">
        <v>1.82</v>
      </c>
      <c r="CJ35" s="128">
        <v>1.83</v>
      </c>
      <c r="CK35" s="128">
        <v>1.84</v>
      </c>
      <c r="CL35" s="128">
        <v>1.85</v>
      </c>
      <c r="CM35" s="128">
        <v>1.86</v>
      </c>
      <c r="CN35" s="128">
        <v>1.87</v>
      </c>
      <c r="CO35" s="128">
        <v>1.88</v>
      </c>
      <c r="CP35" s="128">
        <v>1.89</v>
      </c>
      <c r="CQ35" s="128">
        <v>1.91</v>
      </c>
      <c r="CR35" s="128">
        <v>1.92</v>
      </c>
      <c r="CS35" s="128">
        <v>1.93</v>
      </c>
      <c r="CT35" s="128">
        <v>1.94</v>
      </c>
      <c r="CU35" s="128">
        <v>1.96</v>
      </c>
      <c r="CV35" s="128">
        <v>1.97</v>
      </c>
      <c r="CW35" s="128">
        <v>1.99</v>
      </c>
      <c r="CX35" s="128">
        <v>2</v>
      </c>
      <c r="CZ35" s="126">
        <f>SUMIF(MatrixF2[[1]:[2]],MatrixF2[[#This Row],[Столбец1]])/MatrixF2[[#This Row],[Столбец1]]</f>
        <v>111.99999999999967</v>
      </c>
    </row>
    <row r="36" spans="1:104" ht="21" customHeight="1" x14ac:dyDescent="0.25">
      <c r="A36" s="127">
        <v>1.33</v>
      </c>
      <c r="B36" s="128">
        <v>1</v>
      </c>
      <c r="C36" s="128">
        <v>1.01</v>
      </c>
      <c r="D36" s="128">
        <v>1.03</v>
      </c>
      <c r="E36" s="128">
        <v>1.04</v>
      </c>
      <c r="F36" s="128">
        <v>1.06</v>
      </c>
      <c r="G36" s="128">
        <v>1.07</v>
      </c>
      <c r="H36" s="128">
        <v>1.08</v>
      </c>
      <c r="I36" s="128">
        <v>1.0900000000000001</v>
      </c>
      <c r="J36" s="128">
        <v>1.1100000000000001</v>
      </c>
      <c r="K36" s="128">
        <v>1.1200000000000001</v>
      </c>
      <c r="L36" s="128">
        <v>1.1299999999999999</v>
      </c>
      <c r="M36" s="128">
        <v>1.1399999999999999</v>
      </c>
      <c r="N36" s="128">
        <v>1.1499999999999999</v>
      </c>
      <c r="O36" s="128">
        <v>1.1599999999999999</v>
      </c>
      <c r="P36" s="128">
        <v>1.17</v>
      </c>
      <c r="Q36" s="128">
        <v>1.18</v>
      </c>
      <c r="R36" s="128">
        <v>1.19</v>
      </c>
      <c r="S36" s="128">
        <v>1.2</v>
      </c>
      <c r="T36" s="128">
        <v>1.21</v>
      </c>
      <c r="U36" s="128">
        <v>1.22</v>
      </c>
      <c r="V36" s="128">
        <v>1.23</v>
      </c>
      <c r="W36" s="128">
        <v>1.24</v>
      </c>
      <c r="X36" s="128">
        <v>1.25</v>
      </c>
      <c r="Y36" s="128">
        <v>1.26</v>
      </c>
      <c r="Z36" s="128">
        <v>1.26</v>
      </c>
      <c r="AA36" s="128">
        <v>1.27</v>
      </c>
      <c r="AB36" s="128">
        <v>1.28</v>
      </c>
      <c r="AC36" s="128">
        <v>1.29</v>
      </c>
      <c r="AD36" s="128">
        <v>1.29</v>
      </c>
      <c r="AE36" s="128">
        <v>1.3</v>
      </c>
      <c r="AF36" s="128">
        <v>1.31</v>
      </c>
      <c r="AG36" s="128">
        <v>1.32</v>
      </c>
      <c r="AH36" s="128">
        <v>1.32</v>
      </c>
      <c r="AI36" s="128">
        <v>1.33</v>
      </c>
      <c r="AJ36" s="128">
        <v>1.34</v>
      </c>
      <c r="AK36" s="128">
        <v>1.35</v>
      </c>
      <c r="AL36" s="128">
        <v>1.36</v>
      </c>
      <c r="AM36" s="128">
        <v>1.37</v>
      </c>
      <c r="AN36" s="128">
        <v>1.38</v>
      </c>
      <c r="AO36" s="128">
        <v>1.39</v>
      </c>
      <c r="AP36" s="128">
        <v>1.4</v>
      </c>
      <c r="AQ36" s="128">
        <v>1.41</v>
      </c>
      <c r="AR36" s="128">
        <v>1.42</v>
      </c>
      <c r="AS36" s="128">
        <v>1.43</v>
      </c>
      <c r="AT36" s="128">
        <v>1.44</v>
      </c>
      <c r="AU36" s="128">
        <v>1.45</v>
      </c>
      <c r="AV36" s="128">
        <v>1.46</v>
      </c>
      <c r="AW36" s="128">
        <v>1.47</v>
      </c>
      <c r="AX36" s="128">
        <v>1.48</v>
      </c>
      <c r="AY36" s="128">
        <v>1.49</v>
      </c>
      <c r="AZ36" s="128">
        <v>1.5</v>
      </c>
      <c r="BA36" s="128">
        <v>1.51</v>
      </c>
      <c r="BB36" s="128">
        <v>1.52</v>
      </c>
      <c r="BC36" s="128">
        <v>1.53</v>
      </c>
      <c r="BD36" s="128">
        <v>1.54</v>
      </c>
      <c r="BE36" s="128">
        <v>1.55</v>
      </c>
      <c r="BF36" s="128">
        <v>1.56</v>
      </c>
      <c r="BG36" s="128">
        <v>1.57</v>
      </c>
      <c r="BH36" s="128">
        <v>1.58</v>
      </c>
      <c r="BI36" s="128">
        <v>1.59</v>
      </c>
      <c r="BJ36" s="128">
        <v>1.6</v>
      </c>
      <c r="BK36" s="128">
        <v>1.61</v>
      </c>
      <c r="BL36" s="128">
        <v>1.62</v>
      </c>
      <c r="BM36" s="128">
        <v>1.63</v>
      </c>
      <c r="BN36" s="128">
        <v>1.64</v>
      </c>
      <c r="BO36" s="128">
        <v>1.65</v>
      </c>
      <c r="BP36" s="128">
        <v>1.66</v>
      </c>
      <c r="BQ36" s="128">
        <v>1.67</v>
      </c>
      <c r="BR36" s="128">
        <v>1.68</v>
      </c>
      <c r="BS36" s="128">
        <v>1.68</v>
      </c>
      <c r="BT36" s="128">
        <v>1.69</v>
      </c>
      <c r="BU36" s="128">
        <v>1.7</v>
      </c>
      <c r="BV36" s="128">
        <v>1.71</v>
      </c>
      <c r="BW36" s="128">
        <v>1.71</v>
      </c>
      <c r="BX36" s="128">
        <v>1.72</v>
      </c>
      <c r="BY36" s="128">
        <v>1.73</v>
      </c>
      <c r="BZ36" s="128">
        <v>1.74</v>
      </c>
      <c r="CA36" s="128">
        <v>1.74</v>
      </c>
      <c r="CB36" s="128">
        <v>1.75</v>
      </c>
      <c r="CC36" s="128">
        <v>1.76</v>
      </c>
      <c r="CD36" s="128">
        <v>1.77</v>
      </c>
      <c r="CE36" s="128">
        <v>1.78</v>
      </c>
      <c r="CF36" s="128">
        <v>1.79</v>
      </c>
      <c r="CG36" s="128">
        <v>1.8</v>
      </c>
      <c r="CH36" s="128">
        <v>1.81</v>
      </c>
      <c r="CI36" s="128">
        <v>1.82</v>
      </c>
      <c r="CJ36" s="128">
        <v>1.83</v>
      </c>
      <c r="CK36" s="128">
        <v>1.84</v>
      </c>
      <c r="CL36" s="128">
        <v>1.85</v>
      </c>
      <c r="CM36" s="128">
        <v>1.86</v>
      </c>
      <c r="CN36" s="128">
        <v>1.87</v>
      </c>
      <c r="CO36" s="128">
        <v>1.88</v>
      </c>
      <c r="CP36" s="128">
        <v>1.89</v>
      </c>
      <c r="CQ36" s="128">
        <v>1.91</v>
      </c>
      <c r="CR36" s="128">
        <v>1.92</v>
      </c>
      <c r="CS36" s="128">
        <v>1.93</v>
      </c>
      <c r="CT36" s="128">
        <v>1.94</v>
      </c>
      <c r="CU36" s="128">
        <v>1.96</v>
      </c>
      <c r="CV36" s="128">
        <v>1.97</v>
      </c>
      <c r="CW36" s="128">
        <v>1.99</v>
      </c>
      <c r="CX36" s="128">
        <v>2</v>
      </c>
      <c r="CZ36" s="126">
        <f>SUMIF(MatrixF2[[1]:[2]],MatrixF2[[#This Row],[Столбец1]])/MatrixF2[[#This Row],[Столбец1]]</f>
        <v>113.00000000000006</v>
      </c>
    </row>
    <row r="37" spans="1:104" ht="21" customHeight="1" x14ac:dyDescent="0.25">
      <c r="A37" s="127">
        <v>1.34</v>
      </c>
      <c r="B37" s="128">
        <v>1</v>
      </c>
      <c r="C37" s="128">
        <v>1.01</v>
      </c>
      <c r="D37" s="128">
        <v>1.03</v>
      </c>
      <c r="E37" s="128">
        <v>1.04</v>
      </c>
      <c r="F37" s="128">
        <v>1.06</v>
      </c>
      <c r="G37" s="128">
        <v>1.07</v>
      </c>
      <c r="H37" s="128">
        <v>1.08</v>
      </c>
      <c r="I37" s="128">
        <v>1.1000000000000001</v>
      </c>
      <c r="J37" s="128">
        <v>1.1100000000000001</v>
      </c>
      <c r="K37" s="128">
        <v>1.1200000000000001</v>
      </c>
      <c r="L37" s="128">
        <v>1.1299999999999999</v>
      </c>
      <c r="M37" s="128">
        <v>1.1399999999999999</v>
      </c>
      <c r="N37" s="128">
        <v>1.1499999999999999</v>
      </c>
      <c r="O37" s="128">
        <v>1.1599999999999999</v>
      </c>
      <c r="P37" s="128">
        <v>1.18</v>
      </c>
      <c r="Q37" s="128">
        <v>1.19</v>
      </c>
      <c r="R37" s="128">
        <v>1.2</v>
      </c>
      <c r="S37" s="128">
        <v>1.2</v>
      </c>
      <c r="T37" s="128">
        <v>1.21</v>
      </c>
      <c r="U37" s="128">
        <v>1.22</v>
      </c>
      <c r="V37" s="128">
        <v>1.23</v>
      </c>
      <c r="W37" s="128">
        <v>1.24</v>
      </c>
      <c r="X37" s="128">
        <v>1.25</v>
      </c>
      <c r="Y37" s="128">
        <v>1.26</v>
      </c>
      <c r="Z37" s="128">
        <v>1.27</v>
      </c>
      <c r="AA37" s="128">
        <v>1.27</v>
      </c>
      <c r="AB37" s="128">
        <v>1.28</v>
      </c>
      <c r="AC37" s="128">
        <v>1.29</v>
      </c>
      <c r="AD37" s="128">
        <v>1.3</v>
      </c>
      <c r="AE37" s="128">
        <v>1.31</v>
      </c>
      <c r="AF37" s="128">
        <v>1.31</v>
      </c>
      <c r="AG37" s="128">
        <v>1.32</v>
      </c>
      <c r="AH37" s="128">
        <v>1.33</v>
      </c>
      <c r="AI37" s="128">
        <v>1.33</v>
      </c>
      <c r="AJ37" s="128">
        <v>1.34</v>
      </c>
      <c r="AK37" s="128">
        <v>1.35</v>
      </c>
      <c r="AL37" s="128">
        <v>1.36</v>
      </c>
      <c r="AM37" s="128">
        <v>1.37</v>
      </c>
      <c r="AN37" s="128">
        <v>1.38</v>
      </c>
      <c r="AO37" s="128">
        <v>1.39</v>
      </c>
      <c r="AP37" s="128">
        <v>1.4</v>
      </c>
      <c r="AQ37" s="128">
        <v>1.41</v>
      </c>
      <c r="AR37" s="128">
        <v>1.42</v>
      </c>
      <c r="AS37" s="128">
        <v>1.43</v>
      </c>
      <c r="AT37" s="128">
        <v>1.44</v>
      </c>
      <c r="AU37" s="128">
        <v>1.45</v>
      </c>
      <c r="AV37" s="128">
        <v>1.46</v>
      </c>
      <c r="AW37" s="128">
        <v>1.47</v>
      </c>
      <c r="AX37" s="128">
        <v>1.48</v>
      </c>
      <c r="AY37" s="128">
        <v>1.49</v>
      </c>
      <c r="AZ37" s="128">
        <v>1.5</v>
      </c>
      <c r="BA37" s="128">
        <v>1.51</v>
      </c>
      <c r="BB37" s="128">
        <v>1.52</v>
      </c>
      <c r="BC37" s="128">
        <v>1.53</v>
      </c>
      <c r="BD37" s="128">
        <v>1.54</v>
      </c>
      <c r="BE37" s="128">
        <v>1.55</v>
      </c>
      <c r="BF37" s="128">
        <v>1.56</v>
      </c>
      <c r="BG37" s="128">
        <v>1.57</v>
      </c>
      <c r="BH37" s="128">
        <v>1.58</v>
      </c>
      <c r="BI37" s="128">
        <v>1.59</v>
      </c>
      <c r="BJ37" s="128">
        <v>1.6</v>
      </c>
      <c r="BK37" s="128">
        <v>1.61</v>
      </c>
      <c r="BL37" s="128">
        <v>1.62</v>
      </c>
      <c r="BM37" s="128">
        <v>1.63</v>
      </c>
      <c r="BN37" s="128">
        <v>1.64</v>
      </c>
      <c r="BO37" s="128">
        <v>1.65</v>
      </c>
      <c r="BP37" s="128">
        <v>1.66</v>
      </c>
      <c r="BQ37" s="128">
        <v>1.67</v>
      </c>
      <c r="BR37" s="128">
        <v>1.67</v>
      </c>
      <c r="BS37" s="128">
        <v>1.68</v>
      </c>
      <c r="BT37" s="128">
        <v>1.69</v>
      </c>
      <c r="BU37" s="128">
        <v>1.69</v>
      </c>
      <c r="BV37" s="128">
        <v>1.7</v>
      </c>
      <c r="BW37" s="128">
        <v>1.71</v>
      </c>
      <c r="BX37" s="128">
        <v>1.72</v>
      </c>
      <c r="BY37" s="128">
        <v>1.73</v>
      </c>
      <c r="BZ37" s="128">
        <v>1.73</v>
      </c>
      <c r="CA37" s="128">
        <v>1.74</v>
      </c>
      <c r="CB37" s="128">
        <v>1.75</v>
      </c>
      <c r="CC37" s="128">
        <v>1.76</v>
      </c>
      <c r="CD37" s="128">
        <v>1.77</v>
      </c>
      <c r="CE37" s="128">
        <v>1.78</v>
      </c>
      <c r="CF37" s="128">
        <v>1.79</v>
      </c>
      <c r="CG37" s="128">
        <v>1.8</v>
      </c>
      <c r="CH37" s="128">
        <v>1.8</v>
      </c>
      <c r="CI37" s="128">
        <v>1.81</v>
      </c>
      <c r="CJ37" s="128">
        <v>1.82</v>
      </c>
      <c r="CK37" s="128">
        <v>1.84</v>
      </c>
      <c r="CL37" s="128">
        <v>1.85</v>
      </c>
      <c r="CM37" s="128">
        <v>1.86</v>
      </c>
      <c r="CN37" s="128">
        <v>1.87</v>
      </c>
      <c r="CO37" s="128">
        <v>1.88</v>
      </c>
      <c r="CP37" s="128">
        <v>1.89</v>
      </c>
      <c r="CQ37" s="128">
        <v>1.9</v>
      </c>
      <c r="CR37" s="128">
        <v>1.92</v>
      </c>
      <c r="CS37" s="128">
        <v>1.93</v>
      </c>
      <c r="CT37" s="128">
        <v>1.94</v>
      </c>
      <c r="CU37" s="128">
        <v>1.96</v>
      </c>
      <c r="CV37" s="128">
        <v>1.97</v>
      </c>
      <c r="CW37" s="128">
        <v>1.99</v>
      </c>
      <c r="CX37" s="128">
        <v>2</v>
      </c>
      <c r="CZ37" s="126">
        <f>SUMIF(MatrixF2[[1]:[2]],MatrixF2[[#This Row],[Столбец1]])/MatrixF2[[#This Row],[Столбец1]]</f>
        <v>111.00000000000021</v>
      </c>
    </row>
    <row r="38" spans="1:104" ht="21" customHeight="1" x14ac:dyDescent="0.25">
      <c r="A38" s="127">
        <v>1.35</v>
      </c>
      <c r="B38" s="128">
        <v>1</v>
      </c>
      <c r="C38" s="128">
        <v>1.02</v>
      </c>
      <c r="D38" s="128">
        <v>1.03</v>
      </c>
      <c r="E38" s="128">
        <v>1.04</v>
      </c>
      <c r="F38" s="128">
        <v>1.06</v>
      </c>
      <c r="G38" s="128">
        <v>1.07</v>
      </c>
      <c r="H38" s="128">
        <v>1.08</v>
      </c>
      <c r="I38" s="128">
        <v>1.1000000000000001</v>
      </c>
      <c r="J38" s="128">
        <v>1.1100000000000001</v>
      </c>
      <c r="K38" s="128">
        <v>1.1200000000000001</v>
      </c>
      <c r="L38" s="128">
        <v>1.1299999999999999</v>
      </c>
      <c r="M38" s="128">
        <v>1.1399999999999999</v>
      </c>
      <c r="N38" s="128">
        <v>1.1599999999999999</v>
      </c>
      <c r="O38" s="128">
        <v>1.17</v>
      </c>
      <c r="P38" s="128">
        <v>1.18</v>
      </c>
      <c r="Q38" s="128">
        <v>1.19</v>
      </c>
      <c r="R38" s="128">
        <v>1.2</v>
      </c>
      <c r="S38" s="128">
        <v>1.21</v>
      </c>
      <c r="T38" s="128">
        <v>1.22</v>
      </c>
      <c r="U38" s="128">
        <v>1.23</v>
      </c>
      <c r="V38" s="128">
        <v>1.24</v>
      </c>
      <c r="W38" s="128">
        <v>1.24</v>
      </c>
      <c r="X38" s="128">
        <v>1.25</v>
      </c>
      <c r="Y38" s="128">
        <v>1.26</v>
      </c>
      <c r="Z38" s="128">
        <v>1.27</v>
      </c>
      <c r="AA38" s="128">
        <v>1.28</v>
      </c>
      <c r="AB38" s="128">
        <v>1.29</v>
      </c>
      <c r="AC38" s="128">
        <v>1.29</v>
      </c>
      <c r="AD38" s="128">
        <v>1.3</v>
      </c>
      <c r="AE38" s="128">
        <v>1.31</v>
      </c>
      <c r="AF38" s="128">
        <v>1.32</v>
      </c>
      <c r="AG38" s="128">
        <v>1.32</v>
      </c>
      <c r="AH38" s="128">
        <v>1.33</v>
      </c>
      <c r="AI38" s="128">
        <v>1.34</v>
      </c>
      <c r="AJ38" s="128">
        <v>1.34</v>
      </c>
      <c r="AK38" s="128">
        <v>1.35</v>
      </c>
      <c r="AL38" s="128">
        <v>1.36</v>
      </c>
      <c r="AM38" s="128">
        <v>1.37</v>
      </c>
      <c r="AN38" s="128">
        <v>1.38</v>
      </c>
      <c r="AO38" s="128">
        <v>1.39</v>
      </c>
      <c r="AP38" s="128">
        <v>1.4</v>
      </c>
      <c r="AQ38" s="128">
        <v>1.41</v>
      </c>
      <c r="AR38" s="128">
        <v>1.42</v>
      </c>
      <c r="AS38" s="128">
        <v>1.43</v>
      </c>
      <c r="AT38" s="128">
        <v>1.44</v>
      </c>
      <c r="AU38" s="128">
        <v>1.45</v>
      </c>
      <c r="AV38" s="128">
        <v>1.46</v>
      </c>
      <c r="AW38" s="128">
        <v>1.47</v>
      </c>
      <c r="AX38" s="128">
        <v>1.48</v>
      </c>
      <c r="AY38" s="128">
        <v>1.49</v>
      </c>
      <c r="AZ38" s="128">
        <v>1.5</v>
      </c>
      <c r="BA38" s="128">
        <v>1.51</v>
      </c>
      <c r="BB38" s="128">
        <v>1.52</v>
      </c>
      <c r="BC38" s="128">
        <v>1.53</v>
      </c>
      <c r="BD38" s="128">
        <v>1.54</v>
      </c>
      <c r="BE38" s="128">
        <v>1.55</v>
      </c>
      <c r="BF38" s="128">
        <v>1.56</v>
      </c>
      <c r="BG38" s="128">
        <v>1.57</v>
      </c>
      <c r="BH38" s="128">
        <v>1.58</v>
      </c>
      <c r="BI38" s="128">
        <v>1.59</v>
      </c>
      <c r="BJ38" s="128">
        <v>1.6</v>
      </c>
      <c r="BK38" s="128">
        <v>1.61</v>
      </c>
      <c r="BL38" s="128">
        <v>1.62</v>
      </c>
      <c r="BM38" s="128">
        <v>1.63</v>
      </c>
      <c r="BN38" s="128">
        <v>1.64</v>
      </c>
      <c r="BO38" s="128">
        <v>1.65</v>
      </c>
      <c r="BP38" s="128">
        <v>1.66</v>
      </c>
      <c r="BQ38" s="128">
        <v>1.66</v>
      </c>
      <c r="BR38" s="128">
        <v>1.67</v>
      </c>
      <c r="BS38" s="128">
        <v>1.68</v>
      </c>
      <c r="BT38" s="128">
        <v>1.68</v>
      </c>
      <c r="BU38" s="128">
        <v>1.69</v>
      </c>
      <c r="BV38" s="128">
        <v>1.7</v>
      </c>
      <c r="BW38" s="128">
        <v>1.71</v>
      </c>
      <c r="BX38" s="128">
        <v>1.71</v>
      </c>
      <c r="BY38" s="128">
        <v>1.72</v>
      </c>
      <c r="BZ38" s="128">
        <v>1.73</v>
      </c>
      <c r="CA38" s="128">
        <v>1.74</v>
      </c>
      <c r="CB38" s="128">
        <v>1.75</v>
      </c>
      <c r="CC38" s="128">
        <v>1.76</v>
      </c>
      <c r="CD38" s="128">
        <v>1.76</v>
      </c>
      <c r="CE38" s="128">
        <v>1.77</v>
      </c>
      <c r="CF38" s="128">
        <v>1.78</v>
      </c>
      <c r="CG38" s="128">
        <v>1.79</v>
      </c>
      <c r="CH38" s="128">
        <v>1.8</v>
      </c>
      <c r="CI38" s="128">
        <v>1.81</v>
      </c>
      <c r="CJ38" s="128">
        <v>1.82</v>
      </c>
      <c r="CK38" s="128">
        <v>1.83</v>
      </c>
      <c r="CL38" s="128">
        <v>1.84</v>
      </c>
      <c r="CM38" s="128">
        <v>1.86</v>
      </c>
      <c r="CN38" s="128">
        <v>1.87</v>
      </c>
      <c r="CO38" s="128">
        <v>1.88</v>
      </c>
      <c r="CP38" s="128">
        <v>1.89</v>
      </c>
      <c r="CQ38" s="128">
        <v>1.9</v>
      </c>
      <c r="CR38" s="128">
        <v>1.92</v>
      </c>
      <c r="CS38" s="128">
        <v>1.93</v>
      </c>
      <c r="CT38" s="128">
        <v>1.94</v>
      </c>
      <c r="CU38" s="128">
        <v>1.96</v>
      </c>
      <c r="CV38" s="128">
        <v>1.97</v>
      </c>
      <c r="CW38" s="128">
        <v>1.98</v>
      </c>
      <c r="CX38" s="128">
        <v>2</v>
      </c>
      <c r="CZ38" s="126">
        <f>SUMIF(MatrixF2[[1]:[2]],MatrixF2[[#This Row],[Столбец1]])/MatrixF2[[#This Row],[Столбец1]]</f>
        <v>112.99999999999974</v>
      </c>
    </row>
    <row r="39" spans="1:104" ht="21" customHeight="1" x14ac:dyDescent="0.25">
      <c r="A39" s="127">
        <v>1.36</v>
      </c>
      <c r="B39" s="128">
        <v>1</v>
      </c>
      <c r="C39" s="128">
        <v>1.02</v>
      </c>
      <c r="D39" s="128">
        <v>1.03</v>
      </c>
      <c r="E39" s="128">
        <v>1.04</v>
      </c>
      <c r="F39" s="128">
        <v>1.06</v>
      </c>
      <c r="G39" s="128">
        <v>1.07</v>
      </c>
      <c r="H39" s="128">
        <v>1.0900000000000001</v>
      </c>
      <c r="I39" s="128">
        <v>1.1000000000000001</v>
      </c>
      <c r="J39" s="128">
        <v>1.1100000000000001</v>
      </c>
      <c r="K39" s="128">
        <v>1.1200000000000001</v>
      </c>
      <c r="L39" s="128">
        <v>1.1399999999999999</v>
      </c>
      <c r="M39" s="128">
        <v>1.1499999999999999</v>
      </c>
      <c r="N39" s="128">
        <v>1.1599999999999999</v>
      </c>
      <c r="O39" s="128">
        <v>1.17</v>
      </c>
      <c r="P39" s="128">
        <v>1.18</v>
      </c>
      <c r="Q39" s="128">
        <v>1.19</v>
      </c>
      <c r="R39" s="128">
        <v>1.2</v>
      </c>
      <c r="S39" s="128">
        <v>1.21</v>
      </c>
      <c r="T39" s="128">
        <v>1.22</v>
      </c>
      <c r="U39" s="128">
        <v>1.23</v>
      </c>
      <c r="V39" s="128">
        <v>1.24</v>
      </c>
      <c r="W39" s="128">
        <v>1.25</v>
      </c>
      <c r="X39" s="128">
        <v>1.26</v>
      </c>
      <c r="Y39" s="128">
        <v>1.26</v>
      </c>
      <c r="Z39" s="128">
        <v>1.27</v>
      </c>
      <c r="AA39" s="128">
        <v>1.28</v>
      </c>
      <c r="AB39" s="128">
        <v>1.29</v>
      </c>
      <c r="AC39" s="128">
        <v>1.3</v>
      </c>
      <c r="AD39" s="128">
        <v>1.3</v>
      </c>
      <c r="AE39" s="128">
        <v>1.31</v>
      </c>
      <c r="AF39" s="128">
        <v>1.32</v>
      </c>
      <c r="AG39" s="128">
        <v>1.33</v>
      </c>
      <c r="AH39" s="128">
        <v>1.33</v>
      </c>
      <c r="AI39" s="128">
        <v>1.34</v>
      </c>
      <c r="AJ39" s="128">
        <v>1.35</v>
      </c>
      <c r="AK39" s="128">
        <v>1.35</v>
      </c>
      <c r="AL39" s="128">
        <v>1.36</v>
      </c>
      <c r="AM39" s="128">
        <v>1.37</v>
      </c>
      <c r="AN39" s="128">
        <v>1.38</v>
      </c>
      <c r="AO39" s="128">
        <v>1.39</v>
      </c>
      <c r="AP39" s="128">
        <v>1.4</v>
      </c>
      <c r="AQ39" s="128">
        <v>1.41</v>
      </c>
      <c r="AR39" s="128">
        <v>1.42</v>
      </c>
      <c r="AS39" s="128">
        <v>1.43</v>
      </c>
      <c r="AT39" s="128">
        <v>1.44</v>
      </c>
      <c r="AU39" s="128">
        <v>1.45</v>
      </c>
      <c r="AV39" s="128">
        <v>1.46</v>
      </c>
      <c r="AW39" s="128">
        <v>1.47</v>
      </c>
      <c r="AX39" s="128">
        <v>1.48</v>
      </c>
      <c r="AY39" s="128">
        <v>1.49</v>
      </c>
      <c r="AZ39" s="128">
        <v>1.5</v>
      </c>
      <c r="BA39" s="128">
        <v>1.51</v>
      </c>
      <c r="BB39" s="128">
        <v>1.52</v>
      </c>
      <c r="BC39" s="128">
        <v>1.53</v>
      </c>
      <c r="BD39" s="128">
        <v>1.54</v>
      </c>
      <c r="BE39" s="128">
        <v>1.55</v>
      </c>
      <c r="BF39" s="128">
        <v>1.56</v>
      </c>
      <c r="BG39" s="128">
        <v>1.57</v>
      </c>
      <c r="BH39" s="128">
        <v>1.58</v>
      </c>
      <c r="BI39" s="128">
        <v>1.59</v>
      </c>
      <c r="BJ39" s="128">
        <v>1.6</v>
      </c>
      <c r="BK39" s="128">
        <v>1.61</v>
      </c>
      <c r="BL39" s="128">
        <v>1.62</v>
      </c>
      <c r="BM39" s="128">
        <v>1.63</v>
      </c>
      <c r="BN39" s="128">
        <v>1.64</v>
      </c>
      <c r="BO39" s="128">
        <v>1.65</v>
      </c>
      <c r="BP39" s="128">
        <v>1.65</v>
      </c>
      <c r="BQ39" s="128">
        <v>1.66</v>
      </c>
      <c r="BR39" s="128">
        <v>1.67</v>
      </c>
      <c r="BS39" s="128">
        <v>1.67</v>
      </c>
      <c r="BT39" s="128">
        <v>1.68</v>
      </c>
      <c r="BU39" s="128">
        <v>1.69</v>
      </c>
      <c r="BV39" s="128">
        <v>1.7</v>
      </c>
      <c r="BW39" s="128">
        <v>1.7</v>
      </c>
      <c r="BX39" s="128">
        <v>1.71</v>
      </c>
      <c r="BY39" s="128">
        <v>1.72</v>
      </c>
      <c r="BZ39" s="128">
        <v>1.73</v>
      </c>
      <c r="CA39" s="128">
        <v>1.74</v>
      </c>
      <c r="CB39" s="128">
        <v>1.74</v>
      </c>
      <c r="CC39" s="128">
        <v>1.75</v>
      </c>
      <c r="CD39" s="128">
        <v>1.76</v>
      </c>
      <c r="CE39" s="128">
        <v>1.77</v>
      </c>
      <c r="CF39" s="128">
        <v>1.78</v>
      </c>
      <c r="CG39" s="128">
        <v>1.79</v>
      </c>
      <c r="CH39" s="128">
        <v>1.8</v>
      </c>
      <c r="CI39" s="128">
        <v>1.81</v>
      </c>
      <c r="CJ39" s="128">
        <v>1.82</v>
      </c>
      <c r="CK39" s="128">
        <v>1.83</v>
      </c>
      <c r="CL39" s="128">
        <v>1.84</v>
      </c>
      <c r="CM39" s="128">
        <v>1.85</v>
      </c>
      <c r="CN39" s="128">
        <v>1.86</v>
      </c>
      <c r="CO39" s="128">
        <v>1.88</v>
      </c>
      <c r="CP39" s="128">
        <v>1.89</v>
      </c>
      <c r="CQ39" s="128">
        <v>1.9</v>
      </c>
      <c r="CR39" s="128">
        <v>1.91</v>
      </c>
      <c r="CS39" s="128">
        <v>1.93</v>
      </c>
      <c r="CT39" s="128">
        <v>1.94</v>
      </c>
      <c r="CU39" s="128">
        <v>1.96</v>
      </c>
      <c r="CV39" s="128">
        <v>1.97</v>
      </c>
      <c r="CW39" s="128">
        <v>1.98</v>
      </c>
      <c r="CX39" s="128">
        <v>2</v>
      </c>
      <c r="CZ39" s="126">
        <f>SUMIF(MatrixF2[[1]:[2]],MatrixF2[[#This Row],[Столбец1]])/MatrixF2[[#This Row],[Столбец1]]</f>
        <v>111.00000000000013</v>
      </c>
    </row>
    <row r="40" spans="1:104" ht="21" customHeight="1" x14ac:dyDescent="0.25">
      <c r="A40" s="127">
        <v>1.37</v>
      </c>
      <c r="B40" s="128">
        <v>1</v>
      </c>
      <c r="C40" s="128">
        <v>1.02</v>
      </c>
      <c r="D40" s="128">
        <v>1.03</v>
      </c>
      <c r="E40" s="128">
        <v>1.05</v>
      </c>
      <c r="F40" s="128">
        <v>1.06</v>
      </c>
      <c r="G40" s="128">
        <v>1.07</v>
      </c>
      <c r="H40" s="128">
        <v>1.0900000000000001</v>
      </c>
      <c r="I40" s="128">
        <v>1.1000000000000001</v>
      </c>
      <c r="J40" s="128">
        <v>1.1100000000000001</v>
      </c>
      <c r="K40" s="128">
        <v>1.1200000000000001</v>
      </c>
      <c r="L40" s="128">
        <v>1.1399999999999999</v>
      </c>
      <c r="M40" s="128">
        <v>1.1499999999999999</v>
      </c>
      <c r="N40" s="128">
        <v>1.1599999999999999</v>
      </c>
      <c r="O40" s="128">
        <v>1.17</v>
      </c>
      <c r="P40" s="128">
        <v>1.18</v>
      </c>
      <c r="Q40" s="128">
        <v>1.19</v>
      </c>
      <c r="R40" s="128">
        <v>1.2</v>
      </c>
      <c r="S40" s="128">
        <v>1.21</v>
      </c>
      <c r="T40" s="128">
        <v>1.22</v>
      </c>
      <c r="U40" s="128">
        <v>1.23</v>
      </c>
      <c r="V40" s="128">
        <v>1.24</v>
      </c>
      <c r="W40" s="128">
        <v>1.25</v>
      </c>
      <c r="X40" s="128">
        <v>1.26</v>
      </c>
      <c r="Y40" s="128">
        <v>1.27</v>
      </c>
      <c r="Z40" s="128">
        <v>1.28</v>
      </c>
      <c r="AA40" s="128">
        <v>1.28</v>
      </c>
      <c r="AB40" s="128">
        <v>1.29</v>
      </c>
      <c r="AC40" s="128">
        <v>1.3</v>
      </c>
      <c r="AD40" s="128">
        <v>1.31</v>
      </c>
      <c r="AE40" s="128">
        <v>1.32</v>
      </c>
      <c r="AF40" s="128">
        <v>1.32</v>
      </c>
      <c r="AG40" s="128">
        <v>1.33</v>
      </c>
      <c r="AH40" s="128">
        <v>1.34</v>
      </c>
      <c r="AI40" s="128">
        <v>1.34</v>
      </c>
      <c r="AJ40" s="128">
        <v>1.35</v>
      </c>
      <c r="AK40" s="128">
        <v>1.36</v>
      </c>
      <c r="AL40" s="128">
        <v>1.36</v>
      </c>
      <c r="AM40" s="128">
        <v>1.37</v>
      </c>
      <c r="AN40" s="128">
        <v>1.38</v>
      </c>
      <c r="AO40" s="128">
        <v>1.39</v>
      </c>
      <c r="AP40" s="128">
        <v>1.4</v>
      </c>
      <c r="AQ40" s="128">
        <v>1.41</v>
      </c>
      <c r="AR40" s="128">
        <v>1.42</v>
      </c>
      <c r="AS40" s="128">
        <v>1.43</v>
      </c>
      <c r="AT40" s="128">
        <v>1.44</v>
      </c>
      <c r="AU40" s="128">
        <v>1.45</v>
      </c>
      <c r="AV40" s="128">
        <v>1.46</v>
      </c>
      <c r="AW40" s="128">
        <v>1.47</v>
      </c>
      <c r="AX40" s="128">
        <v>1.48</v>
      </c>
      <c r="AY40" s="128">
        <v>1.49</v>
      </c>
      <c r="AZ40" s="128">
        <v>1.5</v>
      </c>
      <c r="BA40" s="128">
        <v>1.51</v>
      </c>
      <c r="BB40" s="128">
        <v>1.52</v>
      </c>
      <c r="BC40" s="128">
        <v>1.53</v>
      </c>
      <c r="BD40" s="128">
        <v>1.54</v>
      </c>
      <c r="BE40" s="128">
        <v>1.55</v>
      </c>
      <c r="BF40" s="128">
        <v>1.56</v>
      </c>
      <c r="BG40" s="128">
        <v>1.57</v>
      </c>
      <c r="BH40" s="128">
        <v>1.58</v>
      </c>
      <c r="BI40" s="128">
        <v>1.59</v>
      </c>
      <c r="BJ40" s="128">
        <v>1.6</v>
      </c>
      <c r="BK40" s="128">
        <v>1.61</v>
      </c>
      <c r="BL40" s="128">
        <v>1.62</v>
      </c>
      <c r="BM40" s="128">
        <v>1.63</v>
      </c>
      <c r="BN40" s="128">
        <v>1.64</v>
      </c>
      <c r="BO40" s="128">
        <v>1.64</v>
      </c>
      <c r="BP40" s="128">
        <v>1.65</v>
      </c>
      <c r="BQ40" s="128">
        <v>1.66</v>
      </c>
      <c r="BR40" s="128">
        <v>1.66</v>
      </c>
      <c r="BS40" s="128">
        <v>1.67</v>
      </c>
      <c r="BT40" s="128">
        <v>1.68</v>
      </c>
      <c r="BU40" s="128">
        <v>1.68</v>
      </c>
      <c r="BV40" s="128">
        <v>1.69</v>
      </c>
      <c r="BW40" s="128">
        <v>1.7</v>
      </c>
      <c r="BX40" s="128">
        <v>1.71</v>
      </c>
      <c r="BY40" s="128">
        <v>1.72</v>
      </c>
      <c r="BZ40" s="128">
        <v>1.72</v>
      </c>
      <c r="CA40" s="128">
        <v>1.73</v>
      </c>
      <c r="CB40" s="128">
        <v>1.74</v>
      </c>
      <c r="CC40" s="128">
        <v>1.75</v>
      </c>
      <c r="CD40" s="128">
        <v>1.76</v>
      </c>
      <c r="CE40" s="128">
        <v>1.77</v>
      </c>
      <c r="CF40" s="128">
        <v>1.78</v>
      </c>
      <c r="CG40" s="128">
        <v>1.79</v>
      </c>
      <c r="CH40" s="128">
        <v>1.8</v>
      </c>
      <c r="CI40" s="128">
        <v>1.81</v>
      </c>
      <c r="CJ40" s="128">
        <v>1.82</v>
      </c>
      <c r="CK40" s="128">
        <v>1.83</v>
      </c>
      <c r="CL40" s="128">
        <v>1.84</v>
      </c>
      <c r="CM40" s="128">
        <v>1.85</v>
      </c>
      <c r="CN40" s="128">
        <v>1.86</v>
      </c>
      <c r="CO40" s="128">
        <v>1.88</v>
      </c>
      <c r="CP40" s="128">
        <v>1.89</v>
      </c>
      <c r="CQ40" s="128">
        <v>1.9</v>
      </c>
      <c r="CR40" s="128">
        <v>1.91</v>
      </c>
      <c r="CS40" s="128">
        <v>1.93</v>
      </c>
      <c r="CT40" s="128">
        <v>1.94</v>
      </c>
      <c r="CU40" s="128">
        <v>1.95</v>
      </c>
      <c r="CV40" s="128">
        <v>1.97</v>
      </c>
      <c r="CW40" s="128">
        <v>1.98</v>
      </c>
      <c r="CX40" s="128">
        <v>2</v>
      </c>
      <c r="CZ40" s="126">
        <f>SUMIF(MatrixF2[[1]:[2]],MatrixF2[[#This Row],[Столбец1]])/MatrixF2[[#This Row],[Столбец1]]</f>
        <v>109.00000000000017</v>
      </c>
    </row>
    <row r="41" spans="1:104" ht="21" customHeight="1" x14ac:dyDescent="0.25">
      <c r="A41" s="127">
        <v>1.38</v>
      </c>
      <c r="B41" s="128">
        <v>1</v>
      </c>
      <c r="C41" s="128">
        <v>1.02</v>
      </c>
      <c r="D41" s="128">
        <v>1.03</v>
      </c>
      <c r="E41" s="128">
        <v>1.05</v>
      </c>
      <c r="F41" s="128">
        <v>1.06</v>
      </c>
      <c r="G41" s="128">
        <v>1.07</v>
      </c>
      <c r="H41" s="128">
        <v>1.0900000000000001</v>
      </c>
      <c r="I41" s="128">
        <v>1.1000000000000001</v>
      </c>
      <c r="J41" s="128">
        <v>1.1100000000000001</v>
      </c>
      <c r="K41" s="128">
        <v>1.1299999999999999</v>
      </c>
      <c r="L41" s="128">
        <v>1.1399999999999999</v>
      </c>
      <c r="M41" s="128">
        <v>1.1499999999999999</v>
      </c>
      <c r="N41" s="128">
        <v>1.1599999999999999</v>
      </c>
      <c r="O41" s="128">
        <v>1.17</v>
      </c>
      <c r="P41" s="128">
        <v>1.18</v>
      </c>
      <c r="Q41" s="128">
        <v>1.19</v>
      </c>
      <c r="R41" s="128">
        <v>1.21</v>
      </c>
      <c r="S41" s="128">
        <v>1.22</v>
      </c>
      <c r="T41" s="128">
        <v>1.22</v>
      </c>
      <c r="U41" s="128">
        <v>1.23</v>
      </c>
      <c r="V41" s="128">
        <v>1.24</v>
      </c>
      <c r="W41" s="128">
        <v>1.25</v>
      </c>
      <c r="X41" s="128">
        <v>1.26</v>
      </c>
      <c r="Y41" s="128">
        <v>1.27</v>
      </c>
      <c r="Z41" s="128">
        <v>1.28</v>
      </c>
      <c r="AA41" s="128">
        <v>1.29</v>
      </c>
      <c r="AB41" s="128">
        <v>1.3</v>
      </c>
      <c r="AC41" s="128">
        <v>1.3</v>
      </c>
      <c r="AD41" s="128">
        <v>1.31</v>
      </c>
      <c r="AE41" s="128">
        <v>1.32</v>
      </c>
      <c r="AF41" s="128">
        <v>1.33</v>
      </c>
      <c r="AG41" s="128">
        <v>1.33</v>
      </c>
      <c r="AH41" s="128">
        <v>1.34</v>
      </c>
      <c r="AI41" s="128">
        <v>1.35</v>
      </c>
      <c r="AJ41" s="128">
        <v>1.35</v>
      </c>
      <c r="AK41" s="128">
        <v>1.36</v>
      </c>
      <c r="AL41" s="128">
        <v>1.37</v>
      </c>
      <c r="AM41" s="128">
        <v>1.37</v>
      </c>
      <c r="AN41" s="128">
        <v>1.38</v>
      </c>
      <c r="AO41" s="128">
        <v>1.39</v>
      </c>
      <c r="AP41" s="128">
        <v>1.4</v>
      </c>
      <c r="AQ41" s="128">
        <v>1.41</v>
      </c>
      <c r="AR41" s="128">
        <v>1.42</v>
      </c>
      <c r="AS41" s="128">
        <v>1.43</v>
      </c>
      <c r="AT41" s="128">
        <v>1.44</v>
      </c>
      <c r="AU41" s="128">
        <v>1.45</v>
      </c>
      <c r="AV41" s="128">
        <v>1.46</v>
      </c>
      <c r="AW41" s="128">
        <v>1.47</v>
      </c>
      <c r="AX41" s="128">
        <v>1.48</v>
      </c>
      <c r="AY41" s="128">
        <v>1.49</v>
      </c>
      <c r="AZ41" s="128">
        <v>1.5</v>
      </c>
      <c r="BA41" s="128">
        <v>1.51</v>
      </c>
      <c r="BB41" s="128">
        <v>1.52</v>
      </c>
      <c r="BC41" s="128">
        <v>1.53</v>
      </c>
      <c r="BD41" s="128">
        <v>1.54</v>
      </c>
      <c r="BE41" s="128">
        <v>1.55</v>
      </c>
      <c r="BF41" s="128">
        <v>1.56</v>
      </c>
      <c r="BG41" s="128">
        <v>1.57</v>
      </c>
      <c r="BH41" s="128">
        <v>1.58</v>
      </c>
      <c r="BI41" s="128">
        <v>1.59</v>
      </c>
      <c r="BJ41" s="128">
        <v>1.6</v>
      </c>
      <c r="BK41" s="128">
        <v>1.61</v>
      </c>
      <c r="BL41" s="128">
        <v>1.62</v>
      </c>
      <c r="BM41" s="128">
        <v>1.63</v>
      </c>
      <c r="BN41" s="128">
        <v>1.63</v>
      </c>
      <c r="BO41" s="128">
        <v>1.64</v>
      </c>
      <c r="BP41" s="128">
        <v>1.65</v>
      </c>
      <c r="BQ41" s="128">
        <v>1.65</v>
      </c>
      <c r="BR41" s="128">
        <v>1.66</v>
      </c>
      <c r="BS41" s="128">
        <v>1.67</v>
      </c>
      <c r="BT41" s="128">
        <v>1.67</v>
      </c>
      <c r="BU41" s="128">
        <v>1.68</v>
      </c>
      <c r="BV41" s="128">
        <v>1.69</v>
      </c>
      <c r="BW41" s="128">
        <v>1.7</v>
      </c>
      <c r="BX41" s="128">
        <v>1.7</v>
      </c>
      <c r="BY41" s="128">
        <v>1.71</v>
      </c>
      <c r="BZ41" s="128">
        <v>1.72</v>
      </c>
      <c r="CA41" s="128">
        <v>1.73</v>
      </c>
      <c r="CB41" s="128">
        <v>1.74</v>
      </c>
      <c r="CC41" s="128">
        <v>1.75</v>
      </c>
      <c r="CD41" s="128">
        <v>1.76</v>
      </c>
      <c r="CE41" s="128">
        <v>1.77</v>
      </c>
      <c r="CF41" s="128">
        <v>1.78</v>
      </c>
      <c r="CG41" s="128">
        <v>1.78</v>
      </c>
      <c r="CH41" s="128">
        <v>1.79</v>
      </c>
      <c r="CI41" s="128">
        <v>1.81</v>
      </c>
      <c r="CJ41" s="128">
        <v>1.82</v>
      </c>
      <c r="CK41" s="128">
        <v>1.83</v>
      </c>
      <c r="CL41" s="128">
        <v>1.84</v>
      </c>
      <c r="CM41" s="128">
        <v>1.85</v>
      </c>
      <c r="CN41" s="128">
        <v>1.86</v>
      </c>
      <c r="CO41" s="128">
        <v>1.87</v>
      </c>
      <c r="CP41" s="128">
        <v>1.89</v>
      </c>
      <c r="CQ41" s="128">
        <v>1.9</v>
      </c>
      <c r="CR41" s="128">
        <v>1.91</v>
      </c>
      <c r="CS41" s="128">
        <v>1.93</v>
      </c>
      <c r="CT41" s="128">
        <v>1.94</v>
      </c>
      <c r="CU41" s="128">
        <v>1.95</v>
      </c>
      <c r="CV41" s="128">
        <v>1.97</v>
      </c>
      <c r="CW41" s="128">
        <v>1.98</v>
      </c>
      <c r="CX41" s="128">
        <v>2</v>
      </c>
      <c r="CZ41" s="126">
        <f>SUMIF(MatrixF2[[1]:[2]],MatrixF2[[#This Row],[Столбец1]])/MatrixF2[[#This Row],[Столбец1]]</f>
        <v>113.99999999999982</v>
      </c>
    </row>
    <row r="42" spans="1:104" ht="21" customHeight="1" x14ac:dyDescent="0.25">
      <c r="A42" s="127">
        <v>1.39</v>
      </c>
      <c r="B42" s="128">
        <v>1</v>
      </c>
      <c r="C42" s="128">
        <v>1.02</v>
      </c>
      <c r="D42" s="128">
        <v>1.03</v>
      </c>
      <c r="E42" s="128">
        <v>1.05</v>
      </c>
      <c r="F42" s="128">
        <v>1.06</v>
      </c>
      <c r="G42" s="128">
        <v>1.08</v>
      </c>
      <c r="H42" s="128">
        <v>1.0900000000000001</v>
      </c>
      <c r="I42" s="128">
        <v>1.1000000000000001</v>
      </c>
      <c r="J42" s="128">
        <v>1.1200000000000001</v>
      </c>
      <c r="K42" s="128">
        <v>1.1299999999999999</v>
      </c>
      <c r="L42" s="128">
        <v>1.1399999999999999</v>
      </c>
      <c r="M42" s="128">
        <v>1.1499999999999999</v>
      </c>
      <c r="N42" s="128">
        <v>1.1599999999999999</v>
      </c>
      <c r="O42" s="128">
        <v>1.18</v>
      </c>
      <c r="P42" s="128">
        <v>1.19</v>
      </c>
      <c r="Q42" s="128">
        <v>1.2</v>
      </c>
      <c r="R42" s="128">
        <v>1.21</v>
      </c>
      <c r="S42" s="128">
        <v>1.22</v>
      </c>
      <c r="T42" s="128">
        <v>1.23</v>
      </c>
      <c r="U42" s="128">
        <v>1.24</v>
      </c>
      <c r="V42" s="128">
        <v>1.25</v>
      </c>
      <c r="W42" s="128">
        <v>1.26</v>
      </c>
      <c r="X42" s="128">
        <v>1.27</v>
      </c>
      <c r="Y42" s="128">
        <v>1.27</v>
      </c>
      <c r="Z42" s="128">
        <v>1.28</v>
      </c>
      <c r="AA42" s="128">
        <v>1.29</v>
      </c>
      <c r="AB42" s="128">
        <v>1.3</v>
      </c>
      <c r="AC42" s="128">
        <v>1.31</v>
      </c>
      <c r="AD42" s="128">
        <v>1.31</v>
      </c>
      <c r="AE42" s="128">
        <v>1.32</v>
      </c>
      <c r="AF42" s="128">
        <v>1.33</v>
      </c>
      <c r="AG42" s="128">
        <v>1.34</v>
      </c>
      <c r="AH42" s="128">
        <v>1.34</v>
      </c>
      <c r="AI42" s="128">
        <v>1.35</v>
      </c>
      <c r="AJ42" s="128">
        <v>1.36</v>
      </c>
      <c r="AK42" s="128">
        <v>1.36</v>
      </c>
      <c r="AL42" s="128">
        <v>1.37</v>
      </c>
      <c r="AM42" s="128">
        <v>1.38</v>
      </c>
      <c r="AN42" s="128">
        <v>1.38</v>
      </c>
      <c r="AO42" s="128">
        <v>1.39</v>
      </c>
      <c r="AP42" s="128">
        <v>1.4</v>
      </c>
      <c r="AQ42" s="128">
        <v>1.41</v>
      </c>
      <c r="AR42" s="128">
        <v>1.42</v>
      </c>
      <c r="AS42" s="128">
        <v>1.43</v>
      </c>
      <c r="AT42" s="128">
        <v>1.44</v>
      </c>
      <c r="AU42" s="128">
        <v>1.45</v>
      </c>
      <c r="AV42" s="128">
        <v>1.46</v>
      </c>
      <c r="AW42" s="128">
        <v>1.47</v>
      </c>
      <c r="AX42" s="128">
        <v>1.48</v>
      </c>
      <c r="AY42" s="128">
        <v>1.49</v>
      </c>
      <c r="AZ42" s="128">
        <v>1.5</v>
      </c>
      <c r="BA42" s="128">
        <v>1.51</v>
      </c>
      <c r="BB42" s="128">
        <v>1.52</v>
      </c>
      <c r="BC42" s="128">
        <v>1.53</v>
      </c>
      <c r="BD42" s="128">
        <v>1.54</v>
      </c>
      <c r="BE42" s="128">
        <v>1.55</v>
      </c>
      <c r="BF42" s="128">
        <v>1.56</v>
      </c>
      <c r="BG42" s="128">
        <v>1.57</v>
      </c>
      <c r="BH42" s="128">
        <v>1.58</v>
      </c>
      <c r="BI42" s="128">
        <v>1.59</v>
      </c>
      <c r="BJ42" s="128">
        <v>1.6</v>
      </c>
      <c r="BK42" s="128">
        <v>1.61</v>
      </c>
      <c r="BL42" s="128">
        <v>1.62</v>
      </c>
      <c r="BM42" s="128">
        <v>1.62</v>
      </c>
      <c r="BN42" s="128">
        <v>1.63</v>
      </c>
      <c r="BO42" s="128">
        <v>1.64</v>
      </c>
      <c r="BP42" s="128">
        <v>1.64</v>
      </c>
      <c r="BQ42" s="128">
        <v>1.65</v>
      </c>
      <c r="BR42" s="128">
        <v>1.66</v>
      </c>
      <c r="BS42" s="128">
        <v>1.66</v>
      </c>
      <c r="BT42" s="128">
        <v>1.67</v>
      </c>
      <c r="BU42" s="128">
        <v>1.68</v>
      </c>
      <c r="BV42" s="128">
        <v>1.69</v>
      </c>
      <c r="BW42" s="128">
        <v>1.69</v>
      </c>
      <c r="BX42" s="128">
        <v>1.7</v>
      </c>
      <c r="BY42" s="128">
        <v>1.71</v>
      </c>
      <c r="BZ42" s="128">
        <v>1.72</v>
      </c>
      <c r="CA42" s="128">
        <v>1.73</v>
      </c>
      <c r="CB42" s="128">
        <v>1.73</v>
      </c>
      <c r="CC42" s="128">
        <v>1.74</v>
      </c>
      <c r="CD42" s="128">
        <v>1.75</v>
      </c>
      <c r="CE42" s="128">
        <v>1.76</v>
      </c>
      <c r="CF42" s="128">
        <v>1.77</v>
      </c>
      <c r="CG42" s="128">
        <v>1.78</v>
      </c>
      <c r="CH42" s="128">
        <v>1.79</v>
      </c>
      <c r="CI42" s="128">
        <v>1.8</v>
      </c>
      <c r="CJ42" s="128">
        <v>1.81</v>
      </c>
      <c r="CK42" s="128">
        <v>1.82</v>
      </c>
      <c r="CL42" s="128">
        <v>1.84</v>
      </c>
      <c r="CM42" s="128">
        <v>1.85</v>
      </c>
      <c r="CN42" s="128">
        <v>1.86</v>
      </c>
      <c r="CO42" s="128">
        <v>1.87</v>
      </c>
      <c r="CP42" s="128">
        <v>1.88</v>
      </c>
      <c r="CQ42" s="128">
        <v>1.9</v>
      </c>
      <c r="CR42" s="128">
        <v>1.91</v>
      </c>
      <c r="CS42" s="128">
        <v>1.92</v>
      </c>
      <c r="CT42" s="128">
        <v>1.94</v>
      </c>
      <c r="CU42" s="128">
        <v>1.95</v>
      </c>
      <c r="CV42" s="128">
        <v>1.97</v>
      </c>
      <c r="CW42" s="128">
        <v>1.98</v>
      </c>
      <c r="CX42" s="128">
        <v>2</v>
      </c>
      <c r="CZ42" s="126">
        <f>SUMIF(MatrixF2[[1]:[2]],MatrixF2[[#This Row],[Столбец1]])/MatrixF2[[#This Row],[Столбец1]]</f>
        <v>110.99999999999986</v>
      </c>
    </row>
    <row r="43" spans="1:104" ht="21" customHeight="1" x14ac:dyDescent="0.25">
      <c r="A43" s="127">
        <v>1.4</v>
      </c>
      <c r="B43" s="128">
        <v>1</v>
      </c>
      <c r="C43" s="128">
        <v>1.02</v>
      </c>
      <c r="D43" s="128">
        <v>1.03</v>
      </c>
      <c r="E43" s="128">
        <v>1.05</v>
      </c>
      <c r="F43" s="128">
        <v>1.06</v>
      </c>
      <c r="G43" s="128">
        <v>1.08</v>
      </c>
      <c r="H43" s="128">
        <v>1.0900000000000001</v>
      </c>
      <c r="I43" s="128">
        <v>1.1000000000000001</v>
      </c>
      <c r="J43" s="128">
        <v>1.1200000000000001</v>
      </c>
      <c r="K43" s="128">
        <v>1.1299999999999999</v>
      </c>
      <c r="L43" s="128">
        <v>1.1399999999999999</v>
      </c>
      <c r="M43" s="128">
        <v>1.1499999999999999</v>
      </c>
      <c r="N43" s="128">
        <v>1.17</v>
      </c>
      <c r="O43" s="128">
        <v>1.18</v>
      </c>
      <c r="P43" s="128">
        <v>1.19</v>
      </c>
      <c r="Q43" s="128">
        <v>1.2</v>
      </c>
      <c r="R43" s="128">
        <v>1.21</v>
      </c>
      <c r="S43" s="128">
        <v>1.22</v>
      </c>
      <c r="T43" s="128">
        <v>1.23</v>
      </c>
      <c r="U43" s="128">
        <v>1.24</v>
      </c>
      <c r="V43" s="128">
        <v>1.25</v>
      </c>
      <c r="W43" s="128">
        <v>1.26</v>
      </c>
      <c r="X43" s="128">
        <v>1.27</v>
      </c>
      <c r="Y43" s="128">
        <v>1.28</v>
      </c>
      <c r="Z43" s="128">
        <v>1.29</v>
      </c>
      <c r="AA43" s="128">
        <v>1.29</v>
      </c>
      <c r="AB43" s="128">
        <v>1.3</v>
      </c>
      <c r="AC43" s="128">
        <v>1.31</v>
      </c>
      <c r="AD43" s="128">
        <v>1.32</v>
      </c>
      <c r="AE43" s="128">
        <v>1.33</v>
      </c>
      <c r="AF43" s="128">
        <v>1.33</v>
      </c>
      <c r="AG43" s="128">
        <v>1.34</v>
      </c>
      <c r="AH43" s="128">
        <v>1.35</v>
      </c>
      <c r="AI43" s="128">
        <v>1.35</v>
      </c>
      <c r="AJ43" s="128">
        <v>1.36</v>
      </c>
      <c r="AK43" s="128">
        <v>1.37</v>
      </c>
      <c r="AL43" s="128">
        <v>1.38</v>
      </c>
      <c r="AM43" s="128">
        <v>1.38</v>
      </c>
      <c r="AN43" s="128">
        <v>1.39</v>
      </c>
      <c r="AO43" s="128">
        <v>1.39</v>
      </c>
      <c r="AP43" s="128">
        <v>1.4</v>
      </c>
      <c r="AQ43" s="128">
        <v>1.41</v>
      </c>
      <c r="AR43" s="128">
        <v>1.42</v>
      </c>
      <c r="AS43" s="128">
        <v>1.43</v>
      </c>
      <c r="AT43" s="128">
        <v>1.44</v>
      </c>
      <c r="AU43" s="128">
        <v>1.45</v>
      </c>
      <c r="AV43" s="128">
        <v>1.46</v>
      </c>
      <c r="AW43" s="128">
        <v>1.47</v>
      </c>
      <c r="AX43" s="128">
        <v>1.48</v>
      </c>
      <c r="AY43" s="128">
        <v>1.49</v>
      </c>
      <c r="AZ43" s="128">
        <v>1.5</v>
      </c>
      <c r="BA43" s="128">
        <v>1.51</v>
      </c>
      <c r="BB43" s="128">
        <v>1.52</v>
      </c>
      <c r="BC43" s="128">
        <v>1.53</v>
      </c>
      <c r="BD43" s="128">
        <v>1.54</v>
      </c>
      <c r="BE43" s="128">
        <v>1.55</v>
      </c>
      <c r="BF43" s="128">
        <v>1.56</v>
      </c>
      <c r="BG43" s="128">
        <v>1.57</v>
      </c>
      <c r="BH43" s="128">
        <v>1.58</v>
      </c>
      <c r="BI43" s="128">
        <v>1.59</v>
      </c>
      <c r="BJ43" s="128">
        <v>1.6</v>
      </c>
      <c r="BK43" s="128">
        <v>1.61</v>
      </c>
      <c r="BL43" s="128">
        <v>1.61</v>
      </c>
      <c r="BM43" s="128">
        <v>1.62</v>
      </c>
      <c r="BN43" s="128">
        <v>1.62</v>
      </c>
      <c r="BO43" s="128">
        <v>1.63</v>
      </c>
      <c r="BP43" s="128">
        <v>1.64</v>
      </c>
      <c r="BQ43" s="128">
        <v>1.65</v>
      </c>
      <c r="BR43" s="128">
        <v>1.65</v>
      </c>
      <c r="BS43" s="128">
        <v>1.66</v>
      </c>
      <c r="BT43" s="128">
        <v>1.67</v>
      </c>
      <c r="BU43" s="128">
        <v>1.67</v>
      </c>
      <c r="BV43" s="128">
        <v>1.68</v>
      </c>
      <c r="BW43" s="128">
        <v>1.69</v>
      </c>
      <c r="BX43" s="128">
        <v>1.7</v>
      </c>
      <c r="BY43" s="128">
        <v>1.71</v>
      </c>
      <c r="BZ43" s="128">
        <v>1.71</v>
      </c>
      <c r="CA43" s="128">
        <v>1.72</v>
      </c>
      <c r="CB43" s="128">
        <v>1.73</v>
      </c>
      <c r="CC43" s="128">
        <v>1.74</v>
      </c>
      <c r="CD43" s="128">
        <v>1.75</v>
      </c>
      <c r="CE43" s="128">
        <v>1.76</v>
      </c>
      <c r="CF43" s="128">
        <v>1.77</v>
      </c>
      <c r="CG43" s="128">
        <v>1.78</v>
      </c>
      <c r="CH43" s="128">
        <v>1.79</v>
      </c>
      <c r="CI43" s="128">
        <v>1.8</v>
      </c>
      <c r="CJ43" s="128">
        <v>1.81</v>
      </c>
      <c r="CK43" s="128">
        <v>1.82</v>
      </c>
      <c r="CL43" s="128">
        <v>1.83</v>
      </c>
      <c r="CM43" s="128">
        <v>1.85</v>
      </c>
      <c r="CN43" s="128">
        <v>1.86</v>
      </c>
      <c r="CO43" s="128">
        <v>1.87</v>
      </c>
      <c r="CP43" s="128">
        <v>1.88</v>
      </c>
      <c r="CQ43" s="128">
        <v>1.9</v>
      </c>
      <c r="CR43" s="128">
        <v>1.91</v>
      </c>
      <c r="CS43" s="128">
        <v>1.92</v>
      </c>
      <c r="CT43" s="128">
        <v>1.94</v>
      </c>
      <c r="CU43" s="128">
        <v>1.95</v>
      </c>
      <c r="CV43" s="128">
        <v>1.97</v>
      </c>
      <c r="CW43" s="128">
        <v>1.98</v>
      </c>
      <c r="CX43" s="128">
        <v>2</v>
      </c>
      <c r="CZ43" s="126">
        <f>SUMIF(MatrixF2[[1]:[2]],MatrixF2[[#This Row],[Столбец1]])/MatrixF2[[#This Row],[Столбец1]]</f>
        <v>114.00000000000024</v>
      </c>
    </row>
    <row r="44" spans="1:104" ht="21" customHeight="1" x14ac:dyDescent="0.25">
      <c r="A44" s="127">
        <v>1.41</v>
      </c>
      <c r="B44" s="128">
        <v>1</v>
      </c>
      <c r="C44" s="128">
        <v>1.02</v>
      </c>
      <c r="D44" s="128">
        <v>1.03</v>
      </c>
      <c r="E44" s="128">
        <v>1.05</v>
      </c>
      <c r="F44" s="128">
        <v>1.06</v>
      </c>
      <c r="G44" s="128">
        <v>1.08</v>
      </c>
      <c r="H44" s="128">
        <v>1.0900000000000001</v>
      </c>
      <c r="I44" s="128">
        <v>1.1100000000000001</v>
      </c>
      <c r="J44" s="128">
        <v>1.1200000000000001</v>
      </c>
      <c r="K44" s="128">
        <v>1.1299999999999999</v>
      </c>
      <c r="L44" s="128">
        <v>1.1399999999999999</v>
      </c>
      <c r="M44" s="128">
        <v>1.1599999999999999</v>
      </c>
      <c r="N44" s="128">
        <v>1.17</v>
      </c>
      <c r="O44" s="128">
        <v>1.18</v>
      </c>
      <c r="P44" s="128">
        <v>1.19</v>
      </c>
      <c r="Q44" s="128">
        <v>1.2</v>
      </c>
      <c r="R44" s="128">
        <v>1.21</v>
      </c>
      <c r="S44" s="128">
        <v>1.22</v>
      </c>
      <c r="T44" s="128">
        <v>1.23</v>
      </c>
      <c r="U44" s="128">
        <v>1.24</v>
      </c>
      <c r="V44" s="128">
        <v>1.25</v>
      </c>
      <c r="W44" s="128">
        <v>1.26</v>
      </c>
      <c r="X44" s="128">
        <v>1.27</v>
      </c>
      <c r="Y44" s="128">
        <v>1.28</v>
      </c>
      <c r="Z44" s="128">
        <v>1.29</v>
      </c>
      <c r="AA44" s="128">
        <v>1.3</v>
      </c>
      <c r="AB44" s="128">
        <v>1.31</v>
      </c>
      <c r="AC44" s="128">
        <v>1.31</v>
      </c>
      <c r="AD44" s="128">
        <v>1.32</v>
      </c>
      <c r="AE44" s="128">
        <v>1.33</v>
      </c>
      <c r="AF44" s="128">
        <v>1.34</v>
      </c>
      <c r="AG44" s="128">
        <v>1.34</v>
      </c>
      <c r="AH44" s="128">
        <v>1.35</v>
      </c>
      <c r="AI44" s="128">
        <v>1.36</v>
      </c>
      <c r="AJ44" s="128">
        <v>1.37</v>
      </c>
      <c r="AK44" s="128">
        <v>1.37</v>
      </c>
      <c r="AL44" s="128">
        <v>1.38</v>
      </c>
      <c r="AM44" s="128">
        <v>1.39</v>
      </c>
      <c r="AN44" s="128">
        <v>1.39</v>
      </c>
      <c r="AO44" s="128">
        <v>1.4</v>
      </c>
      <c r="AP44" s="128">
        <v>1.4</v>
      </c>
      <c r="AQ44" s="128">
        <v>1.41</v>
      </c>
      <c r="AR44" s="128">
        <v>1.42</v>
      </c>
      <c r="AS44" s="128">
        <v>1.43</v>
      </c>
      <c r="AT44" s="128">
        <v>1.44</v>
      </c>
      <c r="AU44" s="128">
        <v>1.45</v>
      </c>
      <c r="AV44" s="128">
        <v>1.46</v>
      </c>
      <c r="AW44" s="128">
        <v>1.47</v>
      </c>
      <c r="AX44" s="128">
        <v>1.48</v>
      </c>
      <c r="AY44" s="128">
        <v>1.49</v>
      </c>
      <c r="AZ44" s="128">
        <v>1.5</v>
      </c>
      <c r="BA44" s="128">
        <v>1.51</v>
      </c>
      <c r="BB44" s="128">
        <v>1.52</v>
      </c>
      <c r="BC44" s="128">
        <v>1.53</v>
      </c>
      <c r="BD44" s="128">
        <v>1.54</v>
      </c>
      <c r="BE44" s="128">
        <v>1.55</v>
      </c>
      <c r="BF44" s="128">
        <v>1.56</v>
      </c>
      <c r="BG44" s="128">
        <v>1.57</v>
      </c>
      <c r="BH44" s="128">
        <v>1.58</v>
      </c>
      <c r="BI44" s="128">
        <v>1.59</v>
      </c>
      <c r="BJ44" s="128">
        <v>1.6</v>
      </c>
      <c r="BK44" s="128">
        <v>1.6</v>
      </c>
      <c r="BL44" s="128">
        <v>1.61</v>
      </c>
      <c r="BM44" s="128">
        <v>1.61</v>
      </c>
      <c r="BN44" s="128">
        <v>1.62</v>
      </c>
      <c r="BO44" s="128">
        <v>1.63</v>
      </c>
      <c r="BP44" s="128">
        <v>1.63</v>
      </c>
      <c r="BQ44" s="128">
        <v>1.64</v>
      </c>
      <c r="BR44" s="128">
        <v>1.65</v>
      </c>
      <c r="BS44" s="128">
        <v>1.66</v>
      </c>
      <c r="BT44" s="128">
        <v>1.66</v>
      </c>
      <c r="BU44" s="128">
        <v>1.67</v>
      </c>
      <c r="BV44" s="128">
        <v>1.68</v>
      </c>
      <c r="BW44" s="128">
        <v>1.69</v>
      </c>
      <c r="BX44" s="128">
        <v>1.69</v>
      </c>
      <c r="BY44" s="128">
        <v>1.7</v>
      </c>
      <c r="BZ44" s="128">
        <v>1.71</v>
      </c>
      <c r="CA44" s="128">
        <v>1.72</v>
      </c>
      <c r="CB44" s="128">
        <v>1.73</v>
      </c>
      <c r="CC44" s="128">
        <v>1.74</v>
      </c>
      <c r="CD44" s="128">
        <v>1.75</v>
      </c>
      <c r="CE44" s="128">
        <v>1.76</v>
      </c>
      <c r="CF44" s="128">
        <v>1.77</v>
      </c>
      <c r="CG44" s="128">
        <v>1.78</v>
      </c>
      <c r="CH44" s="128">
        <v>1.79</v>
      </c>
      <c r="CI44" s="128">
        <v>1.8</v>
      </c>
      <c r="CJ44" s="128">
        <v>1.81</v>
      </c>
      <c r="CK44" s="128">
        <v>1.82</v>
      </c>
      <c r="CL44" s="128">
        <v>1.83</v>
      </c>
      <c r="CM44" s="128">
        <v>1.84</v>
      </c>
      <c r="CN44" s="128">
        <v>1.86</v>
      </c>
      <c r="CO44" s="128">
        <v>1.87</v>
      </c>
      <c r="CP44" s="128">
        <v>1.88</v>
      </c>
      <c r="CQ44" s="128">
        <v>1.89</v>
      </c>
      <c r="CR44" s="128">
        <v>1.91</v>
      </c>
      <c r="CS44" s="128">
        <v>1.92</v>
      </c>
      <c r="CT44" s="128">
        <v>1.94</v>
      </c>
      <c r="CU44" s="128">
        <v>1.95</v>
      </c>
      <c r="CV44" s="128">
        <v>1.97</v>
      </c>
      <c r="CW44" s="128">
        <v>1.98</v>
      </c>
      <c r="CX44" s="128">
        <v>2</v>
      </c>
      <c r="CZ44" s="126">
        <f>SUMIF(MatrixF2[[1]:[2]],MatrixF2[[#This Row],[Столбец1]])/MatrixF2[[#This Row],[Столбец1]]</f>
        <v>110.9999999999998</v>
      </c>
    </row>
    <row r="45" spans="1:104" ht="21" customHeight="1" x14ac:dyDescent="0.25">
      <c r="A45" s="127">
        <v>1.42</v>
      </c>
      <c r="B45" s="128">
        <v>1</v>
      </c>
      <c r="C45" s="128">
        <v>1.02</v>
      </c>
      <c r="D45" s="128">
        <v>1.03</v>
      </c>
      <c r="E45" s="128">
        <v>1.05</v>
      </c>
      <c r="F45" s="128">
        <v>1.06</v>
      </c>
      <c r="G45" s="128">
        <v>1.08</v>
      </c>
      <c r="H45" s="128">
        <v>1.0900000000000001</v>
      </c>
      <c r="I45" s="128">
        <v>1.1100000000000001</v>
      </c>
      <c r="J45" s="128">
        <v>1.1200000000000001</v>
      </c>
      <c r="K45" s="128">
        <v>1.1299999999999999</v>
      </c>
      <c r="L45" s="128">
        <v>1.1499999999999999</v>
      </c>
      <c r="M45" s="128">
        <v>1.1599999999999999</v>
      </c>
      <c r="N45" s="128">
        <v>1.17</v>
      </c>
      <c r="O45" s="128">
        <v>1.18</v>
      </c>
      <c r="P45" s="128">
        <v>1.19</v>
      </c>
      <c r="Q45" s="128">
        <v>1.21</v>
      </c>
      <c r="R45" s="128">
        <v>1.22</v>
      </c>
      <c r="S45" s="128">
        <v>1.23</v>
      </c>
      <c r="T45" s="128">
        <v>1.24</v>
      </c>
      <c r="U45" s="128">
        <v>1.25</v>
      </c>
      <c r="V45" s="128">
        <v>1.26</v>
      </c>
      <c r="W45" s="128">
        <v>1.27</v>
      </c>
      <c r="X45" s="128">
        <v>1.28</v>
      </c>
      <c r="Y45" s="128">
        <v>1.28</v>
      </c>
      <c r="Z45" s="128">
        <v>1.29</v>
      </c>
      <c r="AA45" s="128">
        <v>1.3</v>
      </c>
      <c r="AB45" s="128">
        <v>1.31</v>
      </c>
      <c r="AC45" s="128">
        <v>1.32</v>
      </c>
      <c r="AD45" s="128">
        <v>1.33</v>
      </c>
      <c r="AE45" s="128">
        <v>1.33</v>
      </c>
      <c r="AF45" s="128">
        <v>1.34</v>
      </c>
      <c r="AG45" s="128">
        <v>1.35</v>
      </c>
      <c r="AH45" s="128">
        <v>1.36</v>
      </c>
      <c r="AI45" s="128">
        <v>1.36</v>
      </c>
      <c r="AJ45" s="128">
        <v>1.37</v>
      </c>
      <c r="AK45" s="128">
        <v>1.38</v>
      </c>
      <c r="AL45" s="128">
        <v>1.38</v>
      </c>
      <c r="AM45" s="128">
        <v>1.39</v>
      </c>
      <c r="AN45" s="128">
        <v>1.4</v>
      </c>
      <c r="AO45" s="128">
        <v>1.4</v>
      </c>
      <c r="AP45" s="128">
        <v>1.41</v>
      </c>
      <c r="AQ45" s="128">
        <v>1.41</v>
      </c>
      <c r="AR45" s="128">
        <v>1.42</v>
      </c>
      <c r="AS45" s="128">
        <v>1.43</v>
      </c>
      <c r="AT45" s="128">
        <v>1.44</v>
      </c>
      <c r="AU45" s="128">
        <v>1.45</v>
      </c>
      <c r="AV45" s="128">
        <v>1.46</v>
      </c>
      <c r="AW45" s="128">
        <v>1.47</v>
      </c>
      <c r="AX45" s="128">
        <v>1.48</v>
      </c>
      <c r="AY45" s="128">
        <v>1.49</v>
      </c>
      <c r="AZ45" s="128">
        <v>1.5</v>
      </c>
      <c r="BA45" s="128">
        <v>1.51</v>
      </c>
      <c r="BB45" s="128">
        <v>1.52</v>
      </c>
      <c r="BC45" s="128">
        <v>1.53</v>
      </c>
      <c r="BD45" s="128">
        <v>1.54</v>
      </c>
      <c r="BE45" s="128">
        <v>1.55</v>
      </c>
      <c r="BF45" s="128">
        <v>1.56</v>
      </c>
      <c r="BG45" s="128">
        <v>1.57</v>
      </c>
      <c r="BH45" s="128">
        <v>1.58</v>
      </c>
      <c r="BI45" s="128">
        <v>1.59</v>
      </c>
      <c r="BJ45" s="128">
        <v>1.59</v>
      </c>
      <c r="BK45" s="128">
        <v>1.6</v>
      </c>
      <c r="BL45" s="128">
        <v>1.6</v>
      </c>
      <c r="BM45" s="128">
        <v>1.61</v>
      </c>
      <c r="BN45" s="128">
        <v>1.62</v>
      </c>
      <c r="BO45" s="128">
        <v>1.62</v>
      </c>
      <c r="BP45" s="128">
        <v>1.63</v>
      </c>
      <c r="BQ45" s="128">
        <v>1.64</v>
      </c>
      <c r="BR45" s="128">
        <v>1.64</v>
      </c>
      <c r="BS45" s="128">
        <v>1.65</v>
      </c>
      <c r="BT45" s="128">
        <v>1.66</v>
      </c>
      <c r="BU45" s="128">
        <v>1.67</v>
      </c>
      <c r="BV45" s="128">
        <v>1.67</v>
      </c>
      <c r="BW45" s="128">
        <v>1.68</v>
      </c>
      <c r="BX45" s="128">
        <v>1.69</v>
      </c>
      <c r="BY45" s="128">
        <v>1.7</v>
      </c>
      <c r="BZ45" s="128">
        <v>1.71</v>
      </c>
      <c r="CA45" s="128">
        <v>1.72</v>
      </c>
      <c r="CB45" s="128">
        <v>1.73</v>
      </c>
      <c r="CC45" s="128">
        <v>1.73</v>
      </c>
      <c r="CD45" s="128">
        <v>1.74</v>
      </c>
      <c r="CE45" s="128">
        <v>1.75</v>
      </c>
      <c r="CF45" s="128">
        <v>1.76</v>
      </c>
      <c r="CG45" s="128">
        <v>1.77</v>
      </c>
      <c r="CH45" s="128">
        <v>1.78</v>
      </c>
      <c r="CI45" s="128">
        <v>1.79</v>
      </c>
      <c r="CJ45" s="128">
        <v>1.81</v>
      </c>
      <c r="CK45" s="128">
        <v>1.82</v>
      </c>
      <c r="CL45" s="128">
        <v>1.83</v>
      </c>
      <c r="CM45" s="128">
        <v>1.84</v>
      </c>
      <c r="CN45" s="128">
        <v>1.85</v>
      </c>
      <c r="CO45" s="128">
        <v>1.87</v>
      </c>
      <c r="CP45" s="128">
        <v>1.88</v>
      </c>
      <c r="CQ45" s="128">
        <v>1.89</v>
      </c>
      <c r="CR45" s="128">
        <v>1.91</v>
      </c>
      <c r="CS45" s="128">
        <v>1.92</v>
      </c>
      <c r="CT45" s="128">
        <v>1.94</v>
      </c>
      <c r="CU45" s="128">
        <v>1.95</v>
      </c>
      <c r="CV45" s="128">
        <v>1.97</v>
      </c>
      <c r="CW45" s="128">
        <v>1.98</v>
      </c>
      <c r="CX45" s="128">
        <v>2</v>
      </c>
      <c r="CZ45" s="126">
        <f>SUMIF(MatrixF2[[1]:[2]],MatrixF2[[#This Row],[Столбец1]])/MatrixF2[[#This Row],[Столбец1]]</f>
        <v>108.99999999999993</v>
      </c>
    </row>
    <row r="46" spans="1:104" ht="21" customHeight="1" x14ac:dyDescent="0.25">
      <c r="A46" s="127">
        <v>1.43</v>
      </c>
      <c r="B46" s="128">
        <v>1</v>
      </c>
      <c r="C46" s="128">
        <v>1.02</v>
      </c>
      <c r="D46" s="128">
        <v>1.03</v>
      </c>
      <c r="E46" s="128">
        <v>1.05</v>
      </c>
      <c r="F46" s="128">
        <v>1.07</v>
      </c>
      <c r="G46" s="128">
        <v>1.08</v>
      </c>
      <c r="H46" s="128">
        <v>1.1000000000000001</v>
      </c>
      <c r="I46" s="128">
        <v>1.1100000000000001</v>
      </c>
      <c r="J46" s="128">
        <v>1.1200000000000001</v>
      </c>
      <c r="K46" s="128">
        <v>1.1399999999999999</v>
      </c>
      <c r="L46" s="128">
        <v>1.1499999999999999</v>
      </c>
      <c r="M46" s="128">
        <v>1.1599999999999999</v>
      </c>
      <c r="N46" s="128">
        <v>1.17</v>
      </c>
      <c r="O46" s="128">
        <v>1.19</v>
      </c>
      <c r="P46" s="128">
        <v>1.2</v>
      </c>
      <c r="Q46" s="128">
        <v>1.21</v>
      </c>
      <c r="R46" s="128">
        <v>1.22</v>
      </c>
      <c r="S46" s="128">
        <v>1.23</v>
      </c>
      <c r="T46" s="128">
        <v>1.24</v>
      </c>
      <c r="U46" s="128">
        <v>1.25</v>
      </c>
      <c r="V46" s="128">
        <v>1.26</v>
      </c>
      <c r="W46" s="128">
        <v>1.27</v>
      </c>
      <c r="X46" s="128">
        <v>1.28</v>
      </c>
      <c r="Y46" s="128">
        <v>1.29</v>
      </c>
      <c r="Z46" s="128">
        <v>1.3</v>
      </c>
      <c r="AA46" s="128">
        <v>1.3</v>
      </c>
      <c r="AB46" s="128">
        <v>1.31</v>
      </c>
      <c r="AC46" s="128">
        <v>1.32</v>
      </c>
      <c r="AD46" s="128">
        <v>1.33</v>
      </c>
      <c r="AE46" s="128">
        <v>1.34</v>
      </c>
      <c r="AF46" s="128">
        <v>1.34</v>
      </c>
      <c r="AG46" s="128">
        <v>1.35</v>
      </c>
      <c r="AH46" s="128">
        <v>1.36</v>
      </c>
      <c r="AI46" s="128">
        <v>1.37</v>
      </c>
      <c r="AJ46" s="128">
        <v>1.37</v>
      </c>
      <c r="AK46" s="128">
        <v>1.38</v>
      </c>
      <c r="AL46" s="128">
        <v>1.39</v>
      </c>
      <c r="AM46" s="128">
        <v>1.39</v>
      </c>
      <c r="AN46" s="128">
        <v>1.4</v>
      </c>
      <c r="AO46" s="128">
        <v>1.41</v>
      </c>
      <c r="AP46" s="128">
        <v>1.41</v>
      </c>
      <c r="AQ46" s="128">
        <v>1.42</v>
      </c>
      <c r="AR46" s="128">
        <v>1.42</v>
      </c>
      <c r="AS46" s="128">
        <v>1.43</v>
      </c>
      <c r="AT46" s="128">
        <v>1.44</v>
      </c>
      <c r="AU46" s="128">
        <v>1.45</v>
      </c>
      <c r="AV46" s="128">
        <v>1.46</v>
      </c>
      <c r="AW46" s="128">
        <v>1.47</v>
      </c>
      <c r="AX46" s="128">
        <v>1.48</v>
      </c>
      <c r="AY46" s="128">
        <v>1.49</v>
      </c>
      <c r="AZ46" s="128">
        <v>1.5</v>
      </c>
      <c r="BA46" s="128">
        <v>1.51</v>
      </c>
      <c r="BB46" s="128">
        <v>1.52</v>
      </c>
      <c r="BC46" s="128">
        <v>1.53</v>
      </c>
      <c r="BD46" s="128">
        <v>1.54</v>
      </c>
      <c r="BE46" s="128">
        <v>1.55</v>
      </c>
      <c r="BF46" s="128">
        <v>1.56</v>
      </c>
      <c r="BG46" s="128">
        <v>1.57</v>
      </c>
      <c r="BH46" s="128">
        <v>1.58</v>
      </c>
      <c r="BI46" s="128">
        <v>1.58</v>
      </c>
      <c r="BJ46" s="128">
        <v>1.59</v>
      </c>
      <c r="BK46" s="128">
        <v>1.59</v>
      </c>
      <c r="BL46" s="128">
        <v>1.6</v>
      </c>
      <c r="BM46" s="128">
        <v>1.61</v>
      </c>
      <c r="BN46" s="128">
        <v>1.61</v>
      </c>
      <c r="BO46" s="128">
        <v>1.62</v>
      </c>
      <c r="BP46" s="128">
        <v>1.63</v>
      </c>
      <c r="BQ46" s="128">
        <v>1.63</v>
      </c>
      <c r="BR46" s="128">
        <v>1.64</v>
      </c>
      <c r="BS46" s="128">
        <v>1.65</v>
      </c>
      <c r="BT46" s="128">
        <v>1.66</v>
      </c>
      <c r="BU46" s="128">
        <v>1.66</v>
      </c>
      <c r="BV46" s="128">
        <v>1.67</v>
      </c>
      <c r="BW46" s="128">
        <v>1.68</v>
      </c>
      <c r="BX46" s="128">
        <v>1.69</v>
      </c>
      <c r="BY46" s="128">
        <v>1.7</v>
      </c>
      <c r="BZ46" s="128">
        <v>1.7</v>
      </c>
      <c r="CA46" s="128">
        <v>1.71</v>
      </c>
      <c r="CB46" s="128">
        <v>1.72</v>
      </c>
      <c r="CC46" s="128">
        <v>1.73</v>
      </c>
      <c r="CD46" s="128">
        <v>1.74</v>
      </c>
      <c r="CE46" s="128">
        <v>1.75</v>
      </c>
      <c r="CF46" s="128">
        <v>1.76</v>
      </c>
      <c r="CG46" s="128">
        <v>1.77</v>
      </c>
      <c r="CH46" s="128">
        <v>1.78</v>
      </c>
      <c r="CI46" s="128">
        <v>1.79</v>
      </c>
      <c r="CJ46" s="128">
        <v>1.8</v>
      </c>
      <c r="CK46" s="128">
        <v>1.81</v>
      </c>
      <c r="CL46" s="128">
        <v>1.83</v>
      </c>
      <c r="CM46" s="128">
        <v>1.84</v>
      </c>
      <c r="CN46" s="128">
        <v>1.85</v>
      </c>
      <c r="CO46" s="128">
        <v>1.86</v>
      </c>
      <c r="CP46" s="128">
        <v>1.88</v>
      </c>
      <c r="CQ46" s="128">
        <v>1.89</v>
      </c>
      <c r="CR46" s="128">
        <v>1.9</v>
      </c>
      <c r="CS46" s="128">
        <v>1.92</v>
      </c>
      <c r="CT46" s="128">
        <v>1.93</v>
      </c>
      <c r="CU46" s="128">
        <v>1.95</v>
      </c>
      <c r="CV46" s="128">
        <v>1.97</v>
      </c>
      <c r="CW46" s="128">
        <v>1.98</v>
      </c>
      <c r="CX46" s="128">
        <v>2</v>
      </c>
      <c r="CZ46" s="126">
        <f>SUMIF(MatrixF2[[1]:[2]],MatrixF2[[#This Row],[Столбец1]])/MatrixF2[[#This Row],[Столбец1]]</f>
        <v>112.00000000000033</v>
      </c>
    </row>
    <row r="47" spans="1:104" ht="21" customHeight="1" x14ac:dyDescent="0.25">
      <c r="A47" s="127">
        <v>1.44</v>
      </c>
      <c r="B47" s="128">
        <v>1</v>
      </c>
      <c r="C47" s="128">
        <v>1.02</v>
      </c>
      <c r="D47" s="128">
        <v>1.03</v>
      </c>
      <c r="E47" s="128">
        <v>1.05</v>
      </c>
      <c r="F47" s="128">
        <v>1.07</v>
      </c>
      <c r="G47" s="128">
        <v>1.08</v>
      </c>
      <c r="H47" s="128">
        <v>1.1000000000000001</v>
      </c>
      <c r="I47" s="128">
        <v>1.1100000000000001</v>
      </c>
      <c r="J47" s="128">
        <v>1.1299999999999999</v>
      </c>
      <c r="K47" s="128">
        <v>1.1399999999999999</v>
      </c>
      <c r="L47" s="128">
        <v>1.1499999999999999</v>
      </c>
      <c r="M47" s="128">
        <v>1.1599999999999999</v>
      </c>
      <c r="N47" s="128">
        <v>1.18</v>
      </c>
      <c r="O47" s="128">
        <v>1.19</v>
      </c>
      <c r="P47" s="128">
        <v>1.2</v>
      </c>
      <c r="Q47" s="128">
        <v>1.21</v>
      </c>
      <c r="R47" s="128">
        <v>1.22</v>
      </c>
      <c r="S47" s="128">
        <v>1.23</v>
      </c>
      <c r="T47" s="128">
        <v>1.24</v>
      </c>
      <c r="U47" s="128">
        <v>1.25</v>
      </c>
      <c r="V47" s="128">
        <v>1.26</v>
      </c>
      <c r="W47" s="128">
        <v>1.27</v>
      </c>
      <c r="X47" s="128">
        <v>1.28</v>
      </c>
      <c r="Y47" s="128">
        <v>1.29</v>
      </c>
      <c r="Z47" s="128">
        <v>1.3</v>
      </c>
      <c r="AA47" s="128">
        <v>1.31</v>
      </c>
      <c r="AB47" s="128">
        <v>1.32</v>
      </c>
      <c r="AC47" s="128">
        <v>1.33</v>
      </c>
      <c r="AD47" s="128">
        <v>1.33</v>
      </c>
      <c r="AE47" s="128">
        <v>1.34</v>
      </c>
      <c r="AF47" s="128">
        <v>1.35</v>
      </c>
      <c r="AG47" s="128">
        <v>1.36</v>
      </c>
      <c r="AH47" s="128">
        <v>1.36</v>
      </c>
      <c r="AI47" s="128">
        <v>1.37</v>
      </c>
      <c r="AJ47" s="128">
        <v>1.38</v>
      </c>
      <c r="AK47" s="128">
        <v>1.38</v>
      </c>
      <c r="AL47" s="128">
        <v>1.39</v>
      </c>
      <c r="AM47" s="128">
        <v>1.4</v>
      </c>
      <c r="AN47" s="128">
        <v>1.4</v>
      </c>
      <c r="AO47" s="128">
        <v>1.41</v>
      </c>
      <c r="AP47" s="128">
        <v>1.42</v>
      </c>
      <c r="AQ47" s="128">
        <v>1.42</v>
      </c>
      <c r="AR47" s="128">
        <v>1.43</v>
      </c>
      <c r="AS47" s="128">
        <v>1.43</v>
      </c>
      <c r="AT47" s="128">
        <v>1.44</v>
      </c>
      <c r="AU47" s="128">
        <v>1.45</v>
      </c>
      <c r="AV47" s="128">
        <v>1.46</v>
      </c>
      <c r="AW47" s="128">
        <v>1.47</v>
      </c>
      <c r="AX47" s="128">
        <v>1.48</v>
      </c>
      <c r="AY47" s="128">
        <v>1.49</v>
      </c>
      <c r="AZ47" s="128">
        <v>1.5</v>
      </c>
      <c r="BA47" s="128">
        <v>1.51</v>
      </c>
      <c r="BB47" s="128">
        <v>1.52</v>
      </c>
      <c r="BC47" s="128">
        <v>1.53</v>
      </c>
      <c r="BD47" s="128">
        <v>1.54</v>
      </c>
      <c r="BE47" s="128">
        <v>1.55</v>
      </c>
      <c r="BF47" s="128">
        <v>1.56</v>
      </c>
      <c r="BG47" s="128">
        <v>1.57</v>
      </c>
      <c r="BH47" s="128">
        <v>1.57</v>
      </c>
      <c r="BI47" s="128">
        <v>1.58</v>
      </c>
      <c r="BJ47" s="128">
        <v>1.58</v>
      </c>
      <c r="BK47" s="128">
        <v>1.59</v>
      </c>
      <c r="BL47" s="128">
        <v>1.6</v>
      </c>
      <c r="BM47" s="128">
        <v>1.6</v>
      </c>
      <c r="BN47" s="128">
        <v>1.61</v>
      </c>
      <c r="BO47" s="128">
        <v>1.62</v>
      </c>
      <c r="BP47" s="128">
        <v>1.62</v>
      </c>
      <c r="BQ47" s="128">
        <v>1.63</v>
      </c>
      <c r="BR47" s="128">
        <v>1.64</v>
      </c>
      <c r="BS47" s="128">
        <v>1.64</v>
      </c>
      <c r="BT47" s="128">
        <v>1.65</v>
      </c>
      <c r="BU47" s="128">
        <v>1.66</v>
      </c>
      <c r="BV47" s="128">
        <v>1.67</v>
      </c>
      <c r="BW47" s="128">
        <v>1.67</v>
      </c>
      <c r="BX47" s="128">
        <v>1.68</v>
      </c>
      <c r="BY47" s="128">
        <v>1.69</v>
      </c>
      <c r="BZ47" s="128">
        <v>1.7</v>
      </c>
      <c r="CA47" s="128">
        <v>1.71</v>
      </c>
      <c r="CB47" s="128">
        <v>1.72</v>
      </c>
      <c r="CC47" s="128">
        <v>1.73</v>
      </c>
      <c r="CD47" s="128">
        <v>1.74</v>
      </c>
      <c r="CE47" s="128">
        <v>1.75</v>
      </c>
      <c r="CF47" s="128">
        <v>1.76</v>
      </c>
      <c r="CG47" s="128">
        <v>1.77</v>
      </c>
      <c r="CH47" s="128">
        <v>1.78</v>
      </c>
      <c r="CI47" s="128">
        <v>1.79</v>
      </c>
      <c r="CJ47" s="128">
        <v>1.8</v>
      </c>
      <c r="CK47" s="128">
        <v>1.81</v>
      </c>
      <c r="CL47" s="128">
        <v>1.82</v>
      </c>
      <c r="CM47" s="128">
        <v>1.84</v>
      </c>
      <c r="CN47" s="128">
        <v>1.85</v>
      </c>
      <c r="CO47" s="128">
        <v>1.86</v>
      </c>
      <c r="CP47" s="128">
        <v>1.88</v>
      </c>
      <c r="CQ47" s="128">
        <v>1.89</v>
      </c>
      <c r="CR47" s="128">
        <v>1.9</v>
      </c>
      <c r="CS47" s="128">
        <v>1.92</v>
      </c>
      <c r="CT47" s="128">
        <v>1.93</v>
      </c>
      <c r="CU47" s="128">
        <v>1.95</v>
      </c>
      <c r="CV47" s="128">
        <v>1.97</v>
      </c>
      <c r="CW47" s="128">
        <v>1.98</v>
      </c>
      <c r="CX47" s="128">
        <v>2</v>
      </c>
      <c r="CZ47" s="126">
        <f>SUMIF(MatrixF2[[1]:[2]],MatrixF2[[#This Row],[Столбец1]])/MatrixF2[[#This Row],[Столбец1]]</f>
        <v>107.99999999999989</v>
      </c>
    </row>
    <row r="48" spans="1:104" ht="21" customHeight="1" x14ac:dyDescent="0.25">
      <c r="A48" s="127">
        <v>1.45</v>
      </c>
      <c r="B48" s="128">
        <v>1</v>
      </c>
      <c r="C48" s="128">
        <v>1.02</v>
      </c>
      <c r="D48" s="128">
        <v>1.04</v>
      </c>
      <c r="E48" s="128">
        <v>1.05</v>
      </c>
      <c r="F48" s="128">
        <v>1.07</v>
      </c>
      <c r="G48" s="128">
        <v>1.08</v>
      </c>
      <c r="H48" s="128">
        <v>1.1000000000000001</v>
      </c>
      <c r="I48" s="128">
        <v>1.1100000000000001</v>
      </c>
      <c r="J48" s="128">
        <v>1.1299999999999999</v>
      </c>
      <c r="K48" s="128">
        <v>1.1399999999999999</v>
      </c>
      <c r="L48" s="128">
        <v>1.1499999999999999</v>
      </c>
      <c r="M48" s="128">
        <v>1.17</v>
      </c>
      <c r="N48" s="128">
        <v>1.18</v>
      </c>
      <c r="O48" s="128">
        <v>1.19</v>
      </c>
      <c r="P48" s="128">
        <v>1.2</v>
      </c>
      <c r="Q48" s="128">
        <v>1.21</v>
      </c>
      <c r="R48" s="128">
        <v>1.23</v>
      </c>
      <c r="S48" s="128">
        <v>1.24</v>
      </c>
      <c r="T48" s="128">
        <v>1.25</v>
      </c>
      <c r="U48" s="128">
        <v>1.26</v>
      </c>
      <c r="V48" s="128">
        <v>1.27</v>
      </c>
      <c r="W48" s="128">
        <v>1.28</v>
      </c>
      <c r="X48" s="128">
        <v>1.29</v>
      </c>
      <c r="Y48" s="128">
        <v>1.29</v>
      </c>
      <c r="Z48" s="128">
        <v>1.3</v>
      </c>
      <c r="AA48" s="128">
        <v>1.31</v>
      </c>
      <c r="AB48" s="128">
        <v>1.32</v>
      </c>
      <c r="AC48" s="128">
        <v>1.33</v>
      </c>
      <c r="AD48" s="128">
        <v>1.34</v>
      </c>
      <c r="AE48" s="128">
        <v>1.35</v>
      </c>
      <c r="AF48" s="128">
        <v>1.35</v>
      </c>
      <c r="AG48" s="128">
        <v>1.36</v>
      </c>
      <c r="AH48" s="128">
        <v>1.37</v>
      </c>
      <c r="AI48" s="128">
        <v>1.38</v>
      </c>
      <c r="AJ48" s="128">
        <v>1.38</v>
      </c>
      <c r="AK48" s="128">
        <v>1.39</v>
      </c>
      <c r="AL48" s="128">
        <v>1.4</v>
      </c>
      <c r="AM48" s="128">
        <v>1.4</v>
      </c>
      <c r="AN48" s="128">
        <v>1.41</v>
      </c>
      <c r="AO48" s="128">
        <v>1.41</v>
      </c>
      <c r="AP48" s="128">
        <v>1.42</v>
      </c>
      <c r="AQ48" s="128">
        <v>1.43</v>
      </c>
      <c r="AR48" s="128">
        <v>1.43</v>
      </c>
      <c r="AS48" s="128">
        <v>1.44</v>
      </c>
      <c r="AT48" s="128">
        <v>1.44</v>
      </c>
      <c r="AU48" s="128">
        <v>1.45</v>
      </c>
      <c r="AV48" s="128">
        <v>1.46</v>
      </c>
      <c r="AW48" s="128">
        <v>1.47</v>
      </c>
      <c r="AX48" s="128">
        <v>1.48</v>
      </c>
      <c r="AY48" s="128">
        <v>1.49</v>
      </c>
      <c r="AZ48" s="128">
        <v>1.5</v>
      </c>
      <c r="BA48" s="128">
        <v>1.51</v>
      </c>
      <c r="BB48" s="128">
        <v>1.52</v>
      </c>
      <c r="BC48" s="128">
        <v>1.53</v>
      </c>
      <c r="BD48" s="128">
        <v>1.54</v>
      </c>
      <c r="BE48" s="128">
        <v>1.55</v>
      </c>
      <c r="BF48" s="128">
        <v>1.56</v>
      </c>
      <c r="BG48" s="128">
        <v>1.56</v>
      </c>
      <c r="BH48" s="128">
        <v>1.57</v>
      </c>
      <c r="BI48" s="128">
        <v>1.57</v>
      </c>
      <c r="BJ48" s="128">
        <v>1.58</v>
      </c>
      <c r="BK48" s="128">
        <v>1.59</v>
      </c>
      <c r="BL48" s="128">
        <v>1.59</v>
      </c>
      <c r="BM48" s="128">
        <v>1.6</v>
      </c>
      <c r="BN48" s="128">
        <v>1.6</v>
      </c>
      <c r="BO48" s="128">
        <v>1.61</v>
      </c>
      <c r="BP48" s="128">
        <v>1.62</v>
      </c>
      <c r="BQ48" s="128">
        <v>1.63</v>
      </c>
      <c r="BR48" s="128">
        <v>1.63</v>
      </c>
      <c r="BS48" s="128">
        <v>1.64</v>
      </c>
      <c r="BT48" s="128">
        <v>1.65</v>
      </c>
      <c r="BU48" s="128">
        <v>1.65</v>
      </c>
      <c r="BV48" s="128">
        <v>1.66</v>
      </c>
      <c r="BW48" s="128">
        <v>1.67</v>
      </c>
      <c r="BX48" s="128">
        <v>1.68</v>
      </c>
      <c r="BY48" s="128">
        <v>1.69</v>
      </c>
      <c r="BZ48" s="128">
        <v>1.7</v>
      </c>
      <c r="CA48" s="128">
        <v>1.71</v>
      </c>
      <c r="CB48" s="128">
        <v>1.71</v>
      </c>
      <c r="CC48" s="128">
        <v>1.72</v>
      </c>
      <c r="CD48" s="128">
        <v>1.73</v>
      </c>
      <c r="CE48" s="128">
        <v>1.74</v>
      </c>
      <c r="CF48" s="128">
        <v>1.75</v>
      </c>
      <c r="CG48" s="128">
        <v>1.76</v>
      </c>
      <c r="CH48" s="128">
        <v>1.77</v>
      </c>
      <c r="CI48" s="128">
        <v>1.79</v>
      </c>
      <c r="CJ48" s="128">
        <v>1.8</v>
      </c>
      <c r="CK48" s="128">
        <v>1.81</v>
      </c>
      <c r="CL48" s="128">
        <v>1.82</v>
      </c>
      <c r="CM48" s="128">
        <v>1.83</v>
      </c>
      <c r="CN48" s="128">
        <v>1.85</v>
      </c>
      <c r="CO48" s="128">
        <v>1.86</v>
      </c>
      <c r="CP48" s="128">
        <v>1.87</v>
      </c>
      <c r="CQ48" s="128">
        <v>1.89</v>
      </c>
      <c r="CR48" s="128">
        <v>1.9</v>
      </c>
      <c r="CS48" s="128">
        <v>1.92</v>
      </c>
      <c r="CT48" s="128">
        <v>1.93</v>
      </c>
      <c r="CU48" s="128">
        <v>1.95</v>
      </c>
      <c r="CV48" s="128">
        <v>1.96</v>
      </c>
      <c r="CW48" s="128">
        <v>1.98</v>
      </c>
      <c r="CX48" s="128">
        <v>2</v>
      </c>
      <c r="CZ48" s="126">
        <f>SUMIF(MatrixF2[[1]:[2]],MatrixF2[[#This Row],[Столбец1]])/MatrixF2[[#This Row],[Столбец1]]</f>
        <v>108.99999999999996</v>
      </c>
    </row>
    <row r="49" spans="1:104" ht="21" customHeight="1" x14ac:dyDescent="0.25">
      <c r="A49" s="127">
        <v>1.46</v>
      </c>
      <c r="B49" s="128">
        <v>1</v>
      </c>
      <c r="C49" s="128">
        <v>1.02</v>
      </c>
      <c r="D49" s="128">
        <v>1.04</v>
      </c>
      <c r="E49" s="128">
        <v>1.05</v>
      </c>
      <c r="F49" s="128">
        <v>1.07</v>
      </c>
      <c r="G49" s="128">
        <v>1.08</v>
      </c>
      <c r="H49" s="128">
        <v>1.1000000000000001</v>
      </c>
      <c r="I49" s="128">
        <v>1.1100000000000001</v>
      </c>
      <c r="J49" s="128">
        <v>1.1299999999999999</v>
      </c>
      <c r="K49" s="128">
        <v>1.1399999999999999</v>
      </c>
      <c r="L49" s="128">
        <v>1.1599999999999999</v>
      </c>
      <c r="M49" s="128">
        <v>1.17</v>
      </c>
      <c r="N49" s="128">
        <v>1.18</v>
      </c>
      <c r="O49" s="128">
        <v>1.19</v>
      </c>
      <c r="P49" s="128">
        <v>1.21</v>
      </c>
      <c r="Q49" s="128">
        <v>1.22</v>
      </c>
      <c r="R49" s="128">
        <v>1.23</v>
      </c>
      <c r="S49" s="128">
        <v>1.24</v>
      </c>
      <c r="T49" s="128">
        <v>1.25</v>
      </c>
      <c r="U49" s="128">
        <v>1.26</v>
      </c>
      <c r="V49" s="128">
        <v>1.27</v>
      </c>
      <c r="W49" s="128">
        <v>1.28</v>
      </c>
      <c r="X49" s="128">
        <v>1.29</v>
      </c>
      <c r="Y49" s="128">
        <v>1.3</v>
      </c>
      <c r="Z49" s="128">
        <v>1.31</v>
      </c>
      <c r="AA49" s="128">
        <v>1.32</v>
      </c>
      <c r="AB49" s="128">
        <v>1.32</v>
      </c>
      <c r="AC49" s="128">
        <v>1.33</v>
      </c>
      <c r="AD49" s="128">
        <v>1.34</v>
      </c>
      <c r="AE49" s="128">
        <v>1.35</v>
      </c>
      <c r="AF49" s="128">
        <v>1.36</v>
      </c>
      <c r="AG49" s="128">
        <v>1.36</v>
      </c>
      <c r="AH49" s="128">
        <v>1.37</v>
      </c>
      <c r="AI49" s="128">
        <v>1.38</v>
      </c>
      <c r="AJ49" s="128">
        <v>1.39</v>
      </c>
      <c r="AK49" s="128">
        <v>1.39</v>
      </c>
      <c r="AL49" s="128">
        <v>1.4</v>
      </c>
      <c r="AM49" s="128">
        <v>1.41</v>
      </c>
      <c r="AN49" s="128">
        <v>1.41</v>
      </c>
      <c r="AO49" s="128">
        <v>1.42</v>
      </c>
      <c r="AP49" s="128">
        <v>1.43</v>
      </c>
      <c r="AQ49" s="128">
        <v>1.43</v>
      </c>
      <c r="AR49" s="128">
        <v>1.44</v>
      </c>
      <c r="AS49" s="128">
        <v>1.44</v>
      </c>
      <c r="AT49" s="128">
        <v>1.45</v>
      </c>
      <c r="AU49" s="128">
        <v>1.45</v>
      </c>
      <c r="AV49" s="128">
        <v>1.46</v>
      </c>
      <c r="AW49" s="128">
        <v>1.47</v>
      </c>
      <c r="AX49" s="128">
        <v>1.48</v>
      </c>
      <c r="AY49" s="128">
        <v>1.49</v>
      </c>
      <c r="AZ49" s="128">
        <v>1.5</v>
      </c>
      <c r="BA49" s="128">
        <v>1.51</v>
      </c>
      <c r="BB49" s="128">
        <v>1.52</v>
      </c>
      <c r="BC49" s="128">
        <v>1.53</v>
      </c>
      <c r="BD49" s="128">
        <v>1.54</v>
      </c>
      <c r="BE49" s="128">
        <v>1.55</v>
      </c>
      <c r="BF49" s="128">
        <v>1.55</v>
      </c>
      <c r="BG49" s="128">
        <v>1.56</v>
      </c>
      <c r="BH49" s="128">
        <v>1.56</v>
      </c>
      <c r="BI49" s="128">
        <v>1.57</v>
      </c>
      <c r="BJ49" s="128">
        <v>1.57</v>
      </c>
      <c r="BK49" s="128">
        <v>1.58</v>
      </c>
      <c r="BL49" s="128">
        <v>1.59</v>
      </c>
      <c r="BM49" s="128">
        <v>1.59</v>
      </c>
      <c r="BN49" s="128">
        <v>1.6</v>
      </c>
      <c r="BO49" s="128">
        <v>1.61</v>
      </c>
      <c r="BP49" s="128">
        <v>1.61</v>
      </c>
      <c r="BQ49" s="128">
        <v>1.62</v>
      </c>
      <c r="BR49" s="128">
        <v>1.63</v>
      </c>
      <c r="BS49" s="128">
        <v>1.64</v>
      </c>
      <c r="BT49" s="128">
        <v>1.64</v>
      </c>
      <c r="BU49" s="128">
        <v>1.65</v>
      </c>
      <c r="BV49" s="128">
        <v>1.66</v>
      </c>
      <c r="BW49" s="128">
        <v>1.67</v>
      </c>
      <c r="BX49" s="128">
        <v>1.68</v>
      </c>
      <c r="BY49" s="128">
        <v>1.68</v>
      </c>
      <c r="BZ49" s="128">
        <v>1.69</v>
      </c>
      <c r="CA49" s="128">
        <v>1.7</v>
      </c>
      <c r="CB49" s="128">
        <v>1.71</v>
      </c>
      <c r="CC49" s="128">
        <v>1.72</v>
      </c>
      <c r="CD49" s="128">
        <v>1.73</v>
      </c>
      <c r="CE49" s="128">
        <v>1.74</v>
      </c>
      <c r="CF49" s="128">
        <v>1.75</v>
      </c>
      <c r="CG49" s="128">
        <v>1.76</v>
      </c>
      <c r="CH49" s="128">
        <v>1.77</v>
      </c>
      <c r="CI49" s="128">
        <v>1.78</v>
      </c>
      <c r="CJ49" s="128">
        <v>1.79</v>
      </c>
      <c r="CK49" s="128">
        <v>1.81</v>
      </c>
      <c r="CL49" s="128">
        <v>1.82</v>
      </c>
      <c r="CM49" s="128">
        <v>1.83</v>
      </c>
      <c r="CN49" s="128">
        <v>1.84</v>
      </c>
      <c r="CO49" s="128">
        <v>1.86</v>
      </c>
      <c r="CP49" s="128">
        <v>1.87</v>
      </c>
      <c r="CQ49" s="128">
        <v>1.89</v>
      </c>
      <c r="CR49" s="128">
        <v>1.9</v>
      </c>
      <c r="CS49" s="128">
        <v>1.92</v>
      </c>
      <c r="CT49" s="128">
        <v>1.93</v>
      </c>
      <c r="CU49" s="128">
        <v>1.95</v>
      </c>
      <c r="CV49" s="128">
        <v>1.96</v>
      </c>
      <c r="CW49" s="128">
        <v>1.98</v>
      </c>
      <c r="CX49" s="128">
        <v>2</v>
      </c>
      <c r="CZ49" s="126">
        <f>SUMIF(MatrixF2[[1]:[2]],MatrixF2[[#This Row],[Столбец1]])/MatrixF2[[#This Row],[Столбец1]]</f>
        <v>107.99999999999994</v>
      </c>
    </row>
    <row r="50" spans="1:104" ht="21" customHeight="1" x14ac:dyDescent="0.25">
      <c r="A50" s="127">
        <v>1.47</v>
      </c>
      <c r="B50" s="128">
        <v>1</v>
      </c>
      <c r="C50" s="128">
        <v>1.02</v>
      </c>
      <c r="D50" s="128">
        <v>1.04</v>
      </c>
      <c r="E50" s="128">
        <v>1.05</v>
      </c>
      <c r="F50" s="128">
        <v>1.07</v>
      </c>
      <c r="G50" s="128">
        <v>1.0900000000000001</v>
      </c>
      <c r="H50" s="128">
        <v>1.1000000000000001</v>
      </c>
      <c r="I50" s="128">
        <v>1.1200000000000001</v>
      </c>
      <c r="J50" s="128">
        <v>1.1299999999999999</v>
      </c>
      <c r="K50" s="128">
        <v>1.1499999999999999</v>
      </c>
      <c r="L50" s="128">
        <v>1.1599999999999999</v>
      </c>
      <c r="M50" s="128">
        <v>1.17</v>
      </c>
      <c r="N50" s="128">
        <v>1.18</v>
      </c>
      <c r="O50" s="128">
        <v>1.2</v>
      </c>
      <c r="P50" s="128">
        <v>1.21</v>
      </c>
      <c r="Q50" s="128">
        <v>1.22</v>
      </c>
      <c r="R50" s="128">
        <v>1.23</v>
      </c>
      <c r="S50" s="128">
        <v>1.24</v>
      </c>
      <c r="T50" s="128">
        <v>1.25</v>
      </c>
      <c r="U50" s="128">
        <v>1.26</v>
      </c>
      <c r="V50" s="128">
        <v>1.27</v>
      </c>
      <c r="W50" s="128">
        <v>1.28</v>
      </c>
      <c r="X50" s="128">
        <v>1.29</v>
      </c>
      <c r="Y50" s="128">
        <v>1.3</v>
      </c>
      <c r="Z50" s="128">
        <v>1.31</v>
      </c>
      <c r="AA50" s="128">
        <v>1.32</v>
      </c>
      <c r="AB50" s="128">
        <v>1.33</v>
      </c>
      <c r="AC50" s="128">
        <v>1.34</v>
      </c>
      <c r="AD50" s="128">
        <v>1.35</v>
      </c>
      <c r="AE50" s="128">
        <v>1.35</v>
      </c>
      <c r="AF50" s="128">
        <v>1.36</v>
      </c>
      <c r="AG50" s="128">
        <v>1.37</v>
      </c>
      <c r="AH50" s="128">
        <v>1.38</v>
      </c>
      <c r="AI50" s="128">
        <v>1.38</v>
      </c>
      <c r="AJ50" s="128">
        <v>1.39</v>
      </c>
      <c r="AK50" s="128">
        <v>1.4</v>
      </c>
      <c r="AL50" s="128">
        <v>1.4</v>
      </c>
      <c r="AM50" s="128">
        <v>1.41</v>
      </c>
      <c r="AN50" s="128">
        <v>1.42</v>
      </c>
      <c r="AO50" s="128">
        <v>1.42</v>
      </c>
      <c r="AP50" s="128">
        <v>1.43</v>
      </c>
      <c r="AQ50" s="128">
        <v>1.44</v>
      </c>
      <c r="AR50" s="128">
        <v>1.44</v>
      </c>
      <c r="AS50" s="128">
        <v>1.45</v>
      </c>
      <c r="AT50" s="128">
        <v>1.45</v>
      </c>
      <c r="AU50" s="128">
        <v>1.46</v>
      </c>
      <c r="AV50" s="128">
        <v>1.46</v>
      </c>
      <c r="AW50" s="128">
        <v>1.47</v>
      </c>
      <c r="AX50" s="128">
        <v>1.48</v>
      </c>
      <c r="AY50" s="128">
        <v>1.49</v>
      </c>
      <c r="AZ50" s="128">
        <v>1.5</v>
      </c>
      <c r="BA50" s="128">
        <v>1.51</v>
      </c>
      <c r="BB50" s="128">
        <v>1.52</v>
      </c>
      <c r="BC50" s="128">
        <v>1.53</v>
      </c>
      <c r="BD50" s="128">
        <v>1.54</v>
      </c>
      <c r="BE50" s="128">
        <v>1.54</v>
      </c>
      <c r="BF50" s="128">
        <v>1.55</v>
      </c>
      <c r="BG50" s="128">
        <v>1.55</v>
      </c>
      <c r="BH50" s="128">
        <v>1.56</v>
      </c>
      <c r="BI50" s="128">
        <v>1.56</v>
      </c>
      <c r="BJ50" s="128">
        <v>1.57</v>
      </c>
      <c r="BK50" s="128">
        <v>1.58</v>
      </c>
      <c r="BL50" s="128">
        <v>1.58</v>
      </c>
      <c r="BM50" s="128">
        <v>1.59</v>
      </c>
      <c r="BN50" s="128">
        <v>1.6</v>
      </c>
      <c r="BO50" s="128">
        <v>1.6</v>
      </c>
      <c r="BP50" s="128">
        <v>1.61</v>
      </c>
      <c r="BQ50" s="128">
        <v>1.62</v>
      </c>
      <c r="BR50" s="128">
        <v>1.62</v>
      </c>
      <c r="BS50" s="128">
        <v>1.63</v>
      </c>
      <c r="BT50" s="128">
        <v>1.64</v>
      </c>
      <c r="BU50" s="128">
        <v>1.65</v>
      </c>
      <c r="BV50" s="128">
        <v>1.65</v>
      </c>
      <c r="BW50" s="128">
        <v>1.66</v>
      </c>
      <c r="BX50" s="128">
        <v>1.67</v>
      </c>
      <c r="BY50" s="128">
        <v>1.68</v>
      </c>
      <c r="BZ50" s="128">
        <v>1.69</v>
      </c>
      <c r="CA50" s="128">
        <v>1.7</v>
      </c>
      <c r="CB50" s="128">
        <v>1.71</v>
      </c>
      <c r="CC50" s="128">
        <v>1.72</v>
      </c>
      <c r="CD50" s="128">
        <v>1.73</v>
      </c>
      <c r="CE50" s="128">
        <v>1.74</v>
      </c>
      <c r="CF50" s="128">
        <v>1.75</v>
      </c>
      <c r="CG50" s="128">
        <v>1.76</v>
      </c>
      <c r="CH50" s="128">
        <v>1.77</v>
      </c>
      <c r="CI50" s="128">
        <v>1.78</v>
      </c>
      <c r="CJ50" s="128">
        <v>1.79</v>
      </c>
      <c r="CK50" s="128">
        <v>1.8</v>
      </c>
      <c r="CL50" s="128">
        <v>1.82</v>
      </c>
      <c r="CM50" s="128">
        <v>1.83</v>
      </c>
      <c r="CN50" s="128">
        <v>1.84</v>
      </c>
      <c r="CO50" s="128">
        <v>1.85</v>
      </c>
      <c r="CP50" s="128">
        <v>1.87</v>
      </c>
      <c r="CQ50" s="128">
        <v>1.88</v>
      </c>
      <c r="CR50" s="128">
        <v>1.9</v>
      </c>
      <c r="CS50" s="128">
        <v>1.91</v>
      </c>
      <c r="CT50" s="128">
        <v>1.93</v>
      </c>
      <c r="CU50" s="128">
        <v>1.95</v>
      </c>
      <c r="CV50" s="128">
        <v>1.96</v>
      </c>
      <c r="CW50" s="128">
        <v>1.98</v>
      </c>
      <c r="CX50" s="128">
        <v>2</v>
      </c>
      <c r="CZ50" s="126">
        <f>SUMIF(MatrixF2[[1]:[2]],MatrixF2[[#This Row],[Столбец1]])/MatrixF2[[#This Row],[Столбец1]]</f>
        <v>105.99999999999994</v>
      </c>
    </row>
    <row r="51" spans="1:104" ht="21" customHeight="1" x14ac:dyDescent="0.25">
      <c r="A51" s="127">
        <v>1.48</v>
      </c>
      <c r="B51" s="128">
        <v>1</v>
      </c>
      <c r="C51" s="128">
        <v>1.02</v>
      </c>
      <c r="D51" s="128">
        <v>1.04</v>
      </c>
      <c r="E51" s="128">
        <v>1.05</v>
      </c>
      <c r="F51" s="128">
        <v>1.07</v>
      </c>
      <c r="G51" s="128">
        <v>1.0900000000000001</v>
      </c>
      <c r="H51" s="128">
        <v>1.1000000000000001</v>
      </c>
      <c r="I51" s="128">
        <v>1.1200000000000001</v>
      </c>
      <c r="J51" s="128">
        <v>1.1299999999999999</v>
      </c>
      <c r="K51" s="128">
        <v>1.1499999999999999</v>
      </c>
      <c r="L51" s="128">
        <v>1.1599999999999999</v>
      </c>
      <c r="M51" s="128">
        <v>1.17</v>
      </c>
      <c r="N51" s="128">
        <v>1.19</v>
      </c>
      <c r="O51" s="128">
        <v>1.2</v>
      </c>
      <c r="P51" s="128">
        <v>1.21</v>
      </c>
      <c r="Q51" s="128">
        <v>1.22</v>
      </c>
      <c r="R51" s="128">
        <v>1.24</v>
      </c>
      <c r="S51" s="128">
        <v>1.25</v>
      </c>
      <c r="T51" s="128">
        <v>1.26</v>
      </c>
      <c r="U51" s="128">
        <v>1.27</v>
      </c>
      <c r="V51" s="128">
        <v>1.28</v>
      </c>
      <c r="W51" s="128">
        <v>1.29</v>
      </c>
      <c r="X51" s="128">
        <v>1.3</v>
      </c>
      <c r="Y51" s="128">
        <v>1.31</v>
      </c>
      <c r="Z51" s="128">
        <v>1.32</v>
      </c>
      <c r="AA51" s="128">
        <v>1.32</v>
      </c>
      <c r="AB51" s="128">
        <v>1.33</v>
      </c>
      <c r="AC51" s="128">
        <v>1.34</v>
      </c>
      <c r="AD51" s="128">
        <v>1.35</v>
      </c>
      <c r="AE51" s="128">
        <v>1.36</v>
      </c>
      <c r="AF51" s="128">
        <v>1.37</v>
      </c>
      <c r="AG51" s="128">
        <v>1.37</v>
      </c>
      <c r="AH51" s="128">
        <v>1.38</v>
      </c>
      <c r="AI51" s="128">
        <v>1.39</v>
      </c>
      <c r="AJ51" s="128">
        <v>1.4</v>
      </c>
      <c r="AK51" s="128">
        <v>1.4</v>
      </c>
      <c r="AL51" s="128">
        <v>1.41</v>
      </c>
      <c r="AM51" s="128">
        <v>1.42</v>
      </c>
      <c r="AN51" s="128">
        <v>1.42</v>
      </c>
      <c r="AO51" s="128">
        <v>1.43</v>
      </c>
      <c r="AP51" s="128">
        <v>1.43</v>
      </c>
      <c r="AQ51" s="128">
        <v>1.44</v>
      </c>
      <c r="AR51" s="128">
        <v>1.45</v>
      </c>
      <c r="AS51" s="128">
        <v>1.45</v>
      </c>
      <c r="AT51" s="128">
        <v>1.46</v>
      </c>
      <c r="AU51" s="128">
        <v>1.46</v>
      </c>
      <c r="AV51" s="128">
        <v>1.47</v>
      </c>
      <c r="AW51" s="128">
        <v>1.47</v>
      </c>
      <c r="AX51" s="128">
        <v>1.48</v>
      </c>
      <c r="AY51" s="128">
        <v>1.49</v>
      </c>
      <c r="AZ51" s="128">
        <v>1.5</v>
      </c>
      <c r="BA51" s="128">
        <v>1.51</v>
      </c>
      <c r="BB51" s="128">
        <v>1.52</v>
      </c>
      <c r="BC51" s="128">
        <v>1.53</v>
      </c>
      <c r="BD51" s="128">
        <v>1.53</v>
      </c>
      <c r="BE51" s="128">
        <v>1.54</v>
      </c>
      <c r="BF51" s="128">
        <v>1.54</v>
      </c>
      <c r="BG51" s="128">
        <v>1.55</v>
      </c>
      <c r="BH51" s="128">
        <v>1.55</v>
      </c>
      <c r="BI51" s="128">
        <v>1.56</v>
      </c>
      <c r="BJ51" s="128">
        <v>1.57</v>
      </c>
      <c r="BK51" s="128">
        <v>1.57</v>
      </c>
      <c r="BL51" s="128">
        <v>1.58</v>
      </c>
      <c r="BM51" s="128">
        <v>1.58</v>
      </c>
      <c r="BN51" s="128">
        <v>1.59</v>
      </c>
      <c r="BO51" s="128">
        <v>1.6</v>
      </c>
      <c r="BP51" s="128">
        <v>1.6</v>
      </c>
      <c r="BQ51" s="128">
        <v>1.61</v>
      </c>
      <c r="BR51" s="128">
        <v>1.62</v>
      </c>
      <c r="BS51" s="128">
        <v>1.63</v>
      </c>
      <c r="BT51" s="128">
        <v>1.63</v>
      </c>
      <c r="BU51" s="128">
        <v>1.64</v>
      </c>
      <c r="BV51" s="128">
        <v>1.65</v>
      </c>
      <c r="BW51" s="128">
        <v>1.66</v>
      </c>
      <c r="BX51" s="128">
        <v>1.67</v>
      </c>
      <c r="BY51" s="128">
        <v>1.68</v>
      </c>
      <c r="BZ51" s="128">
        <v>1.68</v>
      </c>
      <c r="CA51" s="128">
        <v>1.69</v>
      </c>
      <c r="CB51" s="128">
        <v>1.7</v>
      </c>
      <c r="CC51" s="128">
        <v>1.71</v>
      </c>
      <c r="CD51" s="128">
        <v>1.72</v>
      </c>
      <c r="CE51" s="128">
        <v>1.73</v>
      </c>
      <c r="CF51" s="128">
        <v>1.74</v>
      </c>
      <c r="CG51" s="128">
        <v>1.75</v>
      </c>
      <c r="CH51" s="128">
        <v>1.76</v>
      </c>
      <c r="CI51" s="128">
        <v>1.78</v>
      </c>
      <c r="CJ51" s="128">
        <v>1.79</v>
      </c>
      <c r="CK51" s="128">
        <v>1.8</v>
      </c>
      <c r="CL51" s="128">
        <v>1.81</v>
      </c>
      <c r="CM51" s="128">
        <v>1.83</v>
      </c>
      <c r="CN51" s="128">
        <v>1.84</v>
      </c>
      <c r="CO51" s="128">
        <v>1.85</v>
      </c>
      <c r="CP51" s="128">
        <v>1.87</v>
      </c>
      <c r="CQ51" s="128">
        <v>1.88</v>
      </c>
      <c r="CR51" s="128">
        <v>1.9</v>
      </c>
      <c r="CS51" s="128">
        <v>1.91</v>
      </c>
      <c r="CT51" s="128">
        <v>1.93</v>
      </c>
      <c r="CU51" s="128">
        <v>1.95</v>
      </c>
      <c r="CV51" s="128">
        <v>1.96</v>
      </c>
      <c r="CW51" s="128">
        <v>1.98</v>
      </c>
      <c r="CX51" s="128">
        <v>2</v>
      </c>
      <c r="CZ51" s="126">
        <f>SUMIF(MatrixF2[[1]:[2]],MatrixF2[[#This Row],[Столбец1]])/MatrixF2[[#This Row],[Столбец1]]</f>
        <v>103.99999999999996</v>
      </c>
    </row>
    <row r="52" spans="1:104" ht="21" customHeight="1" x14ac:dyDescent="0.25">
      <c r="A52" s="127">
        <v>1.49</v>
      </c>
      <c r="B52" s="128">
        <v>1</v>
      </c>
      <c r="C52" s="128">
        <v>1.02</v>
      </c>
      <c r="D52" s="128">
        <v>1.04</v>
      </c>
      <c r="E52" s="128">
        <v>1.06</v>
      </c>
      <c r="F52" s="128">
        <v>1.07</v>
      </c>
      <c r="G52" s="128">
        <v>1.0900000000000001</v>
      </c>
      <c r="H52" s="128">
        <v>1.1100000000000001</v>
      </c>
      <c r="I52" s="128">
        <v>1.1200000000000001</v>
      </c>
      <c r="J52" s="128">
        <v>1.1399999999999999</v>
      </c>
      <c r="K52" s="128">
        <v>1.1499999999999999</v>
      </c>
      <c r="L52" s="128">
        <v>1.1599999999999999</v>
      </c>
      <c r="M52" s="128">
        <v>1.18</v>
      </c>
      <c r="N52" s="128">
        <v>1.19</v>
      </c>
      <c r="O52" s="128">
        <v>1.2</v>
      </c>
      <c r="P52" s="128">
        <v>1.22</v>
      </c>
      <c r="Q52" s="128">
        <v>1.23</v>
      </c>
      <c r="R52" s="128">
        <v>1.24</v>
      </c>
      <c r="S52" s="128">
        <v>1.25</v>
      </c>
      <c r="T52" s="128">
        <v>1.26</v>
      </c>
      <c r="U52" s="128">
        <v>1.27</v>
      </c>
      <c r="V52" s="128">
        <v>1.28</v>
      </c>
      <c r="W52" s="128">
        <v>1.29</v>
      </c>
      <c r="X52" s="128">
        <v>1.3</v>
      </c>
      <c r="Y52" s="128">
        <v>1.31</v>
      </c>
      <c r="Z52" s="128">
        <v>1.32</v>
      </c>
      <c r="AA52" s="128">
        <v>1.33</v>
      </c>
      <c r="AB52" s="128">
        <v>1.34</v>
      </c>
      <c r="AC52" s="128">
        <v>1.35</v>
      </c>
      <c r="AD52" s="128">
        <v>1.35</v>
      </c>
      <c r="AE52" s="128">
        <v>1.36</v>
      </c>
      <c r="AF52" s="128">
        <v>1.37</v>
      </c>
      <c r="AG52" s="128">
        <v>1.38</v>
      </c>
      <c r="AH52" s="128">
        <v>1.39</v>
      </c>
      <c r="AI52" s="128">
        <v>1.39</v>
      </c>
      <c r="AJ52" s="128">
        <v>1.4</v>
      </c>
      <c r="AK52" s="128">
        <v>1.41</v>
      </c>
      <c r="AL52" s="128">
        <v>1.41</v>
      </c>
      <c r="AM52" s="128">
        <v>1.42</v>
      </c>
      <c r="AN52" s="128">
        <v>1.43</v>
      </c>
      <c r="AO52" s="128">
        <v>1.43</v>
      </c>
      <c r="AP52" s="128">
        <v>1.44</v>
      </c>
      <c r="AQ52" s="128">
        <v>1.45</v>
      </c>
      <c r="AR52" s="128">
        <v>1.45</v>
      </c>
      <c r="AS52" s="128">
        <v>1.46</v>
      </c>
      <c r="AT52" s="128">
        <v>1.46</v>
      </c>
      <c r="AU52" s="128">
        <v>1.47</v>
      </c>
      <c r="AV52" s="128">
        <v>1.47</v>
      </c>
      <c r="AW52" s="128">
        <v>1.48</v>
      </c>
      <c r="AX52" s="128">
        <v>1.48</v>
      </c>
      <c r="AY52" s="128">
        <v>1.49</v>
      </c>
      <c r="AZ52" s="128">
        <v>1.5</v>
      </c>
      <c r="BA52" s="128">
        <v>1.51</v>
      </c>
      <c r="BB52" s="128">
        <v>1.52</v>
      </c>
      <c r="BC52" s="128">
        <v>1.52</v>
      </c>
      <c r="BD52" s="128">
        <v>1.53</v>
      </c>
      <c r="BE52" s="128">
        <v>1.53</v>
      </c>
      <c r="BF52" s="128">
        <v>1.54</v>
      </c>
      <c r="BG52" s="128">
        <v>1.54</v>
      </c>
      <c r="BH52" s="128">
        <v>1.55</v>
      </c>
      <c r="BI52" s="128">
        <v>1.55</v>
      </c>
      <c r="BJ52" s="128">
        <v>1.56</v>
      </c>
      <c r="BK52" s="128">
        <v>1.57</v>
      </c>
      <c r="BL52" s="128">
        <v>1.57</v>
      </c>
      <c r="BM52" s="128">
        <v>1.58</v>
      </c>
      <c r="BN52" s="128">
        <v>1.59</v>
      </c>
      <c r="BO52" s="128">
        <v>1.59</v>
      </c>
      <c r="BP52" s="128">
        <v>1.6</v>
      </c>
      <c r="BQ52" s="128">
        <v>1.61</v>
      </c>
      <c r="BR52" s="128">
        <v>1.61</v>
      </c>
      <c r="BS52" s="128">
        <v>1.62</v>
      </c>
      <c r="BT52" s="128">
        <v>1.63</v>
      </c>
      <c r="BU52" s="128">
        <v>1.64</v>
      </c>
      <c r="BV52" s="128">
        <v>1.65</v>
      </c>
      <c r="BW52" s="128">
        <v>1.65</v>
      </c>
      <c r="BX52" s="128">
        <v>1.66</v>
      </c>
      <c r="BY52" s="128">
        <v>1.67</v>
      </c>
      <c r="BZ52" s="128">
        <v>1.68</v>
      </c>
      <c r="CA52" s="128">
        <v>1.69</v>
      </c>
      <c r="CB52" s="128">
        <v>1.7</v>
      </c>
      <c r="CC52" s="128">
        <v>1.71</v>
      </c>
      <c r="CD52" s="128">
        <v>1.72</v>
      </c>
      <c r="CE52" s="128">
        <v>1.73</v>
      </c>
      <c r="CF52" s="128">
        <v>1.74</v>
      </c>
      <c r="CG52" s="128">
        <v>1.75</v>
      </c>
      <c r="CH52" s="128">
        <v>1.76</v>
      </c>
      <c r="CI52" s="128">
        <v>1.77</v>
      </c>
      <c r="CJ52" s="128">
        <v>1.78</v>
      </c>
      <c r="CK52" s="128">
        <v>1.8</v>
      </c>
      <c r="CL52" s="128">
        <v>1.81</v>
      </c>
      <c r="CM52" s="128">
        <v>1.82</v>
      </c>
      <c r="CN52" s="128">
        <v>1.84</v>
      </c>
      <c r="CO52" s="128">
        <v>1.85</v>
      </c>
      <c r="CP52" s="128">
        <v>1.86</v>
      </c>
      <c r="CQ52" s="128">
        <v>1.88</v>
      </c>
      <c r="CR52" s="128">
        <v>1.89</v>
      </c>
      <c r="CS52" s="128">
        <v>1.91</v>
      </c>
      <c r="CT52" s="128">
        <v>1.93</v>
      </c>
      <c r="CU52" s="128">
        <v>1.94</v>
      </c>
      <c r="CV52" s="128">
        <v>1.96</v>
      </c>
      <c r="CW52" s="128">
        <v>1.98</v>
      </c>
      <c r="CX52" s="128">
        <v>2</v>
      </c>
      <c r="CZ52" s="126">
        <f>SUMIF(MatrixF2[[1]:[2]],MatrixF2[[#This Row],[Столбец1]])/MatrixF2[[#This Row],[Столбец1]]</f>
        <v>101.99999999999997</v>
      </c>
    </row>
    <row r="53" spans="1:104" ht="21" customHeight="1" x14ac:dyDescent="0.25">
      <c r="A53" s="127">
        <v>1.5</v>
      </c>
      <c r="B53" s="128">
        <v>1</v>
      </c>
      <c r="C53" s="128">
        <v>1.02</v>
      </c>
      <c r="D53" s="128">
        <v>1.04</v>
      </c>
      <c r="E53" s="128">
        <v>1.06</v>
      </c>
      <c r="F53" s="128">
        <v>1.07</v>
      </c>
      <c r="G53" s="128">
        <v>1.0900000000000001</v>
      </c>
      <c r="H53" s="128">
        <v>1.1100000000000001</v>
      </c>
      <c r="I53" s="128">
        <v>1.1200000000000001</v>
      </c>
      <c r="J53" s="128">
        <v>1.1399999999999999</v>
      </c>
      <c r="K53" s="128">
        <v>1.1499999999999999</v>
      </c>
      <c r="L53" s="128">
        <v>1.17</v>
      </c>
      <c r="M53" s="128">
        <v>1.18</v>
      </c>
      <c r="N53" s="128">
        <v>1.19</v>
      </c>
      <c r="O53" s="128">
        <v>1.21</v>
      </c>
      <c r="P53" s="128">
        <v>1.22</v>
      </c>
      <c r="Q53" s="128">
        <v>1.23</v>
      </c>
      <c r="R53" s="128">
        <v>1.24</v>
      </c>
      <c r="S53" s="128">
        <v>1.25</v>
      </c>
      <c r="T53" s="128">
        <v>1.26</v>
      </c>
      <c r="U53" s="128">
        <v>1.28</v>
      </c>
      <c r="V53" s="128">
        <v>1.29</v>
      </c>
      <c r="W53" s="128">
        <v>1.3</v>
      </c>
      <c r="X53" s="128">
        <v>1.31</v>
      </c>
      <c r="Y53" s="128">
        <v>1.32</v>
      </c>
      <c r="Z53" s="128">
        <v>1.32</v>
      </c>
      <c r="AA53" s="128">
        <v>1.33</v>
      </c>
      <c r="AB53" s="128">
        <v>1.34</v>
      </c>
      <c r="AC53" s="128">
        <v>1.35</v>
      </c>
      <c r="AD53" s="128">
        <v>1.36</v>
      </c>
      <c r="AE53" s="128">
        <v>1.37</v>
      </c>
      <c r="AF53" s="128">
        <v>1.38</v>
      </c>
      <c r="AG53" s="128">
        <v>1.38</v>
      </c>
      <c r="AH53" s="128">
        <v>1.39</v>
      </c>
      <c r="AI53" s="128">
        <v>1.4</v>
      </c>
      <c r="AJ53" s="128">
        <v>1.4</v>
      </c>
      <c r="AK53" s="128">
        <v>1.41</v>
      </c>
      <c r="AL53" s="128">
        <v>1.42</v>
      </c>
      <c r="AM53" s="128">
        <v>1.43</v>
      </c>
      <c r="AN53" s="128">
        <v>1.43</v>
      </c>
      <c r="AO53" s="128">
        <v>1.44</v>
      </c>
      <c r="AP53" s="128">
        <v>1.44</v>
      </c>
      <c r="AQ53" s="128">
        <v>1.45</v>
      </c>
      <c r="AR53" s="128">
        <v>1.46</v>
      </c>
      <c r="AS53" s="128">
        <v>1.46</v>
      </c>
      <c r="AT53" s="128">
        <v>1.47</v>
      </c>
      <c r="AU53" s="128">
        <v>1.47</v>
      </c>
      <c r="AV53" s="128">
        <v>1.48</v>
      </c>
      <c r="AW53" s="128">
        <v>1.48</v>
      </c>
      <c r="AX53" s="128">
        <v>1.49</v>
      </c>
      <c r="AY53" s="128">
        <v>1.49</v>
      </c>
      <c r="AZ53" s="128">
        <v>1.5</v>
      </c>
      <c r="BA53" s="128">
        <v>1.51</v>
      </c>
      <c r="BB53" s="128">
        <v>1.51</v>
      </c>
      <c r="BC53" s="128">
        <v>1.52</v>
      </c>
      <c r="BD53" s="128">
        <v>1.52</v>
      </c>
      <c r="BE53" s="128">
        <v>1.53</v>
      </c>
      <c r="BF53" s="128">
        <v>1.53</v>
      </c>
      <c r="BG53" s="128">
        <v>1.54</v>
      </c>
      <c r="BH53" s="128">
        <v>1.54</v>
      </c>
      <c r="BI53" s="128">
        <v>1.55</v>
      </c>
      <c r="BJ53" s="128">
        <v>1.56</v>
      </c>
      <c r="BK53" s="128">
        <v>1.56</v>
      </c>
      <c r="BL53" s="128">
        <v>1.57</v>
      </c>
      <c r="BM53" s="128">
        <v>1.57</v>
      </c>
      <c r="BN53" s="128">
        <v>1.58</v>
      </c>
      <c r="BO53" s="128">
        <v>1.59</v>
      </c>
      <c r="BP53" s="128">
        <v>1.6</v>
      </c>
      <c r="BQ53" s="128">
        <v>1.6</v>
      </c>
      <c r="BR53" s="128">
        <v>1.61</v>
      </c>
      <c r="BS53" s="128">
        <v>1.62</v>
      </c>
      <c r="BT53" s="128">
        <v>1.62</v>
      </c>
      <c r="BU53" s="128">
        <v>1.63</v>
      </c>
      <c r="BV53" s="128">
        <v>1.64</v>
      </c>
      <c r="BW53" s="128">
        <v>1.65</v>
      </c>
      <c r="BX53" s="128">
        <v>1.66</v>
      </c>
      <c r="BY53" s="128">
        <v>1.67</v>
      </c>
      <c r="BZ53" s="128">
        <v>1.68</v>
      </c>
      <c r="CA53" s="128">
        <v>1.68</v>
      </c>
      <c r="CB53" s="128">
        <v>1.69</v>
      </c>
      <c r="CC53" s="128">
        <v>1.7</v>
      </c>
      <c r="CD53" s="128">
        <v>1.71</v>
      </c>
      <c r="CE53" s="128">
        <v>1.72</v>
      </c>
      <c r="CF53" s="128">
        <v>1.74</v>
      </c>
      <c r="CG53" s="128">
        <v>1.75</v>
      </c>
      <c r="CH53" s="128">
        <v>1.76</v>
      </c>
      <c r="CI53" s="128">
        <v>1.77</v>
      </c>
      <c r="CJ53" s="128">
        <v>1.78</v>
      </c>
      <c r="CK53" s="128">
        <v>1.79</v>
      </c>
      <c r="CL53" s="128">
        <v>1.81</v>
      </c>
      <c r="CM53" s="128">
        <v>1.82</v>
      </c>
      <c r="CN53" s="128">
        <v>1.83</v>
      </c>
      <c r="CO53" s="128">
        <v>1.85</v>
      </c>
      <c r="CP53" s="128">
        <v>1.86</v>
      </c>
      <c r="CQ53" s="128">
        <v>1.88</v>
      </c>
      <c r="CR53" s="128">
        <v>1.89</v>
      </c>
      <c r="CS53" s="128">
        <v>1.91</v>
      </c>
      <c r="CT53" s="128">
        <v>1.93</v>
      </c>
      <c r="CU53" s="128">
        <v>1.94</v>
      </c>
      <c r="CV53" s="128">
        <v>1.96</v>
      </c>
      <c r="CW53" s="128">
        <v>1.98</v>
      </c>
      <c r="CX53" s="128">
        <v>2</v>
      </c>
      <c r="CZ53" s="126">
        <f>SUMIF(MatrixF2[[1]:[2]],MatrixF2[[#This Row],[Столбец1]])/MatrixF2[[#This Row],[Столбец1]]</f>
        <v>101</v>
      </c>
    </row>
    <row r="54" spans="1:104" ht="21" customHeight="1" x14ac:dyDescent="0.25">
      <c r="A54" s="127">
        <v>1.51</v>
      </c>
      <c r="B54" s="128">
        <v>1</v>
      </c>
      <c r="C54" s="128">
        <v>1.02</v>
      </c>
      <c r="D54" s="128">
        <v>1.04</v>
      </c>
      <c r="E54" s="128">
        <v>1.06</v>
      </c>
      <c r="F54" s="128">
        <v>1.07</v>
      </c>
      <c r="G54" s="128">
        <v>1.0900000000000001</v>
      </c>
      <c r="H54" s="128">
        <v>1.1100000000000001</v>
      </c>
      <c r="I54" s="128">
        <v>1.1200000000000001</v>
      </c>
      <c r="J54" s="128">
        <v>1.1399999999999999</v>
      </c>
      <c r="K54" s="128">
        <v>1.1499999999999999</v>
      </c>
      <c r="L54" s="128">
        <v>1.1599999999999999</v>
      </c>
      <c r="M54" s="128">
        <v>1.18</v>
      </c>
      <c r="N54" s="128">
        <v>1.19</v>
      </c>
      <c r="O54" s="128">
        <v>1.2</v>
      </c>
      <c r="P54" s="128">
        <v>1.22</v>
      </c>
      <c r="Q54" s="128">
        <v>1.23</v>
      </c>
      <c r="R54" s="128">
        <v>1.24</v>
      </c>
      <c r="S54" s="128">
        <v>1.25</v>
      </c>
      <c r="T54" s="128">
        <v>1.26</v>
      </c>
      <c r="U54" s="128">
        <v>1.27</v>
      </c>
      <c r="V54" s="128">
        <v>1.28</v>
      </c>
      <c r="W54" s="128">
        <v>1.29</v>
      </c>
      <c r="X54" s="128">
        <v>1.3</v>
      </c>
      <c r="Y54" s="128">
        <v>1.31</v>
      </c>
      <c r="Z54" s="128">
        <v>1.32</v>
      </c>
      <c r="AA54" s="128">
        <v>1.33</v>
      </c>
      <c r="AB54" s="128">
        <v>1.34</v>
      </c>
      <c r="AC54" s="128">
        <v>1.35</v>
      </c>
      <c r="AD54" s="128">
        <v>1.35</v>
      </c>
      <c r="AE54" s="128">
        <v>1.36</v>
      </c>
      <c r="AF54" s="128">
        <v>1.37</v>
      </c>
      <c r="AG54" s="128">
        <v>1.38</v>
      </c>
      <c r="AH54" s="128">
        <v>1.39</v>
      </c>
      <c r="AI54" s="128">
        <v>1.39</v>
      </c>
      <c r="AJ54" s="128">
        <v>1.4</v>
      </c>
      <c r="AK54" s="128">
        <v>1.41</v>
      </c>
      <c r="AL54" s="128">
        <v>1.41</v>
      </c>
      <c r="AM54" s="128">
        <v>1.42</v>
      </c>
      <c r="AN54" s="128">
        <v>1.43</v>
      </c>
      <c r="AO54" s="128">
        <v>1.43</v>
      </c>
      <c r="AP54" s="128">
        <v>1.44</v>
      </c>
      <c r="AQ54" s="128">
        <v>1.45</v>
      </c>
      <c r="AR54" s="128">
        <v>1.45</v>
      </c>
      <c r="AS54" s="128">
        <v>1.46</v>
      </c>
      <c r="AT54" s="128">
        <v>1.46</v>
      </c>
      <c r="AU54" s="128">
        <v>1.47</v>
      </c>
      <c r="AV54" s="128">
        <v>1.47</v>
      </c>
      <c r="AW54" s="128">
        <v>1.48</v>
      </c>
      <c r="AX54" s="128">
        <v>1.48</v>
      </c>
      <c r="AY54" s="128">
        <v>1.49</v>
      </c>
      <c r="AZ54" s="128">
        <v>1.5</v>
      </c>
      <c r="BA54" s="128">
        <v>1.51</v>
      </c>
      <c r="BB54" s="128">
        <v>1.52</v>
      </c>
      <c r="BC54" s="128">
        <v>1.52</v>
      </c>
      <c r="BD54" s="128">
        <v>1.53</v>
      </c>
      <c r="BE54" s="128">
        <v>1.53</v>
      </c>
      <c r="BF54" s="128">
        <v>1.54</v>
      </c>
      <c r="BG54" s="128">
        <v>1.54</v>
      </c>
      <c r="BH54" s="128">
        <v>1.55</v>
      </c>
      <c r="BI54" s="128">
        <v>1.55</v>
      </c>
      <c r="BJ54" s="128">
        <v>1.56</v>
      </c>
      <c r="BK54" s="128">
        <v>1.57</v>
      </c>
      <c r="BL54" s="128">
        <v>1.57</v>
      </c>
      <c r="BM54" s="128">
        <v>1.58</v>
      </c>
      <c r="BN54" s="128">
        <v>1.59</v>
      </c>
      <c r="BO54" s="128">
        <v>1.59</v>
      </c>
      <c r="BP54" s="128">
        <v>1.6</v>
      </c>
      <c r="BQ54" s="128">
        <v>1.61</v>
      </c>
      <c r="BR54" s="128">
        <v>1.61</v>
      </c>
      <c r="BS54" s="128">
        <v>1.62</v>
      </c>
      <c r="BT54" s="128">
        <v>1.63</v>
      </c>
      <c r="BU54" s="128">
        <v>1.64</v>
      </c>
      <c r="BV54" s="128">
        <v>1.65</v>
      </c>
      <c r="BW54" s="128">
        <v>1.65</v>
      </c>
      <c r="BX54" s="128">
        <v>1.66</v>
      </c>
      <c r="BY54" s="128">
        <v>1.67</v>
      </c>
      <c r="BZ54" s="128">
        <v>1.68</v>
      </c>
      <c r="CA54" s="128">
        <v>1.69</v>
      </c>
      <c r="CB54" s="128">
        <v>1.7</v>
      </c>
      <c r="CC54" s="128">
        <v>1.71</v>
      </c>
      <c r="CD54" s="128">
        <v>1.72</v>
      </c>
      <c r="CE54" s="128">
        <v>1.73</v>
      </c>
      <c r="CF54" s="128">
        <v>1.74</v>
      </c>
      <c r="CG54" s="128">
        <v>1.75</v>
      </c>
      <c r="CH54" s="128">
        <v>1.76</v>
      </c>
      <c r="CI54" s="128">
        <v>1.77</v>
      </c>
      <c r="CJ54" s="128">
        <v>1.78</v>
      </c>
      <c r="CK54" s="128">
        <v>1.8</v>
      </c>
      <c r="CL54" s="128">
        <v>1.81</v>
      </c>
      <c r="CM54" s="128">
        <v>1.82</v>
      </c>
      <c r="CN54" s="128">
        <v>1.84</v>
      </c>
      <c r="CO54" s="128">
        <v>1.85</v>
      </c>
      <c r="CP54" s="128">
        <v>1.86</v>
      </c>
      <c r="CQ54" s="128">
        <v>1.88</v>
      </c>
      <c r="CR54" s="128">
        <v>1.89</v>
      </c>
      <c r="CS54" s="128">
        <v>1.91</v>
      </c>
      <c r="CT54" s="128">
        <v>1.93</v>
      </c>
      <c r="CU54" s="128">
        <v>1.94</v>
      </c>
      <c r="CV54" s="128">
        <v>1.96</v>
      </c>
      <c r="CW54" s="128">
        <v>1.98</v>
      </c>
      <c r="CX54" s="128">
        <v>2</v>
      </c>
      <c r="CZ54" s="126">
        <f>SUMIF(MatrixF2[[1]:[2]],MatrixF2[[#This Row],[Столбец1]])/MatrixF2[[#This Row],[Столбец1]]</f>
        <v>102.00000000000003</v>
      </c>
    </row>
    <row r="55" spans="1:104" ht="21" customHeight="1" x14ac:dyDescent="0.25">
      <c r="A55" s="127">
        <v>1.52</v>
      </c>
      <c r="B55" s="128">
        <v>1</v>
      </c>
      <c r="C55" s="128">
        <v>1.02</v>
      </c>
      <c r="D55" s="128">
        <v>1.04</v>
      </c>
      <c r="E55" s="128">
        <v>1.05</v>
      </c>
      <c r="F55" s="128">
        <v>1.07</v>
      </c>
      <c r="G55" s="128">
        <v>1.0900000000000001</v>
      </c>
      <c r="H55" s="128">
        <v>1.1000000000000001</v>
      </c>
      <c r="I55" s="128">
        <v>1.1200000000000001</v>
      </c>
      <c r="J55" s="128">
        <v>1.1299999999999999</v>
      </c>
      <c r="K55" s="128">
        <v>1.1499999999999999</v>
      </c>
      <c r="L55" s="128">
        <v>1.1599999999999999</v>
      </c>
      <c r="M55" s="128">
        <v>1.17</v>
      </c>
      <c r="N55" s="128">
        <v>1.19</v>
      </c>
      <c r="O55" s="128">
        <v>1.2</v>
      </c>
      <c r="P55" s="128">
        <v>1.21</v>
      </c>
      <c r="Q55" s="128">
        <v>1.22</v>
      </c>
      <c r="R55" s="128">
        <v>1.24</v>
      </c>
      <c r="S55" s="128">
        <v>1.25</v>
      </c>
      <c r="T55" s="128">
        <v>1.26</v>
      </c>
      <c r="U55" s="128">
        <v>1.27</v>
      </c>
      <c r="V55" s="128">
        <v>1.28</v>
      </c>
      <c r="W55" s="128">
        <v>1.29</v>
      </c>
      <c r="X55" s="128">
        <v>1.3</v>
      </c>
      <c r="Y55" s="128">
        <v>1.31</v>
      </c>
      <c r="Z55" s="128">
        <v>1.32</v>
      </c>
      <c r="AA55" s="128">
        <v>1.32</v>
      </c>
      <c r="AB55" s="128">
        <v>1.33</v>
      </c>
      <c r="AC55" s="128">
        <v>1.34</v>
      </c>
      <c r="AD55" s="128">
        <v>1.35</v>
      </c>
      <c r="AE55" s="128">
        <v>1.36</v>
      </c>
      <c r="AF55" s="128">
        <v>1.37</v>
      </c>
      <c r="AG55" s="128">
        <v>1.37</v>
      </c>
      <c r="AH55" s="128">
        <v>1.38</v>
      </c>
      <c r="AI55" s="128">
        <v>1.39</v>
      </c>
      <c r="AJ55" s="128">
        <v>1.4</v>
      </c>
      <c r="AK55" s="128">
        <v>1.4</v>
      </c>
      <c r="AL55" s="128">
        <v>1.41</v>
      </c>
      <c r="AM55" s="128">
        <v>1.42</v>
      </c>
      <c r="AN55" s="128">
        <v>1.42</v>
      </c>
      <c r="AO55" s="128">
        <v>1.43</v>
      </c>
      <c r="AP55" s="128">
        <v>1.43</v>
      </c>
      <c r="AQ55" s="128">
        <v>1.44</v>
      </c>
      <c r="AR55" s="128">
        <v>1.45</v>
      </c>
      <c r="AS55" s="128">
        <v>1.45</v>
      </c>
      <c r="AT55" s="128">
        <v>1.46</v>
      </c>
      <c r="AU55" s="128">
        <v>1.46</v>
      </c>
      <c r="AV55" s="128">
        <v>1.47</v>
      </c>
      <c r="AW55" s="128">
        <v>1.47</v>
      </c>
      <c r="AX55" s="128">
        <v>1.48</v>
      </c>
      <c r="AY55" s="128">
        <v>1.49</v>
      </c>
      <c r="AZ55" s="128">
        <v>1.5</v>
      </c>
      <c r="BA55" s="128">
        <v>1.51</v>
      </c>
      <c r="BB55" s="128">
        <v>1.52</v>
      </c>
      <c r="BC55" s="128">
        <v>1.53</v>
      </c>
      <c r="BD55" s="128">
        <v>1.53</v>
      </c>
      <c r="BE55" s="128">
        <v>1.54</v>
      </c>
      <c r="BF55" s="128">
        <v>1.54</v>
      </c>
      <c r="BG55" s="128">
        <v>1.55</v>
      </c>
      <c r="BH55" s="128">
        <v>1.55</v>
      </c>
      <c r="BI55" s="128">
        <v>1.56</v>
      </c>
      <c r="BJ55" s="128">
        <v>1.57</v>
      </c>
      <c r="BK55" s="128">
        <v>1.57</v>
      </c>
      <c r="BL55" s="128">
        <v>1.58</v>
      </c>
      <c r="BM55" s="128">
        <v>1.58</v>
      </c>
      <c r="BN55" s="128">
        <v>1.59</v>
      </c>
      <c r="BO55" s="128">
        <v>1.6</v>
      </c>
      <c r="BP55" s="128">
        <v>1.6</v>
      </c>
      <c r="BQ55" s="128">
        <v>1.61</v>
      </c>
      <c r="BR55" s="128">
        <v>1.62</v>
      </c>
      <c r="BS55" s="128">
        <v>1.63</v>
      </c>
      <c r="BT55" s="128">
        <v>1.63</v>
      </c>
      <c r="BU55" s="128">
        <v>1.64</v>
      </c>
      <c r="BV55" s="128">
        <v>1.65</v>
      </c>
      <c r="BW55" s="128">
        <v>1.66</v>
      </c>
      <c r="BX55" s="128">
        <v>1.67</v>
      </c>
      <c r="BY55" s="128">
        <v>1.68</v>
      </c>
      <c r="BZ55" s="128">
        <v>1.68</v>
      </c>
      <c r="CA55" s="128">
        <v>1.69</v>
      </c>
      <c r="CB55" s="128">
        <v>1.7</v>
      </c>
      <c r="CC55" s="128">
        <v>1.71</v>
      </c>
      <c r="CD55" s="128">
        <v>1.72</v>
      </c>
      <c r="CE55" s="128">
        <v>1.73</v>
      </c>
      <c r="CF55" s="128">
        <v>1.74</v>
      </c>
      <c r="CG55" s="128">
        <v>1.75</v>
      </c>
      <c r="CH55" s="128">
        <v>1.76</v>
      </c>
      <c r="CI55" s="128">
        <v>1.78</v>
      </c>
      <c r="CJ55" s="128">
        <v>1.79</v>
      </c>
      <c r="CK55" s="128">
        <v>1.8</v>
      </c>
      <c r="CL55" s="128">
        <v>1.81</v>
      </c>
      <c r="CM55" s="128">
        <v>1.83</v>
      </c>
      <c r="CN55" s="128">
        <v>1.84</v>
      </c>
      <c r="CO55" s="128">
        <v>1.85</v>
      </c>
      <c r="CP55" s="128">
        <v>1.87</v>
      </c>
      <c r="CQ55" s="128">
        <v>1.88</v>
      </c>
      <c r="CR55" s="128">
        <v>1.9</v>
      </c>
      <c r="CS55" s="128">
        <v>1.91</v>
      </c>
      <c r="CT55" s="128">
        <v>1.93</v>
      </c>
      <c r="CU55" s="128">
        <v>1.95</v>
      </c>
      <c r="CV55" s="128">
        <v>1.96</v>
      </c>
      <c r="CW55" s="128">
        <v>1.98</v>
      </c>
      <c r="CX55" s="128">
        <v>2</v>
      </c>
      <c r="CZ55" s="126">
        <f>SUMIF(MatrixF2[[1]:[2]],MatrixF2[[#This Row],[Столбец1]])/MatrixF2[[#This Row],[Столбец1]]</f>
        <v>104.00000000000006</v>
      </c>
    </row>
    <row r="56" spans="1:104" ht="21" customHeight="1" x14ac:dyDescent="0.25">
      <c r="A56" s="127">
        <v>1.53</v>
      </c>
      <c r="B56" s="128">
        <v>1</v>
      </c>
      <c r="C56" s="128">
        <v>1.02</v>
      </c>
      <c r="D56" s="128">
        <v>1.04</v>
      </c>
      <c r="E56" s="128">
        <v>1.05</v>
      </c>
      <c r="F56" s="128">
        <v>1.07</v>
      </c>
      <c r="G56" s="128">
        <v>1.0900000000000001</v>
      </c>
      <c r="H56" s="128">
        <v>1.1000000000000001</v>
      </c>
      <c r="I56" s="128">
        <v>1.1200000000000001</v>
      </c>
      <c r="J56" s="128">
        <v>1.1299999999999999</v>
      </c>
      <c r="K56" s="128">
        <v>1.1499999999999999</v>
      </c>
      <c r="L56" s="128">
        <v>1.1599999999999999</v>
      </c>
      <c r="M56" s="128">
        <v>1.17</v>
      </c>
      <c r="N56" s="128">
        <v>1.18</v>
      </c>
      <c r="O56" s="128">
        <v>1.2</v>
      </c>
      <c r="P56" s="128">
        <v>1.21</v>
      </c>
      <c r="Q56" s="128">
        <v>1.22</v>
      </c>
      <c r="R56" s="128">
        <v>1.23</v>
      </c>
      <c r="S56" s="128">
        <v>1.24</v>
      </c>
      <c r="T56" s="128">
        <v>1.25</v>
      </c>
      <c r="U56" s="128">
        <v>1.26</v>
      </c>
      <c r="V56" s="128">
        <v>1.27</v>
      </c>
      <c r="W56" s="128">
        <v>1.28</v>
      </c>
      <c r="X56" s="128">
        <v>1.29</v>
      </c>
      <c r="Y56" s="128">
        <v>1.3</v>
      </c>
      <c r="Z56" s="128">
        <v>1.31</v>
      </c>
      <c r="AA56" s="128">
        <v>1.32</v>
      </c>
      <c r="AB56" s="128">
        <v>1.33</v>
      </c>
      <c r="AC56" s="128">
        <v>1.34</v>
      </c>
      <c r="AD56" s="128">
        <v>1.35</v>
      </c>
      <c r="AE56" s="128">
        <v>1.35</v>
      </c>
      <c r="AF56" s="128">
        <v>1.36</v>
      </c>
      <c r="AG56" s="128">
        <v>1.37</v>
      </c>
      <c r="AH56" s="128">
        <v>1.38</v>
      </c>
      <c r="AI56" s="128">
        <v>1.38</v>
      </c>
      <c r="AJ56" s="128">
        <v>1.39</v>
      </c>
      <c r="AK56" s="128">
        <v>1.4</v>
      </c>
      <c r="AL56" s="128">
        <v>1.4</v>
      </c>
      <c r="AM56" s="128">
        <v>1.41</v>
      </c>
      <c r="AN56" s="128">
        <v>1.42</v>
      </c>
      <c r="AO56" s="128">
        <v>1.42</v>
      </c>
      <c r="AP56" s="128">
        <v>1.43</v>
      </c>
      <c r="AQ56" s="128">
        <v>1.44</v>
      </c>
      <c r="AR56" s="128">
        <v>1.44</v>
      </c>
      <c r="AS56" s="128">
        <v>1.45</v>
      </c>
      <c r="AT56" s="128">
        <v>1.45</v>
      </c>
      <c r="AU56" s="128">
        <v>1.46</v>
      </c>
      <c r="AV56" s="128">
        <v>1.46</v>
      </c>
      <c r="AW56" s="128">
        <v>1.47</v>
      </c>
      <c r="AX56" s="128">
        <v>1.48</v>
      </c>
      <c r="AY56" s="128">
        <v>1.49</v>
      </c>
      <c r="AZ56" s="128">
        <v>1.5</v>
      </c>
      <c r="BA56" s="128">
        <v>1.51</v>
      </c>
      <c r="BB56" s="128">
        <v>1.52</v>
      </c>
      <c r="BC56" s="128">
        <v>1.53</v>
      </c>
      <c r="BD56" s="128">
        <v>1.54</v>
      </c>
      <c r="BE56" s="128">
        <v>1.54</v>
      </c>
      <c r="BF56" s="128">
        <v>1.55</v>
      </c>
      <c r="BG56" s="128">
        <v>1.55</v>
      </c>
      <c r="BH56" s="128">
        <v>1.56</v>
      </c>
      <c r="BI56" s="128">
        <v>1.56</v>
      </c>
      <c r="BJ56" s="128">
        <v>1.57</v>
      </c>
      <c r="BK56" s="128">
        <v>1.58</v>
      </c>
      <c r="BL56" s="128">
        <v>1.58</v>
      </c>
      <c r="BM56" s="128">
        <v>1.59</v>
      </c>
      <c r="BN56" s="128">
        <v>1.6</v>
      </c>
      <c r="BO56" s="128">
        <v>1.6</v>
      </c>
      <c r="BP56" s="128">
        <v>1.61</v>
      </c>
      <c r="BQ56" s="128">
        <v>1.62</v>
      </c>
      <c r="BR56" s="128">
        <v>1.62</v>
      </c>
      <c r="BS56" s="128">
        <v>1.63</v>
      </c>
      <c r="BT56" s="128">
        <v>1.64</v>
      </c>
      <c r="BU56" s="128">
        <v>1.65</v>
      </c>
      <c r="BV56" s="128">
        <v>1.65</v>
      </c>
      <c r="BW56" s="128">
        <v>1.66</v>
      </c>
      <c r="BX56" s="128">
        <v>1.67</v>
      </c>
      <c r="BY56" s="128">
        <v>1.68</v>
      </c>
      <c r="BZ56" s="128">
        <v>1.69</v>
      </c>
      <c r="CA56" s="128">
        <v>1.7</v>
      </c>
      <c r="CB56" s="128">
        <v>1.71</v>
      </c>
      <c r="CC56" s="128">
        <v>1.72</v>
      </c>
      <c r="CD56" s="128">
        <v>1.73</v>
      </c>
      <c r="CE56" s="128">
        <v>1.74</v>
      </c>
      <c r="CF56" s="128">
        <v>1.75</v>
      </c>
      <c r="CG56" s="128">
        <v>1.76</v>
      </c>
      <c r="CH56" s="128">
        <v>1.77</v>
      </c>
      <c r="CI56" s="128">
        <v>1.78</v>
      </c>
      <c r="CJ56" s="128">
        <v>1.79</v>
      </c>
      <c r="CK56" s="128">
        <v>1.8</v>
      </c>
      <c r="CL56" s="128">
        <v>1.82</v>
      </c>
      <c r="CM56" s="128">
        <v>1.83</v>
      </c>
      <c r="CN56" s="128">
        <v>1.84</v>
      </c>
      <c r="CO56" s="128">
        <v>1.85</v>
      </c>
      <c r="CP56" s="128">
        <v>1.87</v>
      </c>
      <c r="CQ56" s="128">
        <v>1.88</v>
      </c>
      <c r="CR56" s="128">
        <v>1.9</v>
      </c>
      <c r="CS56" s="128">
        <v>1.91</v>
      </c>
      <c r="CT56" s="128">
        <v>1.93</v>
      </c>
      <c r="CU56" s="128">
        <v>1.95</v>
      </c>
      <c r="CV56" s="128">
        <v>1.96</v>
      </c>
      <c r="CW56" s="128">
        <v>1.98</v>
      </c>
      <c r="CX56" s="128">
        <v>2</v>
      </c>
      <c r="CZ56" s="126">
        <f>SUMIF(MatrixF2[[1]:[2]],MatrixF2[[#This Row],[Столбец1]])/MatrixF2[[#This Row],[Столбец1]]</f>
        <v>106.00000000000006</v>
      </c>
    </row>
    <row r="57" spans="1:104" ht="21" customHeight="1" x14ac:dyDescent="0.25">
      <c r="A57" s="127">
        <v>1.54</v>
      </c>
      <c r="B57" s="128">
        <v>1</v>
      </c>
      <c r="C57" s="128">
        <v>1.02</v>
      </c>
      <c r="D57" s="128">
        <v>1.04</v>
      </c>
      <c r="E57" s="128">
        <v>1.05</v>
      </c>
      <c r="F57" s="128">
        <v>1.07</v>
      </c>
      <c r="G57" s="128">
        <v>1.08</v>
      </c>
      <c r="H57" s="128">
        <v>1.1000000000000001</v>
      </c>
      <c r="I57" s="128">
        <v>1.1100000000000001</v>
      </c>
      <c r="J57" s="128">
        <v>1.1299999999999999</v>
      </c>
      <c r="K57" s="128">
        <v>1.1399999999999999</v>
      </c>
      <c r="L57" s="128">
        <v>1.1599999999999999</v>
      </c>
      <c r="M57" s="128">
        <v>1.17</v>
      </c>
      <c r="N57" s="128">
        <v>1.18</v>
      </c>
      <c r="O57" s="128">
        <v>1.19</v>
      </c>
      <c r="P57" s="128">
        <v>1.21</v>
      </c>
      <c r="Q57" s="128">
        <v>1.22</v>
      </c>
      <c r="R57" s="128">
        <v>1.23</v>
      </c>
      <c r="S57" s="128">
        <v>1.24</v>
      </c>
      <c r="T57" s="128">
        <v>1.25</v>
      </c>
      <c r="U57" s="128">
        <v>1.26</v>
      </c>
      <c r="V57" s="128">
        <v>1.27</v>
      </c>
      <c r="W57" s="128">
        <v>1.28</v>
      </c>
      <c r="X57" s="128">
        <v>1.29</v>
      </c>
      <c r="Y57" s="128">
        <v>1.3</v>
      </c>
      <c r="Z57" s="128">
        <v>1.31</v>
      </c>
      <c r="AA57" s="128">
        <v>1.32</v>
      </c>
      <c r="AB57" s="128">
        <v>1.32</v>
      </c>
      <c r="AC57" s="128">
        <v>1.33</v>
      </c>
      <c r="AD57" s="128">
        <v>1.34</v>
      </c>
      <c r="AE57" s="128">
        <v>1.35</v>
      </c>
      <c r="AF57" s="128">
        <v>1.36</v>
      </c>
      <c r="AG57" s="128">
        <v>1.36</v>
      </c>
      <c r="AH57" s="128">
        <v>1.37</v>
      </c>
      <c r="AI57" s="128">
        <v>1.38</v>
      </c>
      <c r="AJ57" s="128">
        <v>1.39</v>
      </c>
      <c r="AK57" s="128">
        <v>1.39</v>
      </c>
      <c r="AL57" s="128">
        <v>1.4</v>
      </c>
      <c r="AM57" s="128">
        <v>1.41</v>
      </c>
      <c r="AN57" s="128">
        <v>1.41</v>
      </c>
      <c r="AO57" s="128">
        <v>1.42</v>
      </c>
      <c r="AP57" s="128">
        <v>1.43</v>
      </c>
      <c r="AQ57" s="128">
        <v>1.43</v>
      </c>
      <c r="AR57" s="128">
        <v>1.44</v>
      </c>
      <c r="AS57" s="128">
        <v>1.44</v>
      </c>
      <c r="AT57" s="128">
        <v>1.45</v>
      </c>
      <c r="AU57" s="128">
        <v>1.45</v>
      </c>
      <c r="AV57" s="128">
        <v>1.46</v>
      </c>
      <c r="AW57" s="128">
        <v>1.47</v>
      </c>
      <c r="AX57" s="128">
        <v>1.48</v>
      </c>
      <c r="AY57" s="128">
        <v>1.49</v>
      </c>
      <c r="AZ57" s="128">
        <v>1.5</v>
      </c>
      <c r="BA57" s="128">
        <v>1.51</v>
      </c>
      <c r="BB57" s="128">
        <v>1.52</v>
      </c>
      <c r="BC57" s="128">
        <v>1.53</v>
      </c>
      <c r="BD57" s="128">
        <v>1.54</v>
      </c>
      <c r="BE57" s="128">
        <v>1.55</v>
      </c>
      <c r="BF57" s="128">
        <v>1.55</v>
      </c>
      <c r="BG57" s="128">
        <v>1.56</v>
      </c>
      <c r="BH57" s="128">
        <v>1.56</v>
      </c>
      <c r="BI57" s="128">
        <v>1.57</v>
      </c>
      <c r="BJ57" s="128">
        <v>1.57</v>
      </c>
      <c r="BK57" s="128">
        <v>1.58</v>
      </c>
      <c r="BL57" s="128">
        <v>1.59</v>
      </c>
      <c r="BM57" s="128">
        <v>1.59</v>
      </c>
      <c r="BN57" s="128">
        <v>1.6</v>
      </c>
      <c r="BO57" s="128">
        <v>1.61</v>
      </c>
      <c r="BP57" s="128">
        <v>1.61</v>
      </c>
      <c r="BQ57" s="128">
        <v>1.62</v>
      </c>
      <c r="BR57" s="128">
        <v>1.63</v>
      </c>
      <c r="BS57" s="128">
        <v>1.64</v>
      </c>
      <c r="BT57" s="128">
        <v>1.64</v>
      </c>
      <c r="BU57" s="128">
        <v>1.65</v>
      </c>
      <c r="BV57" s="128">
        <v>1.66</v>
      </c>
      <c r="BW57" s="128">
        <v>1.67</v>
      </c>
      <c r="BX57" s="128">
        <v>1.68</v>
      </c>
      <c r="BY57" s="128">
        <v>1.68</v>
      </c>
      <c r="BZ57" s="128">
        <v>1.69</v>
      </c>
      <c r="CA57" s="128">
        <v>1.7</v>
      </c>
      <c r="CB57" s="128">
        <v>1.71</v>
      </c>
      <c r="CC57" s="128">
        <v>1.72</v>
      </c>
      <c r="CD57" s="128">
        <v>1.73</v>
      </c>
      <c r="CE57" s="128">
        <v>1.74</v>
      </c>
      <c r="CF57" s="128">
        <v>1.75</v>
      </c>
      <c r="CG57" s="128">
        <v>1.76</v>
      </c>
      <c r="CH57" s="128">
        <v>1.77</v>
      </c>
      <c r="CI57" s="128">
        <v>1.78</v>
      </c>
      <c r="CJ57" s="128">
        <v>1.79</v>
      </c>
      <c r="CK57" s="128">
        <v>1.81</v>
      </c>
      <c r="CL57" s="128">
        <v>1.82</v>
      </c>
      <c r="CM57" s="128">
        <v>1.83</v>
      </c>
      <c r="CN57" s="128">
        <v>1.84</v>
      </c>
      <c r="CO57" s="128">
        <v>1.86</v>
      </c>
      <c r="CP57" s="128">
        <v>1.87</v>
      </c>
      <c r="CQ57" s="128">
        <v>1.89</v>
      </c>
      <c r="CR57" s="128">
        <v>1.9</v>
      </c>
      <c r="CS57" s="128">
        <v>1.92</v>
      </c>
      <c r="CT57" s="128">
        <v>1.93</v>
      </c>
      <c r="CU57" s="128">
        <v>1.95</v>
      </c>
      <c r="CV57" s="128">
        <v>1.96</v>
      </c>
      <c r="CW57" s="128">
        <v>1.98</v>
      </c>
      <c r="CX57" s="128">
        <v>2</v>
      </c>
      <c r="CZ57" s="126">
        <f>SUMIF(MatrixF2[[1]:[2]],MatrixF2[[#This Row],[Столбец1]])/MatrixF2[[#This Row],[Столбец1]]</f>
        <v>108.00000000000003</v>
      </c>
    </row>
    <row r="58" spans="1:104" ht="21" customHeight="1" x14ac:dyDescent="0.25">
      <c r="A58" s="127">
        <v>1.55</v>
      </c>
      <c r="B58" s="128">
        <v>1</v>
      </c>
      <c r="C58" s="128">
        <v>1.02</v>
      </c>
      <c r="D58" s="128">
        <v>1.04</v>
      </c>
      <c r="E58" s="128">
        <v>1.05</v>
      </c>
      <c r="F58" s="128">
        <v>1.07</v>
      </c>
      <c r="G58" s="128">
        <v>1.08</v>
      </c>
      <c r="H58" s="128">
        <v>1.1000000000000001</v>
      </c>
      <c r="I58" s="128">
        <v>1.1100000000000001</v>
      </c>
      <c r="J58" s="128">
        <v>1.1299999999999999</v>
      </c>
      <c r="K58" s="128">
        <v>1.1399999999999999</v>
      </c>
      <c r="L58" s="128">
        <v>1.1499999999999999</v>
      </c>
      <c r="M58" s="128">
        <v>1.17</v>
      </c>
      <c r="N58" s="128">
        <v>1.18</v>
      </c>
      <c r="O58" s="128">
        <v>1.19</v>
      </c>
      <c r="P58" s="128">
        <v>1.2</v>
      </c>
      <c r="Q58" s="128">
        <v>1.21</v>
      </c>
      <c r="R58" s="128">
        <v>1.23</v>
      </c>
      <c r="S58" s="128">
        <v>1.24</v>
      </c>
      <c r="T58" s="128">
        <v>1.25</v>
      </c>
      <c r="U58" s="128">
        <v>1.26</v>
      </c>
      <c r="V58" s="128">
        <v>1.27</v>
      </c>
      <c r="W58" s="128">
        <v>1.28</v>
      </c>
      <c r="X58" s="128">
        <v>1.29</v>
      </c>
      <c r="Y58" s="128">
        <v>1.29</v>
      </c>
      <c r="Z58" s="128">
        <v>1.3</v>
      </c>
      <c r="AA58" s="128">
        <v>1.31</v>
      </c>
      <c r="AB58" s="128">
        <v>1.32</v>
      </c>
      <c r="AC58" s="128">
        <v>1.33</v>
      </c>
      <c r="AD58" s="128">
        <v>1.34</v>
      </c>
      <c r="AE58" s="128">
        <v>1.35</v>
      </c>
      <c r="AF58" s="128">
        <v>1.35</v>
      </c>
      <c r="AG58" s="128">
        <v>1.36</v>
      </c>
      <c r="AH58" s="128">
        <v>1.37</v>
      </c>
      <c r="AI58" s="128">
        <v>1.38</v>
      </c>
      <c r="AJ58" s="128">
        <v>1.38</v>
      </c>
      <c r="AK58" s="128">
        <v>1.39</v>
      </c>
      <c r="AL58" s="128">
        <v>1.4</v>
      </c>
      <c r="AM58" s="128">
        <v>1.4</v>
      </c>
      <c r="AN58" s="128">
        <v>1.41</v>
      </c>
      <c r="AO58" s="128">
        <v>1.41</v>
      </c>
      <c r="AP58" s="128">
        <v>1.42</v>
      </c>
      <c r="AQ58" s="128">
        <v>1.43</v>
      </c>
      <c r="AR58" s="128">
        <v>1.43</v>
      </c>
      <c r="AS58" s="128">
        <v>1.44</v>
      </c>
      <c r="AT58" s="128">
        <v>1.44</v>
      </c>
      <c r="AU58" s="128">
        <v>1.45</v>
      </c>
      <c r="AV58" s="128">
        <v>1.46</v>
      </c>
      <c r="AW58" s="128">
        <v>1.47</v>
      </c>
      <c r="AX58" s="128">
        <v>1.48</v>
      </c>
      <c r="AY58" s="128">
        <v>1.49</v>
      </c>
      <c r="AZ58" s="128">
        <v>1.5</v>
      </c>
      <c r="BA58" s="128">
        <v>1.51</v>
      </c>
      <c r="BB58" s="128">
        <v>1.52</v>
      </c>
      <c r="BC58" s="128">
        <v>1.53</v>
      </c>
      <c r="BD58" s="128">
        <v>1.54</v>
      </c>
      <c r="BE58" s="128">
        <v>1.55</v>
      </c>
      <c r="BF58" s="128">
        <v>1.56</v>
      </c>
      <c r="BG58" s="128">
        <v>1.56</v>
      </c>
      <c r="BH58" s="128">
        <v>1.57</v>
      </c>
      <c r="BI58" s="128">
        <v>1.57</v>
      </c>
      <c r="BJ58" s="128">
        <v>1.58</v>
      </c>
      <c r="BK58" s="128">
        <v>1.59</v>
      </c>
      <c r="BL58" s="128">
        <v>1.59</v>
      </c>
      <c r="BM58" s="128">
        <v>1.6</v>
      </c>
      <c r="BN58" s="128">
        <v>1.6</v>
      </c>
      <c r="BO58" s="128">
        <v>1.61</v>
      </c>
      <c r="BP58" s="128">
        <v>1.62</v>
      </c>
      <c r="BQ58" s="128">
        <v>1.63</v>
      </c>
      <c r="BR58" s="128">
        <v>1.63</v>
      </c>
      <c r="BS58" s="128">
        <v>1.64</v>
      </c>
      <c r="BT58" s="128">
        <v>1.65</v>
      </c>
      <c r="BU58" s="128">
        <v>1.65</v>
      </c>
      <c r="BV58" s="128">
        <v>1.66</v>
      </c>
      <c r="BW58" s="128">
        <v>1.67</v>
      </c>
      <c r="BX58" s="128">
        <v>1.68</v>
      </c>
      <c r="BY58" s="128">
        <v>1.69</v>
      </c>
      <c r="BZ58" s="128">
        <v>1.7</v>
      </c>
      <c r="CA58" s="128">
        <v>1.71</v>
      </c>
      <c r="CB58" s="128">
        <v>1.71</v>
      </c>
      <c r="CC58" s="128">
        <v>1.72</v>
      </c>
      <c r="CD58" s="128">
        <v>1.73</v>
      </c>
      <c r="CE58" s="128">
        <v>1.74</v>
      </c>
      <c r="CF58" s="128">
        <v>1.75</v>
      </c>
      <c r="CG58" s="128">
        <v>1.76</v>
      </c>
      <c r="CH58" s="128">
        <v>1.77</v>
      </c>
      <c r="CI58" s="128">
        <v>1.79</v>
      </c>
      <c r="CJ58" s="128">
        <v>1.8</v>
      </c>
      <c r="CK58" s="128">
        <v>1.81</v>
      </c>
      <c r="CL58" s="128">
        <v>1.82</v>
      </c>
      <c r="CM58" s="128">
        <v>1.83</v>
      </c>
      <c r="CN58" s="128">
        <v>1.85</v>
      </c>
      <c r="CO58" s="128">
        <v>1.86</v>
      </c>
      <c r="CP58" s="128">
        <v>1.87</v>
      </c>
      <c r="CQ58" s="128">
        <v>1.89</v>
      </c>
      <c r="CR58" s="128">
        <v>1.9</v>
      </c>
      <c r="CS58" s="128">
        <v>1.92</v>
      </c>
      <c r="CT58" s="128">
        <v>1.93</v>
      </c>
      <c r="CU58" s="128">
        <v>1.95</v>
      </c>
      <c r="CV58" s="128">
        <v>1.96</v>
      </c>
      <c r="CW58" s="128">
        <v>1.98</v>
      </c>
      <c r="CX58" s="128">
        <v>2</v>
      </c>
      <c r="CZ58" s="126">
        <f>SUMIF(MatrixF2[[1]:[2]],MatrixF2[[#This Row],[Столбец1]])/MatrixF2[[#This Row],[Столбец1]]</f>
        <v>109.00000000000009</v>
      </c>
    </row>
    <row r="59" spans="1:104" ht="21" customHeight="1" x14ac:dyDescent="0.25">
      <c r="A59" s="127">
        <v>1.56</v>
      </c>
      <c r="B59" s="128">
        <v>1</v>
      </c>
      <c r="C59" s="128">
        <v>1.02</v>
      </c>
      <c r="D59" s="128">
        <v>1.03</v>
      </c>
      <c r="E59" s="128">
        <v>1.05</v>
      </c>
      <c r="F59" s="128">
        <v>1.07</v>
      </c>
      <c r="G59" s="128">
        <v>1.08</v>
      </c>
      <c r="H59" s="128">
        <v>1.1000000000000001</v>
      </c>
      <c r="I59" s="128">
        <v>1.1100000000000001</v>
      </c>
      <c r="J59" s="128">
        <v>1.1299999999999999</v>
      </c>
      <c r="K59" s="128">
        <v>1.1399999999999999</v>
      </c>
      <c r="L59" s="128">
        <v>1.1499999999999999</v>
      </c>
      <c r="M59" s="128">
        <v>1.1599999999999999</v>
      </c>
      <c r="N59" s="128">
        <v>1.18</v>
      </c>
      <c r="O59" s="128">
        <v>1.19</v>
      </c>
      <c r="P59" s="128">
        <v>1.2</v>
      </c>
      <c r="Q59" s="128">
        <v>1.21</v>
      </c>
      <c r="R59" s="128">
        <v>1.22</v>
      </c>
      <c r="S59" s="128">
        <v>1.23</v>
      </c>
      <c r="T59" s="128">
        <v>1.24</v>
      </c>
      <c r="U59" s="128">
        <v>1.25</v>
      </c>
      <c r="V59" s="128">
        <v>1.26</v>
      </c>
      <c r="W59" s="128">
        <v>1.27</v>
      </c>
      <c r="X59" s="128">
        <v>1.28</v>
      </c>
      <c r="Y59" s="128">
        <v>1.29</v>
      </c>
      <c r="Z59" s="128">
        <v>1.3</v>
      </c>
      <c r="AA59" s="128">
        <v>1.31</v>
      </c>
      <c r="AB59" s="128">
        <v>1.32</v>
      </c>
      <c r="AC59" s="128">
        <v>1.33</v>
      </c>
      <c r="AD59" s="128">
        <v>1.33</v>
      </c>
      <c r="AE59" s="128">
        <v>1.34</v>
      </c>
      <c r="AF59" s="128">
        <v>1.35</v>
      </c>
      <c r="AG59" s="128">
        <v>1.36</v>
      </c>
      <c r="AH59" s="128">
        <v>1.36</v>
      </c>
      <c r="AI59" s="128">
        <v>1.37</v>
      </c>
      <c r="AJ59" s="128">
        <v>1.38</v>
      </c>
      <c r="AK59" s="128">
        <v>1.38</v>
      </c>
      <c r="AL59" s="128">
        <v>1.39</v>
      </c>
      <c r="AM59" s="128">
        <v>1.4</v>
      </c>
      <c r="AN59" s="128">
        <v>1.4</v>
      </c>
      <c r="AO59" s="128">
        <v>1.41</v>
      </c>
      <c r="AP59" s="128">
        <v>1.42</v>
      </c>
      <c r="AQ59" s="128">
        <v>1.42</v>
      </c>
      <c r="AR59" s="128">
        <v>1.43</v>
      </c>
      <c r="AS59" s="128">
        <v>1.43</v>
      </c>
      <c r="AT59" s="128">
        <v>1.44</v>
      </c>
      <c r="AU59" s="128">
        <v>1.45</v>
      </c>
      <c r="AV59" s="128">
        <v>1.46</v>
      </c>
      <c r="AW59" s="128">
        <v>1.47</v>
      </c>
      <c r="AX59" s="128">
        <v>1.48</v>
      </c>
      <c r="AY59" s="128">
        <v>1.49</v>
      </c>
      <c r="AZ59" s="128">
        <v>1.5</v>
      </c>
      <c r="BA59" s="128">
        <v>1.51</v>
      </c>
      <c r="BB59" s="128">
        <v>1.52</v>
      </c>
      <c r="BC59" s="128">
        <v>1.53</v>
      </c>
      <c r="BD59" s="128">
        <v>1.54</v>
      </c>
      <c r="BE59" s="128">
        <v>1.55</v>
      </c>
      <c r="BF59" s="128">
        <v>1.56</v>
      </c>
      <c r="BG59" s="128">
        <v>1.57</v>
      </c>
      <c r="BH59" s="128">
        <v>1.57</v>
      </c>
      <c r="BI59" s="128">
        <v>1.58</v>
      </c>
      <c r="BJ59" s="128">
        <v>1.58</v>
      </c>
      <c r="BK59" s="128">
        <v>1.59</v>
      </c>
      <c r="BL59" s="128">
        <v>1.6</v>
      </c>
      <c r="BM59" s="128">
        <v>1.6</v>
      </c>
      <c r="BN59" s="128">
        <v>1.61</v>
      </c>
      <c r="BO59" s="128">
        <v>1.62</v>
      </c>
      <c r="BP59" s="128">
        <v>1.62</v>
      </c>
      <c r="BQ59" s="128">
        <v>1.63</v>
      </c>
      <c r="BR59" s="128">
        <v>1.64</v>
      </c>
      <c r="BS59" s="128">
        <v>1.64</v>
      </c>
      <c r="BT59" s="128">
        <v>1.65</v>
      </c>
      <c r="BU59" s="128">
        <v>1.66</v>
      </c>
      <c r="BV59" s="128">
        <v>1.67</v>
      </c>
      <c r="BW59" s="128">
        <v>1.67</v>
      </c>
      <c r="BX59" s="128">
        <v>1.68</v>
      </c>
      <c r="BY59" s="128">
        <v>1.69</v>
      </c>
      <c r="BZ59" s="128">
        <v>1.7</v>
      </c>
      <c r="CA59" s="128">
        <v>1.71</v>
      </c>
      <c r="CB59" s="128">
        <v>1.72</v>
      </c>
      <c r="CC59" s="128">
        <v>1.73</v>
      </c>
      <c r="CD59" s="128">
        <v>1.74</v>
      </c>
      <c r="CE59" s="128">
        <v>1.75</v>
      </c>
      <c r="CF59" s="128">
        <v>1.76</v>
      </c>
      <c r="CG59" s="128">
        <v>1.77</v>
      </c>
      <c r="CH59" s="128">
        <v>1.78</v>
      </c>
      <c r="CI59" s="128">
        <v>1.79</v>
      </c>
      <c r="CJ59" s="128">
        <v>1.8</v>
      </c>
      <c r="CK59" s="128">
        <v>1.81</v>
      </c>
      <c r="CL59" s="128">
        <v>1.82</v>
      </c>
      <c r="CM59" s="128">
        <v>1.84</v>
      </c>
      <c r="CN59" s="128">
        <v>1.85</v>
      </c>
      <c r="CO59" s="128">
        <v>1.86</v>
      </c>
      <c r="CP59" s="128">
        <v>1.88</v>
      </c>
      <c r="CQ59" s="128">
        <v>1.89</v>
      </c>
      <c r="CR59" s="128">
        <v>1.9</v>
      </c>
      <c r="CS59" s="128">
        <v>1.92</v>
      </c>
      <c r="CT59" s="128">
        <v>1.93</v>
      </c>
      <c r="CU59" s="128">
        <v>1.95</v>
      </c>
      <c r="CV59" s="128">
        <v>1.97</v>
      </c>
      <c r="CW59" s="128">
        <v>1.98</v>
      </c>
      <c r="CX59" s="128">
        <v>2</v>
      </c>
      <c r="CZ59" s="126">
        <f>SUMIF(MatrixF2[[1]:[2]],MatrixF2[[#This Row],[Столбец1]])/MatrixF2[[#This Row],[Столбец1]]</f>
        <v>108.00000000000011</v>
      </c>
    </row>
    <row r="60" spans="1:104" ht="21" customHeight="1" x14ac:dyDescent="0.25">
      <c r="A60" s="127">
        <v>1.57</v>
      </c>
      <c r="B60" s="128">
        <v>1</v>
      </c>
      <c r="C60" s="128">
        <v>1.02</v>
      </c>
      <c r="D60" s="128">
        <v>1.03</v>
      </c>
      <c r="E60" s="128">
        <v>1.05</v>
      </c>
      <c r="F60" s="128">
        <v>1.07</v>
      </c>
      <c r="G60" s="128">
        <v>1.08</v>
      </c>
      <c r="H60" s="128">
        <v>1.1000000000000001</v>
      </c>
      <c r="I60" s="128">
        <v>1.1100000000000001</v>
      </c>
      <c r="J60" s="128">
        <v>1.1200000000000001</v>
      </c>
      <c r="K60" s="128">
        <v>1.1399999999999999</v>
      </c>
      <c r="L60" s="128">
        <v>1.1499999999999999</v>
      </c>
      <c r="M60" s="128">
        <v>1.1599999999999999</v>
      </c>
      <c r="N60" s="128">
        <v>1.17</v>
      </c>
      <c r="O60" s="128">
        <v>1.19</v>
      </c>
      <c r="P60" s="128">
        <v>1.2</v>
      </c>
      <c r="Q60" s="128">
        <v>1.21</v>
      </c>
      <c r="R60" s="128">
        <v>1.22</v>
      </c>
      <c r="S60" s="128">
        <v>1.23</v>
      </c>
      <c r="T60" s="128">
        <v>1.24</v>
      </c>
      <c r="U60" s="128">
        <v>1.25</v>
      </c>
      <c r="V60" s="128">
        <v>1.26</v>
      </c>
      <c r="W60" s="128">
        <v>1.27</v>
      </c>
      <c r="X60" s="128">
        <v>1.28</v>
      </c>
      <c r="Y60" s="128">
        <v>1.29</v>
      </c>
      <c r="Z60" s="128">
        <v>1.3</v>
      </c>
      <c r="AA60" s="128">
        <v>1.3</v>
      </c>
      <c r="AB60" s="128">
        <v>1.31</v>
      </c>
      <c r="AC60" s="128">
        <v>1.32</v>
      </c>
      <c r="AD60" s="128">
        <v>1.33</v>
      </c>
      <c r="AE60" s="128">
        <v>1.34</v>
      </c>
      <c r="AF60" s="128">
        <v>1.34</v>
      </c>
      <c r="AG60" s="128">
        <v>1.35</v>
      </c>
      <c r="AH60" s="128">
        <v>1.36</v>
      </c>
      <c r="AI60" s="128">
        <v>1.37</v>
      </c>
      <c r="AJ60" s="128">
        <v>1.37</v>
      </c>
      <c r="AK60" s="128">
        <v>1.38</v>
      </c>
      <c r="AL60" s="128">
        <v>1.39</v>
      </c>
      <c r="AM60" s="128">
        <v>1.39</v>
      </c>
      <c r="AN60" s="128">
        <v>1.4</v>
      </c>
      <c r="AO60" s="128">
        <v>1.41</v>
      </c>
      <c r="AP60" s="128">
        <v>1.41</v>
      </c>
      <c r="AQ60" s="128">
        <v>1.42</v>
      </c>
      <c r="AR60" s="128">
        <v>1.42</v>
      </c>
      <c r="AS60" s="128">
        <v>1.43</v>
      </c>
      <c r="AT60" s="128">
        <v>1.44</v>
      </c>
      <c r="AU60" s="128">
        <v>1.45</v>
      </c>
      <c r="AV60" s="128">
        <v>1.46</v>
      </c>
      <c r="AW60" s="128">
        <v>1.47</v>
      </c>
      <c r="AX60" s="128">
        <v>1.48</v>
      </c>
      <c r="AY60" s="128">
        <v>1.49</v>
      </c>
      <c r="AZ60" s="128">
        <v>1.5</v>
      </c>
      <c r="BA60" s="128">
        <v>1.51</v>
      </c>
      <c r="BB60" s="128">
        <v>1.52</v>
      </c>
      <c r="BC60" s="128">
        <v>1.53</v>
      </c>
      <c r="BD60" s="128">
        <v>1.54</v>
      </c>
      <c r="BE60" s="128">
        <v>1.55</v>
      </c>
      <c r="BF60" s="128">
        <v>1.56</v>
      </c>
      <c r="BG60" s="128">
        <v>1.57</v>
      </c>
      <c r="BH60" s="128">
        <v>1.58</v>
      </c>
      <c r="BI60" s="128">
        <v>1.58</v>
      </c>
      <c r="BJ60" s="128">
        <v>1.59</v>
      </c>
      <c r="BK60" s="128">
        <v>1.59</v>
      </c>
      <c r="BL60" s="128">
        <v>1.6</v>
      </c>
      <c r="BM60" s="128">
        <v>1.61</v>
      </c>
      <c r="BN60" s="128">
        <v>1.61</v>
      </c>
      <c r="BO60" s="128">
        <v>1.62</v>
      </c>
      <c r="BP60" s="128">
        <v>1.63</v>
      </c>
      <c r="BQ60" s="128">
        <v>1.63</v>
      </c>
      <c r="BR60" s="128">
        <v>1.64</v>
      </c>
      <c r="BS60" s="128">
        <v>1.65</v>
      </c>
      <c r="BT60" s="128">
        <v>1.66</v>
      </c>
      <c r="BU60" s="128">
        <v>1.66</v>
      </c>
      <c r="BV60" s="128">
        <v>1.67</v>
      </c>
      <c r="BW60" s="128">
        <v>1.68</v>
      </c>
      <c r="BX60" s="128">
        <v>1.69</v>
      </c>
      <c r="BY60" s="128">
        <v>1.7</v>
      </c>
      <c r="BZ60" s="128">
        <v>1.7</v>
      </c>
      <c r="CA60" s="128">
        <v>1.71</v>
      </c>
      <c r="CB60" s="128">
        <v>1.72</v>
      </c>
      <c r="CC60" s="128">
        <v>1.73</v>
      </c>
      <c r="CD60" s="128">
        <v>1.74</v>
      </c>
      <c r="CE60" s="128">
        <v>1.75</v>
      </c>
      <c r="CF60" s="128">
        <v>1.76</v>
      </c>
      <c r="CG60" s="128">
        <v>1.77</v>
      </c>
      <c r="CH60" s="128">
        <v>1.78</v>
      </c>
      <c r="CI60" s="128">
        <v>1.79</v>
      </c>
      <c r="CJ60" s="128">
        <v>1.8</v>
      </c>
      <c r="CK60" s="128">
        <v>1.81</v>
      </c>
      <c r="CL60" s="128">
        <v>1.83</v>
      </c>
      <c r="CM60" s="128">
        <v>1.84</v>
      </c>
      <c r="CN60" s="128">
        <v>1.85</v>
      </c>
      <c r="CO60" s="128">
        <v>1.86</v>
      </c>
      <c r="CP60" s="128">
        <v>1.88</v>
      </c>
      <c r="CQ60" s="128">
        <v>1.89</v>
      </c>
      <c r="CR60" s="128">
        <v>1.9</v>
      </c>
      <c r="CS60" s="128">
        <v>1.92</v>
      </c>
      <c r="CT60" s="128">
        <v>1.93</v>
      </c>
      <c r="CU60" s="128">
        <v>1.95</v>
      </c>
      <c r="CV60" s="128">
        <v>1.97</v>
      </c>
      <c r="CW60" s="128">
        <v>1.98</v>
      </c>
      <c r="CX60" s="128">
        <v>2</v>
      </c>
      <c r="CZ60" s="126">
        <f>SUMIF(MatrixF2[[1]:[2]],MatrixF2[[#This Row],[Столбец1]])/MatrixF2[[#This Row],[Столбец1]]</f>
        <v>111.99999999999969</v>
      </c>
    </row>
    <row r="61" spans="1:104" ht="21" customHeight="1" x14ac:dyDescent="0.25">
      <c r="A61" s="127">
        <v>1.58</v>
      </c>
      <c r="B61" s="128">
        <v>1</v>
      </c>
      <c r="C61" s="128">
        <v>1.02</v>
      </c>
      <c r="D61" s="128">
        <v>1.03</v>
      </c>
      <c r="E61" s="128">
        <v>1.05</v>
      </c>
      <c r="F61" s="128">
        <v>1.06</v>
      </c>
      <c r="G61" s="128">
        <v>1.08</v>
      </c>
      <c r="H61" s="128">
        <v>1.0900000000000001</v>
      </c>
      <c r="I61" s="128">
        <v>1.1100000000000001</v>
      </c>
      <c r="J61" s="128">
        <v>1.1200000000000001</v>
      </c>
      <c r="K61" s="128">
        <v>1.1299999999999999</v>
      </c>
      <c r="L61" s="128">
        <v>1.1499999999999999</v>
      </c>
      <c r="M61" s="128">
        <v>1.1599999999999999</v>
      </c>
      <c r="N61" s="128">
        <v>1.17</v>
      </c>
      <c r="O61" s="128">
        <v>1.18</v>
      </c>
      <c r="P61" s="128">
        <v>1.19</v>
      </c>
      <c r="Q61" s="128">
        <v>1.21</v>
      </c>
      <c r="R61" s="128">
        <v>1.22</v>
      </c>
      <c r="S61" s="128">
        <v>1.23</v>
      </c>
      <c r="T61" s="128">
        <v>1.24</v>
      </c>
      <c r="U61" s="128">
        <v>1.25</v>
      </c>
      <c r="V61" s="128">
        <v>1.26</v>
      </c>
      <c r="W61" s="128">
        <v>1.27</v>
      </c>
      <c r="X61" s="128">
        <v>1.28</v>
      </c>
      <c r="Y61" s="128">
        <v>1.28</v>
      </c>
      <c r="Z61" s="128">
        <v>1.29</v>
      </c>
      <c r="AA61" s="128">
        <v>1.3</v>
      </c>
      <c r="AB61" s="128">
        <v>1.31</v>
      </c>
      <c r="AC61" s="128">
        <v>1.32</v>
      </c>
      <c r="AD61" s="128">
        <v>1.33</v>
      </c>
      <c r="AE61" s="128">
        <v>1.33</v>
      </c>
      <c r="AF61" s="128">
        <v>1.34</v>
      </c>
      <c r="AG61" s="128">
        <v>1.35</v>
      </c>
      <c r="AH61" s="128">
        <v>1.36</v>
      </c>
      <c r="AI61" s="128">
        <v>1.36</v>
      </c>
      <c r="AJ61" s="128">
        <v>1.37</v>
      </c>
      <c r="AK61" s="128">
        <v>1.38</v>
      </c>
      <c r="AL61" s="128">
        <v>1.38</v>
      </c>
      <c r="AM61" s="128">
        <v>1.39</v>
      </c>
      <c r="AN61" s="128">
        <v>1.4</v>
      </c>
      <c r="AO61" s="128">
        <v>1.4</v>
      </c>
      <c r="AP61" s="128">
        <v>1.41</v>
      </c>
      <c r="AQ61" s="128">
        <v>1.41</v>
      </c>
      <c r="AR61" s="128">
        <v>1.42</v>
      </c>
      <c r="AS61" s="128">
        <v>1.43</v>
      </c>
      <c r="AT61" s="128">
        <v>1.44</v>
      </c>
      <c r="AU61" s="128">
        <v>1.45</v>
      </c>
      <c r="AV61" s="128">
        <v>1.46</v>
      </c>
      <c r="AW61" s="128">
        <v>1.47</v>
      </c>
      <c r="AX61" s="128">
        <v>1.48</v>
      </c>
      <c r="AY61" s="128">
        <v>1.49</v>
      </c>
      <c r="AZ61" s="128">
        <v>1.5</v>
      </c>
      <c r="BA61" s="128">
        <v>1.51</v>
      </c>
      <c r="BB61" s="128">
        <v>1.52</v>
      </c>
      <c r="BC61" s="128">
        <v>1.53</v>
      </c>
      <c r="BD61" s="128">
        <v>1.54</v>
      </c>
      <c r="BE61" s="128">
        <v>1.55</v>
      </c>
      <c r="BF61" s="128">
        <v>1.56</v>
      </c>
      <c r="BG61" s="128">
        <v>1.57</v>
      </c>
      <c r="BH61" s="128">
        <v>1.58</v>
      </c>
      <c r="BI61" s="128">
        <v>1.59</v>
      </c>
      <c r="BJ61" s="128">
        <v>1.59</v>
      </c>
      <c r="BK61" s="128">
        <v>1.6</v>
      </c>
      <c r="BL61" s="128">
        <v>1.6</v>
      </c>
      <c r="BM61" s="128">
        <v>1.61</v>
      </c>
      <c r="BN61" s="128">
        <v>1.62</v>
      </c>
      <c r="BO61" s="128">
        <v>1.62</v>
      </c>
      <c r="BP61" s="128">
        <v>1.63</v>
      </c>
      <c r="BQ61" s="128">
        <v>1.64</v>
      </c>
      <c r="BR61" s="128">
        <v>1.64</v>
      </c>
      <c r="BS61" s="128">
        <v>1.65</v>
      </c>
      <c r="BT61" s="128">
        <v>1.66</v>
      </c>
      <c r="BU61" s="128">
        <v>1.67</v>
      </c>
      <c r="BV61" s="128">
        <v>1.67</v>
      </c>
      <c r="BW61" s="128">
        <v>1.68</v>
      </c>
      <c r="BX61" s="128">
        <v>1.69</v>
      </c>
      <c r="BY61" s="128">
        <v>1.7</v>
      </c>
      <c r="BZ61" s="128">
        <v>1.71</v>
      </c>
      <c r="CA61" s="128">
        <v>1.72</v>
      </c>
      <c r="CB61" s="128">
        <v>1.73</v>
      </c>
      <c r="CC61" s="128">
        <v>1.73</v>
      </c>
      <c r="CD61" s="128">
        <v>1.74</v>
      </c>
      <c r="CE61" s="128">
        <v>1.75</v>
      </c>
      <c r="CF61" s="128">
        <v>1.76</v>
      </c>
      <c r="CG61" s="128">
        <v>1.77</v>
      </c>
      <c r="CH61" s="128">
        <v>1.78</v>
      </c>
      <c r="CI61" s="128">
        <v>1.79</v>
      </c>
      <c r="CJ61" s="128">
        <v>1.81</v>
      </c>
      <c r="CK61" s="128">
        <v>1.82</v>
      </c>
      <c r="CL61" s="128">
        <v>1.83</v>
      </c>
      <c r="CM61" s="128">
        <v>1.84</v>
      </c>
      <c r="CN61" s="128">
        <v>1.85</v>
      </c>
      <c r="CO61" s="128">
        <v>1.87</v>
      </c>
      <c r="CP61" s="128">
        <v>1.88</v>
      </c>
      <c r="CQ61" s="128">
        <v>1.89</v>
      </c>
      <c r="CR61" s="128">
        <v>1.91</v>
      </c>
      <c r="CS61" s="128">
        <v>1.92</v>
      </c>
      <c r="CT61" s="128">
        <v>1.94</v>
      </c>
      <c r="CU61" s="128">
        <v>1.95</v>
      </c>
      <c r="CV61" s="128">
        <v>1.97</v>
      </c>
      <c r="CW61" s="128">
        <v>1.98</v>
      </c>
      <c r="CX61" s="128">
        <v>2</v>
      </c>
      <c r="CZ61" s="126">
        <f>SUMIF(MatrixF2[[1]:[2]],MatrixF2[[#This Row],[Столбец1]])/MatrixF2[[#This Row],[Столбец1]]</f>
        <v>109.00000000000014</v>
      </c>
    </row>
    <row r="62" spans="1:104" ht="21" customHeight="1" x14ac:dyDescent="0.25">
      <c r="A62" s="127">
        <v>1.59</v>
      </c>
      <c r="B62" s="128">
        <v>1</v>
      </c>
      <c r="C62" s="128">
        <v>1.02</v>
      </c>
      <c r="D62" s="128">
        <v>1.03</v>
      </c>
      <c r="E62" s="128">
        <v>1.05</v>
      </c>
      <c r="F62" s="128">
        <v>1.06</v>
      </c>
      <c r="G62" s="128">
        <v>1.08</v>
      </c>
      <c r="H62" s="128">
        <v>1.0900000000000001</v>
      </c>
      <c r="I62" s="128">
        <v>1.1100000000000001</v>
      </c>
      <c r="J62" s="128">
        <v>1.1200000000000001</v>
      </c>
      <c r="K62" s="128">
        <v>1.1299999999999999</v>
      </c>
      <c r="L62" s="128">
        <v>1.1399999999999999</v>
      </c>
      <c r="M62" s="128">
        <v>1.1599999999999999</v>
      </c>
      <c r="N62" s="128">
        <v>1.17</v>
      </c>
      <c r="O62" s="128">
        <v>1.18</v>
      </c>
      <c r="P62" s="128">
        <v>1.19</v>
      </c>
      <c r="Q62" s="128">
        <v>1.2</v>
      </c>
      <c r="R62" s="128">
        <v>1.21</v>
      </c>
      <c r="S62" s="128">
        <v>1.22</v>
      </c>
      <c r="T62" s="128">
        <v>1.23</v>
      </c>
      <c r="U62" s="128">
        <v>1.24</v>
      </c>
      <c r="V62" s="128">
        <v>1.25</v>
      </c>
      <c r="W62" s="128">
        <v>1.26</v>
      </c>
      <c r="X62" s="128">
        <v>1.27</v>
      </c>
      <c r="Y62" s="128">
        <v>1.28</v>
      </c>
      <c r="Z62" s="128">
        <v>1.29</v>
      </c>
      <c r="AA62" s="128">
        <v>1.3</v>
      </c>
      <c r="AB62" s="128">
        <v>1.31</v>
      </c>
      <c r="AC62" s="128">
        <v>1.31</v>
      </c>
      <c r="AD62" s="128">
        <v>1.32</v>
      </c>
      <c r="AE62" s="128">
        <v>1.33</v>
      </c>
      <c r="AF62" s="128">
        <v>1.34</v>
      </c>
      <c r="AG62" s="128">
        <v>1.34</v>
      </c>
      <c r="AH62" s="128">
        <v>1.35</v>
      </c>
      <c r="AI62" s="128">
        <v>1.36</v>
      </c>
      <c r="AJ62" s="128">
        <v>1.37</v>
      </c>
      <c r="AK62" s="128">
        <v>1.37</v>
      </c>
      <c r="AL62" s="128">
        <v>1.38</v>
      </c>
      <c r="AM62" s="128">
        <v>1.39</v>
      </c>
      <c r="AN62" s="128">
        <v>1.39</v>
      </c>
      <c r="AO62" s="128">
        <v>1.4</v>
      </c>
      <c r="AP62" s="128">
        <v>1.4</v>
      </c>
      <c r="AQ62" s="128">
        <v>1.41</v>
      </c>
      <c r="AR62" s="128">
        <v>1.42</v>
      </c>
      <c r="AS62" s="128">
        <v>1.43</v>
      </c>
      <c r="AT62" s="128">
        <v>1.44</v>
      </c>
      <c r="AU62" s="128">
        <v>1.45</v>
      </c>
      <c r="AV62" s="128">
        <v>1.46</v>
      </c>
      <c r="AW62" s="128">
        <v>1.47</v>
      </c>
      <c r="AX62" s="128">
        <v>1.48</v>
      </c>
      <c r="AY62" s="128">
        <v>1.49</v>
      </c>
      <c r="AZ62" s="128">
        <v>1.5</v>
      </c>
      <c r="BA62" s="128">
        <v>1.51</v>
      </c>
      <c r="BB62" s="128">
        <v>1.52</v>
      </c>
      <c r="BC62" s="128">
        <v>1.53</v>
      </c>
      <c r="BD62" s="128">
        <v>1.54</v>
      </c>
      <c r="BE62" s="128">
        <v>1.55</v>
      </c>
      <c r="BF62" s="128">
        <v>1.56</v>
      </c>
      <c r="BG62" s="128">
        <v>1.57</v>
      </c>
      <c r="BH62" s="128">
        <v>1.58</v>
      </c>
      <c r="BI62" s="128">
        <v>1.59</v>
      </c>
      <c r="BJ62" s="128">
        <v>1.6</v>
      </c>
      <c r="BK62" s="128">
        <v>1.6</v>
      </c>
      <c r="BL62" s="128">
        <v>1.61</v>
      </c>
      <c r="BM62" s="128">
        <v>1.61</v>
      </c>
      <c r="BN62" s="128">
        <v>1.62</v>
      </c>
      <c r="BO62" s="128">
        <v>1.63</v>
      </c>
      <c r="BP62" s="128">
        <v>1.63</v>
      </c>
      <c r="BQ62" s="128">
        <v>1.64</v>
      </c>
      <c r="BR62" s="128">
        <v>1.65</v>
      </c>
      <c r="BS62" s="128">
        <v>1.66</v>
      </c>
      <c r="BT62" s="128">
        <v>1.66</v>
      </c>
      <c r="BU62" s="128">
        <v>1.67</v>
      </c>
      <c r="BV62" s="128">
        <v>1.68</v>
      </c>
      <c r="BW62" s="128">
        <v>1.69</v>
      </c>
      <c r="BX62" s="128">
        <v>1.69</v>
      </c>
      <c r="BY62" s="128">
        <v>1.7</v>
      </c>
      <c r="BZ62" s="128">
        <v>1.71</v>
      </c>
      <c r="CA62" s="128">
        <v>1.72</v>
      </c>
      <c r="CB62" s="128">
        <v>1.73</v>
      </c>
      <c r="CC62" s="128">
        <v>1.74</v>
      </c>
      <c r="CD62" s="128">
        <v>1.75</v>
      </c>
      <c r="CE62" s="128">
        <v>1.76</v>
      </c>
      <c r="CF62" s="128">
        <v>1.77</v>
      </c>
      <c r="CG62" s="128">
        <v>1.78</v>
      </c>
      <c r="CH62" s="128">
        <v>1.79</v>
      </c>
      <c r="CI62" s="128">
        <v>1.8</v>
      </c>
      <c r="CJ62" s="128">
        <v>1.81</v>
      </c>
      <c r="CK62" s="128">
        <v>1.82</v>
      </c>
      <c r="CL62" s="128">
        <v>1.83</v>
      </c>
      <c r="CM62" s="128">
        <v>1.84</v>
      </c>
      <c r="CN62" s="128">
        <v>1.86</v>
      </c>
      <c r="CO62" s="128">
        <v>1.87</v>
      </c>
      <c r="CP62" s="128">
        <v>1.88</v>
      </c>
      <c r="CQ62" s="128">
        <v>1.89</v>
      </c>
      <c r="CR62" s="128">
        <v>1.91</v>
      </c>
      <c r="CS62" s="128">
        <v>1.92</v>
      </c>
      <c r="CT62" s="128">
        <v>1.94</v>
      </c>
      <c r="CU62" s="128">
        <v>1.95</v>
      </c>
      <c r="CV62" s="128">
        <v>1.97</v>
      </c>
      <c r="CW62" s="128">
        <v>1.98</v>
      </c>
      <c r="CX62" s="128">
        <v>2</v>
      </c>
      <c r="CZ62" s="126">
        <f>SUMIF(MatrixF2[[1]:[2]],MatrixF2[[#This Row],[Столбец1]])/MatrixF2[[#This Row],[Столбец1]]</f>
        <v>111.00000000000018</v>
      </c>
    </row>
    <row r="63" spans="1:104" ht="21" customHeight="1" x14ac:dyDescent="0.25">
      <c r="A63" s="127">
        <v>1.6</v>
      </c>
      <c r="B63" s="128">
        <v>1</v>
      </c>
      <c r="C63" s="128">
        <v>1.02</v>
      </c>
      <c r="D63" s="128">
        <v>1.03</v>
      </c>
      <c r="E63" s="128">
        <v>1.05</v>
      </c>
      <c r="F63" s="128">
        <v>1.06</v>
      </c>
      <c r="G63" s="128">
        <v>1.08</v>
      </c>
      <c r="H63" s="128">
        <v>1.0900000000000001</v>
      </c>
      <c r="I63" s="128">
        <v>1.1000000000000001</v>
      </c>
      <c r="J63" s="128">
        <v>1.1200000000000001</v>
      </c>
      <c r="K63" s="128">
        <v>1.1299999999999999</v>
      </c>
      <c r="L63" s="128">
        <v>1.1399999999999999</v>
      </c>
      <c r="M63" s="128">
        <v>1.1499999999999999</v>
      </c>
      <c r="N63" s="128">
        <v>1.17</v>
      </c>
      <c r="O63" s="128">
        <v>1.18</v>
      </c>
      <c r="P63" s="128">
        <v>1.19</v>
      </c>
      <c r="Q63" s="128">
        <v>1.2</v>
      </c>
      <c r="R63" s="128">
        <v>1.21</v>
      </c>
      <c r="S63" s="128">
        <v>1.22</v>
      </c>
      <c r="T63" s="128">
        <v>1.23</v>
      </c>
      <c r="U63" s="128">
        <v>1.24</v>
      </c>
      <c r="V63" s="128">
        <v>1.25</v>
      </c>
      <c r="W63" s="128">
        <v>1.26</v>
      </c>
      <c r="X63" s="128">
        <v>1.27</v>
      </c>
      <c r="Y63" s="128">
        <v>1.28</v>
      </c>
      <c r="Z63" s="128">
        <v>1.29</v>
      </c>
      <c r="AA63" s="128">
        <v>1.29</v>
      </c>
      <c r="AB63" s="128">
        <v>1.3</v>
      </c>
      <c r="AC63" s="128">
        <v>1.31</v>
      </c>
      <c r="AD63" s="128">
        <v>1.32</v>
      </c>
      <c r="AE63" s="128">
        <v>1.33</v>
      </c>
      <c r="AF63" s="128">
        <v>1.33</v>
      </c>
      <c r="AG63" s="128">
        <v>1.34</v>
      </c>
      <c r="AH63" s="128">
        <v>1.35</v>
      </c>
      <c r="AI63" s="128">
        <v>1.35</v>
      </c>
      <c r="AJ63" s="128">
        <v>1.36</v>
      </c>
      <c r="AK63" s="128">
        <v>1.37</v>
      </c>
      <c r="AL63" s="128">
        <v>1.38</v>
      </c>
      <c r="AM63" s="128">
        <v>1.38</v>
      </c>
      <c r="AN63" s="128">
        <v>1.39</v>
      </c>
      <c r="AO63" s="128">
        <v>1.39</v>
      </c>
      <c r="AP63" s="128">
        <v>1.4</v>
      </c>
      <c r="AQ63" s="128">
        <v>1.41</v>
      </c>
      <c r="AR63" s="128">
        <v>1.42</v>
      </c>
      <c r="AS63" s="128">
        <v>1.43</v>
      </c>
      <c r="AT63" s="128">
        <v>1.44</v>
      </c>
      <c r="AU63" s="128">
        <v>1.45</v>
      </c>
      <c r="AV63" s="128">
        <v>1.46</v>
      </c>
      <c r="AW63" s="128">
        <v>1.47</v>
      </c>
      <c r="AX63" s="128">
        <v>1.48</v>
      </c>
      <c r="AY63" s="128">
        <v>1.49</v>
      </c>
      <c r="AZ63" s="128">
        <v>1.5</v>
      </c>
      <c r="BA63" s="128">
        <v>1.51</v>
      </c>
      <c r="BB63" s="128">
        <v>1.52</v>
      </c>
      <c r="BC63" s="128">
        <v>1.53</v>
      </c>
      <c r="BD63" s="128">
        <v>1.54</v>
      </c>
      <c r="BE63" s="128">
        <v>1.55</v>
      </c>
      <c r="BF63" s="128">
        <v>1.56</v>
      </c>
      <c r="BG63" s="128">
        <v>1.57</v>
      </c>
      <c r="BH63" s="128">
        <v>1.58</v>
      </c>
      <c r="BI63" s="128">
        <v>1.59</v>
      </c>
      <c r="BJ63" s="128">
        <v>1.6</v>
      </c>
      <c r="BK63" s="128">
        <v>1.61</v>
      </c>
      <c r="BL63" s="128">
        <v>1.61</v>
      </c>
      <c r="BM63" s="128">
        <v>1.62</v>
      </c>
      <c r="BN63" s="128">
        <v>1.62</v>
      </c>
      <c r="BO63" s="128">
        <v>1.63</v>
      </c>
      <c r="BP63" s="128">
        <v>1.64</v>
      </c>
      <c r="BQ63" s="128">
        <v>1.65</v>
      </c>
      <c r="BR63" s="128">
        <v>1.65</v>
      </c>
      <c r="BS63" s="128">
        <v>1.66</v>
      </c>
      <c r="BT63" s="128">
        <v>1.67</v>
      </c>
      <c r="BU63" s="128">
        <v>1.67</v>
      </c>
      <c r="BV63" s="128">
        <v>1.68</v>
      </c>
      <c r="BW63" s="128">
        <v>1.69</v>
      </c>
      <c r="BX63" s="128">
        <v>1.7</v>
      </c>
      <c r="BY63" s="128">
        <v>1.71</v>
      </c>
      <c r="BZ63" s="128">
        <v>1.71</v>
      </c>
      <c r="CA63" s="128">
        <v>1.72</v>
      </c>
      <c r="CB63" s="128">
        <v>1.73</v>
      </c>
      <c r="CC63" s="128">
        <v>1.74</v>
      </c>
      <c r="CD63" s="128">
        <v>1.75</v>
      </c>
      <c r="CE63" s="128">
        <v>1.76</v>
      </c>
      <c r="CF63" s="128">
        <v>1.77</v>
      </c>
      <c r="CG63" s="128">
        <v>1.78</v>
      </c>
      <c r="CH63" s="128">
        <v>1.79</v>
      </c>
      <c r="CI63" s="128">
        <v>1.8</v>
      </c>
      <c r="CJ63" s="128">
        <v>1.81</v>
      </c>
      <c r="CK63" s="128">
        <v>1.82</v>
      </c>
      <c r="CL63" s="128">
        <v>1.83</v>
      </c>
      <c r="CM63" s="128">
        <v>1.85</v>
      </c>
      <c r="CN63" s="128">
        <v>1.86</v>
      </c>
      <c r="CO63" s="128">
        <v>1.87</v>
      </c>
      <c r="CP63" s="128">
        <v>1.88</v>
      </c>
      <c r="CQ63" s="128">
        <v>1.9</v>
      </c>
      <c r="CR63" s="128">
        <v>1.91</v>
      </c>
      <c r="CS63" s="128">
        <v>1.92</v>
      </c>
      <c r="CT63" s="128">
        <v>1.94</v>
      </c>
      <c r="CU63" s="128">
        <v>1.95</v>
      </c>
      <c r="CV63" s="128">
        <v>1.97</v>
      </c>
      <c r="CW63" s="128">
        <v>1.98</v>
      </c>
      <c r="CX63" s="128">
        <v>2</v>
      </c>
      <c r="CZ63" s="126">
        <f>SUMIF(MatrixF2[[1]:[2]],MatrixF2[[#This Row],[Столбец1]])/MatrixF2[[#This Row],[Столбец1]]</f>
        <v>113.99999999999974</v>
      </c>
    </row>
    <row r="64" spans="1:104" ht="21" customHeight="1" x14ac:dyDescent="0.25">
      <c r="A64" s="127">
        <v>1.61</v>
      </c>
      <c r="B64" s="128">
        <v>1</v>
      </c>
      <c r="C64" s="128">
        <v>1.02</v>
      </c>
      <c r="D64" s="128">
        <v>1.03</v>
      </c>
      <c r="E64" s="128">
        <v>1.05</v>
      </c>
      <c r="F64" s="128">
        <v>1.06</v>
      </c>
      <c r="G64" s="128">
        <v>1.08</v>
      </c>
      <c r="H64" s="128">
        <v>1.0900000000000001</v>
      </c>
      <c r="I64" s="128">
        <v>1.1000000000000001</v>
      </c>
      <c r="J64" s="128">
        <v>1.1200000000000001</v>
      </c>
      <c r="K64" s="128">
        <v>1.1299999999999999</v>
      </c>
      <c r="L64" s="128">
        <v>1.1399999999999999</v>
      </c>
      <c r="M64" s="128">
        <v>1.1499999999999999</v>
      </c>
      <c r="N64" s="128">
        <v>1.1599999999999999</v>
      </c>
      <c r="O64" s="128">
        <v>1.18</v>
      </c>
      <c r="P64" s="128">
        <v>1.19</v>
      </c>
      <c r="Q64" s="128">
        <v>1.2</v>
      </c>
      <c r="R64" s="128">
        <v>1.21</v>
      </c>
      <c r="S64" s="128">
        <v>1.22</v>
      </c>
      <c r="T64" s="128">
        <v>1.23</v>
      </c>
      <c r="U64" s="128">
        <v>1.24</v>
      </c>
      <c r="V64" s="128">
        <v>1.25</v>
      </c>
      <c r="W64" s="128">
        <v>1.26</v>
      </c>
      <c r="X64" s="128">
        <v>1.27</v>
      </c>
      <c r="Y64" s="128">
        <v>1.27</v>
      </c>
      <c r="Z64" s="128">
        <v>1.28</v>
      </c>
      <c r="AA64" s="128">
        <v>1.29</v>
      </c>
      <c r="AB64" s="128">
        <v>1.3</v>
      </c>
      <c r="AC64" s="128">
        <v>1.31</v>
      </c>
      <c r="AD64" s="128">
        <v>1.31</v>
      </c>
      <c r="AE64" s="128">
        <v>1.32</v>
      </c>
      <c r="AF64" s="128">
        <v>1.33</v>
      </c>
      <c r="AG64" s="128">
        <v>1.34</v>
      </c>
      <c r="AH64" s="128">
        <v>1.34</v>
      </c>
      <c r="AI64" s="128">
        <v>1.35</v>
      </c>
      <c r="AJ64" s="128">
        <v>1.36</v>
      </c>
      <c r="AK64" s="128">
        <v>1.36</v>
      </c>
      <c r="AL64" s="128">
        <v>1.37</v>
      </c>
      <c r="AM64" s="128">
        <v>1.38</v>
      </c>
      <c r="AN64" s="128">
        <v>1.38</v>
      </c>
      <c r="AO64" s="128">
        <v>1.39</v>
      </c>
      <c r="AP64" s="128">
        <v>1.4</v>
      </c>
      <c r="AQ64" s="128">
        <v>1.41</v>
      </c>
      <c r="AR64" s="128">
        <v>1.42</v>
      </c>
      <c r="AS64" s="128">
        <v>1.43</v>
      </c>
      <c r="AT64" s="128">
        <v>1.44</v>
      </c>
      <c r="AU64" s="128">
        <v>1.45</v>
      </c>
      <c r="AV64" s="128">
        <v>1.46</v>
      </c>
      <c r="AW64" s="128">
        <v>1.47</v>
      </c>
      <c r="AX64" s="128">
        <v>1.48</v>
      </c>
      <c r="AY64" s="128">
        <v>1.49</v>
      </c>
      <c r="AZ64" s="128">
        <v>1.5</v>
      </c>
      <c r="BA64" s="128">
        <v>1.51</v>
      </c>
      <c r="BB64" s="128">
        <v>1.52</v>
      </c>
      <c r="BC64" s="128">
        <v>1.53</v>
      </c>
      <c r="BD64" s="128">
        <v>1.54</v>
      </c>
      <c r="BE64" s="128">
        <v>1.55</v>
      </c>
      <c r="BF64" s="128">
        <v>1.56</v>
      </c>
      <c r="BG64" s="128">
        <v>1.57</v>
      </c>
      <c r="BH64" s="128">
        <v>1.58</v>
      </c>
      <c r="BI64" s="128">
        <v>1.59</v>
      </c>
      <c r="BJ64" s="128">
        <v>1.6</v>
      </c>
      <c r="BK64" s="128">
        <v>1.61</v>
      </c>
      <c r="BL64" s="128">
        <v>1.62</v>
      </c>
      <c r="BM64" s="128">
        <v>1.62</v>
      </c>
      <c r="BN64" s="128">
        <v>1.63</v>
      </c>
      <c r="BO64" s="128">
        <v>1.64</v>
      </c>
      <c r="BP64" s="128">
        <v>1.64</v>
      </c>
      <c r="BQ64" s="128">
        <v>1.65</v>
      </c>
      <c r="BR64" s="128">
        <v>1.66</v>
      </c>
      <c r="BS64" s="128">
        <v>1.66</v>
      </c>
      <c r="BT64" s="128">
        <v>1.67</v>
      </c>
      <c r="BU64" s="128">
        <v>1.68</v>
      </c>
      <c r="BV64" s="128">
        <v>1.69</v>
      </c>
      <c r="BW64" s="128">
        <v>1.69</v>
      </c>
      <c r="BX64" s="128">
        <v>1.7</v>
      </c>
      <c r="BY64" s="128">
        <v>1.71</v>
      </c>
      <c r="BZ64" s="128">
        <v>1.72</v>
      </c>
      <c r="CA64" s="128">
        <v>1.73</v>
      </c>
      <c r="CB64" s="128">
        <v>1.73</v>
      </c>
      <c r="CC64" s="128">
        <v>1.74</v>
      </c>
      <c r="CD64" s="128">
        <v>1.75</v>
      </c>
      <c r="CE64" s="128">
        <v>1.76</v>
      </c>
      <c r="CF64" s="128">
        <v>1.77</v>
      </c>
      <c r="CG64" s="128">
        <v>1.78</v>
      </c>
      <c r="CH64" s="128">
        <v>1.79</v>
      </c>
      <c r="CI64" s="128">
        <v>1.8</v>
      </c>
      <c r="CJ64" s="128">
        <v>1.81</v>
      </c>
      <c r="CK64" s="128">
        <v>1.82</v>
      </c>
      <c r="CL64" s="128">
        <v>1.84</v>
      </c>
      <c r="CM64" s="128">
        <v>1.85</v>
      </c>
      <c r="CN64" s="128">
        <v>1.86</v>
      </c>
      <c r="CO64" s="128">
        <v>1.87</v>
      </c>
      <c r="CP64" s="128">
        <v>1.88</v>
      </c>
      <c r="CQ64" s="128">
        <v>1.9</v>
      </c>
      <c r="CR64" s="128">
        <v>1.91</v>
      </c>
      <c r="CS64" s="128">
        <v>1.92</v>
      </c>
      <c r="CT64" s="128">
        <v>1.94</v>
      </c>
      <c r="CU64" s="128">
        <v>1.95</v>
      </c>
      <c r="CV64" s="128">
        <v>1.97</v>
      </c>
      <c r="CW64" s="128">
        <v>1.98</v>
      </c>
      <c r="CX64" s="128">
        <v>2</v>
      </c>
      <c r="CZ64" s="126">
        <f>SUMIF(MatrixF2[[1]:[2]],MatrixF2[[#This Row],[Столбец1]])/MatrixF2[[#This Row],[Столбец1]]</f>
        <v>111.00000000000024</v>
      </c>
    </row>
    <row r="65" spans="1:104" ht="21" customHeight="1" x14ac:dyDescent="0.25">
      <c r="A65" s="127">
        <v>1.62</v>
      </c>
      <c r="B65" s="128">
        <v>1</v>
      </c>
      <c r="C65" s="128">
        <v>1.02</v>
      </c>
      <c r="D65" s="128">
        <v>1.03</v>
      </c>
      <c r="E65" s="128">
        <v>1.05</v>
      </c>
      <c r="F65" s="128">
        <v>1.06</v>
      </c>
      <c r="G65" s="128">
        <v>1.07</v>
      </c>
      <c r="H65" s="128">
        <v>1.0900000000000001</v>
      </c>
      <c r="I65" s="128">
        <v>1.1000000000000001</v>
      </c>
      <c r="J65" s="128">
        <v>1.1100000000000001</v>
      </c>
      <c r="K65" s="128">
        <v>1.1299999999999999</v>
      </c>
      <c r="L65" s="128">
        <v>1.1399999999999999</v>
      </c>
      <c r="M65" s="128">
        <v>1.1499999999999999</v>
      </c>
      <c r="N65" s="128">
        <v>1.1599999999999999</v>
      </c>
      <c r="O65" s="128">
        <v>1.17</v>
      </c>
      <c r="P65" s="128">
        <v>1.18</v>
      </c>
      <c r="Q65" s="128">
        <v>1.19</v>
      </c>
      <c r="R65" s="128">
        <v>1.21</v>
      </c>
      <c r="S65" s="128">
        <v>1.22</v>
      </c>
      <c r="T65" s="128">
        <v>1.22</v>
      </c>
      <c r="U65" s="128">
        <v>1.23</v>
      </c>
      <c r="V65" s="128">
        <v>1.24</v>
      </c>
      <c r="W65" s="128">
        <v>1.25</v>
      </c>
      <c r="X65" s="128">
        <v>1.26</v>
      </c>
      <c r="Y65" s="128">
        <v>1.27</v>
      </c>
      <c r="Z65" s="128">
        <v>1.28</v>
      </c>
      <c r="AA65" s="128">
        <v>1.29</v>
      </c>
      <c r="AB65" s="128">
        <v>1.3</v>
      </c>
      <c r="AC65" s="128">
        <v>1.3</v>
      </c>
      <c r="AD65" s="128">
        <v>1.31</v>
      </c>
      <c r="AE65" s="128">
        <v>1.32</v>
      </c>
      <c r="AF65" s="128">
        <v>1.33</v>
      </c>
      <c r="AG65" s="128">
        <v>1.33</v>
      </c>
      <c r="AH65" s="128">
        <v>1.34</v>
      </c>
      <c r="AI65" s="128">
        <v>1.35</v>
      </c>
      <c r="AJ65" s="128">
        <v>1.35</v>
      </c>
      <c r="AK65" s="128">
        <v>1.36</v>
      </c>
      <c r="AL65" s="128">
        <v>1.37</v>
      </c>
      <c r="AM65" s="128">
        <v>1.37</v>
      </c>
      <c r="AN65" s="128">
        <v>1.38</v>
      </c>
      <c r="AO65" s="128">
        <v>1.39</v>
      </c>
      <c r="AP65" s="128">
        <v>1.4</v>
      </c>
      <c r="AQ65" s="128">
        <v>1.41</v>
      </c>
      <c r="AR65" s="128">
        <v>1.42</v>
      </c>
      <c r="AS65" s="128">
        <v>1.43</v>
      </c>
      <c r="AT65" s="128">
        <v>1.44</v>
      </c>
      <c r="AU65" s="128">
        <v>1.45</v>
      </c>
      <c r="AV65" s="128">
        <v>1.46</v>
      </c>
      <c r="AW65" s="128">
        <v>1.47</v>
      </c>
      <c r="AX65" s="128">
        <v>1.48</v>
      </c>
      <c r="AY65" s="128">
        <v>1.49</v>
      </c>
      <c r="AZ65" s="128">
        <v>1.5</v>
      </c>
      <c r="BA65" s="128">
        <v>1.51</v>
      </c>
      <c r="BB65" s="128">
        <v>1.52</v>
      </c>
      <c r="BC65" s="128">
        <v>1.53</v>
      </c>
      <c r="BD65" s="128">
        <v>1.54</v>
      </c>
      <c r="BE65" s="128">
        <v>1.55</v>
      </c>
      <c r="BF65" s="128">
        <v>1.56</v>
      </c>
      <c r="BG65" s="128">
        <v>1.57</v>
      </c>
      <c r="BH65" s="128">
        <v>1.58</v>
      </c>
      <c r="BI65" s="128">
        <v>1.59</v>
      </c>
      <c r="BJ65" s="128">
        <v>1.6</v>
      </c>
      <c r="BK65" s="128">
        <v>1.61</v>
      </c>
      <c r="BL65" s="128">
        <v>1.62</v>
      </c>
      <c r="BM65" s="128">
        <v>1.63</v>
      </c>
      <c r="BN65" s="128">
        <v>1.63</v>
      </c>
      <c r="BO65" s="128">
        <v>1.64</v>
      </c>
      <c r="BP65" s="128">
        <v>1.65</v>
      </c>
      <c r="BQ65" s="128">
        <v>1.65</v>
      </c>
      <c r="BR65" s="128">
        <v>1.66</v>
      </c>
      <c r="BS65" s="128">
        <v>1.67</v>
      </c>
      <c r="BT65" s="128">
        <v>1.67</v>
      </c>
      <c r="BU65" s="128">
        <v>1.68</v>
      </c>
      <c r="BV65" s="128">
        <v>1.69</v>
      </c>
      <c r="BW65" s="128">
        <v>1.7</v>
      </c>
      <c r="BX65" s="128">
        <v>1.7</v>
      </c>
      <c r="BY65" s="128">
        <v>1.71</v>
      </c>
      <c r="BZ65" s="128">
        <v>1.72</v>
      </c>
      <c r="CA65" s="128">
        <v>1.73</v>
      </c>
      <c r="CB65" s="128">
        <v>1.74</v>
      </c>
      <c r="CC65" s="128">
        <v>1.75</v>
      </c>
      <c r="CD65" s="128">
        <v>1.76</v>
      </c>
      <c r="CE65" s="128">
        <v>1.77</v>
      </c>
      <c r="CF65" s="128">
        <v>1.78</v>
      </c>
      <c r="CG65" s="128">
        <v>1.78</v>
      </c>
      <c r="CH65" s="128">
        <v>1.79</v>
      </c>
      <c r="CI65" s="128">
        <v>1.81</v>
      </c>
      <c r="CJ65" s="128">
        <v>1.82</v>
      </c>
      <c r="CK65" s="128">
        <v>1.83</v>
      </c>
      <c r="CL65" s="128">
        <v>1.84</v>
      </c>
      <c r="CM65" s="128">
        <v>1.85</v>
      </c>
      <c r="CN65" s="128">
        <v>1.86</v>
      </c>
      <c r="CO65" s="128">
        <v>1.87</v>
      </c>
      <c r="CP65" s="128">
        <v>1.89</v>
      </c>
      <c r="CQ65" s="128">
        <v>1.9</v>
      </c>
      <c r="CR65" s="128">
        <v>1.91</v>
      </c>
      <c r="CS65" s="128">
        <v>1.93</v>
      </c>
      <c r="CT65" s="128">
        <v>1.94</v>
      </c>
      <c r="CU65" s="128">
        <v>1.95</v>
      </c>
      <c r="CV65" s="128">
        <v>1.97</v>
      </c>
      <c r="CW65" s="128">
        <v>1.98</v>
      </c>
      <c r="CX65" s="128">
        <v>2</v>
      </c>
      <c r="CZ65" s="126">
        <f>SUMIF(MatrixF2[[1]:[2]],MatrixF2[[#This Row],[Столбец1]])/MatrixF2[[#This Row],[Столбец1]]</f>
        <v>112.00000000000017</v>
      </c>
    </row>
    <row r="66" spans="1:104" ht="21" customHeight="1" x14ac:dyDescent="0.25">
      <c r="A66" s="127">
        <v>1.63</v>
      </c>
      <c r="B66" s="128">
        <v>1</v>
      </c>
      <c r="C66" s="128">
        <v>1.02</v>
      </c>
      <c r="D66" s="128">
        <v>1.03</v>
      </c>
      <c r="E66" s="128">
        <v>1.05</v>
      </c>
      <c r="F66" s="128">
        <v>1.06</v>
      </c>
      <c r="G66" s="128">
        <v>1.07</v>
      </c>
      <c r="H66" s="128">
        <v>1.0900000000000001</v>
      </c>
      <c r="I66" s="128">
        <v>1.1000000000000001</v>
      </c>
      <c r="J66" s="128">
        <v>1.1100000000000001</v>
      </c>
      <c r="K66" s="128">
        <v>1.1200000000000001</v>
      </c>
      <c r="L66" s="128">
        <v>1.1399999999999999</v>
      </c>
      <c r="M66" s="128">
        <v>1.1499999999999999</v>
      </c>
      <c r="N66" s="128">
        <v>1.1599999999999999</v>
      </c>
      <c r="O66" s="128">
        <v>1.17</v>
      </c>
      <c r="P66" s="128">
        <v>1.18</v>
      </c>
      <c r="Q66" s="128">
        <v>1.19</v>
      </c>
      <c r="R66" s="128">
        <v>1.2</v>
      </c>
      <c r="S66" s="128">
        <v>1.21</v>
      </c>
      <c r="T66" s="128">
        <v>1.22</v>
      </c>
      <c r="U66" s="128">
        <v>1.23</v>
      </c>
      <c r="V66" s="128">
        <v>1.24</v>
      </c>
      <c r="W66" s="128">
        <v>1.25</v>
      </c>
      <c r="X66" s="128">
        <v>1.26</v>
      </c>
      <c r="Y66" s="128">
        <v>1.27</v>
      </c>
      <c r="Z66" s="128">
        <v>1.28</v>
      </c>
      <c r="AA66" s="128">
        <v>1.28</v>
      </c>
      <c r="AB66" s="128">
        <v>1.29</v>
      </c>
      <c r="AC66" s="128">
        <v>1.3</v>
      </c>
      <c r="AD66" s="128">
        <v>1.31</v>
      </c>
      <c r="AE66" s="128">
        <v>1.32</v>
      </c>
      <c r="AF66" s="128">
        <v>1.32</v>
      </c>
      <c r="AG66" s="128">
        <v>1.33</v>
      </c>
      <c r="AH66" s="128">
        <v>1.34</v>
      </c>
      <c r="AI66" s="128">
        <v>1.34</v>
      </c>
      <c r="AJ66" s="128">
        <v>1.35</v>
      </c>
      <c r="AK66" s="128">
        <v>1.36</v>
      </c>
      <c r="AL66" s="128">
        <v>1.36</v>
      </c>
      <c r="AM66" s="128">
        <v>1.37</v>
      </c>
      <c r="AN66" s="128">
        <v>1.38</v>
      </c>
      <c r="AO66" s="128">
        <v>1.39</v>
      </c>
      <c r="AP66" s="128">
        <v>1.4</v>
      </c>
      <c r="AQ66" s="128">
        <v>1.41</v>
      </c>
      <c r="AR66" s="128">
        <v>1.42</v>
      </c>
      <c r="AS66" s="128">
        <v>1.43</v>
      </c>
      <c r="AT66" s="128">
        <v>1.44</v>
      </c>
      <c r="AU66" s="128">
        <v>1.45</v>
      </c>
      <c r="AV66" s="128">
        <v>1.46</v>
      </c>
      <c r="AW66" s="128">
        <v>1.47</v>
      </c>
      <c r="AX66" s="128">
        <v>1.48</v>
      </c>
      <c r="AY66" s="128">
        <v>1.49</v>
      </c>
      <c r="AZ66" s="128">
        <v>1.5</v>
      </c>
      <c r="BA66" s="128">
        <v>1.51</v>
      </c>
      <c r="BB66" s="128">
        <v>1.52</v>
      </c>
      <c r="BC66" s="128">
        <v>1.53</v>
      </c>
      <c r="BD66" s="128">
        <v>1.54</v>
      </c>
      <c r="BE66" s="128">
        <v>1.55</v>
      </c>
      <c r="BF66" s="128">
        <v>1.56</v>
      </c>
      <c r="BG66" s="128">
        <v>1.57</v>
      </c>
      <c r="BH66" s="128">
        <v>1.58</v>
      </c>
      <c r="BI66" s="128">
        <v>1.59</v>
      </c>
      <c r="BJ66" s="128">
        <v>1.6</v>
      </c>
      <c r="BK66" s="128">
        <v>1.61</v>
      </c>
      <c r="BL66" s="128">
        <v>1.62</v>
      </c>
      <c r="BM66" s="128">
        <v>1.63</v>
      </c>
      <c r="BN66" s="128">
        <v>1.64</v>
      </c>
      <c r="BO66" s="128">
        <v>1.64</v>
      </c>
      <c r="BP66" s="128">
        <v>1.65</v>
      </c>
      <c r="BQ66" s="128">
        <v>1.66</v>
      </c>
      <c r="BR66" s="128">
        <v>1.66</v>
      </c>
      <c r="BS66" s="128">
        <v>1.67</v>
      </c>
      <c r="BT66" s="128">
        <v>1.68</v>
      </c>
      <c r="BU66" s="128">
        <v>1.68</v>
      </c>
      <c r="BV66" s="128">
        <v>1.69</v>
      </c>
      <c r="BW66" s="128">
        <v>1.7</v>
      </c>
      <c r="BX66" s="128">
        <v>1.71</v>
      </c>
      <c r="BY66" s="128">
        <v>1.72</v>
      </c>
      <c r="BZ66" s="128">
        <v>1.72</v>
      </c>
      <c r="CA66" s="128">
        <v>1.73</v>
      </c>
      <c r="CB66" s="128">
        <v>1.74</v>
      </c>
      <c r="CC66" s="128">
        <v>1.75</v>
      </c>
      <c r="CD66" s="128">
        <v>1.76</v>
      </c>
      <c r="CE66" s="128">
        <v>1.77</v>
      </c>
      <c r="CF66" s="128">
        <v>1.78</v>
      </c>
      <c r="CG66" s="128">
        <v>1.79</v>
      </c>
      <c r="CH66" s="128">
        <v>1.8</v>
      </c>
      <c r="CI66" s="128">
        <v>1.81</v>
      </c>
      <c r="CJ66" s="128">
        <v>1.82</v>
      </c>
      <c r="CK66" s="128">
        <v>1.83</v>
      </c>
      <c r="CL66" s="128">
        <v>1.84</v>
      </c>
      <c r="CM66" s="128">
        <v>1.85</v>
      </c>
      <c r="CN66" s="128">
        <v>1.86</v>
      </c>
      <c r="CO66" s="128">
        <v>1.88</v>
      </c>
      <c r="CP66" s="128">
        <v>1.89</v>
      </c>
      <c r="CQ66" s="128">
        <v>1.9</v>
      </c>
      <c r="CR66" s="128">
        <v>1.91</v>
      </c>
      <c r="CS66" s="128">
        <v>1.93</v>
      </c>
      <c r="CT66" s="128">
        <v>1.94</v>
      </c>
      <c r="CU66" s="128">
        <v>1.95</v>
      </c>
      <c r="CV66" s="128">
        <v>1.97</v>
      </c>
      <c r="CW66" s="128">
        <v>1.98</v>
      </c>
      <c r="CX66" s="128">
        <v>2</v>
      </c>
      <c r="CZ66" s="126">
        <f>SUMIF(MatrixF2[[1]:[2]],MatrixF2[[#This Row],[Столбец1]])/MatrixF2[[#This Row],[Столбец1]]</f>
        <v>110.99999999999984</v>
      </c>
    </row>
    <row r="67" spans="1:104" ht="21" customHeight="1" x14ac:dyDescent="0.25">
      <c r="A67" s="127">
        <v>1.64</v>
      </c>
      <c r="B67" s="128">
        <v>1</v>
      </c>
      <c r="C67" s="128">
        <v>1.02</v>
      </c>
      <c r="D67" s="128">
        <v>1.03</v>
      </c>
      <c r="E67" s="128">
        <v>1.04</v>
      </c>
      <c r="F67" s="128">
        <v>1.06</v>
      </c>
      <c r="G67" s="128">
        <v>1.07</v>
      </c>
      <c r="H67" s="128">
        <v>1.0900000000000001</v>
      </c>
      <c r="I67" s="128">
        <v>1.1000000000000001</v>
      </c>
      <c r="J67" s="128">
        <v>1.1100000000000001</v>
      </c>
      <c r="K67" s="128">
        <v>1.1200000000000001</v>
      </c>
      <c r="L67" s="128">
        <v>1.1399999999999999</v>
      </c>
      <c r="M67" s="128">
        <v>1.1499999999999999</v>
      </c>
      <c r="N67" s="128">
        <v>1.1599999999999999</v>
      </c>
      <c r="O67" s="128">
        <v>1.17</v>
      </c>
      <c r="P67" s="128">
        <v>1.18</v>
      </c>
      <c r="Q67" s="128">
        <v>1.19</v>
      </c>
      <c r="R67" s="128">
        <v>1.2</v>
      </c>
      <c r="S67" s="128">
        <v>1.21</v>
      </c>
      <c r="T67" s="128">
        <v>1.22</v>
      </c>
      <c r="U67" s="128">
        <v>1.23</v>
      </c>
      <c r="V67" s="128">
        <v>1.24</v>
      </c>
      <c r="W67" s="128">
        <v>1.25</v>
      </c>
      <c r="X67" s="128">
        <v>1.26</v>
      </c>
      <c r="Y67" s="128">
        <v>1.26</v>
      </c>
      <c r="Z67" s="128">
        <v>1.27</v>
      </c>
      <c r="AA67" s="128">
        <v>1.28</v>
      </c>
      <c r="AB67" s="128">
        <v>1.29</v>
      </c>
      <c r="AC67" s="128">
        <v>1.3</v>
      </c>
      <c r="AD67" s="128">
        <v>1.3</v>
      </c>
      <c r="AE67" s="128">
        <v>1.31</v>
      </c>
      <c r="AF67" s="128">
        <v>1.32</v>
      </c>
      <c r="AG67" s="128">
        <v>1.33</v>
      </c>
      <c r="AH67" s="128">
        <v>1.33</v>
      </c>
      <c r="AI67" s="128">
        <v>1.34</v>
      </c>
      <c r="AJ67" s="128">
        <v>1.35</v>
      </c>
      <c r="AK67" s="128">
        <v>1.35</v>
      </c>
      <c r="AL67" s="128">
        <v>1.36</v>
      </c>
      <c r="AM67" s="128">
        <v>1.37</v>
      </c>
      <c r="AN67" s="128">
        <v>1.38</v>
      </c>
      <c r="AO67" s="128">
        <v>1.39</v>
      </c>
      <c r="AP67" s="128">
        <v>1.4</v>
      </c>
      <c r="AQ67" s="128">
        <v>1.41</v>
      </c>
      <c r="AR67" s="128">
        <v>1.42</v>
      </c>
      <c r="AS67" s="128">
        <v>1.43</v>
      </c>
      <c r="AT67" s="128">
        <v>1.44</v>
      </c>
      <c r="AU67" s="128">
        <v>1.45</v>
      </c>
      <c r="AV67" s="128">
        <v>1.46</v>
      </c>
      <c r="AW67" s="128">
        <v>1.47</v>
      </c>
      <c r="AX67" s="128">
        <v>1.48</v>
      </c>
      <c r="AY67" s="128">
        <v>1.49</v>
      </c>
      <c r="AZ67" s="128">
        <v>1.5</v>
      </c>
      <c r="BA67" s="128">
        <v>1.51</v>
      </c>
      <c r="BB67" s="128">
        <v>1.52</v>
      </c>
      <c r="BC67" s="128">
        <v>1.53</v>
      </c>
      <c r="BD67" s="128">
        <v>1.54</v>
      </c>
      <c r="BE67" s="128">
        <v>1.55</v>
      </c>
      <c r="BF67" s="128">
        <v>1.56</v>
      </c>
      <c r="BG67" s="128">
        <v>1.57</v>
      </c>
      <c r="BH67" s="128">
        <v>1.58</v>
      </c>
      <c r="BI67" s="128">
        <v>1.59</v>
      </c>
      <c r="BJ67" s="128">
        <v>1.6</v>
      </c>
      <c r="BK67" s="128">
        <v>1.61</v>
      </c>
      <c r="BL67" s="128">
        <v>1.62</v>
      </c>
      <c r="BM67" s="128">
        <v>1.63</v>
      </c>
      <c r="BN67" s="128">
        <v>1.64</v>
      </c>
      <c r="BO67" s="128">
        <v>1.65</v>
      </c>
      <c r="BP67" s="128">
        <v>1.65</v>
      </c>
      <c r="BQ67" s="128">
        <v>1.66</v>
      </c>
      <c r="BR67" s="128">
        <v>1.67</v>
      </c>
      <c r="BS67" s="128">
        <v>1.67</v>
      </c>
      <c r="BT67" s="128">
        <v>1.68</v>
      </c>
      <c r="BU67" s="128">
        <v>1.69</v>
      </c>
      <c r="BV67" s="128">
        <v>1.7</v>
      </c>
      <c r="BW67" s="128">
        <v>1.7</v>
      </c>
      <c r="BX67" s="128">
        <v>1.71</v>
      </c>
      <c r="BY67" s="128">
        <v>1.72</v>
      </c>
      <c r="BZ67" s="128">
        <v>1.73</v>
      </c>
      <c r="CA67" s="128">
        <v>1.74</v>
      </c>
      <c r="CB67" s="128">
        <v>1.74</v>
      </c>
      <c r="CC67" s="128">
        <v>1.75</v>
      </c>
      <c r="CD67" s="128">
        <v>1.76</v>
      </c>
      <c r="CE67" s="128">
        <v>1.77</v>
      </c>
      <c r="CF67" s="128">
        <v>1.78</v>
      </c>
      <c r="CG67" s="128">
        <v>1.79</v>
      </c>
      <c r="CH67" s="128">
        <v>1.8</v>
      </c>
      <c r="CI67" s="128">
        <v>1.81</v>
      </c>
      <c r="CJ67" s="128">
        <v>1.82</v>
      </c>
      <c r="CK67" s="128">
        <v>1.83</v>
      </c>
      <c r="CL67" s="128">
        <v>1.84</v>
      </c>
      <c r="CM67" s="128">
        <v>1.85</v>
      </c>
      <c r="CN67" s="128">
        <v>1.86</v>
      </c>
      <c r="CO67" s="128">
        <v>1.88</v>
      </c>
      <c r="CP67" s="128">
        <v>1.89</v>
      </c>
      <c r="CQ67" s="128">
        <v>1.9</v>
      </c>
      <c r="CR67" s="128">
        <v>1.91</v>
      </c>
      <c r="CS67" s="128">
        <v>1.93</v>
      </c>
      <c r="CT67" s="128">
        <v>1.94</v>
      </c>
      <c r="CU67" s="128">
        <v>1.96</v>
      </c>
      <c r="CV67" s="128">
        <v>1.97</v>
      </c>
      <c r="CW67" s="128">
        <v>1.98</v>
      </c>
      <c r="CX67" s="128">
        <v>2</v>
      </c>
      <c r="CZ67" s="126">
        <f>SUMIF(MatrixF2[[1]:[2]],MatrixF2[[#This Row],[Столбец1]])/MatrixF2[[#This Row],[Столбец1]]</f>
        <v>110.99999999999976</v>
      </c>
    </row>
    <row r="68" spans="1:104" ht="21" customHeight="1" x14ac:dyDescent="0.25">
      <c r="A68" s="127">
        <v>1.65</v>
      </c>
      <c r="B68" s="128">
        <v>1</v>
      </c>
      <c r="C68" s="128">
        <v>1.02</v>
      </c>
      <c r="D68" s="128">
        <v>1.03</v>
      </c>
      <c r="E68" s="128">
        <v>1.04</v>
      </c>
      <c r="F68" s="128">
        <v>1.06</v>
      </c>
      <c r="G68" s="128">
        <v>1.07</v>
      </c>
      <c r="H68" s="128">
        <v>1.08</v>
      </c>
      <c r="I68" s="128">
        <v>1.1000000000000001</v>
      </c>
      <c r="J68" s="128">
        <v>1.1100000000000001</v>
      </c>
      <c r="K68" s="128">
        <v>1.1200000000000001</v>
      </c>
      <c r="L68" s="128">
        <v>1.1299999999999999</v>
      </c>
      <c r="M68" s="128">
        <v>1.1399999999999999</v>
      </c>
      <c r="N68" s="128">
        <v>1.1599999999999999</v>
      </c>
      <c r="O68" s="128">
        <v>1.17</v>
      </c>
      <c r="P68" s="128">
        <v>1.18</v>
      </c>
      <c r="Q68" s="128">
        <v>1.19</v>
      </c>
      <c r="R68" s="128">
        <v>1.2</v>
      </c>
      <c r="S68" s="128">
        <v>1.21</v>
      </c>
      <c r="T68" s="128">
        <v>1.22</v>
      </c>
      <c r="U68" s="128">
        <v>1.23</v>
      </c>
      <c r="V68" s="128">
        <v>1.24</v>
      </c>
      <c r="W68" s="128">
        <v>1.24</v>
      </c>
      <c r="X68" s="128">
        <v>1.25</v>
      </c>
      <c r="Y68" s="128">
        <v>1.26</v>
      </c>
      <c r="Z68" s="128">
        <v>1.27</v>
      </c>
      <c r="AA68" s="128">
        <v>1.28</v>
      </c>
      <c r="AB68" s="128">
        <v>1.29</v>
      </c>
      <c r="AC68" s="128">
        <v>1.29</v>
      </c>
      <c r="AD68" s="128">
        <v>1.3</v>
      </c>
      <c r="AE68" s="128">
        <v>1.31</v>
      </c>
      <c r="AF68" s="128">
        <v>1.32</v>
      </c>
      <c r="AG68" s="128">
        <v>1.32</v>
      </c>
      <c r="AH68" s="128">
        <v>1.33</v>
      </c>
      <c r="AI68" s="128">
        <v>1.34</v>
      </c>
      <c r="AJ68" s="128">
        <v>1.34</v>
      </c>
      <c r="AK68" s="128">
        <v>1.35</v>
      </c>
      <c r="AL68" s="128">
        <v>1.36</v>
      </c>
      <c r="AM68" s="128">
        <v>1.37</v>
      </c>
      <c r="AN68" s="128">
        <v>1.38</v>
      </c>
      <c r="AO68" s="128">
        <v>1.39</v>
      </c>
      <c r="AP68" s="128">
        <v>1.4</v>
      </c>
      <c r="AQ68" s="128">
        <v>1.41</v>
      </c>
      <c r="AR68" s="128">
        <v>1.42</v>
      </c>
      <c r="AS68" s="128">
        <v>1.43</v>
      </c>
      <c r="AT68" s="128">
        <v>1.44</v>
      </c>
      <c r="AU68" s="128">
        <v>1.45</v>
      </c>
      <c r="AV68" s="128">
        <v>1.46</v>
      </c>
      <c r="AW68" s="128">
        <v>1.47</v>
      </c>
      <c r="AX68" s="128">
        <v>1.48</v>
      </c>
      <c r="AY68" s="128">
        <v>1.49</v>
      </c>
      <c r="AZ68" s="128">
        <v>1.5</v>
      </c>
      <c r="BA68" s="128">
        <v>1.51</v>
      </c>
      <c r="BB68" s="128">
        <v>1.52</v>
      </c>
      <c r="BC68" s="128">
        <v>1.53</v>
      </c>
      <c r="BD68" s="128">
        <v>1.54</v>
      </c>
      <c r="BE68" s="128">
        <v>1.55</v>
      </c>
      <c r="BF68" s="128">
        <v>1.56</v>
      </c>
      <c r="BG68" s="128">
        <v>1.57</v>
      </c>
      <c r="BH68" s="128">
        <v>1.58</v>
      </c>
      <c r="BI68" s="128">
        <v>1.59</v>
      </c>
      <c r="BJ68" s="128">
        <v>1.6</v>
      </c>
      <c r="BK68" s="128">
        <v>1.61</v>
      </c>
      <c r="BL68" s="128">
        <v>1.62</v>
      </c>
      <c r="BM68" s="128">
        <v>1.63</v>
      </c>
      <c r="BN68" s="128">
        <v>1.64</v>
      </c>
      <c r="BO68" s="128">
        <v>1.65</v>
      </c>
      <c r="BP68" s="128">
        <v>1.66</v>
      </c>
      <c r="BQ68" s="128">
        <v>1.66</v>
      </c>
      <c r="BR68" s="128">
        <v>1.67</v>
      </c>
      <c r="BS68" s="128">
        <v>1.68</v>
      </c>
      <c r="BT68" s="128">
        <v>1.68</v>
      </c>
      <c r="BU68" s="128">
        <v>1.69</v>
      </c>
      <c r="BV68" s="128">
        <v>1.7</v>
      </c>
      <c r="BW68" s="128">
        <v>1.71</v>
      </c>
      <c r="BX68" s="128">
        <v>1.71</v>
      </c>
      <c r="BY68" s="128">
        <v>1.72</v>
      </c>
      <c r="BZ68" s="128">
        <v>1.73</v>
      </c>
      <c r="CA68" s="128">
        <v>1.74</v>
      </c>
      <c r="CB68" s="128">
        <v>1.75</v>
      </c>
      <c r="CC68" s="128">
        <v>1.76</v>
      </c>
      <c r="CD68" s="128">
        <v>1.76</v>
      </c>
      <c r="CE68" s="128">
        <v>1.77</v>
      </c>
      <c r="CF68" s="128">
        <v>1.78</v>
      </c>
      <c r="CG68" s="128">
        <v>1.79</v>
      </c>
      <c r="CH68" s="128">
        <v>1.8</v>
      </c>
      <c r="CI68" s="128">
        <v>1.81</v>
      </c>
      <c r="CJ68" s="128">
        <v>1.82</v>
      </c>
      <c r="CK68" s="128">
        <v>1.83</v>
      </c>
      <c r="CL68" s="128">
        <v>1.84</v>
      </c>
      <c r="CM68" s="128">
        <v>1.86</v>
      </c>
      <c r="CN68" s="128">
        <v>1.87</v>
      </c>
      <c r="CO68" s="128">
        <v>1.88</v>
      </c>
      <c r="CP68" s="128">
        <v>1.89</v>
      </c>
      <c r="CQ68" s="128">
        <v>1.9</v>
      </c>
      <c r="CR68" s="128">
        <v>1.92</v>
      </c>
      <c r="CS68" s="128">
        <v>1.93</v>
      </c>
      <c r="CT68" s="128">
        <v>1.94</v>
      </c>
      <c r="CU68" s="128">
        <v>1.96</v>
      </c>
      <c r="CV68" s="128">
        <v>1.97</v>
      </c>
      <c r="CW68" s="128">
        <v>1.98</v>
      </c>
      <c r="CX68" s="128">
        <v>2</v>
      </c>
      <c r="CZ68" s="126">
        <f>SUMIF(MatrixF2[[1]:[2]],MatrixF2[[#This Row],[Столбец1]])/MatrixF2[[#This Row],[Столбец1]]</f>
        <v>113.00000000000024</v>
      </c>
    </row>
    <row r="69" spans="1:104" ht="21" customHeight="1" x14ac:dyDescent="0.25">
      <c r="A69" s="127">
        <v>1.66</v>
      </c>
      <c r="B69" s="128">
        <v>1</v>
      </c>
      <c r="C69" s="128">
        <v>1.01</v>
      </c>
      <c r="D69" s="128">
        <v>1.03</v>
      </c>
      <c r="E69" s="128">
        <v>1.04</v>
      </c>
      <c r="F69" s="128">
        <v>1.06</v>
      </c>
      <c r="G69" s="128">
        <v>1.07</v>
      </c>
      <c r="H69" s="128">
        <v>1.08</v>
      </c>
      <c r="I69" s="128">
        <v>1.1000000000000001</v>
      </c>
      <c r="J69" s="128">
        <v>1.1100000000000001</v>
      </c>
      <c r="K69" s="128">
        <v>1.1200000000000001</v>
      </c>
      <c r="L69" s="128">
        <v>1.1299999999999999</v>
      </c>
      <c r="M69" s="128">
        <v>1.1399999999999999</v>
      </c>
      <c r="N69" s="128">
        <v>1.1499999999999999</v>
      </c>
      <c r="O69" s="128">
        <v>1.1599999999999999</v>
      </c>
      <c r="P69" s="128">
        <v>1.18</v>
      </c>
      <c r="Q69" s="128">
        <v>1.19</v>
      </c>
      <c r="R69" s="128">
        <v>1.2</v>
      </c>
      <c r="S69" s="128">
        <v>1.2</v>
      </c>
      <c r="T69" s="128">
        <v>1.21</v>
      </c>
      <c r="U69" s="128">
        <v>1.22</v>
      </c>
      <c r="V69" s="128">
        <v>1.23</v>
      </c>
      <c r="W69" s="128">
        <v>1.24</v>
      </c>
      <c r="X69" s="128">
        <v>1.25</v>
      </c>
      <c r="Y69" s="128">
        <v>1.26</v>
      </c>
      <c r="Z69" s="128">
        <v>1.27</v>
      </c>
      <c r="AA69" s="128">
        <v>1.27</v>
      </c>
      <c r="AB69" s="128">
        <v>1.28</v>
      </c>
      <c r="AC69" s="128">
        <v>1.29</v>
      </c>
      <c r="AD69" s="128">
        <v>1.3</v>
      </c>
      <c r="AE69" s="128">
        <v>1.31</v>
      </c>
      <c r="AF69" s="128">
        <v>1.31</v>
      </c>
      <c r="AG69" s="128">
        <v>1.32</v>
      </c>
      <c r="AH69" s="128">
        <v>1.33</v>
      </c>
      <c r="AI69" s="128">
        <v>1.33</v>
      </c>
      <c r="AJ69" s="128">
        <v>1.34</v>
      </c>
      <c r="AK69" s="128">
        <v>1.35</v>
      </c>
      <c r="AL69" s="128">
        <v>1.36</v>
      </c>
      <c r="AM69" s="128">
        <v>1.37</v>
      </c>
      <c r="AN69" s="128">
        <v>1.38</v>
      </c>
      <c r="AO69" s="128">
        <v>1.39</v>
      </c>
      <c r="AP69" s="128">
        <v>1.4</v>
      </c>
      <c r="AQ69" s="128">
        <v>1.41</v>
      </c>
      <c r="AR69" s="128">
        <v>1.42</v>
      </c>
      <c r="AS69" s="128">
        <v>1.43</v>
      </c>
      <c r="AT69" s="128">
        <v>1.44</v>
      </c>
      <c r="AU69" s="128">
        <v>1.45</v>
      </c>
      <c r="AV69" s="128">
        <v>1.46</v>
      </c>
      <c r="AW69" s="128">
        <v>1.47</v>
      </c>
      <c r="AX69" s="128">
        <v>1.48</v>
      </c>
      <c r="AY69" s="128">
        <v>1.49</v>
      </c>
      <c r="AZ69" s="128">
        <v>1.5</v>
      </c>
      <c r="BA69" s="128">
        <v>1.51</v>
      </c>
      <c r="BB69" s="128">
        <v>1.52</v>
      </c>
      <c r="BC69" s="128">
        <v>1.53</v>
      </c>
      <c r="BD69" s="128">
        <v>1.54</v>
      </c>
      <c r="BE69" s="128">
        <v>1.55</v>
      </c>
      <c r="BF69" s="128">
        <v>1.56</v>
      </c>
      <c r="BG69" s="128">
        <v>1.57</v>
      </c>
      <c r="BH69" s="128">
        <v>1.58</v>
      </c>
      <c r="BI69" s="128">
        <v>1.59</v>
      </c>
      <c r="BJ69" s="128">
        <v>1.6</v>
      </c>
      <c r="BK69" s="128">
        <v>1.61</v>
      </c>
      <c r="BL69" s="128">
        <v>1.62</v>
      </c>
      <c r="BM69" s="128">
        <v>1.63</v>
      </c>
      <c r="BN69" s="128">
        <v>1.64</v>
      </c>
      <c r="BO69" s="128">
        <v>1.65</v>
      </c>
      <c r="BP69" s="128">
        <v>1.66</v>
      </c>
      <c r="BQ69" s="128">
        <v>1.67</v>
      </c>
      <c r="BR69" s="128">
        <v>1.67</v>
      </c>
      <c r="BS69" s="128">
        <v>1.68</v>
      </c>
      <c r="BT69" s="128">
        <v>1.69</v>
      </c>
      <c r="BU69" s="128">
        <v>1.69</v>
      </c>
      <c r="BV69" s="128">
        <v>1.7</v>
      </c>
      <c r="BW69" s="128">
        <v>1.71</v>
      </c>
      <c r="BX69" s="128">
        <v>1.72</v>
      </c>
      <c r="BY69" s="128">
        <v>1.73</v>
      </c>
      <c r="BZ69" s="128">
        <v>1.73</v>
      </c>
      <c r="CA69" s="128">
        <v>1.74</v>
      </c>
      <c r="CB69" s="128">
        <v>1.75</v>
      </c>
      <c r="CC69" s="128">
        <v>1.76</v>
      </c>
      <c r="CD69" s="128">
        <v>1.77</v>
      </c>
      <c r="CE69" s="128">
        <v>1.78</v>
      </c>
      <c r="CF69" s="128">
        <v>1.79</v>
      </c>
      <c r="CG69" s="128">
        <v>1.8</v>
      </c>
      <c r="CH69" s="128">
        <v>1.8</v>
      </c>
      <c r="CI69" s="128">
        <v>1.81</v>
      </c>
      <c r="CJ69" s="128">
        <v>1.82</v>
      </c>
      <c r="CK69" s="128">
        <v>1.84</v>
      </c>
      <c r="CL69" s="128">
        <v>1.85</v>
      </c>
      <c r="CM69" s="128">
        <v>1.86</v>
      </c>
      <c r="CN69" s="128">
        <v>1.87</v>
      </c>
      <c r="CO69" s="128">
        <v>1.88</v>
      </c>
      <c r="CP69" s="128">
        <v>1.89</v>
      </c>
      <c r="CQ69" s="128">
        <v>1.9</v>
      </c>
      <c r="CR69" s="128">
        <v>1.92</v>
      </c>
      <c r="CS69" s="128">
        <v>1.93</v>
      </c>
      <c r="CT69" s="128">
        <v>1.94</v>
      </c>
      <c r="CU69" s="128">
        <v>1.96</v>
      </c>
      <c r="CV69" s="128">
        <v>1.97</v>
      </c>
      <c r="CW69" s="128">
        <v>1.99</v>
      </c>
      <c r="CX69" s="128">
        <v>2</v>
      </c>
      <c r="CZ69" s="126">
        <f>SUMIF(MatrixF2[[1]:[2]],MatrixF2[[#This Row],[Столбец1]])/MatrixF2[[#This Row],[Столбец1]]</f>
        <v>110.99999999999983</v>
      </c>
    </row>
    <row r="70" spans="1:104" ht="21" customHeight="1" x14ac:dyDescent="0.25">
      <c r="A70" s="127">
        <v>1.67</v>
      </c>
      <c r="B70" s="128">
        <v>1</v>
      </c>
      <c r="C70" s="128">
        <v>1.01</v>
      </c>
      <c r="D70" s="128">
        <v>1.03</v>
      </c>
      <c r="E70" s="128">
        <v>1.04</v>
      </c>
      <c r="F70" s="128">
        <v>1.06</v>
      </c>
      <c r="G70" s="128">
        <v>1.07</v>
      </c>
      <c r="H70" s="128">
        <v>1.08</v>
      </c>
      <c r="I70" s="128">
        <v>1.0900000000000001</v>
      </c>
      <c r="J70" s="128">
        <v>1.1100000000000001</v>
      </c>
      <c r="K70" s="128">
        <v>1.1200000000000001</v>
      </c>
      <c r="L70" s="128">
        <v>1.1299999999999999</v>
      </c>
      <c r="M70" s="128">
        <v>1.1399999999999999</v>
      </c>
      <c r="N70" s="128">
        <v>1.1499999999999999</v>
      </c>
      <c r="O70" s="128">
        <v>1.1599999999999999</v>
      </c>
      <c r="P70" s="128">
        <v>1.17</v>
      </c>
      <c r="Q70" s="128">
        <v>1.18</v>
      </c>
      <c r="R70" s="128">
        <v>1.19</v>
      </c>
      <c r="S70" s="128">
        <v>1.2</v>
      </c>
      <c r="T70" s="128">
        <v>1.21</v>
      </c>
      <c r="U70" s="128">
        <v>1.22</v>
      </c>
      <c r="V70" s="128">
        <v>1.23</v>
      </c>
      <c r="W70" s="128">
        <v>1.24</v>
      </c>
      <c r="X70" s="128">
        <v>1.25</v>
      </c>
      <c r="Y70" s="128">
        <v>1.26</v>
      </c>
      <c r="Z70" s="128">
        <v>1.26</v>
      </c>
      <c r="AA70" s="128">
        <v>1.27</v>
      </c>
      <c r="AB70" s="128">
        <v>1.28</v>
      </c>
      <c r="AC70" s="128">
        <v>1.29</v>
      </c>
      <c r="AD70" s="128">
        <v>1.29</v>
      </c>
      <c r="AE70" s="128">
        <v>1.3</v>
      </c>
      <c r="AF70" s="128">
        <v>1.31</v>
      </c>
      <c r="AG70" s="128">
        <v>1.32</v>
      </c>
      <c r="AH70" s="128">
        <v>1.32</v>
      </c>
      <c r="AI70" s="128">
        <v>1.33</v>
      </c>
      <c r="AJ70" s="128">
        <v>1.34</v>
      </c>
      <c r="AK70" s="128">
        <v>1.35</v>
      </c>
      <c r="AL70" s="128">
        <v>1.36</v>
      </c>
      <c r="AM70" s="128">
        <v>1.37</v>
      </c>
      <c r="AN70" s="128">
        <v>1.38</v>
      </c>
      <c r="AO70" s="128">
        <v>1.39</v>
      </c>
      <c r="AP70" s="128">
        <v>1.4</v>
      </c>
      <c r="AQ70" s="128">
        <v>1.41</v>
      </c>
      <c r="AR70" s="128">
        <v>1.42</v>
      </c>
      <c r="AS70" s="128">
        <v>1.43</v>
      </c>
      <c r="AT70" s="128">
        <v>1.44</v>
      </c>
      <c r="AU70" s="128">
        <v>1.45</v>
      </c>
      <c r="AV70" s="128">
        <v>1.46</v>
      </c>
      <c r="AW70" s="128">
        <v>1.47</v>
      </c>
      <c r="AX70" s="128">
        <v>1.48</v>
      </c>
      <c r="AY70" s="128">
        <v>1.49</v>
      </c>
      <c r="AZ70" s="128">
        <v>1.5</v>
      </c>
      <c r="BA70" s="128">
        <v>1.51</v>
      </c>
      <c r="BB70" s="128">
        <v>1.52</v>
      </c>
      <c r="BC70" s="128">
        <v>1.53</v>
      </c>
      <c r="BD70" s="128">
        <v>1.54</v>
      </c>
      <c r="BE70" s="128">
        <v>1.55</v>
      </c>
      <c r="BF70" s="128">
        <v>1.56</v>
      </c>
      <c r="BG70" s="128">
        <v>1.57</v>
      </c>
      <c r="BH70" s="128">
        <v>1.58</v>
      </c>
      <c r="BI70" s="128">
        <v>1.59</v>
      </c>
      <c r="BJ70" s="128">
        <v>1.6</v>
      </c>
      <c r="BK70" s="128">
        <v>1.61</v>
      </c>
      <c r="BL70" s="128">
        <v>1.62</v>
      </c>
      <c r="BM70" s="128">
        <v>1.63</v>
      </c>
      <c r="BN70" s="128">
        <v>1.64</v>
      </c>
      <c r="BO70" s="128">
        <v>1.65</v>
      </c>
      <c r="BP70" s="128">
        <v>1.66</v>
      </c>
      <c r="BQ70" s="128">
        <v>1.67</v>
      </c>
      <c r="BR70" s="128">
        <v>1.68</v>
      </c>
      <c r="BS70" s="128">
        <v>1.68</v>
      </c>
      <c r="BT70" s="128">
        <v>1.69</v>
      </c>
      <c r="BU70" s="128">
        <v>1.7</v>
      </c>
      <c r="BV70" s="128">
        <v>1.71</v>
      </c>
      <c r="BW70" s="128">
        <v>1.71</v>
      </c>
      <c r="BX70" s="128">
        <v>1.72</v>
      </c>
      <c r="BY70" s="128">
        <v>1.73</v>
      </c>
      <c r="BZ70" s="128">
        <v>1.74</v>
      </c>
      <c r="CA70" s="128">
        <v>1.74</v>
      </c>
      <c r="CB70" s="128">
        <v>1.75</v>
      </c>
      <c r="CC70" s="128">
        <v>1.76</v>
      </c>
      <c r="CD70" s="128">
        <v>1.77</v>
      </c>
      <c r="CE70" s="128">
        <v>1.78</v>
      </c>
      <c r="CF70" s="128">
        <v>1.79</v>
      </c>
      <c r="CG70" s="128">
        <v>1.8</v>
      </c>
      <c r="CH70" s="128">
        <v>1.81</v>
      </c>
      <c r="CI70" s="128">
        <v>1.82</v>
      </c>
      <c r="CJ70" s="128">
        <v>1.83</v>
      </c>
      <c r="CK70" s="128">
        <v>1.84</v>
      </c>
      <c r="CL70" s="128">
        <v>1.85</v>
      </c>
      <c r="CM70" s="128">
        <v>1.86</v>
      </c>
      <c r="CN70" s="128">
        <v>1.87</v>
      </c>
      <c r="CO70" s="128">
        <v>1.88</v>
      </c>
      <c r="CP70" s="128">
        <v>1.89</v>
      </c>
      <c r="CQ70" s="128">
        <v>1.91</v>
      </c>
      <c r="CR70" s="128">
        <v>1.92</v>
      </c>
      <c r="CS70" s="128">
        <v>1.93</v>
      </c>
      <c r="CT70" s="128">
        <v>1.94</v>
      </c>
      <c r="CU70" s="128">
        <v>1.96</v>
      </c>
      <c r="CV70" s="128">
        <v>1.97</v>
      </c>
      <c r="CW70" s="128">
        <v>1.99</v>
      </c>
      <c r="CX70" s="128">
        <v>2</v>
      </c>
      <c r="CZ70" s="126">
        <f>SUMIF(MatrixF2[[1]:[2]],MatrixF2[[#This Row],[Столбец1]])/MatrixF2[[#This Row],[Столбец1]]</f>
        <v>112.99999999999979</v>
      </c>
    </row>
    <row r="71" spans="1:104" ht="21" customHeight="1" x14ac:dyDescent="0.25">
      <c r="A71" s="127">
        <v>1.68</v>
      </c>
      <c r="B71" s="128">
        <v>1</v>
      </c>
      <c r="C71" s="128">
        <v>1.01</v>
      </c>
      <c r="D71" s="128">
        <v>1.03</v>
      </c>
      <c r="E71" s="128">
        <v>1.04</v>
      </c>
      <c r="F71" s="128">
        <v>1.06</v>
      </c>
      <c r="G71" s="128">
        <v>1.07</v>
      </c>
      <c r="H71" s="128">
        <v>1.08</v>
      </c>
      <c r="I71" s="128">
        <v>1.0900000000000001</v>
      </c>
      <c r="J71" s="128">
        <v>1.1100000000000001</v>
      </c>
      <c r="K71" s="128">
        <v>1.1200000000000001</v>
      </c>
      <c r="L71" s="128">
        <v>1.1299999999999999</v>
      </c>
      <c r="M71" s="128">
        <v>1.1399999999999999</v>
      </c>
      <c r="N71" s="128">
        <v>1.1499999999999999</v>
      </c>
      <c r="O71" s="128">
        <v>1.1599999999999999</v>
      </c>
      <c r="P71" s="128">
        <v>1.17</v>
      </c>
      <c r="Q71" s="128">
        <v>1.18</v>
      </c>
      <c r="R71" s="128">
        <v>1.19</v>
      </c>
      <c r="S71" s="128">
        <v>1.2</v>
      </c>
      <c r="T71" s="128">
        <v>1.21</v>
      </c>
      <c r="U71" s="128">
        <v>1.22</v>
      </c>
      <c r="V71" s="128">
        <v>1.23</v>
      </c>
      <c r="W71" s="128">
        <v>1.24</v>
      </c>
      <c r="X71" s="128">
        <v>1.24</v>
      </c>
      <c r="Y71" s="128">
        <v>1.25</v>
      </c>
      <c r="Z71" s="128">
        <v>1.26</v>
      </c>
      <c r="AA71" s="128">
        <v>1.27</v>
      </c>
      <c r="AB71" s="128">
        <v>1.28</v>
      </c>
      <c r="AC71" s="128">
        <v>1.28</v>
      </c>
      <c r="AD71" s="128">
        <v>1.29</v>
      </c>
      <c r="AE71" s="128">
        <v>1.3</v>
      </c>
      <c r="AF71" s="128">
        <v>1.31</v>
      </c>
      <c r="AG71" s="128">
        <v>1.31</v>
      </c>
      <c r="AH71" s="128">
        <v>1.32</v>
      </c>
      <c r="AI71" s="128">
        <v>1.33</v>
      </c>
      <c r="AJ71" s="128">
        <v>1.34</v>
      </c>
      <c r="AK71" s="128">
        <v>1.35</v>
      </c>
      <c r="AL71" s="128">
        <v>1.36</v>
      </c>
      <c r="AM71" s="128">
        <v>1.37</v>
      </c>
      <c r="AN71" s="128">
        <v>1.38</v>
      </c>
      <c r="AO71" s="128">
        <v>1.39</v>
      </c>
      <c r="AP71" s="128">
        <v>1.4</v>
      </c>
      <c r="AQ71" s="128">
        <v>1.41</v>
      </c>
      <c r="AR71" s="128">
        <v>1.42</v>
      </c>
      <c r="AS71" s="128">
        <v>1.43</v>
      </c>
      <c r="AT71" s="128">
        <v>1.44</v>
      </c>
      <c r="AU71" s="128">
        <v>1.45</v>
      </c>
      <c r="AV71" s="128">
        <v>1.46</v>
      </c>
      <c r="AW71" s="128">
        <v>1.47</v>
      </c>
      <c r="AX71" s="128">
        <v>1.48</v>
      </c>
      <c r="AY71" s="128">
        <v>1.49</v>
      </c>
      <c r="AZ71" s="128">
        <v>1.5</v>
      </c>
      <c r="BA71" s="128">
        <v>1.51</v>
      </c>
      <c r="BB71" s="128">
        <v>1.52</v>
      </c>
      <c r="BC71" s="128">
        <v>1.53</v>
      </c>
      <c r="BD71" s="128">
        <v>1.54</v>
      </c>
      <c r="BE71" s="128">
        <v>1.55</v>
      </c>
      <c r="BF71" s="128">
        <v>1.56</v>
      </c>
      <c r="BG71" s="128">
        <v>1.57</v>
      </c>
      <c r="BH71" s="128">
        <v>1.58</v>
      </c>
      <c r="BI71" s="128">
        <v>1.59</v>
      </c>
      <c r="BJ71" s="128">
        <v>1.6</v>
      </c>
      <c r="BK71" s="128">
        <v>1.61</v>
      </c>
      <c r="BL71" s="128">
        <v>1.62</v>
      </c>
      <c r="BM71" s="128">
        <v>1.63</v>
      </c>
      <c r="BN71" s="128">
        <v>1.64</v>
      </c>
      <c r="BO71" s="128">
        <v>1.65</v>
      </c>
      <c r="BP71" s="128">
        <v>1.66</v>
      </c>
      <c r="BQ71" s="128">
        <v>1.67</v>
      </c>
      <c r="BR71" s="128">
        <v>1.68</v>
      </c>
      <c r="BS71" s="128">
        <v>1.69</v>
      </c>
      <c r="BT71" s="128">
        <v>1.69</v>
      </c>
      <c r="BU71" s="128">
        <v>1.7</v>
      </c>
      <c r="BV71" s="128">
        <v>1.71</v>
      </c>
      <c r="BW71" s="128">
        <v>1.72</v>
      </c>
      <c r="BX71" s="128">
        <v>1.72</v>
      </c>
      <c r="BY71" s="128">
        <v>1.73</v>
      </c>
      <c r="BZ71" s="128">
        <v>1.74</v>
      </c>
      <c r="CA71" s="128">
        <v>1.75</v>
      </c>
      <c r="CB71" s="128">
        <v>1.76</v>
      </c>
      <c r="CC71" s="128">
        <v>1.76</v>
      </c>
      <c r="CD71" s="128">
        <v>1.77</v>
      </c>
      <c r="CE71" s="128">
        <v>1.78</v>
      </c>
      <c r="CF71" s="128">
        <v>1.79</v>
      </c>
      <c r="CG71" s="128">
        <v>1.8</v>
      </c>
      <c r="CH71" s="128">
        <v>1.81</v>
      </c>
      <c r="CI71" s="128">
        <v>1.82</v>
      </c>
      <c r="CJ71" s="128">
        <v>1.83</v>
      </c>
      <c r="CK71" s="128">
        <v>1.84</v>
      </c>
      <c r="CL71" s="128">
        <v>1.85</v>
      </c>
      <c r="CM71" s="128">
        <v>1.86</v>
      </c>
      <c r="CN71" s="128">
        <v>1.87</v>
      </c>
      <c r="CO71" s="128">
        <v>1.88</v>
      </c>
      <c r="CP71" s="128">
        <v>1.89</v>
      </c>
      <c r="CQ71" s="128">
        <v>1.91</v>
      </c>
      <c r="CR71" s="128">
        <v>1.92</v>
      </c>
      <c r="CS71" s="128">
        <v>1.93</v>
      </c>
      <c r="CT71" s="128">
        <v>1.94</v>
      </c>
      <c r="CU71" s="128">
        <v>1.96</v>
      </c>
      <c r="CV71" s="128">
        <v>1.97</v>
      </c>
      <c r="CW71" s="128">
        <v>1.99</v>
      </c>
      <c r="CX71" s="128">
        <v>2</v>
      </c>
      <c r="CZ71" s="126">
        <f>SUMIF(MatrixF2[[1]:[2]],MatrixF2[[#This Row],[Столбец1]])/MatrixF2[[#This Row],[Столбец1]]</f>
        <v>112.00000000000028</v>
      </c>
    </row>
    <row r="72" spans="1:104" ht="21" customHeight="1" x14ac:dyDescent="0.25">
      <c r="A72" s="127">
        <v>1.69</v>
      </c>
      <c r="B72" s="128">
        <v>1</v>
      </c>
      <c r="C72" s="128">
        <v>1.01</v>
      </c>
      <c r="D72" s="128">
        <v>1.03</v>
      </c>
      <c r="E72" s="128">
        <v>1.04</v>
      </c>
      <c r="F72" s="128">
        <v>1.05</v>
      </c>
      <c r="G72" s="128">
        <v>1.07</v>
      </c>
      <c r="H72" s="128">
        <v>1.08</v>
      </c>
      <c r="I72" s="128">
        <v>1.0900000000000001</v>
      </c>
      <c r="J72" s="128">
        <v>1.1000000000000001</v>
      </c>
      <c r="K72" s="128">
        <v>1.1200000000000001</v>
      </c>
      <c r="L72" s="128">
        <v>1.1299999999999999</v>
      </c>
      <c r="M72" s="128">
        <v>1.1399999999999999</v>
      </c>
      <c r="N72" s="128">
        <v>1.1499999999999999</v>
      </c>
      <c r="O72" s="128">
        <v>1.1599999999999999</v>
      </c>
      <c r="P72" s="128">
        <v>1.17</v>
      </c>
      <c r="Q72" s="128">
        <v>1.18</v>
      </c>
      <c r="R72" s="128">
        <v>1.19</v>
      </c>
      <c r="S72" s="128">
        <v>1.2</v>
      </c>
      <c r="T72" s="128">
        <v>1.21</v>
      </c>
      <c r="U72" s="128">
        <v>1.22</v>
      </c>
      <c r="V72" s="128">
        <v>1.22</v>
      </c>
      <c r="W72" s="128">
        <v>1.23</v>
      </c>
      <c r="X72" s="128">
        <v>1.24</v>
      </c>
      <c r="Y72" s="128">
        <v>1.25</v>
      </c>
      <c r="Z72" s="128">
        <v>1.26</v>
      </c>
      <c r="AA72" s="128">
        <v>1.27</v>
      </c>
      <c r="AB72" s="128">
        <v>1.27</v>
      </c>
      <c r="AC72" s="128">
        <v>1.28</v>
      </c>
      <c r="AD72" s="128">
        <v>1.29</v>
      </c>
      <c r="AE72" s="128">
        <v>1.3</v>
      </c>
      <c r="AF72" s="128">
        <v>1.3</v>
      </c>
      <c r="AG72" s="128">
        <v>1.31</v>
      </c>
      <c r="AH72" s="128">
        <v>1.32</v>
      </c>
      <c r="AI72" s="128">
        <v>1.33</v>
      </c>
      <c r="AJ72" s="128">
        <v>1.34</v>
      </c>
      <c r="AK72" s="128">
        <v>1.35</v>
      </c>
      <c r="AL72" s="128">
        <v>1.36</v>
      </c>
      <c r="AM72" s="128">
        <v>1.37</v>
      </c>
      <c r="AN72" s="128">
        <v>1.38</v>
      </c>
      <c r="AO72" s="128">
        <v>1.39</v>
      </c>
      <c r="AP72" s="128">
        <v>1.4</v>
      </c>
      <c r="AQ72" s="128">
        <v>1.41</v>
      </c>
      <c r="AR72" s="128">
        <v>1.42</v>
      </c>
      <c r="AS72" s="128">
        <v>1.43</v>
      </c>
      <c r="AT72" s="128">
        <v>1.44</v>
      </c>
      <c r="AU72" s="128">
        <v>1.45</v>
      </c>
      <c r="AV72" s="128">
        <v>1.46</v>
      </c>
      <c r="AW72" s="128">
        <v>1.47</v>
      </c>
      <c r="AX72" s="128">
        <v>1.48</v>
      </c>
      <c r="AY72" s="128">
        <v>1.49</v>
      </c>
      <c r="AZ72" s="128">
        <v>1.5</v>
      </c>
      <c r="BA72" s="128">
        <v>1.51</v>
      </c>
      <c r="BB72" s="128">
        <v>1.52</v>
      </c>
      <c r="BC72" s="128">
        <v>1.53</v>
      </c>
      <c r="BD72" s="128">
        <v>1.54</v>
      </c>
      <c r="BE72" s="128">
        <v>1.55</v>
      </c>
      <c r="BF72" s="128">
        <v>1.56</v>
      </c>
      <c r="BG72" s="128">
        <v>1.57</v>
      </c>
      <c r="BH72" s="128">
        <v>1.58</v>
      </c>
      <c r="BI72" s="128">
        <v>1.59</v>
      </c>
      <c r="BJ72" s="128">
        <v>1.6</v>
      </c>
      <c r="BK72" s="128">
        <v>1.61</v>
      </c>
      <c r="BL72" s="128">
        <v>1.62</v>
      </c>
      <c r="BM72" s="128">
        <v>1.63</v>
      </c>
      <c r="BN72" s="128">
        <v>1.64</v>
      </c>
      <c r="BO72" s="128">
        <v>1.65</v>
      </c>
      <c r="BP72" s="128">
        <v>1.66</v>
      </c>
      <c r="BQ72" s="128">
        <v>1.67</v>
      </c>
      <c r="BR72" s="128">
        <v>1.68</v>
      </c>
      <c r="BS72" s="128">
        <v>1.69</v>
      </c>
      <c r="BT72" s="128">
        <v>1.7</v>
      </c>
      <c r="BU72" s="128">
        <v>1.7</v>
      </c>
      <c r="BV72" s="128">
        <v>1.71</v>
      </c>
      <c r="BW72" s="128">
        <v>1.72</v>
      </c>
      <c r="BX72" s="128">
        <v>1.73</v>
      </c>
      <c r="BY72" s="128">
        <v>1.73</v>
      </c>
      <c r="BZ72" s="128">
        <v>1.74</v>
      </c>
      <c r="CA72" s="128">
        <v>1.75</v>
      </c>
      <c r="CB72" s="128">
        <v>1.76</v>
      </c>
      <c r="CC72" s="128">
        <v>1.77</v>
      </c>
      <c r="CD72" s="128">
        <v>1.78</v>
      </c>
      <c r="CE72" s="128">
        <v>1.78</v>
      </c>
      <c r="CF72" s="128">
        <v>1.79</v>
      </c>
      <c r="CG72" s="128">
        <v>1.8</v>
      </c>
      <c r="CH72" s="128">
        <v>1.81</v>
      </c>
      <c r="CI72" s="128">
        <v>1.82</v>
      </c>
      <c r="CJ72" s="128">
        <v>1.83</v>
      </c>
      <c r="CK72" s="128">
        <v>1.84</v>
      </c>
      <c r="CL72" s="128">
        <v>1.85</v>
      </c>
      <c r="CM72" s="128">
        <v>1.86</v>
      </c>
      <c r="CN72" s="128">
        <v>1.87</v>
      </c>
      <c r="CO72" s="128">
        <v>1.88</v>
      </c>
      <c r="CP72" s="128">
        <v>1.9</v>
      </c>
      <c r="CQ72" s="128">
        <v>1.91</v>
      </c>
      <c r="CR72" s="128">
        <v>1.92</v>
      </c>
      <c r="CS72" s="128">
        <v>1.93</v>
      </c>
      <c r="CT72" s="128">
        <v>1.95</v>
      </c>
      <c r="CU72" s="128">
        <v>1.96</v>
      </c>
      <c r="CV72" s="128">
        <v>1.97</v>
      </c>
      <c r="CW72" s="128">
        <v>1.99</v>
      </c>
      <c r="CX72" s="128">
        <v>2</v>
      </c>
      <c r="CZ72" s="126">
        <f>SUMIF(MatrixF2[[1]:[2]],MatrixF2[[#This Row],[Столбец1]])/MatrixF2[[#This Row],[Столбец1]]</f>
        <v>108.99999999999989</v>
      </c>
    </row>
    <row r="73" spans="1:104" ht="21" customHeight="1" x14ac:dyDescent="0.25">
      <c r="A73" s="127">
        <v>1.7</v>
      </c>
      <c r="B73" s="128">
        <v>1</v>
      </c>
      <c r="C73" s="128">
        <v>1.01</v>
      </c>
      <c r="D73" s="128">
        <v>1.03</v>
      </c>
      <c r="E73" s="128">
        <v>1.04</v>
      </c>
      <c r="F73" s="128">
        <v>1.05</v>
      </c>
      <c r="G73" s="128">
        <v>1.07</v>
      </c>
      <c r="H73" s="128">
        <v>1.08</v>
      </c>
      <c r="I73" s="128">
        <v>1.0900000000000001</v>
      </c>
      <c r="J73" s="128">
        <v>1.1000000000000001</v>
      </c>
      <c r="K73" s="128">
        <v>1.1100000000000001</v>
      </c>
      <c r="L73" s="128">
        <v>1.1200000000000001</v>
      </c>
      <c r="M73" s="128">
        <v>1.1399999999999999</v>
      </c>
      <c r="N73" s="128">
        <v>1.1499999999999999</v>
      </c>
      <c r="O73" s="128">
        <v>1.1599999999999999</v>
      </c>
      <c r="P73" s="128">
        <v>1.17</v>
      </c>
      <c r="Q73" s="128">
        <v>1.18</v>
      </c>
      <c r="R73" s="128">
        <v>1.19</v>
      </c>
      <c r="S73" s="128">
        <v>1.2</v>
      </c>
      <c r="T73" s="128">
        <v>1.2</v>
      </c>
      <c r="U73" s="128">
        <v>1.21</v>
      </c>
      <c r="V73" s="128">
        <v>1.22</v>
      </c>
      <c r="W73" s="128">
        <v>1.23</v>
      </c>
      <c r="X73" s="128">
        <v>1.24</v>
      </c>
      <c r="Y73" s="128">
        <v>1.25</v>
      </c>
      <c r="Z73" s="128">
        <v>1.26</v>
      </c>
      <c r="AA73" s="128">
        <v>1.26</v>
      </c>
      <c r="AB73" s="128">
        <v>1.27</v>
      </c>
      <c r="AC73" s="128">
        <v>1.28</v>
      </c>
      <c r="AD73" s="128">
        <v>1.29</v>
      </c>
      <c r="AE73" s="128">
        <v>1.29</v>
      </c>
      <c r="AF73" s="128">
        <v>1.3</v>
      </c>
      <c r="AG73" s="128">
        <v>1.31</v>
      </c>
      <c r="AH73" s="128">
        <v>1.32</v>
      </c>
      <c r="AI73" s="128">
        <v>1.33</v>
      </c>
      <c r="AJ73" s="128">
        <v>1.34</v>
      </c>
      <c r="AK73" s="128">
        <v>1.35</v>
      </c>
      <c r="AL73" s="128">
        <v>1.36</v>
      </c>
      <c r="AM73" s="128">
        <v>1.37</v>
      </c>
      <c r="AN73" s="128">
        <v>1.38</v>
      </c>
      <c r="AO73" s="128">
        <v>1.39</v>
      </c>
      <c r="AP73" s="128">
        <v>1.4</v>
      </c>
      <c r="AQ73" s="128">
        <v>1.41</v>
      </c>
      <c r="AR73" s="128">
        <v>1.42</v>
      </c>
      <c r="AS73" s="128">
        <v>1.43</v>
      </c>
      <c r="AT73" s="128">
        <v>1.44</v>
      </c>
      <c r="AU73" s="128">
        <v>1.45</v>
      </c>
      <c r="AV73" s="128">
        <v>1.46</v>
      </c>
      <c r="AW73" s="128">
        <v>1.47</v>
      </c>
      <c r="AX73" s="128">
        <v>1.48</v>
      </c>
      <c r="AY73" s="128">
        <v>1.49</v>
      </c>
      <c r="AZ73" s="128">
        <v>1.5</v>
      </c>
      <c r="BA73" s="128">
        <v>1.51</v>
      </c>
      <c r="BB73" s="128">
        <v>1.52</v>
      </c>
      <c r="BC73" s="128">
        <v>1.53</v>
      </c>
      <c r="BD73" s="128">
        <v>1.54</v>
      </c>
      <c r="BE73" s="128">
        <v>1.55</v>
      </c>
      <c r="BF73" s="128">
        <v>1.56</v>
      </c>
      <c r="BG73" s="128">
        <v>1.57</v>
      </c>
      <c r="BH73" s="128">
        <v>1.58</v>
      </c>
      <c r="BI73" s="128">
        <v>1.59</v>
      </c>
      <c r="BJ73" s="128">
        <v>1.6</v>
      </c>
      <c r="BK73" s="128">
        <v>1.61</v>
      </c>
      <c r="BL73" s="128">
        <v>1.62</v>
      </c>
      <c r="BM73" s="128">
        <v>1.63</v>
      </c>
      <c r="BN73" s="128">
        <v>1.64</v>
      </c>
      <c r="BO73" s="128">
        <v>1.65</v>
      </c>
      <c r="BP73" s="128">
        <v>1.66</v>
      </c>
      <c r="BQ73" s="128">
        <v>1.67</v>
      </c>
      <c r="BR73" s="128">
        <v>1.68</v>
      </c>
      <c r="BS73" s="128">
        <v>1.69</v>
      </c>
      <c r="BT73" s="128">
        <v>1.7</v>
      </c>
      <c r="BU73" s="128">
        <v>1.71</v>
      </c>
      <c r="BV73" s="128">
        <v>1.71</v>
      </c>
      <c r="BW73" s="128">
        <v>1.72</v>
      </c>
      <c r="BX73" s="128">
        <v>1.73</v>
      </c>
      <c r="BY73" s="128">
        <v>1.74</v>
      </c>
      <c r="BZ73" s="128">
        <v>1.74</v>
      </c>
      <c r="CA73" s="128">
        <v>1.75</v>
      </c>
      <c r="CB73" s="128">
        <v>1.76</v>
      </c>
      <c r="CC73" s="128">
        <v>1.77</v>
      </c>
      <c r="CD73" s="128">
        <v>1.78</v>
      </c>
      <c r="CE73" s="128">
        <v>1.79</v>
      </c>
      <c r="CF73" s="128">
        <v>1.8</v>
      </c>
      <c r="CG73" s="128">
        <v>1.8</v>
      </c>
      <c r="CH73" s="128">
        <v>1.81</v>
      </c>
      <c r="CI73" s="128">
        <v>1.82</v>
      </c>
      <c r="CJ73" s="128">
        <v>1.83</v>
      </c>
      <c r="CK73" s="128">
        <v>1.84</v>
      </c>
      <c r="CL73" s="128">
        <v>1.85</v>
      </c>
      <c r="CM73" s="128">
        <v>1.86</v>
      </c>
      <c r="CN73" s="128">
        <v>1.88</v>
      </c>
      <c r="CO73" s="128">
        <v>1.89</v>
      </c>
      <c r="CP73" s="128">
        <v>1.9</v>
      </c>
      <c r="CQ73" s="128">
        <v>1.91</v>
      </c>
      <c r="CR73" s="128">
        <v>1.92</v>
      </c>
      <c r="CS73" s="128">
        <v>1.93</v>
      </c>
      <c r="CT73" s="128">
        <v>1.95</v>
      </c>
      <c r="CU73" s="128">
        <v>1.96</v>
      </c>
      <c r="CV73" s="128">
        <v>1.97</v>
      </c>
      <c r="CW73" s="128">
        <v>1.99</v>
      </c>
      <c r="CX73" s="128">
        <v>2</v>
      </c>
      <c r="CZ73" s="126">
        <f>SUMIF(MatrixF2[[1]:[2]],MatrixF2[[#This Row],[Столбец1]])/MatrixF2[[#This Row],[Столбец1]]</f>
        <v>108.99999999999986</v>
      </c>
    </row>
    <row r="74" spans="1:104" ht="21" customHeight="1" x14ac:dyDescent="0.25">
      <c r="A74" s="127">
        <v>1.71</v>
      </c>
      <c r="B74" s="128">
        <v>1</v>
      </c>
      <c r="C74" s="128">
        <v>1.01</v>
      </c>
      <c r="D74" s="128">
        <v>1.03</v>
      </c>
      <c r="E74" s="128">
        <v>1.04</v>
      </c>
      <c r="F74" s="128">
        <v>1.05</v>
      </c>
      <c r="G74" s="128">
        <v>1.07</v>
      </c>
      <c r="H74" s="128">
        <v>1.08</v>
      </c>
      <c r="I74" s="128">
        <v>1.0900000000000001</v>
      </c>
      <c r="J74" s="128">
        <v>1.1000000000000001</v>
      </c>
      <c r="K74" s="128">
        <v>1.1100000000000001</v>
      </c>
      <c r="L74" s="128">
        <v>1.1200000000000001</v>
      </c>
      <c r="M74" s="128">
        <v>1.1299999999999999</v>
      </c>
      <c r="N74" s="128">
        <v>1.1399999999999999</v>
      </c>
      <c r="O74" s="128">
        <v>1.1499999999999999</v>
      </c>
      <c r="P74" s="128">
        <v>1.1599999999999999</v>
      </c>
      <c r="Q74" s="128">
        <v>1.17</v>
      </c>
      <c r="R74" s="128">
        <v>1.18</v>
      </c>
      <c r="S74" s="128">
        <v>1.19</v>
      </c>
      <c r="T74" s="128">
        <v>1.2</v>
      </c>
      <c r="U74" s="128">
        <v>1.21</v>
      </c>
      <c r="V74" s="128">
        <v>1.22</v>
      </c>
      <c r="W74" s="128">
        <v>1.23</v>
      </c>
      <c r="X74" s="128">
        <v>1.24</v>
      </c>
      <c r="Y74" s="128">
        <v>1.24</v>
      </c>
      <c r="Z74" s="128">
        <v>1.25</v>
      </c>
      <c r="AA74" s="128">
        <v>1.26</v>
      </c>
      <c r="AB74" s="128">
        <v>1.27</v>
      </c>
      <c r="AC74" s="128">
        <v>1.28</v>
      </c>
      <c r="AD74" s="128">
        <v>1.28</v>
      </c>
      <c r="AE74" s="128">
        <v>1.29</v>
      </c>
      <c r="AF74" s="128">
        <v>1.3</v>
      </c>
      <c r="AG74" s="128">
        <v>1.31</v>
      </c>
      <c r="AH74" s="128">
        <v>1.32</v>
      </c>
      <c r="AI74" s="128">
        <v>1.33</v>
      </c>
      <c r="AJ74" s="128">
        <v>1.34</v>
      </c>
      <c r="AK74" s="128">
        <v>1.35</v>
      </c>
      <c r="AL74" s="128">
        <v>1.36</v>
      </c>
      <c r="AM74" s="128">
        <v>1.37</v>
      </c>
      <c r="AN74" s="128">
        <v>1.38</v>
      </c>
      <c r="AO74" s="128">
        <v>1.39</v>
      </c>
      <c r="AP74" s="128">
        <v>1.4</v>
      </c>
      <c r="AQ74" s="128">
        <v>1.41</v>
      </c>
      <c r="AR74" s="128">
        <v>1.42</v>
      </c>
      <c r="AS74" s="128">
        <v>1.43</v>
      </c>
      <c r="AT74" s="128">
        <v>1.44</v>
      </c>
      <c r="AU74" s="128">
        <v>1.45</v>
      </c>
      <c r="AV74" s="128">
        <v>1.46</v>
      </c>
      <c r="AW74" s="128">
        <v>1.47</v>
      </c>
      <c r="AX74" s="128">
        <v>1.48</v>
      </c>
      <c r="AY74" s="128">
        <v>1.49</v>
      </c>
      <c r="AZ74" s="128">
        <v>1.5</v>
      </c>
      <c r="BA74" s="128">
        <v>1.51</v>
      </c>
      <c r="BB74" s="128">
        <v>1.52</v>
      </c>
      <c r="BC74" s="128">
        <v>1.53</v>
      </c>
      <c r="BD74" s="128">
        <v>1.54</v>
      </c>
      <c r="BE74" s="128">
        <v>1.55</v>
      </c>
      <c r="BF74" s="128">
        <v>1.56</v>
      </c>
      <c r="BG74" s="128">
        <v>1.57</v>
      </c>
      <c r="BH74" s="128">
        <v>1.58</v>
      </c>
      <c r="BI74" s="128">
        <v>1.59</v>
      </c>
      <c r="BJ74" s="128">
        <v>1.6</v>
      </c>
      <c r="BK74" s="128">
        <v>1.61</v>
      </c>
      <c r="BL74" s="128">
        <v>1.62</v>
      </c>
      <c r="BM74" s="128">
        <v>1.63</v>
      </c>
      <c r="BN74" s="128">
        <v>1.64</v>
      </c>
      <c r="BO74" s="128">
        <v>1.65</v>
      </c>
      <c r="BP74" s="128">
        <v>1.66</v>
      </c>
      <c r="BQ74" s="128">
        <v>1.67</v>
      </c>
      <c r="BR74" s="128">
        <v>1.68</v>
      </c>
      <c r="BS74" s="128">
        <v>1.69</v>
      </c>
      <c r="BT74" s="128">
        <v>1.7</v>
      </c>
      <c r="BU74" s="128">
        <v>1.71</v>
      </c>
      <c r="BV74" s="128">
        <v>1.72</v>
      </c>
      <c r="BW74" s="128">
        <v>1.72</v>
      </c>
      <c r="BX74" s="128">
        <v>1.73</v>
      </c>
      <c r="BY74" s="128">
        <v>1.74</v>
      </c>
      <c r="BZ74" s="128">
        <v>1.75</v>
      </c>
      <c r="CA74" s="128">
        <v>1.76</v>
      </c>
      <c r="CB74" s="128">
        <v>1.76</v>
      </c>
      <c r="CC74" s="128">
        <v>1.77</v>
      </c>
      <c r="CD74" s="128">
        <v>1.78</v>
      </c>
      <c r="CE74" s="128">
        <v>1.79</v>
      </c>
      <c r="CF74" s="128">
        <v>1.8</v>
      </c>
      <c r="CG74" s="128">
        <v>1.81</v>
      </c>
      <c r="CH74" s="128">
        <v>1.82</v>
      </c>
      <c r="CI74" s="128">
        <v>1.83</v>
      </c>
      <c r="CJ74" s="128">
        <v>1.84</v>
      </c>
      <c r="CK74" s="128">
        <v>1.85</v>
      </c>
      <c r="CL74" s="128">
        <v>1.86</v>
      </c>
      <c r="CM74" s="128">
        <v>1.87</v>
      </c>
      <c r="CN74" s="128">
        <v>1.88</v>
      </c>
      <c r="CO74" s="128">
        <v>1.89</v>
      </c>
      <c r="CP74" s="128">
        <v>1.9</v>
      </c>
      <c r="CQ74" s="128">
        <v>1.91</v>
      </c>
      <c r="CR74" s="128">
        <v>1.92</v>
      </c>
      <c r="CS74" s="128">
        <v>1.93</v>
      </c>
      <c r="CT74" s="128">
        <v>1.95</v>
      </c>
      <c r="CU74" s="128">
        <v>1.96</v>
      </c>
      <c r="CV74" s="128">
        <v>1.97</v>
      </c>
      <c r="CW74" s="128">
        <v>1.99</v>
      </c>
      <c r="CX74" s="128">
        <v>2</v>
      </c>
      <c r="CZ74" s="126">
        <f>SUMIF(MatrixF2[[1]:[2]],MatrixF2[[#This Row],[Столбец1]])/MatrixF2[[#This Row],[Столбец1]]</f>
        <v>111.00000000000006</v>
      </c>
    </row>
    <row r="75" spans="1:104" ht="21" customHeight="1" x14ac:dyDescent="0.25">
      <c r="A75" s="127">
        <v>1.72</v>
      </c>
      <c r="B75" s="128">
        <v>1</v>
      </c>
      <c r="C75" s="128">
        <v>1.01</v>
      </c>
      <c r="D75" s="128">
        <v>1.03</v>
      </c>
      <c r="E75" s="128">
        <v>1.04</v>
      </c>
      <c r="F75" s="128">
        <v>1.05</v>
      </c>
      <c r="G75" s="128">
        <v>1.06</v>
      </c>
      <c r="H75" s="128">
        <v>1.08</v>
      </c>
      <c r="I75" s="128">
        <v>1.0900000000000001</v>
      </c>
      <c r="J75" s="128">
        <v>1.1000000000000001</v>
      </c>
      <c r="K75" s="128">
        <v>1.1100000000000001</v>
      </c>
      <c r="L75" s="128">
        <v>1.1200000000000001</v>
      </c>
      <c r="M75" s="128">
        <v>1.1299999999999999</v>
      </c>
      <c r="N75" s="128">
        <v>1.1399999999999999</v>
      </c>
      <c r="O75" s="128">
        <v>1.1499999999999999</v>
      </c>
      <c r="P75" s="128">
        <v>1.1599999999999999</v>
      </c>
      <c r="Q75" s="128">
        <v>1.17</v>
      </c>
      <c r="R75" s="128">
        <v>1.18</v>
      </c>
      <c r="S75" s="128">
        <v>1.19</v>
      </c>
      <c r="T75" s="128">
        <v>1.2</v>
      </c>
      <c r="U75" s="128">
        <v>1.21</v>
      </c>
      <c r="V75" s="128">
        <v>1.22</v>
      </c>
      <c r="W75" s="128">
        <v>1.23</v>
      </c>
      <c r="X75" s="128">
        <v>1.23</v>
      </c>
      <c r="Y75" s="128">
        <v>1.24</v>
      </c>
      <c r="Z75" s="128">
        <v>1.25</v>
      </c>
      <c r="AA75" s="128">
        <v>1.26</v>
      </c>
      <c r="AB75" s="128">
        <v>1.27</v>
      </c>
      <c r="AC75" s="128">
        <v>1.27</v>
      </c>
      <c r="AD75" s="128">
        <v>1.28</v>
      </c>
      <c r="AE75" s="128">
        <v>1.29</v>
      </c>
      <c r="AF75" s="128">
        <v>1.3</v>
      </c>
      <c r="AG75" s="128">
        <v>1.31</v>
      </c>
      <c r="AH75" s="128">
        <v>1.32</v>
      </c>
      <c r="AI75" s="128">
        <v>1.33</v>
      </c>
      <c r="AJ75" s="128">
        <v>1.34</v>
      </c>
      <c r="AK75" s="128">
        <v>1.35</v>
      </c>
      <c r="AL75" s="128">
        <v>1.36</v>
      </c>
      <c r="AM75" s="128">
        <v>1.37</v>
      </c>
      <c r="AN75" s="128">
        <v>1.38</v>
      </c>
      <c r="AO75" s="128">
        <v>1.39</v>
      </c>
      <c r="AP75" s="128">
        <v>1.4</v>
      </c>
      <c r="AQ75" s="128">
        <v>1.41</v>
      </c>
      <c r="AR75" s="128">
        <v>1.42</v>
      </c>
      <c r="AS75" s="128">
        <v>1.43</v>
      </c>
      <c r="AT75" s="128">
        <v>1.44</v>
      </c>
      <c r="AU75" s="128">
        <v>1.45</v>
      </c>
      <c r="AV75" s="128">
        <v>1.46</v>
      </c>
      <c r="AW75" s="128">
        <v>1.47</v>
      </c>
      <c r="AX75" s="128">
        <v>1.48</v>
      </c>
      <c r="AY75" s="128">
        <v>1.49</v>
      </c>
      <c r="AZ75" s="128">
        <v>1.5</v>
      </c>
      <c r="BA75" s="128">
        <v>1.51</v>
      </c>
      <c r="BB75" s="128">
        <v>1.52</v>
      </c>
      <c r="BC75" s="128">
        <v>1.53</v>
      </c>
      <c r="BD75" s="128">
        <v>1.54</v>
      </c>
      <c r="BE75" s="128">
        <v>1.55</v>
      </c>
      <c r="BF75" s="128">
        <v>1.56</v>
      </c>
      <c r="BG75" s="128">
        <v>1.57</v>
      </c>
      <c r="BH75" s="128">
        <v>1.58</v>
      </c>
      <c r="BI75" s="128">
        <v>1.59</v>
      </c>
      <c r="BJ75" s="128">
        <v>1.6</v>
      </c>
      <c r="BK75" s="128">
        <v>1.61</v>
      </c>
      <c r="BL75" s="128">
        <v>1.62</v>
      </c>
      <c r="BM75" s="128">
        <v>1.63</v>
      </c>
      <c r="BN75" s="128">
        <v>1.64</v>
      </c>
      <c r="BO75" s="128">
        <v>1.65</v>
      </c>
      <c r="BP75" s="128">
        <v>1.66</v>
      </c>
      <c r="BQ75" s="128">
        <v>1.67</v>
      </c>
      <c r="BR75" s="128">
        <v>1.68</v>
      </c>
      <c r="BS75" s="128">
        <v>1.69</v>
      </c>
      <c r="BT75" s="128">
        <v>1.7</v>
      </c>
      <c r="BU75" s="128">
        <v>1.71</v>
      </c>
      <c r="BV75" s="128">
        <v>1.72</v>
      </c>
      <c r="BW75" s="128">
        <v>1.73</v>
      </c>
      <c r="BX75" s="128">
        <v>1.73</v>
      </c>
      <c r="BY75" s="128">
        <v>1.74</v>
      </c>
      <c r="BZ75" s="128">
        <v>1.75</v>
      </c>
      <c r="CA75" s="128">
        <v>1.76</v>
      </c>
      <c r="CB75" s="128">
        <v>1.77</v>
      </c>
      <c r="CC75" s="128">
        <v>1.77</v>
      </c>
      <c r="CD75" s="128">
        <v>1.78</v>
      </c>
      <c r="CE75" s="128">
        <v>1.79</v>
      </c>
      <c r="CF75" s="128">
        <v>1.8</v>
      </c>
      <c r="CG75" s="128">
        <v>1.81</v>
      </c>
      <c r="CH75" s="128">
        <v>1.82</v>
      </c>
      <c r="CI75" s="128">
        <v>1.83</v>
      </c>
      <c r="CJ75" s="128">
        <v>1.84</v>
      </c>
      <c r="CK75" s="128">
        <v>1.85</v>
      </c>
      <c r="CL75" s="128">
        <v>1.86</v>
      </c>
      <c r="CM75" s="128">
        <v>1.87</v>
      </c>
      <c r="CN75" s="128">
        <v>1.88</v>
      </c>
      <c r="CO75" s="128">
        <v>1.89</v>
      </c>
      <c r="CP75" s="128">
        <v>1.9</v>
      </c>
      <c r="CQ75" s="128">
        <v>1.91</v>
      </c>
      <c r="CR75" s="128">
        <v>1.92</v>
      </c>
      <c r="CS75" s="128">
        <v>1.94</v>
      </c>
      <c r="CT75" s="128">
        <v>1.95</v>
      </c>
      <c r="CU75" s="128">
        <v>1.96</v>
      </c>
      <c r="CV75" s="128">
        <v>1.97</v>
      </c>
      <c r="CW75" s="128">
        <v>1.99</v>
      </c>
      <c r="CX75" s="128">
        <v>2</v>
      </c>
      <c r="CZ75" s="126">
        <f>SUMIF(MatrixF2[[1]:[2]],MatrixF2[[#This Row],[Столбец1]])/MatrixF2[[#This Row],[Столбец1]]</f>
        <v>106.99999999999994</v>
      </c>
    </row>
    <row r="76" spans="1:104" ht="21" customHeight="1" x14ac:dyDescent="0.25">
      <c r="A76" s="127">
        <v>1.73</v>
      </c>
      <c r="B76" s="128">
        <v>1</v>
      </c>
      <c r="C76" s="128">
        <v>1.01</v>
      </c>
      <c r="D76" s="128">
        <v>1.03</v>
      </c>
      <c r="E76" s="128">
        <v>1.04</v>
      </c>
      <c r="F76" s="128">
        <v>1.05</v>
      </c>
      <c r="G76" s="128">
        <v>1.06</v>
      </c>
      <c r="H76" s="128">
        <v>1.08</v>
      </c>
      <c r="I76" s="128">
        <v>1.0900000000000001</v>
      </c>
      <c r="J76" s="128">
        <v>1.1000000000000001</v>
      </c>
      <c r="K76" s="128">
        <v>1.1100000000000001</v>
      </c>
      <c r="L76" s="128">
        <v>1.1200000000000001</v>
      </c>
      <c r="M76" s="128">
        <v>1.1299999999999999</v>
      </c>
      <c r="N76" s="128">
        <v>1.1399999999999999</v>
      </c>
      <c r="O76" s="128">
        <v>1.1499999999999999</v>
      </c>
      <c r="P76" s="128">
        <v>1.1599999999999999</v>
      </c>
      <c r="Q76" s="128">
        <v>1.17</v>
      </c>
      <c r="R76" s="128">
        <v>1.18</v>
      </c>
      <c r="S76" s="128">
        <v>1.19</v>
      </c>
      <c r="T76" s="128">
        <v>1.2</v>
      </c>
      <c r="U76" s="128">
        <v>1.21</v>
      </c>
      <c r="V76" s="128">
        <v>1.22</v>
      </c>
      <c r="W76" s="128">
        <v>1.22</v>
      </c>
      <c r="X76" s="128">
        <v>1.23</v>
      </c>
      <c r="Y76" s="128">
        <v>1.24</v>
      </c>
      <c r="Z76" s="128">
        <v>1.25</v>
      </c>
      <c r="AA76" s="128">
        <v>1.26</v>
      </c>
      <c r="AB76" s="128">
        <v>1.26</v>
      </c>
      <c r="AC76" s="128">
        <v>1.27</v>
      </c>
      <c r="AD76" s="128">
        <v>1.28</v>
      </c>
      <c r="AE76" s="128">
        <v>1.29</v>
      </c>
      <c r="AF76" s="128">
        <v>1.3</v>
      </c>
      <c r="AG76" s="128">
        <v>1.31</v>
      </c>
      <c r="AH76" s="128">
        <v>1.32</v>
      </c>
      <c r="AI76" s="128">
        <v>1.33</v>
      </c>
      <c r="AJ76" s="128">
        <v>1.34</v>
      </c>
      <c r="AK76" s="128">
        <v>1.35</v>
      </c>
      <c r="AL76" s="128">
        <v>1.36</v>
      </c>
      <c r="AM76" s="128">
        <v>1.37</v>
      </c>
      <c r="AN76" s="128">
        <v>1.38</v>
      </c>
      <c r="AO76" s="128">
        <v>1.39</v>
      </c>
      <c r="AP76" s="128">
        <v>1.4</v>
      </c>
      <c r="AQ76" s="128">
        <v>1.41</v>
      </c>
      <c r="AR76" s="128">
        <v>1.42</v>
      </c>
      <c r="AS76" s="128">
        <v>1.43</v>
      </c>
      <c r="AT76" s="128">
        <v>1.44</v>
      </c>
      <c r="AU76" s="128">
        <v>1.45</v>
      </c>
      <c r="AV76" s="128">
        <v>1.46</v>
      </c>
      <c r="AW76" s="128">
        <v>1.47</v>
      </c>
      <c r="AX76" s="128">
        <v>1.48</v>
      </c>
      <c r="AY76" s="128">
        <v>1.49</v>
      </c>
      <c r="AZ76" s="128">
        <v>1.5</v>
      </c>
      <c r="BA76" s="128">
        <v>1.51</v>
      </c>
      <c r="BB76" s="128">
        <v>1.52</v>
      </c>
      <c r="BC76" s="128">
        <v>1.53</v>
      </c>
      <c r="BD76" s="128">
        <v>1.54</v>
      </c>
      <c r="BE76" s="128">
        <v>1.55</v>
      </c>
      <c r="BF76" s="128">
        <v>1.56</v>
      </c>
      <c r="BG76" s="128">
        <v>1.57</v>
      </c>
      <c r="BH76" s="128">
        <v>1.58</v>
      </c>
      <c r="BI76" s="128">
        <v>1.59</v>
      </c>
      <c r="BJ76" s="128">
        <v>1.6</v>
      </c>
      <c r="BK76" s="128">
        <v>1.61</v>
      </c>
      <c r="BL76" s="128">
        <v>1.62</v>
      </c>
      <c r="BM76" s="128">
        <v>1.63</v>
      </c>
      <c r="BN76" s="128">
        <v>1.64</v>
      </c>
      <c r="BO76" s="128">
        <v>1.65</v>
      </c>
      <c r="BP76" s="128">
        <v>1.66</v>
      </c>
      <c r="BQ76" s="128">
        <v>1.67</v>
      </c>
      <c r="BR76" s="128">
        <v>1.68</v>
      </c>
      <c r="BS76" s="128">
        <v>1.69</v>
      </c>
      <c r="BT76" s="128">
        <v>1.7</v>
      </c>
      <c r="BU76" s="128">
        <v>1.71</v>
      </c>
      <c r="BV76" s="128">
        <v>1.72</v>
      </c>
      <c r="BW76" s="128">
        <v>1.73</v>
      </c>
      <c r="BX76" s="128">
        <v>1.74</v>
      </c>
      <c r="BY76" s="128">
        <v>1.74</v>
      </c>
      <c r="BZ76" s="128">
        <v>1.75</v>
      </c>
      <c r="CA76" s="128">
        <v>1.76</v>
      </c>
      <c r="CB76" s="128">
        <v>1.77</v>
      </c>
      <c r="CC76" s="128">
        <v>1.78</v>
      </c>
      <c r="CD76" s="128">
        <v>1.78</v>
      </c>
      <c r="CE76" s="128">
        <v>1.79</v>
      </c>
      <c r="CF76" s="128">
        <v>1.8</v>
      </c>
      <c r="CG76" s="128">
        <v>1.81</v>
      </c>
      <c r="CH76" s="128">
        <v>1.82</v>
      </c>
      <c r="CI76" s="128">
        <v>1.83</v>
      </c>
      <c r="CJ76" s="128">
        <v>1.84</v>
      </c>
      <c r="CK76" s="128">
        <v>1.85</v>
      </c>
      <c r="CL76" s="128">
        <v>1.86</v>
      </c>
      <c r="CM76" s="128">
        <v>1.87</v>
      </c>
      <c r="CN76" s="128">
        <v>1.88</v>
      </c>
      <c r="CO76" s="128">
        <v>1.89</v>
      </c>
      <c r="CP76" s="128">
        <v>1.9</v>
      </c>
      <c r="CQ76" s="128">
        <v>1.91</v>
      </c>
      <c r="CR76" s="128">
        <v>1.92</v>
      </c>
      <c r="CS76" s="128">
        <v>1.94</v>
      </c>
      <c r="CT76" s="128">
        <v>1.95</v>
      </c>
      <c r="CU76" s="128">
        <v>1.96</v>
      </c>
      <c r="CV76" s="128">
        <v>1.97</v>
      </c>
      <c r="CW76" s="128">
        <v>1.99</v>
      </c>
      <c r="CX76" s="128">
        <v>2</v>
      </c>
      <c r="CZ76" s="126">
        <f>SUMIF(MatrixF2[[1]:[2]],MatrixF2[[#This Row],[Столбец1]])/MatrixF2[[#This Row],[Столбец1]]</f>
        <v>109.99999999999984</v>
      </c>
    </row>
    <row r="77" spans="1:104" ht="21" customHeight="1" x14ac:dyDescent="0.25">
      <c r="A77" s="127">
        <v>1.74</v>
      </c>
      <c r="B77" s="128">
        <v>1</v>
      </c>
      <c r="C77" s="128">
        <v>1.01</v>
      </c>
      <c r="D77" s="128">
        <v>1.03</v>
      </c>
      <c r="E77" s="128">
        <v>1.04</v>
      </c>
      <c r="F77" s="128">
        <v>1.05</v>
      </c>
      <c r="G77" s="128">
        <v>1.06</v>
      </c>
      <c r="H77" s="128">
        <v>1.08</v>
      </c>
      <c r="I77" s="128">
        <v>1.0900000000000001</v>
      </c>
      <c r="J77" s="128">
        <v>1.1000000000000001</v>
      </c>
      <c r="K77" s="128">
        <v>1.1100000000000001</v>
      </c>
      <c r="L77" s="128">
        <v>1.1200000000000001</v>
      </c>
      <c r="M77" s="128">
        <v>1.1299999999999999</v>
      </c>
      <c r="N77" s="128">
        <v>1.1399999999999999</v>
      </c>
      <c r="O77" s="128">
        <v>1.1499999999999999</v>
      </c>
      <c r="P77" s="128">
        <v>1.1599999999999999</v>
      </c>
      <c r="Q77" s="128">
        <v>1.17</v>
      </c>
      <c r="R77" s="128">
        <v>1.18</v>
      </c>
      <c r="S77" s="128">
        <v>1.19</v>
      </c>
      <c r="T77" s="128">
        <v>1.2</v>
      </c>
      <c r="U77" s="128">
        <v>1.2</v>
      </c>
      <c r="V77" s="128">
        <v>1.21</v>
      </c>
      <c r="W77" s="128">
        <v>1.22</v>
      </c>
      <c r="X77" s="128">
        <v>1.23</v>
      </c>
      <c r="Y77" s="128">
        <v>1.24</v>
      </c>
      <c r="Z77" s="128">
        <v>1.24</v>
      </c>
      <c r="AA77" s="128">
        <v>1.25</v>
      </c>
      <c r="AB77" s="128">
        <v>1.26</v>
      </c>
      <c r="AC77" s="128">
        <v>1.27</v>
      </c>
      <c r="AD77" s="128">
        <v>1.28</v>
      </c>
      <c r="AE77" s="128">
        <v>1.29</v>
      </c>
      <c r="AF77" s="128">
        <v>1.3</v>
      </c>
      <c r="AG77" s="128">
        <v>1.31</v>
      </c>
      <c r="AH77" s="128">
        <v>1.32</v>
      </c>
      <c r="AI77" s="128">
        <v>1.33</v>
      </c>
      <c r="AJ77" s="128">
        <v>1.34</v>
      </c>
      <c r="AK77" s="128">
        <v>1.35</v>
      </c>
      <c r="AL77" s="128">
        <v>1.36</v>
      </c>
      <c r="AM77" s="128">
        <v>1.37</v>
      </c>
      <c r="AN77" s="128">
        <v>1.38</v>
      </c>
      <c r="AO77" s="128">
        <v>1.39</v>
      </c>
      <c r="AP77" s="128">
        <v>1.4</v>
      </c>
      <c r="AQ77" s="128">
        <v>1.41</v>
      </c>
      <c r="AR77" s="128">
        <v>1.42</v>
      </c>
      <c r="AS77" s="128">
        <v>1.43</v>
      </c>
      <c r="AT77" s="128">
        <v>1.44</v>
      </c>
      <c r="AU77" s="128">
        <v>1.45</v>
      </c>
      <c r="AV77" s="128">
        <v>1.46</v>
      </c>
      <c r="AW77" s="128">
        <v>1.47</v>
      </c>
      <c r="AX77" s="128">
        <v>1.48</v>
      </c>
      <c r="AY77" s="128">
        <v>1.49</v>
      </c>
      <c r="AZ77" s="128">
        <v>1.5</v>
      </c>
      <c r="BA77" s="128">
        <v>1.51</v>
      </c>
      <c r="BB77" s="128">
        <v>1.52</v>
      </c>
      <c r="BC77" s="128">
        <v>1.53</v>
      </c>
      <c r="BD77" s="128">
        <v>1.54</v>
      </c>
      <c r="BE77" s="128">
        <v>1.55</v>
      </c>
      <c r="BF77" s="128">
        <v>1.56</v>
      </c>
      <c r="BG77" s="128">
        <v>1.57</v>
      </c>
      <c r="BH77" s="128">
        <v>1.58</v>
      </c>
      <c r="BI77" s="128">
        <v>1.59</v>
      </c>
      <c r="BJ77" s="128">
        <v>1.6</v>
      </c>
      <c r="BK77" s="128">
        <v>1.61</v>
      </c>
      <c r="BL77" s="128">
        <v>1.62</v>
      </c>
      <c r="BM77" s="128">
        <v>1.63</v>
      </c>
      <c r="BN77" s="128">
        <v>1.64</v>
      </c>
      <c r="BO77" s="128">
        <v>1.65</v>
      </c>
      <c r="BP77" s="128">
        <v>1.66</v>
      </c>
      <c r="BQ77" s="128">
        <v>1.67</v>
      </c>
      <c r="BR77" s="128">
        <v>1.68</v>
      </c>
      <c r="BS77" s="128">
        <v>1.69</v>
      </c>
      <c r="BT77" s="128">
        <v>1.7</v>
      </c>
      <c r="BU77" s="128">
        <v>1.71</v>
      </c>
      <c r="BV77" s="128">
        <v>1.72</v>
      </c>
      <c r="BW77" s="128">
        <v>1.73</v>
      </c>
      <c r="BX77" s="128">
        <v>1.74</v>
      </c>
      <c r="BY77" s="128">
        <v>1.75</v>
      </c>
      <c r="BZ77" s="128">
        <v>1.76</v>
      </c>
      <c r="CA77" s="128">
        <v>1.76</v>
      </c>
      <c r="CB77" s="128">
        <v>1.77</v>
      </c>
      <c r="CC77" s="128">
        <v>1.78</v>
      </c>
      <c r="CD77" s="128">
        <v>1.79</v>
      </c>
      <c r="CE77" s="128">
        <v>1.8</v>
      </c>
      <c r="CF77" s="128">
        <v>1.8</v>
      </c>
      <c r="CG77" s="128">
        <v>1.81</v>
      </c>
      <c r="CH77" s="128">
        <v>1.82</v>
      </c>
      <c r="CI77" s="128">
        <v>1.83</v>
      </c>
      <c r="CJ77" s="128">
        <v>1.84</v>
      </c>
      <c r="CK77" s="128">
        <v>1.85</v>
      </c>
      <c r="CL77" s="128">
        <v>1.86</v>
      </c>
      <c r="CM77" s="128">
        <v>1.87</v>
      </c>
      <c r="CN77" s="128">
        <v>1.88</v>
      </c>
      <c r="CO77" s="128">
        <v>1.89</v>
      </c>
      <c r="CP77" s="128">
        <v>1.9</v>
      </c>
      <c r="CQ77" s="128">
        <v>1.91</v>
      </c>
      <c r="CR77" s="128">
        <v>1.92</v>
      </c>
      <c r="CS77" s="128">
        <v>1.94</v>
      </c>
      <c r="CT77" s="128">
        <v>1.95</v>
      </c>
      <c r="CU77" s="128">
        <v>1.96</v>
      </c>
      <c r="CV77" s="128">
        <v>1.97</v>
      </c>
      <c r="CW77" s="128">
        <v>1.99</v>
      </c>
      <c r="CX77" s="128">
        <v>2</v>
      </c>
      <c r="CZ77" s="126">
        <f>SUMIF(MatrixF2[[1]:[2]],MatrixF2[[#This Row],[Столбец1]])/MatrixF2[[#This Row],[Столбец1]]</f>
        <v>109.0000000000001</v>
      </c>
    </row>
    <row r="78" spans="1:104" ht="21" customHeight="1" x14ac:dyDescent="0.25">
      <c r="A78" s="127">
        <v>1.75</v>
      </c>
      <c r="B78" s="128">
        <v>1</v>
      </c>
      <c r="C78" s="128">
        <v>1.01</v>
      </c>
      <c r="D78" s="128">
        <v>1.03</v>
      </c>
      <c r="E78" s="128">
        <v>1.04</v>
      </c>
      <c r="F78" s="128">
        <v>1.05</v>
      </c>
      <c r="G78" s="128">
        <v>1.06</v>
      </c>
      <c r="H78" s="128">
        <v>1.07</v>
      </c>
      <c r="I78" s="128">
        <v>1.0900000000000001</v>
      </c>
      <c r="J78" s="128">
        <v>1.1000000000000001</v>
      </c>
      <c r="K78" s="128">
        <v>1.1100000000000001</v>
      </c>
      <c r="L78" s="128">
        <v>1.1200000000000001</v>
      </c>
      <c r="M78" s="128">
        <v>1.1299999999999999</v>
      </c>
      <c r="N78" s="128">
        <v>1.1399999999999999</v>
      </c>
      <c r="O78" s="128">
        <v>1.1499999999999999</v>
      </c>
      <c r="P78" s="128">
        <v>1.1599999999999999</v>
      </c>
      <c r="Q78" s="128">
        <v>1.17</v>
      </c>
      <c r="R78" s="128">
        <v>1.18</v>
      </c>
      <c r="S78" s="128">
        <v>1.18</v>
      </c>
      <c r="T78" s="128">
        <v>1.19</v>
      </c>
      <c r="U78" s="128">
        <v>1.2</v>
      </c>
      <c r="V78" s="128">
        <v>1.21</v>
      </c>
      <c r="W78" s="128">
        <v>1.22</v>
      </c>
      <c r="X78" s="128">
        <v>1.23</v>
      </c>
      <c r="Y78" s="128">
        <v>1.23</v>
      </c>
      <c r="Z78" s="128">
        <v>1.24</v>
      </c>
      <c r="AA78" s="128">
        <v>1.25</v>
      </c>
      <c r="AB78" s="128">
        <v>1.26</v>
      </c>
      <c r="AC78" s="128">
        <v>1.27</v>
      </c>
      <c r="AD78" s="128">
        <v>1.28</v>
      </c>
      <c r="AE78" s="128">
        <v>1.29</v>
      </c>
      <c r="AF78" s="128">
        <v>1.3</v>
      </c>
      <c r="AG78" s="128">
        <v>1.31</v>
      </c>
      <c r="AH78" s="128">
        <v>1.32</v>
      </c>
      <c r="AI78" s="128">
        <v>1.33</v>
      </c>
      <c r="AJ78" s="128">
        <v>1.34</v>
      </c>
      <c r="AK78" s="128">
        <v>1.35</v>
      </c>
      <c r="AL78" s="128">
        <v>1.36</v>
      </c>
      <c r="AM78" s="128">
        <v>1.37</v>
      </c>
      <c r="AN78" s="128">
        <v>1.38</v>
      </c>
      <c r="AO78" s="128">
        <v>1.39</v>
      </c>
      <c r="AP78" s="128">
        <v>1.4</v>
      </c>
      <c r="AQ78" s="128">
        <v>1.41</v>
      </c>
      <c r="AR78" s="128">
        <v>1.42</v>
      </c>
      <c r="AS78" s="128">
        <v>1.43</v>
      </c>
      <c r="AT78" s="128">
        <v>1.44</v>
      </c>
      <c r="AU78" s="128">
        <v>1.45</v>
      </c>
      <c r="AV78" s="128">
        <v>1.46</v>
      </c>
      <c r="AW78" s="128">
        <v>1.47</v>
      </c>
      <c r="AX78" s="128">
        <v>1.48</v>
      </c>
      <c r="AY78" s="128">
        <v>1.49</v>
      </c>
      <c r="AZ78" s="128">
        <v>1.5</v>
      </c>
      <c r="BA78" s="128">
        <v>1.51</v>
      </c>
      <c r="BB78" s="128">
        <v>1.52</v>
      </c>
      <c r="BC78" s="128">
        <v>1.53</v>
      </c>
      <c r="BD78" s="128">
        <v>1.54</v>
      </c>
      <c r="BE78" s="128">
        <v>1.55</v>
      </c>
      <c r="BF78" s="128">
        <v>1.56</v>
      </c>
      <c r="BG78" s="128">
        <v>1.57</v>
      </c>
      <c r="BH78" s="128">
        <v>1.58</v>
      </c>
      <c r="BI78" s="128">
        <v>1.59</v>
      </c>
      <c r="BJ78" s="128">
        <v>1.6</v>
      </c>
      <c r="BK78" s="128">
        <v>1.61</v>
      </c>
      <c r="BL78" s="128">
        <v>1.62</v>
      </c>
      <c r="BM78" s="128">
        <v>1.63</v>
      </c>
      <c r="BN78" s="128">
        <v>1.64</v>
      </c>
      <c r="BO78" s="128">
        <v>1.65</v>
      </c>
      <c r="BP78" s="128">
        <v>1.66</v>
      </c>
      <c r="BQ78" s="128">
        <v>1.67</v>
      </c>
      <c r="BR78" s="128">
        <v>1.68</v>
      </c>
      <c r="BS78" s="128">
        <v>1.69</v>
      </c>
      <c r="BT78" s="128">
        <v>1.7</v>
      </c>
      <c r="BU78" s="128">
        <v>1.71</v>
      </c>
      <c r="BV78" s="128">
        <v>1.72</v>
      </c>
      <c r="BW78" s="128">
        <v>1.73</v>
      </c>
      <c r="BX78" s="128">
        <v>1.74</v>
      </c>
      <c r="BY78" s="128">
        <v>1.75</v>
      </c>
      <c r="BZ78" s="128">
        <v>1.76</v>
      </c>
      <c r="CA78" s="128">
        <v>1.77</v>
      </c>
      <c r="CB78" s="128">
        <v>1.77</v>
      </c>
      <c r="CC78" s="128">
        <v>1.78</v>
      </c>
      <c r="CD78" s="128">
        <v>1.79</v>
      </c>
      <c r="CE78" s="128">
        <v>1.8</v>
      </c>
      <c r="CF78" s="128">
        <v>1.81</v>
      </c>
      <c r="CG78" s="128">
        <v>1.82</v>
      </c>
      <c r="CH78" s="128">
        <v>1.82</v>
      </c>
      <c r="CI78" s="128">
        <v>1.83</v>
      </c>
      <c r="CJ78" s="128">
        <v>1.84</v>
      </c>
      <c r="CK78" s="128">
        <v>1.85</v>
      </c>
      <c r="CL78" s="128">
        <v>1.86</v>
      </c>
      <c r="CM78" s="128">
        <v>1.87</v>
      </c>
      <c r="CN78" s="128">
        <v>1.88</v>
      </c>
      <c r="CO78" s="128">
        <v>1.89</v>
      </c>
      <c r="CP78" s="128">
        <v>1.9</v>
      </c>
      <c r="CQ78" s="128">
        <v>1.91</v>
      </c>
      <c r="CR78" s="128">
        <v>1.93</v>
      </c>
      <c r="CS78" s="128">
        <v>1.94</v>
      </c>
      <c r="CT78" s="128">
        <v>1.95</v>
      </c>
      <c r="CU78" s="128">
        <v>1.96</v>
      </c>
      <c r="CV78" s="128">
        <v>1.97</v>
      </c>
      <c r="CW78" s="128">
        <v>1.99</v>
      </c>
      <c r="CX78" s="128">
        <v>2</v>
      </c>
      <c r="CZ78" s="126">
        <f>SUMIF(MatrixF2[[1]:[2]],MatrixF2[[#This Row],[Столбец1]])/MatrixF2[[#This Row],[Столбец1]]</f>
        <v>101</v>
      </c>
    </row>
    <row r="79" spans="1:104" ht="21" customHeight="1" x14ac:dyDescent="0.25">
      <c r="A79" s="127">
        <v>1.76</v>
      </c>
      <c r="B79" s="128">
        <v>1</v>
      </c>
      <c r="C79" s="128">
        <v>1.01</v>
      </c>
      <c r="D79" s="128">
        <v>1.03</v>
      </c>
      <c r="E79" s="128">
        <v>1.04</v>
      </c>
      <c r="F79" s="128">
        <v>1.05</v>
      </c>
      <c r="G79" s="128">
        <v>1.06</v>
      </c>
      <c r="H79" s="128">
        <v>1.07</v>
      </c>
      <c r="I79" s="128">
        <v>1.08</v>
      </c>
      <c r="J79" s="128">
        <v>1.1000000000000001</v>
      </c>
      <c r="K79" s="128">
        <v>1.1100000000000001</v>
      </c>
      <c r="L79" s="128">
        <v>1.1200000000000001</v>
      </c>
      <c r="M79" s="128">
        <v>1.1299999999999999</v>
      </c>
      <c r="N79" s="128">
        <v>1.1399999999999999</v>
      </c>
      <c r="O79" s="128">
        <v>1.1499999999999999</v>
      </c>
      <c r="P79" s="128">
        <v>1.1599999999999999</v>
      </c>
      <c r="Q79" s="128">
        <v>1.1599999999999999</v>
      </c>
      <c r="R79" s="128">
        <v>1.17</v>
      </c>
      <c r="S79" s="128">
        <v>1.18</v>
      </c>
      <c r="T79" s="128">
        <v>1.19</v>
      </c>
      <c r="U79" s="128">
        <v>1.2</v>
      </c>
      <c r="V79" s="128">
        <v>1.21</v>
      </c>
      <c r="W79" s="128">
        <v>1.22</v>
      </c>
      <c r="X79" s="128">
        <v>1.22</v>
      </c>
      <c r="Y79" s="128">
        <v>1.23</v>
      </c>
      <c r="Z79" s="128">
        <v>1.24</v>
      </c>
      <c r="AA79" s="128">
        <v>1.25</v>
      </c>
      <c r="AB79" s="128">
        <v>1.26</v>
      </c>
      <c r="AC79" s="128">
        <v>1.27</v>
      </c>
      <c r="AD79" s="128">
        <v>1.28</v>
      </c>
      <c r="AE79" s="128">
        <v>1.29</v>
      </c>
      <c r="AF79" s="128">
        <v>1.3</v>
      </c>
      <c r="AG79" s="128">
        <v>1.31</v>
      </c>
      <c r="AH79" s="128">
        <v>1.32</v>
      </c>
      <c r="AI79" s="128">
        <v>1.33</v>
      </c>
      <c r="AJ79" s="128">
        <v>1.34</v>
      </c>
      <c r="AK79" s="128">
        <v>1.35</v>
      </c>
      <c r="AL79" s="128">
        <v>1.36</v>
      </c>
      <c r="AM79" s="128">
        <v>1.37</v>
      </c>
      <c r="AN79" s="128">
        <v>1.38</v>
      </c>
      <c r="AO79" s="128">
        <v>1.39</v>
      </c>
      <c r="AP79" s="128">
        <v>1.4</v>
      </c>
      <c r="AQ79" s="128">
        <v>1.41</v>
      </c>
      <c r="AR79" s="128">
        <v>1.42</v>
      </c>
      <c r="AS79" s="128">
        <v>1.43</v>
      </c>
      <c r="AT79" s="128">
        <v>1.44</v>
      </c>
      <c r="AU79" s="128">
        <v>1.45</v>
      </c>
      <c r="AV79" s="128">
        <v>1.46</v>
      </c>
      <c r="AW79" s="128">
        <v>1.47</v>
      </c>
      <c r="AX79" s="128">
        <v>1.48</v>
      </c>
      <c r="AY79" s="128">
        <v>1.49</v>
      </c>
      <c r="AZ79" s="128">
        <v>1.5</v>
      </c>
      <c r="BA79" s="128">
        <v>1.51</v>
      </c>
      <c r="BB79" s="128">
        <v>1.52</v>
      </c>
      <c r="BC79" s="128">
        <v>1.53</v>
      </c>
      <c r="BD79" s="128">
        <v>1.54</v>
      </c>
      <c r="BE79" s="128">
        <v>1.55</v>
      </c>
      <c r="BF79" s="128">
        <v>1.56</v>
      </c>
      <c r="BG79" s="128">
        <v>1.57</v>
      </c>
      <c r="BH79" s="128">
        <v>1.58</v>
      </c>
      <c r="BI79" s="128">
        <v>1.59</v>
      </c>
      <c r="BJ79" s="128">
        <v>1.6</v>
      </c>
      <c r="BK79" s="128">
        <v>1.61</v>
      </c>
      <c r="BL79" s="128">
        <v>1.62</v>
      </c>
      <c r="BM79" s="128">
        <v>1.63</v>
      </c>
      <c r="BN79" s="128">
        <v>1.64</v>
      </c>
      <c r="BO79" s="128">
        <v>1.65</v>
      </c>
      <c r="BP79" s="128">
        <v>1.66</v>
      </c>
      <c r="BQ79" s="128">
        <v>1.67</v>
      </c>
      <c r="BR79" s="128">
        <v>1.68</v>
      </c>
      <c r="BS79" s="128">
        <v>1.69</v>
      </c>
      <c r="BT79" s="128">
        <v>1.7</v>
      </c>
      <c r="BU79" s="128">
        <v>1.71</v>
      </c>
      <c r="BV79" s="128">
        <v>1.72</v>
      </c>
      <c r="BW79" s="128">
        <v>1.73</v>
      </c>
      <c r="BX79" s="128">
        <v>1.74</v>
      </c>
      <c r="BY79" s="128">
        <v>1.75</v>
      </c>
      <c r="BZ79" s="128">
        <v>1.76</v>
      </c>
      <c r="CA79" s="128">
        <v>1.77</v>
      </c>
      <c r="CB79" s="128">
        <v>1.78</v>
      </c>
      <c r="CC79" s="128">
        <v>1.78</v>
      </c>
      <c r="CD79" s="128">
        <v>1.79</v>
      </c>
      <c r="CE79" s="128">
        <v>1.8</v>
      </c>
      <c r="CF79" s="128">
        <v>1.81</v>
      </c>
      <c r="CG79" s="128">
        <v>1.82</v>
      </c>
      <c r="CH79" s="128">
        <v>1.83</v>
      </c>
      <c r="CI79" s="128">
        <v>1.84</v>
      </c>
      <c r="CJ79" s="128">
        <v>1.84</v>
      </c>
      <c r="CK79" s="128">
        <v>1.85</v>
      </c>
      <c r="CL79" s="128">
        <v>1.86</v>
      </c>
      <c r="CM79" s="128">
        <v>1.87</v>
      </c>
      <c r="CN79" s="128">
        <v>1.88</v>
      </c>
      <c r="CO79" s="128">
        <v>1.89</v>
      </c>
      <c r="CP79" s="128">
        <v>1.9</v>
      </c>
      <c r="CQ79" s="128">
        <v>1.92</v>
      </c>
      <c r="CR79" s="128">
        <v>1.93</v>
      </c>
      <c r="CS79" s="128">
        <v>1.94</v>
      </c>
      <c r="CT79" s="128">
        <v>1.95</v>
      </c>
      <c r="CU79" s="128">
        <v>1.96</v>
      </c>
      <c r="CV79" s="128">
        <v>1.97</v>
      </c>
      <c r="CW79" s="128">
        <v>1.99</v>
      </c>
      <c r="CX79" s="128">
        <v>2</v>
      </c>
      <c r="CZ79" s="126">
        <f>SUMIF(MatrixF2[[1]:[2]],MatrixF2[[#This Row],[Столбец1]])/MatrixF2[[#This Row],[Столбец1]]</f>
        <v>108.9999999999999</v>
      </c>
    </row>
    <row r="80" spans="1:104" ht="21" customHeight="1" x14ac:dyDescent="0.25">
      <c r="A80" s="127">
        <v>1.77</v>
      </c>
      <c r="B80" s="128">
        <v>1</v>
      </c>
      <c r="C80" s="128">
        <v>1.01</v>
      </c>
      <c r="D80" s="128">
        <v>1.03</v>
      </c>
      <c r="E80" s="128">
        <v>1.04</v>
      </c>
      <c r="F80" s="128">
        <v>1.05</v>
      </c>
      <c r="G80" s="128">
        <v>1.06</v>
      </c>
      <c r="H80" s="128">
        <v>1.07</v>
      </c>
      <c r="I80" s="128">
        <v>1.08</v>
      </c>
      <c r="J80" s="128">
        <v>1.0900000000000001</v>
      </c>
      <c r="K80" s="128">
        <v>1.1000000000000001</v>
      </c>
      <c r="L80" s="128">
        <v>1.1100000000000001</v>
      </c>
      <c r="M80" s="128">
        <v>1.1200000000000001</v>
      </c>
      <c r="N80" s="128">
        <v>1.1299999999999999</v>
      </c>
      <c r="O80" s="128">
        <v>1.1399999999999999</v>
      </c>
      <c r="P80" s="128">
        <v>1.1499999999999999</v>
      </c>
      <c r="Q80" s="128">
        <v>1.1599999999999999</v>
      </c>
      <c r="R80" s="128">
        <v>1.17</v>
      </c>
      <c r="S80" s="128">
        <v>1.18</v>
      </c>
      <c r="T80" s="128">
        <v>1.19</v>
      </c>
      <c r="U80" s="128">
        <v>1.2</v>
      </c>
      <c r="V80" s="128">
        <v>1.21</v>
      </c>
      <c r="W80" s="128">
        <v>1.21</v>
      </c>
      <c r="X80" s="128">
        <v>1.22</v>
      </c>
      <c r="Y80" s="128">
        <v>1.23</v>
      </c>
      <c r="Z80" s="128">
        <v>1.24</v>
      </c>
      <c r="AA80" s="128">
        <v>1.25</v>
      </c>
      <c r="AB80" s="128">
        <v>1.26</v>
      </c>
      <c r="AC80" s="128">
        <v>1.27</v>
      </c>
      <c r="AD80" s="128">
        <v>1.28</v>
      </c>
      <c r="AE80" s="128">
        <v>1.29</v>
      </c>
      <c r="AF80" s="128">
        <v>1.3</v>
      </c>
      <c r="AG80" s="128">
        <v>1.31</v>
      </c>
      <c r="AH80" s="128">
        <v>1.32</v>
      </c>
      <c r="AI80" s="128">
        <v>1.33</v>
      </c>
      <c r="AJ80" s="128">
        <v>1.34</v>
      </c>
      <c r="AK80" s="128">
        <v>1.35</v>
      </c>
      <c r="AL80" s="128">
        <v>1.36</v>
      </c>
      <c r="AM80" s="128">
        <v>1.37</v>
      </c>
      <c r="AN80" s="128">
        <v>1.38</v>
      </c>
      <c r="AO80" s="128">
        <v>1.39</v>
      </c>
      <c r="AP80" s="128">
        <v>1.4</v>
      </c>
      <c r="AQ80" s="128">
        <v>1.41</v>
      </c>
      <c r="AR80" s="128">
        <v>1.42</v>
      </c>
      <c r="AS80" s="128">
        <v>1.43</v>
      </c>
      <c r="AT80" s="128">
        <v>1.44</v>
      </c>
      <c r="AU80" s="128">
        <v>1.45</v>
      </c>
      <c r="AV80" s="128">
        <v>1.46</v>
      </c>
      <c r="AW80" s="128">
        <v>1.47</v>
      </c>
      <c r="AX80" s="128">
        <v>1.48</v>
      </c>
      <c r="AY80" s="128">
        <v>1.49</v>
      </c>
      <c r="AZ80" s="128">
        <v>1.5</v>
      </c>
      <c r="BA80" s="128">
        <v>1.51</v>
      </c>
      <c r="BB80" s="128">
        <v>1.52</v>
      </c>
      <c r="BC80" s="128">
        <v>1.53</v>
      </c>
      <c r="BD80" s="128">
        <v>1.54</v>
      </c>
      <c r="BE80" s="128">
        <v>1.55</v>
      </c>
      <c r="BF80" s="128">
        <v>1.56</v>
      </c>
      <c r="BG80" s="128">
        <v>1.57</v>
      </c>
      <c r="BH80" s="128">
        <v>1.58</v>
      </c>
      <c r="BI80" s="128">
        <v>1.59</v>
      </c>
      <c r="BJ80" s="128">
        <v>1.6</v>
      </c>
      <c r="BK80" s="128">
        <v>1.61</v>
      </c>
      <c r="BL80" s="128">
        <v>1.62</v>
      </c>
      <c r="BM80" s="128">
        <v>1.63</v>
      </c>
      <c r="BN80" s="128">
        <v>1.64</v>
      </c>
      <c r="BO80" s="128">
        <v>1.65</v>
      </c>
      <c r="BP80" s="128">
        <v>1.66</v>
      </c>
      <c r="BQ80" s="128">
        <v>1.67</v>
      </c>
      <c r="BR80" s="128">
        <v>1.68</v>
      </c>
      <c r="BS80" s="128">
        <v>1.69</v>
      </c>
      <c r="BT80" s="128">
        <v>1.7</v>
      </c>
      <c r="BU80" s="128">
        <v>1.71</v>
      </c>
      <c r="BV80" s="128">
        <v>1.72</v>
      </c>
      <c r="BW80" s="128">
        <v>1.73</v>
      </c>
      <c r="BX80" s="128">
        <v>1.74</v>
      </c>
      <c r="BY80" s="128">
        <v>1.75</v>
      </c>
      <c r="BZ80" s="128">
        <v>1.76</v>
      </c>
      <c r="CA80" s="128">
        <v>1.77</v>
      </c>
      <c r="CB80" s="128">
        <v>1.78</v>
      </c>
      <c r="CC80" s="128">
        <v>1.79</v>
      </c>
      <c r="CD80" s="128">
        <v>1.79</v>
      </c>
      <c r="CE80" s="128">
        <v>1.8</v>
      </c>
      <c r="CF80" s="128">
        <v>1.81</v>
      </c>
      <c r="CG80" s="128">
        <v>1.82</v>
      </c>
      <c r="CH80" s="128">
        <v>1.83</v>
      </c>
      <c r="CI80" s="128">
        <v>1.84</v>
      </c>
      <c r="CJ80" s="128">
        <v>1.85</v>
      </c>
      <c r="CK80" s="128">
        <v>1.86</v>
      </c>
      <c r="CL80" s="128">
        <v>1.87</v>
      </c>
      <c r="CM80" s="128">
        <v>1.88</v>
      </c>
      <c r="CN80" s="128">
        <v>1.89</v>
      </c>
      <c r="CO80" s="128">
        <v>1.9</v>
      </c>
      <c r="CP80" s="128">
        <v>1.91</v>
      </c>
      <c r="CQ80" s="128">
        <v>1.92</v>
      </c>
      <c r="CR80" s="128">
        <v>1.93</v>
      </c>
      <c r="CS80" s="128">
        <v>1.94</v>
      </c>
      <c r="CT80" s="128">
        <v>1.95</v>
      </c>
      <c r="CU80" s="128">
        <v>1.96</v>
      </c>
      <c r="CV80" s="128">
        <v>1.97</v>
      </c>
      <c r="CW80" s="128">
        <v>1.99</v>
      </c>
      <c r="CX80" s="128">
        <v>2</v>
      </c>
      <c r="CZ80" s="126">
        <f>SUMIF(MatrixF2[[1]:[2]],MatrixF2[[#This Row],[Столбец1]])/MatrixF2[[#This Row],[Столбец1]]</f>
        <v>103.00000000000013</v>
      </c>
    </row>
    <row r="81" spans="1:104" ht="21" customHeight="1" x14ac:dyDescent="0.25">
      <c r="A81" s="127">
        <v>1.78</v>
      </c>
      <c r="B81" s="128">
        <v>1</v>
      </c>
      <c r="C81" s="128">
        <v>1.01</v>
      </c>
      <c r="D81" s="128">
        <v>1.03</v>
      </c>
      <c r="E81" s="128">
        <v>1.04</v>
      </c>
      <c r="F81" s="128">
        <v>1.05</v>
      </c>
      <c r="G81" s="128">
        <v>1.06</v>
      </c>
      <c r="H81" s="128">
        <v>1.07</v>
      </c>
      <c r="I81" s="128">
        <v>1.08</v>
      </c>
      <c r="J81" s="128">
        <v>1.0900000000000001</v>
      </c>
      <c r="K81" s="128">
        <v>1.1000000000000001</v>
      </c>
      <c r="L81" s="128">
        <v>1.1100000000000001</v>
      </c>
      <c r="M81" s="128">
        <v>1.1200000000000001</v>
      </c>
      <c r="N81" s="128">
        <v>1.1299999999999999</v>
      </c>
      <c r="O81" s="128">
        <v>1.1399999999999999</v>
      </c>
      <c r="P81" s="128">
        <v>1.1499999999999999</v>
      </c>
      <c r="Q81" s="128">
        <v>1.1599999999999999</v>
      </c>
      <c r="R81" s="128">
        <v>1.17</v>
      </c>
      <c r="S81" s="128">
        <v>1.18</v>
      </c>
      <c r="T81" s="128">
        <v>1.19</v>
      </c>
      <c r="U81" s="128">
        <v>1.2</v>
      </c>
      <c r="V81" s="128">
        <v>1.2</v>
      </c>
      <c r="W81" s="128">
        <v>1.21</v>
      </c>
      <c r="X81" s="128">
        <v>1.22</v>
      </c>
      <c r="Y81" s="128">
        <v>1.23</v>
      </c>
      <c r="Z81" s="128">
        <v>1.24</v>
      </c>
      <c r="AA81" s="128">
        <v>1.25</v>
      </c>
      <c r="AB81" s="128">
        <v>1.26</v>
      </c>
      <c r="AC81" s="128">
        <v>1.27</v>
      </c>
      <c r="AD81" s="128">
        <v>1.28</v>
      </c>
      <c r="AE81" s="128">
        <v>1.29</v>
      </c>
      <c r="AF81" s="128">
        <v>1.3</v>
      </c>
      <c r="AG81" s="128">
        <v>1.31</v>
      </c>
      <c r="AH81" s="128">
        <v>1.32</v>
      </c>
      <c r="AI81" s="128">
        <v>1.33</v>
      </c>
      <c r="AJ81" s="128">
        <v>1.34</v>
      </c>
      <c r="AK81" s="128">
        <v>1.35</v>
      </c>
      <c r="AL81" s="128">
        <v>1.36</v>
      </c>
      <c r="AM81" s="128">
        <v>1.37</v>
      </c>
      <c r="AN81" s="128">
        <v>1.38</v>
      </c>
      <c r="AO81" s="128">
        <v>1.39</v>
      </c>
      <c r="AP81" s="128">
        <v>1.4</v>
      </c>
      <c r="AQ81" s="128">
        <v>1.41</v>
      </c>
      <c r="AR81" s="128">
        <v>1.42</v>
      </c>
      <c r="AS81" s="128">
        <v>1.43</v>
      </c>
      <c r="AT81" s="128">
        <v>1.44</v>
      </c>
      <c r="AU81" s="128">
        <v>1.45</v>
      </c>
      <c r="AV81" s="128">
        <v>1.46</v>
      </c>
      <c r="AW81" s="128">
        <v>1.47</v>
      </c>
      <c r="AX81" s="128">
        <v>1.48</v>
      </c>
      <c r="AY81" s="128">
        <v>1.49</v>
      </c>
      <c r="AZ81" s="128">
        <v>1.5</v>
      </c>
      <c r="BA81" s="128">
        <v>1.51</v>
      </c>
      <c r="BB81" s="128">
        <v>1.52</v>
      </c>
      <c r="BC81" s="128">
        <v>1.53</v>
      </c>
      <c r="BD81" s="128">
        <v>1.54</v>
      </c>
      <c r="BE81" s="128">
        <v>1.55</v>
      </c>
      <c r="BF81" s="128">
        <v>1.56</v>
      </c>
      <c r="BG81" s="128">
        <v>1.57</v>
      </c>
      <c r="BH81" s="128">
        <v>1.58</v>
      </c>
      <c r="BI81" s="128">
        <v>1.59</v>
      </c>
      <c r="BJ81" s="128">
        <v>1.6</v>
      </c>
      <c r="BK81" s="128">
        <v>1.61</v>
      </c>
      <c r="BL81" s="128">
        <v>1.62</v>
      </c>
      <c r="BM81" s="128">
        <v>1.63</v>
      </c>
      <c r="BN81" s="128">
        <v>1.64</v>
      </c>
      <c r="BO81" s="128">
        <v>1.65</v>
      </c>
      <c r="BP81" s="128">
        <v>1.66</v>
      </c>
      <c r="BQ81" s="128">
        <v>1.67</v>
      </c>
      <c r="BR81" s="128">
        <v>1.68</v>
      </c>
      <c r="BS81" s="128">
        <v>1.69</v>
      </c>
      <c r="BT81" s="128">
        <v>1.7</v>
      </c>
      <c r="BU81" s="128">
        <v>1.71</v>
      </c>
      <c r="BV81" s="128">
        <v>1.72</v>
      </c>
      <c r="BW81" s="128">
        <v>1.73</v>
      </c>
      <c r="BX81" s="128">
        <v>1.74</v>
      </c>
      <c r="BY81" s="128">
        <v>1.75</v>
      </c>
      <c r="BZ81" s="128">
        <v>1.76</v>
      </c>
      <c r="CA81" s="128">
        <v>1.77</v>
      </c>
      <c r="CB81" s="128">
        <v>1.78</v>
      </c>
      <c r="CC81" s="128">
        <v>1.79</v>
      </c>
      <c r="CD81" s="128">
        <v>1.8</v>
      </c>
      <c r="CE81" s="128">
        <v>1.8</v>
      </c>
      <c r="CF81" s="128">
        <v>1.81</v>
      </c>
      <c r="CG81" s="128">
        <v>1.82</v>
      </c>
      <c r="CH81" s="128">
        <v>1.83</v>
      </c>
      <c r="CI81" s="128">
        <v>1.84</v>
      </c>
      <c r="CJ81" s="128">
        <v>1.85</v>
      </c>
      <c r="CK81" s="128">
        <v>1.86</v>
      </c>
      <c r="CL81" s="128">
        <v>1.87</v>
      </c>
      <c r="CM81" s="128">
        <v>1.88</v>
      </c>
      <c r="CN81" s="128">
        <v>1.89</v>
      </c>
      <c r="CO81" s="128">
        <v>1.9</v>
      </c>
      <c r="CP81" s="128">
        <v>1.91</v>
      </c>
      <c r="CQ81" s="128">
        <v>1.92</v>
      </c>
      <c r="CR81" s="128">
        <v>1.93</v>
      </c>
      <c r="CS81" s="128">
        <v>1.94</v>
      </c>
      <c r="CT81" s="128">
        <v>1.95</v>
      </c>
      <c r="CU81" s="128">
        <v>1.96</v>
      </c>
      <c r="CV81" s="128">
        <v>1.98</v>
      </c>
      <c r="CW81" s="128">
        <v>1.99</v>
      </c>
      <c r="CX81" s="128">
        <v>2</v>
      </c>
      <c r="CZ81" s="126">
        <f>SUMIF(MatrixF2[[1]:[2]],MatrixF2[[#This Row],[Столбец1]])/MatrixF2[[#This Row],[Столбец1]]</f>
        <v>107.00000000000006</v>
      </c>
    </row>
    <row r="82" spans="1:104" ht="21" customHeight="1" x14ac:dyDescent="0.25">
      <c r="A82" s="127">
        <v>1.79</v>
      </c>
      <c r="B82" s="128">
        <v>1</v>
      </c>
      <c r="C82" s="128">
        <v>1.01</v>
      </c>
      <c r="D82" s="128">
        <v>1.02</v>
      </c>
      <c r="E82" s="128">
        <v>1.04</v>
      </c>
      <c r="F82" s="128">
        <v>1.05</v>
      </c>
      <c r="G82" s="128">
        <v>1.06</v>
      </c>
      <c r="H82" s="128">
        <v>1.07</v>
      </c>
      <c r="I82" s="128">
        <v>1.08</v>
      </c>
      <c r="J82" s="128">
        <v>1.0900000000000001</v>
      </c>
      <c r="K82" s="128">
        <v>1.1000000000000001</v>
      </c>
      <c r="L82" s="128">
        <v>1.1100000000000001</v>
      </c>
      <c r="M82" s="128">
        <v>1.1200000000000001</v>
      </c>
      <c r="N82" s="128">
        <v>1.1299999999999999</v>
      </c>
      <c r="O82" s="128">
        <v>1.1399999999999999</v>
      </c>
      <c r="P82" s="128">
        <v>1.1499999999999999</v>
      </c>
      <c r="Q82" s="128">
        <v>1.1599999999999999</v>
      </c>
      <c r="R82" s="128">
        <v>1.17</v>
      </c>
      <c r="S82" s="128">
        <v>1.18</v>
      </c>
      <c r="T82" s="128">
        <v>1.19</v>
      </c>
      <c r="U82" s="128">
        <v>1.19</v>
      </c>
      <c r="V82" s="128">
        <v>1.2</v>
      </c>
      <c r="W82" s="128">
        <v>1.21</v>
      </c>
      <c r="X82" s="128">
        <v>1.22</v>
      </c>
      <c r="Y82" s="128">
        <v>1.23</v>
      </c>
      <c r="Z82" s="128">
        <v>1.24</v>
      </c>
      <c r="AA82" s="128">
        <v>1.25</v>
      </c>
      <c r="AB82" s="128">
        <v>1.26</v>
      </c>
      <c r="AC82" s="128">
        <v>1.27</v>
      </c>
      <c r="AD82" s="128">
        <v>1.28</v>
      </c>
      <c r="AE82" s="128">
        <v>1.29</v>
      </c>
      <c r="AF82" s="128">
        <v>1.3</v>
      </c>
      <c r="AG82" s="128">
        <v>1.31</v>
      </c>
      <c r="AH82" s="128">
        <v>1.32</v>
      </c>
      <c r="AI82" s="128">
        <v>1.33</v>
      </c>
      <c r="AJ82" s="128">
        <v>1.34</v>
      </c>
      <c r="AK82" s="128">
        <v>1.35</v>
      </c>
      <c r="AL82" s="128">
        <v>1.36</v>
      </c>
      <c r="AM82" s="128">
        <v>1.37</v>
      </c>
      <c r="AN82" s="128">
        <v>1.38</v>
      </c>
      <c r="AO82" s="128">
        <v>1.39</v>
      </c>
      <c r="AP82" s="128">
        <v>1.4</v>
      </c>
      <c r="AQ82" s="128">
        <v>1.41</v>
      </c>
      <c r="AR82" s="128">
        <v>1.42</v>
      </c>
      <c r="AS82" s="128">
        <v>1.43</v>
      </c>
      <c r="AT82" s="128">
        <v>1.44</v>
      </c>
      <c r="AU82" s="128">
        <v>1.45</v>
      </c>
      <c r="AV82" s="128">
        <v>1.46</v>
      </c>
      <c r="AW82" s="128">
        <v>1.47</v>
      </c>
      <c r="AX82" s="128">
        <v>1.48</v>
      </c>
      <c r="AY82" s="128">
        <v>1.49</v>
      </c>
      <c r="AZ82" s="128">
        <v>1.5</v>
      </c>
      <c r="BA82" s="128">
        <v>1.51</v>
      </c>
      <c r="BB82" s="128">
        <v>1.52</v>
      </c>
      <c r="BC82" s="128">
        <v>1.53</v>
      </c>
      <c r="BD82" s="128">
        <v>1.54</v>
      </c>
      <c r="BE82" s="128">
        <v>1.55</v>
      </c>
      <c r="BF82" s="128">
        <v>1.56</v>
      </c>
      <c r="BG82" s="128">
        <v>1.57</v>
      </c>
      <c r="BH82" s="128">
        <v>1.58</v>
      </c>
      <c r="BI82" s="128">
        <v>1.59</v>
      </c>
      <c r="BJ82" s="128">
        <v>1.6</v>
      </c>
      <c r="BK82" s="128">
        <v>1.61</v>
      </c>
      <c r="BL82" s="128">
        <v>1.62</v>
      </c>
      <c r="BM82" s="128">
        <v>1.63</v>
      </c>
      <c r="BN82" s="128">
        <v>1.64</v>
      </c>
      <c r="BO82" s="128">
        <v>1.65</v>
      </c>
      <c r="BP82" s="128">
        <v>1.66</v>
      </c>
      <c r="BQ82" s="128">
        <v>1.67</v>
      </c>
      <c r="BR82" s="128">
        <v>1.68</v>
      </c>
      <c r="BS82" s="128">
        <v>1.69</v>
      </c>
      <c r="BT82" s="128">
        <v>1.7</v>
      </c>
      <c r="BU82" s="128">
        <v>1.71</v>
      </c>
      <c r="BV82" s="128">
        <v>1.72</v>
      </c>
      <c r="BW82" s="128">
        <v>1.73</v>
      </c>
      <c r="BX82" s="128">
        <v>1.74</v>
      </c>
      <c r="BY82" s="128">
        <v>1.75</v>
      </c>
      <c r="BZ82" s="128">
        <v>1.76</v>
      </c>
      <c r="CA82" s="128">
        <v>1.77</v>
      </c>
      <c r="CB82" s="128">
        <v>1.78</v>
      </c>
      <c r="CC82" s="128">
        <v>1.79</v>
      </c>
      <c r="CD82" s="128">
        <v>1.8</v>
      </c>
      <c r="CE82" s="128">
        <v>1.81</v>
      </c>
      <c r="CF82" s="128">
        <v>1.81</v>
      </c>
      <c r="CG82" s="128">
        <v>1.82</v>
      </c>
      <c r="CH82" s="128">
        <v>1.83</v>
      </c>
      <c r="CI82" s="128">
        <v>1.84</v>
      </c>
      <c r="CJ82" s="128">
        <v>1.85</v>
      </c>
      <c r="CK82" s="128">
        <v>1.86</v>
      </c>
      <c r="CL82" s="128">
        <v>1.87</v>
      </c>
      <c r="CM82" s="128">
        <v>1.88</v>
      </c>
      <c r="CN82" s="128">
        <v>1.89</v>
      </c>
      <c r="CO82" s="128">
        <v>1.9</v>
      </c>
      <c r="CP82" s="128">
        <v>1.91</v>
      </c>
      <c r="CQ82" s="128">
        <v>1.92</v>
      </c>
      <c r="CR82" s="128">
        <v>1.93</v>
      </c>
      <c r="CS82" s="128">
        <v>1.94</v>
      </c>
      <c r="CT82" s="128">
        <v>1.95</v>
      </c>
      <c r="CU82" s="128">
        <v>1.96</v>
      </c>
      <c r="CV82" s="128">
        <v>1.98</v>
      </c>
      <c r="CW82" s="128">
        <v>1.99</v>
      </c>
      <c r="CX82" s="128">
        <v>2</v>
      </c>
      <c r="CZ82" s="126">
        <f>SUMIF(MatrixF2[[1]:[2]],MatrixF2[[#This Row],[Столбец1]])/MatrixF2[[#This Row],[Столбец1]]</f>
        <v>100.99999999999997</v>
      </c>
    </row>
    <row r="83" spans="1:104" ht="21" customHeight="1" x14ac:dyDescent="0.25">
      <c r="A83" s="127">
        <v>1.8</v>
      </c>
      <c r="B83" s="128">
        <v>1</v>
      </c>
      <c r="C83" s="128">
        <v>1.01</v>
      </c>
      <c r="D83" s="128">
        <v>1.02</v>
      </c>
      <c r="E83" s="128">
        <v>1.04</v>
      </c>
      <c r="F83" s="128">
        <v>1.05</v>
      </c>
      <c r="G83" s="128">
        <v>1.06</v>
      </c>
      <c r="H83" s="128">
        <v>1.07</v>
      </c>
      <c r="I83" s="128">
        <v>1.08</v>
      </c>
      <c r="J83" s="128">
        <v>1.0900000000000001</v>
      </c>
      <c r="K83" s="128">
        <v>1.1000000000000001</v>
      </c>
      <c r="L83" s="128">
        <v>1.1100000000000001</v>
      </c>
      <c r="M83" s="128">
        <v>1.1200000000000001</v>
      </c>
      <c r="N83" s="128">
        <v>1.1299999999999999</v>
      </c>
      <c r="O83" s="128">
        <v>1.1399999999999999</v>
      </c>
      <c r="P83" s="128">
        <v>1.1499999999999999</v>
      </c>
      <c r="Q83" s="128">
        <v>1.1599999999999999</v>
      </c>
      <c r="R83" s="128">
        <v>1.17</v>
      </c>
      <c r="S83" s="128">
        <v>1.18</v>
      </c>
      <c r="T83" s="128">
        <v>1.18</v>
      </c>
      <c r="U83" s="128">
        <v>1.19</v>
      </c>
      <c r="V83" s="128">
        <v>1.2</v>
      </c>
      <c r="W83" s="128">
        <v>1.21</v>
      </c>
      <c r="X83" s="128">
        <v>1.22</v>
      </c>
      <c r="Y83" s="128">
        <v>1.23</v>
      </c>
      <c r="Z83" s="128">
        <v>1.24</v>
      </c>
      <c r="AA83" s="128">
        <v>1.25</v>
      </c>
      <c r="AB83" s="128">
        <v>1.26</v>
      </c>
      <c r="AC83" s="128">
        <v>1.27</v>
      </c>
      <c r="AD83" s="128">
        <v>1.28</v>
      </c>
      <c r="AE83" s="128">
        <v>1.29</v>
      </c>
      <c r="AF83" s="128">
        <v>1.3</v>
      </c>
      <c r="AG83" s="128">
        <v>1.31</v>
      </c>
      <c r="AH83" s="128">
        <v>1.32</v>
      </c>
      <c r="AI83" s="128">
        <v>1.33</v>
      </c>
      <c r="AJ83" s="128">
        <v>1.34</v>
      </c>
      <c r="AK83" s="128">
        <v>1.35</v>
      </c>
      <c r="AL83" s="128">
        <v>1.36</v>
      </c>
      <c r="AM83" s="128">
        <v>1.37</v>
      </c>
      <c r="AN83" s="128">
        <v>1.38</v>
      </c>
      <c r="AO83" s="128">
        <v>1.39</v>
      </c>
      <c r="AP83" s="128">
        <v>1.4</v>
      </c>
      <c r="AQ83" s="128">
        <v>1.41</v>
      </c>
      <c r="AR83" s="128">
        <v>1.42</v>
      </c>
      <c r="AS83" s="128">
        <v>1.43</v>
      </c>
      <c r="AT83" s="128">
        <v>1.44</v>
      </c>
      <c r="AU83" s="128">
        <v>1.45</v>
      </c>
      <c r="AV83" s="128">
        <v>1.46</v>
      </c>
      <c r="AW83" s="128">
        <v>1.47</v>
      </c>
      <c r="AX83" s="128">
        <v>1.48</v>
      </c>
      <c r="AY83" s="128">
        <v>1.49</v>
      </c>
      <c r="AZ83" s="128">
        <v>1.5</v>
      </c>
      <c r="BA83" s="128">
        <v>1.51</v>
      </c>
      <c r="BB83" s="128">
        <v>1.52</v>
      </c>
      <c r="BC83" s="128">
        <v>1.53</v>
      </c>
      <c r="BD83" s="128">
        <v>1.54</v>
      </c>
      <c r="BE83" s="128">
        <v>1.55</v>
      </c>
      <c r="BF83" s="128">
        <v>1.56</v>
      </c>
      <c r="BG83" s="128">
        <v>1.57</v>
      </c>
      <c r="BH83" s="128">
        <v>1.58</v>
      </c>
      <c r="BI83" s="128">
        <v>1.59</v>
      </c>
      <c r="BJ83" s="128">
        <v>1.6</v>
      </c>
      <c r="BK83" s="128">
        <v>1.61</v>
      </c>
      <c r="BL83" s="128">
        <v>1.62</v>
      </c>
      <c r="BM83" s="128">
        <v>1.63</v>
      </c>
      <c r="BN83" s="128">
        <v>1.64</v>
      </c>
      <c r="BO83" s="128">
        <v>1.65</v>
      </c>
      <c r="BP83" s="128">
        <v>1.66</v>
      </c>
      <c r="BQ83" s="128">
        <v>1.67</v>
      </c>
      <c r="BR83" s="128">
        <v>1.68</v>
      </c>
      <c r="BS83" s="128">
        <v>1.69</v>
      </c>
      <c r="BT83" s="128">
        <v>1.7</v>
      </c>
      <c r="BU83" s="128">
        <v>1.71</v>
      </c>
      <c r="BV83" s="128">
        <v>1.72</v>
      </c>
      <c r="BW83" s="128">
        <v>1.73</v>
      </c>
      <c r="BX83" s="128">
        <v>1.74</v>
      </c>
      <c r="BY83" s="128">
        <v>1.75</v>
      </c>
      <c r="BZ83" s="128">
        <v>1.76</v>
      </c>
      <c r="CA83" s="128">
        <v>1.77</v>
      </c>
      <c r="CB83" s="128">
        <v>1.78</v>
      </c>
      <c r="CC83" s="128">
        <v>1.79</v>
      </c>
      <c r="CD83" s="128">
        <v>1.8</v>
      </c>
      <c r="CE83" s="128">
        <v>1.81</v>
      </c>
      <c r="CF83" s="128">
        <v>1.82</v>
      </c>
      <c r="CG83" s="128">
        <v>1.82</v>
      </c>
      <c r="CH83" s="128">
        <v>1.83</v>
      </c>
      <c r="CI83" s="128">
        <v>1.84</v>
      </c>
      <c r="CJ83" s="128">
        <v>1.85</v>
      </c>
      <c r="CK83" s="128">
        <v>1.86</v>
      </c>
      <c r="CL83" s="128">
        <v>1.87</v>
      </c>
      <c r="CM83" s="128">
        <v>1.88</v>
      </c>
      <c r="CN83" s="128">
        <v>1.89</v>
      </c>
      <c r="CO83" s="128">
        <v>1.9</v>
      </c>
      <c r="CP83" s="128">
        <v>1.91</v>
      </c>
      <c r="CQ83" s="128">
        <v>1.92</v>
      </c>
      <c r="CR83" s="128">
        <v>1.93</v>
      </c>
      <c r="CS83" s="128">
        <v>1.94</v>
      </c>
      <c r="CT83" s="128">
        <v>1.95</v>
      </c>
      <c r="CU83" s="128">
        <v>1.96</v>
      </c>
      <c r="CV83" s="128">
        <v>1.98</v>
      </c>
      <c r="CW83" s="128">
        <v>1.99</v>
      </c>
      <c r="CX83" s="128">
        <v>2</v>
      </c>
      <c r="CZ83" s="126">
        <f>SUMIF(MatrixF2[[1]:[2]],MatrixF2[[#This Row],[Столбец1]])/MatrixF2[[#This Row],[Столбец1]]</f>
        <v>102.0000000000001</v>
      </c>
    </row>
    <row r="84" spans="1:104" ht="21" customHeight="1" x14ac:dyDescent="0.25">
      <c r="A84" s="127">
        <v>1.81</v>
      </c>
      <c r="B84" s="128">
        <v>1</v>
      </c>
      <c r="C84" s="128">
        <v>1.01</v>
      </c>
      <c r="D84" s="128">
        <v>1.02</v>
      </c>
      <c r="E84" s="128">
        <v>1.04</v>
      </c>
      <c r="F84" s="128">
        <v>1.05</v>
      </c>
      <c r="G84" s="128">
        <v>1.06</v>
      </c>
      <c r="H84" s="128">
        <v>1.07</v>
      </c>
      <c r="I84" s="128">
        <v>1.08</v>
      </c>
      <c r="J84" s="128">
        <v>1.0900000000000001</v>
      </c>
      <c r="K84" s="128">
        <v>1.1000000000000001</v>
      </c>
      <c r="L84" s="128">
        <v>1.1100000000000001</v>
      </c>
      <c r="M84" s="128">
        <v>1.1200000000000001</v>
      </c>
      <c r="N84" s="128">
        <v>1.1299999999999999</v>
      </c>
      <c r="O84" s="128">
        <v>1.1399999999999999</v>
      </c>
      <c r="P84" s="128">
        <v>1.1499999999999999</v>
      </c>
      <c r="Q84" s="128">
        <v>1.1599999999999999</v>
      </c>
      <c r="R84" s="128">
        <v>1.1599999999999999</v>
      </c>
      <c r="S84" s="128">
        <v>1.17</v>
      </c>
      <c r="T84" s="128">
        <v>1.18</v>
      </c>
      <c r="U84" s="128">
        <v>1.19</v>
      </c>
      <c r="V84" s="128">
        <v>1.2</v>
      </c>
      <c r="W84" s="128">
        <v>1.21</v>
      </c>
      <c r="X84" s="128">
        <v>1.22</v>
      </c>
      <c r="Y84" s="128">
        <v>1.23</v>
      </c>
      <c r="Z84" s="128">
        <v>1.24</v>
      </c>
      <c r="AA84" s="128">
        <v>1.25</v>
      </c>
      <c r="AB84" s="128">
        <v>1.26</v>
      </c>
      <c r="AC84" s="128">
        <v>1.27</v>
      </c>
      <c r="AD84" s="128">
        <v>1.28</v>
      </c>
      <c r="AE84" s="128">
        <v>1.29</v>
      </c>
      <c r="AF84" s="128">
        <v>1.3</v>
      </c>
      <c r="AG84" s="128">
        <v>1.31</v>
      </c>
      <c r="AH84" s="128">
        <v>1.32</v>
      </c>
      <c r="AI84" s="128">
        <v>1.33</v>
      </c>
      <c r="AJ84" s="128">
        <v>1.34</v>
      </c>
      <c r="AK84" s="128">
        <v>1.35</v>
      </c>
      <c r="AL84" s="128">
        <v>1.36</v>
      </c>
      <c r="AM84" s="128">
        <v>1.37</v>
      </c>
      <c r="AN84" s="128">
        <v>1.38</v>
      </c>
      <c r="AO84" s="128">
        <v>1.39</v>
      </c>
      <c r="AP84" s="128">
        <v>1.4</v>
      </c>
      <c r="AQ84" s="128">
        <v>1.41</v>
      </c>
      <c r="AR84" s="128">
        <v>1.42</v>
      </c>
      <c r="AS84" s="128">
        <v>1.43</v>
      </c>
      <c r="AT84" s="128">
        <v>1.44</v>
      </c>
      <c r="AU84" s="128">
        <v>1.45</v>
      </c>
      <c r="AV84" s="128">
        <v>1.46</v>
      </c>
      <c r="AW84" s="128">
        <v>1.47</v>
      </c>
      <c r="AX84" s="128">
        <v>1.48</v>
      </c>
      <c r="AY84" s="128">
        <v>1.49</v>
      </c>
      <c r="AZ84" s="128">
        <v>1.5</v>
      </c>
      <c r="BA84" s="128">
        <v>1.51</v>
      </c>
      <c r="BB84" s="128">
        <v>1.52</v>
      </c>
      <c r="BC84" s="128">
        <v>1.53</v>
      </c>
      <c r="BD84" s="128">
        <v>1.54</v>
      </c>
      <c r="BE84" s="128">
        <v>1.55</v>
      </c>
      <c r="BF84" s="128">
        <v>1.56</v>
      </c>
      <c r="BG84" s="128">
        <v>1.57</v>
      </c>
      <c r="BH84" s="128">
        <v>1.58</v>
      </c>
      <c r="BI84" s="128">
        <v>1.59</v>
      </c>
      <c r="BJ84" s="128">
        <v>1.6</v>
      </c>
      <c r="BK84" s="128">
        <v>1.61</v>
      </c>
      <c r="BL84" s="128">
        <v>1.62</v>
      </c>
      <c r="BM84" s="128">
        <v>1.63</v>
      </c>
      <c r="BN84" s="128">
        <v>1.64</v>
      </c>
      <c r="BO84" s="128">
        <v>1.65</v>
      </c>
      <c r="BP84" s="128">
        <v>1.66</v>
      </c>
      <c r="BQ84" s="128">
        <v>1.67</v>
      </c>
      <c r="BR84" s="128">
        <v>1.68</v>
      </c>
      <c r="BS84" s="128">
        <v>1.69</v>
      </c>
      <c r="BT84" s="128">
        <v>1.7</v>
      </c>
      <c r="BU84" s="128">
        <v>1.71</v>
      </c>
      <c r="BV84" s="128">
        <v>1.72</v>
      </c>
      <c r="BW84" s="128">
        <v>1.73</v>
      </c>
      <c r="BX84" s="128">
        <v>1.74</v>
      </c>
      <c r="BY84" s="128">
        <v>1.75</v>
      </c>
      <c r="BZ84" s="128">
        <v>1.76</v>
      </c>
      <c r="CA84" s="128">
        <v>1.77</v>
      </c>
      <c r="CB84" s="128">
        <v>1.78</v>
      </c>
      <c r="CC84" s="128">
        <v>1.79</v>
      </c>
      <c r="CD84" s="128">
        <v>1.8</v>
      </c>
      <c r="CE84" s="128">
        <v>1.81</v>
      </c>
      <c r="CF84" s="128">
        <v>1.82</v>
      </c>
      <c r="CG84" s="128">
        <v>1.83</v>
      </c>
      <c r="CH84" s="128">
        <v>1.84</v>
      </c>
      <c r="CI84" s="128">
        <v>1.84</v>
      </c>
      <c r="CJ84" s="128">
        <v>1.85</v>
      </c>
      <c r="CK84" s="128">
        <v>1.86</v>
      </c>
      <c r="CL84" s="128">
        <v>1.87</v>
      </c>
      <c r="CM84" s="128">
        <v>1.88</v>
      </c>
      <c r="CN84" s="128">
        <v>1.89</v>
      </c>
      <c r="CO84" s="128">
        <v>1.9</v>
      </c>
      <c r="CP84" s="128">
        <v>1.91</v>
      </c>
      <c r="CQ84" s="128">
        <v>1.92</v>
      </c>
      <c r="CR84" s="128">
        <v>1.93</v>
      </c>
      <c r="CS84" s="128">
        <v>1.94</v>
      </c>
      <c r="CT84" s="128">
        <v>1.95</v>
      </c>
      <c r="CU84" s="128">
        <v>1.96</v>
      </c>
      <c r="CV84" s="128">
        <v>1.98</v>
      </c>
      <c r="CW84" s="128">
        <v>1.99</v>
      </c>
      <c r="CX84" s="128">
        <v>2</v>
      </c>
      <c r="CZ84" s="126">
        <f>SUMIF(MatrixF2[[1]:[2]],MatrixF2[[#This Row],[Столбец1]])/MatrixF2[[#This Row],[Столбец1]]</f>
        <v>101.0000000000001</v>
      </c>
    </row>
    <row r="85" spans="1:104" ht="21" customHeight="1" x14ac:dyDescent="0.25">
      <c r="A85" s="127">
        <v>1.82</v>
      </c>
      <c r="B85" s="128">
        <v>1</v>
      </c>
      <c r="C85" s="128">
        <v>1.01</v>
      </c>
      <c r="D85" s="128">
        <v>1.02</v>
      </c>
      <c r="E85" s="128">
        <v>1.04</v>
      </c>
      <c r="F85" s="128">
        <v>1.05</v>
      </c>
      <c r="G85" s="128">
        <v>1.06</v>
      </c>
      <c r="H85" s="128">
        <v>1.07</v>
      </c>
      <c r="I85" s="128">
        <v>1.08</v>
      </c>
      <c r="J85" s="128">
        <v>1.0900000000000001</v>
      </c>
      <c r="K85" s="128">
        <v>1.1000000000000001</v>
      </c>
      <c r="L85" s="128">
        <v>1.1100000000000001</v>
      </c>
      <c r="M85" s="128">
        <v>1.1200000000000001</v>
      </c>
      <c r="N85" s="128">
        <v>1.1299999999999999</v>
      </c>
      <c r="O85" s="128">
        <v>1.1399999999999999</v>
      </c>
      <c r="P85" s="128">
        <v>1.1499999999999999</v>
      </c>
      <c r="Q85" s="128">
        <v>1.1499999999999999</v>
      </c>
      <c r="R85" s="128">
        <v>1.1599999999999999</v>
      </c>
      <c r="S85" s="128">
        <v>1.17</v>
      </c>
      <c r="T85" s="128">
        <v>1.18</v>
      </c>
      <c r="U85" s="128">
        <v>1.19</v>
      </c>
      <c r="V85" s="128">
        <v>1.2</v>
      </c>
      <c r="W85" s="128">
        <v>1.21</v>
      </c>
      <c r="X85" s="128">
        <v>1.22</v>
      </c>
      <c r="Y85" s="128">
        <v>1.23</v>
      </c>
      <c r="Z85" s="128">
        <v>1.24</v>
      </c>
      <c r="AA85" s="128">
        <v>1.25</v>
      </c>
      <c r="AB85" s="128">
        <v>1.26</v>
      </c>
      <c r="AC85" s="128">
        <v>1.27</v>
      </c>
      <c r="AD85" s="128">
        <v>1.28</v>
      </c>
      <c r="AE85" s="128">
        <v>1.29</v>
      </c>
      <c r="AF85" s="128">
        <v>1.3</v>
      </c>
      <c r="AG85" s="128">
        <v>1.31</v>
      </c>
      <c r="AH85" s="128">
        <v>1.32</v>
      </c>
      <c r="AI85" s="128">
        <v>1.33</v>
      </c>
      <c r="AJ85" s="128">
        <v>1.34</v>
      </c>
      <c r="AK85" s="128">
        <v>1.35</v>
      </c>
      <c r="AL85" s="128">
        <v>1.36</v>
      </c>
      <c r="AM85" s="128">
        <v>1.37</v>
      </c>
      <c r="AN85" s="128">
        <v>1.38</v>
      </c>
      <c r="AO85" s="128">
        <v>1.39</v>
      </c>
      <c r="AP85" s="128">
        <v>1.4</v>
      </c>
      <c r="AQ85" s="128">
        <v>1.41</v>
      </c>
      <c r="AR85" s="128">
        <v>1.42</v>
      </c>
      <c r="AS85" s="128">
        <v>1.43</v>
      </c>
      <c r="AT85" s="128">
        <v>1.44</v>
      </c>
      <c r="AU85" s="128">
        <v>1.45</v>
      </c>
      <c r="AV85" s="128">
        <v>1.46</v>
      </c>
      <c r="AW85" s="128">
        <v>1.47</v>
      </c>
      <c r="AX85" s="128">
        <v>1.48</v>
      </c>
      <c r="AY85" s="128">
        <v>1.49</v>
      </c>
      <c r="AZ85" s="128">
        <v>1.5</v>
      </c>
      <c r="BA85" s="128">
        <v>1.51</v>
      </c>
      <c r="BB85" s="128">
        <v>1.52</v>
      </c>
      <c r="BC85" s="128">
        <v>1.53</v>
      </c>
      <c r="BD85" s="128">
        <v>1.54</v>
      </c>
      <c r="BE85" s="128">
        <v>1.55</v>
      </c>
      <c r="BF85" s="128">
        <v>1.56</v>
      </c>
      <c r="BG85" s="128">
        <v>1.57</v>
      </c>
      <c r="BH85" s="128">
        <v>1.58</v>
      </c>
      <c r="BI85" s="128">
        <v>1.59</v>
      </c>
      <c r="BJ85" s="128">
        <v>1.6</v>
      </c>
      <c r="BK85" s="128">
        <v>1.61</v>
      </c>
      <c r="BL85" s="128">
        <v>1.62</v>
      </c>
      <c r="BM85" s="128">
        <v>1.63</v>
      </c>
      <c r="BN85" s="128">
        <v>1.64</v>
      </c>
      <c r="BO85" s="128">
        <v>1.65</v>
      </c>
      <c r="BP85" s="128">
        <v>1.66</v>
      </c>
      <c r="BQ85" s="128">
        <v>1.67</v>
      </c>
      <c r="BR85" s="128">
        <v>1.68</v>
      </c>
      <c r="BS85" s="128">
        <v>1.69</v>
      </c>
      <c r="BT85" s="128">
        <v>1.7</v>
      </c>
      <c r="BU85" s="128">
        <v>1.71</v>
      </c>
      <c r="BV85" s="128">
        <v>1.72</v>
      </c>
      <c r="BW85" s="128">
        <v>1.73</v>
      </c>
      <c r="BX85" s="128">
        <v>1.74</v>
      </c>
      <c r="BY85" s="128">
        <v>1.75</v>
      </c>
      <c r="BZ85" s="128">
        <v>1.76</v>
      </c>
      <c r="CA85" s="128">
        <v>1.77</v>
      </c>
      <c r="CB85" s="128">
        <v>1.78</v>
      </c>
      <c r="CC85" s="128">
        <v>1.79</v>
      </c>
      <c r="CD85" s="128">
        <v>1.8</v>
      </c>
      <c r="CE85" s="128">
        <v>1.81</v>
      </c>
      <c r="CF85" s="128">
        <v>1.82</v>
      </c>
      <c r="CG85" s="128">
        <v>1.83</v>
      </c>
      <c r="CH85" s="128">
        <v>1.84</v>
      </c>
      <c r="CI85" s="128">
        <v>1.85</v>
      </c>
      <c r="CJ85" s="128">
        <v>1.85</v>
      </c>
      <c r="CK85" s="128">
        <v>1.86</v>
      </c>
      <c r="CL85" s="128">
        <v>1.87</v>
      </c>
      <c r="CM85" s="128">
        <v>1.88</v>
      </c>
      <c r="CN85" s="128">
        <v>1.89</v>
      </c>
      <c r="CO85" s="128">
        <v>1.9</v>
      </c>
      <c r="CP85" s="128">
        <v>1.91</v>
      </c>
      <c r="CQ85" s="128">
        <v>1.92</v>
      </c>
      <c r="CR85" s="128">
        <v>1.93</v>
      </c>
      <c r="CS85" s="128">
        <v>1.94</v>
      </c>
      <c r="CT85" s="128">
        <v>1.95</v>
      </c>
      <c r="CU85" s="128">
        <v>1.96</v>
      </c>
      <c r="CV85" s="128">
        <v>1.98</v>
      </c>
      <c r="CW85" s="128">
        <v>1.99</v>
      </c>
      <c r="CX85" s="128">
        <v>2</v>
      </c>
      <c r="CZ85" s="126">
        <f>SUMIF(MatrixF2[[1]:[2]],MatrixF2[[#This Row],[Столбец1]])/MatrixF2[[#This Row],[Столбец1]]</f>
        <v>100.99999999999976</v>
      </c>
    </row>
    <row r="86" spans="1:104" ht="21" customHeight="1" x14ac:dyDescent="0.25">
      <c r="A86" s="127">
        <v>1.83</v>
      </c>
      <c r="B86" s="128">
        <v>1</v>
      </c>
      <c r="C86" s="128">
        <v>1.01</v>
      </c>
      <c r="D86" s="128">
        <v>1.02</v>
      </c>
      <c r="E86" s="128">
        <v>1.03</v>
      </c>
      <c r="F86" s="128">
        <v>1.05</v>
      </c>
      <c r="G86" s="128">
        <v>1.06</v>
      </c>
      <c r="H86" s="128">
        <v>1.07</v>
      </c>
      <c r="I86" s="128">
        <v>1.08</v>
      </c>
      <c r="J86" s="128">
        <v>1.0900000000000001</v>
      </c>
      <c r="K86" s="128">
        <v>1.1000000000000001</v>
      </c>
      <c r="L86" s="128">
        <v>1.1100000000000001</v>
      </c>
      <c r="M86" s="128">
        <v>1.1200000000000001</v>
      </c>
      <c r="N86" s="128">
        <v>1.1299999999999999</v>
      </c>
      <c r="O86" s="128">
        <v>1.1399999999999999</v>
      </c>
      <c r="P86" s="128">
        <v>1.1399999999999999</v>
      </c>
      <c r="Q86" s="128">
        <v>1.1499999999999999</v>
      </c>
      <c r="R86" s="128">
        <v>1.1599999999999999</v>
      </c>
      <c r="S86" s="128">
        <v>1.17</v>
      </c>
      <c r="T86" s="128">
        <v>1.18</v>
      </c>
      <c r="U86" s="128">
        <v>1.19</v>
      </c>
      <c r="V86" s="128">
        <v>1.2</v>
      </c>
      <c r="W86" s="128">
        <v>1.21</v>
      </c>
      <c r="X86" s="128">
        <v>1.22</v>
      </c>
      <c r="Y86" s="128">
        <v>1.23</v>
      </c>
      <c r="Z86" s="128">
        <v>1.24</v>
      </c>
      <c r="AA86" s="128">
        <v>1.25</v>
      </c>
      <c r="AB86" s="128">
        <v>1.26</v>
      </c>
      <c r="AC86" s="128">
        <v>1.27</v>
      </c>
      <c r="AD86" s="128">
        <v>1.28</v>
      </c>
      <c r="AE86" s="128">
        <v>1.29</v>
      </c>
      <c r="AF86" s="128">
        <v>1.3</v>
      </c>
      <c r="AG86" s="128">
        <v>1.31</v>
      </c>
      <c r="AH86" s="128">
        <v>1.32</v>
      </c>
      <c r="AI86" s="128">
        <v>1.33</v>
      </c>
      <c r="AJ86" s="128">
        <v>1.34</v>
      </c>
      <c r="AK86" s="128">
        <v>1.35</v>
      </c>
      <c r="AL86" s="128">
        <v>1.36</v>
      </c>
      <c r="AM86" s="128">
        <v>1.37</v>
      </c>
      <c r="AN86" s="128">
        <v>1.38</v>
      </c>
      <c r="AO86" s="128">
        <v>1.39</v>
      </c>
      <c r="AP86" s="128">
        <v>1.4</v>
      </c>
      <c r="AQ86" s="128">
        <v>1.41</v>
      </c>
      <c r="AR86" s="128">
        <v>1.42</v>
      </c>
      <c r="AS86" s="128">
        <v>1.43</v>
      </c>
      <c r="AT86" s="128">
        <v>1.44</v>
      </c>
      <c r="AU86" s="128">
        <v>1.45</v>
      </c>
      <c r="AV86" s="128">
        <v>1.46</v>
      </c>
      <c r="AW86" s="128">
        <v>1.47</v>
      </c>
      <c r="AX86" s="128">
        <v>1.48</v>
      </c>
      <c r="AY86" s="128">
        <v>1.49</v>
      </c>
      <c r="AZ86" s="128">
        <v>1.5</v>
      </c>
      <c r="BA86" s="128">
        <v>1.51</v>
      </c>
      <c r="BB86" s="128">
        <v>1.52</v>
      </c>
      <c r="BC86" s="128">
        <v>1.53</v>
      </c>
      <c r="BD86" s="128">
        <v>1.54</v>
      </c>
      <c r="BE86" s="128">
        <v>1.55</v>
      </c>
      <c r="BF86" s="128">
        <v>1.56</v>
      </c>
      <c r="BG86" s="128">
        <v>1.57</v>
      </c>
      <c r="BH86" s="128">
        <v>1.58</v>
      </c>
      <c r="BI86" s="128">
        <v>1.59</v>
      </c>
      <c r="BJ86" s="128">
        <v>1.6</v>
      </c>
      <c r="BK86" s="128">
        <v>1.61</v>
      </c>
      <c r="BL86" s="128">
        <v>1.62</v>
      </c>
      <c r="BM86" s="128">
        <v>1.63</v>
      </c>
      <c r="BN86" s="128">
        <v>1.64</v>
      </c>
      <c r="BO86" s="128">
        <v>1.65</v>
      </c>
      <c r="BP86" s="128">
        <v>1.66</v>
      </c>
      <c r="BQ86" s="128">
        <v>1.67</v>
      </c>
      <c r="BR86" s="128">
        <v>1.68</v>
      </c>
      <c r="BS86" s="128">
        <v>1.69</v>
      </c>
      <c r="BT86" s="128">
        <v>1.7</v>
      </c>
      <c r="BU86" s="128">
        <v>1.71</v>
      </c>
      <c r="BV86" s="128">
        <v>1.72</v>
      </c>
      <c r="BW86" s="128">
        <v>1.73</v>
      </c>
      <c r="BX86" s="128">
        <v>1.74</v>
      </c>
      <c r="BY86" s="128">
        <v>1.75</v>
      </c>
      <c r="BZ86" s="128">
        <v>1.76</v>
      </c>
      <c r="CA86" s="128">
        <v>1.77</v>
      </c>
      <c r="CB86" s="128">
        <v>1.78</v>
      </c>
      <c r="CC86" s="128">
        <v>1.79</v>
      </c>
      <c r="CD86" s="128">
        <v>1.8</v>
      </c>
      <c r="CE86" s="128">
        <v>1.81</v>
      </c>
      <c r="CF86" s="128">
        <v>1.82</v>
      </c>
      <c r="CG86" s="128">
        <v>1.83</v>
      </c>
      <c r="CH86" s="128">
        <v>1.84</v>
      </c>
      <c r="CI86" s="128">
        <v>1.85</v>
      </c>
      <c r="CJ86" s="128">
        <v>1.86</v>
      </c>
      <c r="CK86" s="128">
        <v>1.86</v>
      </c>
      <c r="CL86" s="128">
        <v>1.87</v>
      </c>
      <c r="CM86" s="128">
        <v>1.88</v>
      </c>
      <c r="CN86" s="128">
        <v>1.89</v>
      </c>
      <c r="CO86" s="128">
        <v>1.9</v>
      </c>
      <c r="CP86" s="128">
        <v>1.91</v>
      </c>
      <c r="CQ86" s="128">
        <v>1.92</v>
      </c>
      <c r="CR86" s="128">
        <v>1.93</v>
      </c>
      <c r="CS86" s="128">
        <v>1.94</v>
      </c>
      <c r="CT86" s="128">
        <v>1.95</v>
      </c>
      <c r="CU86" s="128">
        <v>1.97</v>
      </c>
      <c r="CV86" s="128">
        <v>1.98</v>
      </c>
      <c r="CW86" s="128">
        <v>1.99</v>
      </c>
      <c r="CX86" s="128">
        <v>2</v>
      </c>
      <c r="CZ86" s="126">
        <f>SUMIF(MatrixF2[[1]:[2]],MatrixF2[[#This Row],[Столбец1]])/MatrixF2[[#This Row],[Столбец1]]</f>
        <v>93.000000000000099</v>
      </c>
    </row>
    <row r="87" spans="1:104" ht="21" customHeight="1" x14ac:dyDescent="0.25">
      <c r="A87" s="127">
        <v>1.84</v>
      </c>
      <c r="B87" s="128">
        <v>1</v>
      </c>
      <c r="C87" s="128">
        <v>1.01</v>
      </c>
      <c r="D87" s="128">
        <v>1.02</v>
      </c>
      <c r="E87" s="128">
        <v>1.03</v>
      </c>
      <c r="F87" s="128">
        <v>1.05</v>
      </c>
      <c r="G87" s="128">
        <v>1.06</v>
      </c>
      <c r="H87" s="128">
        <v>1.07</v>
      </c>
      <c r="I87" s="128">
        <v>1.08</v>
      </c>
      <c r="J87" s="128">
        <v>1.0900000000000001</v>
      </c>
      <c r="K87" s="128">
        <v>1.1000000000000001</v>
      </c>
      <c r="L87" s="128">
        <v>1.1100000000000001</v>
      </c>
      <c r="M87" s="128">
        <v>1.1200000000000001</v>
      </c>
      <c r="N87" s="128">
        <v>1.1200000000000001</v>
      </c>
      <c r="O87" s="128">
        <v>1.1299999999999999</v>
      </c>
      <c r="P87" s="128">
        <v>1.1399999999999999</v>
      </c>
      <c r="Q87" s="128">
        <v>1.1499999999999999</v>
      </c>
      <c r="R87" s="128">
        <v>1.1599999999999999</v>
      </c>
      <c r="S87" s="128">
        <v>1.17</v>
      </c>
      <c r="T87" s="128">
        <v>1.18</v>
      </c>
      <c r="U87" s="128">
        <v>1.19</v>
      </c>
      <c r="V87" s="128">
        <v>1.2</v>
      </c>
      <c r="W87" s="128">
        <v>1.21</v>
      </c>
      <c r="X87" s="128">
        <v>1.22</v>
      </c>
      <c r="Y87" s="128">
        <v>1.23</v>
      </c>
      <c r="Z87" s="128">
        <v>1.24</v>
      </c>
      <c r="AA87" s="128">
        <v>1.25</v>
      </c>
      <c r="AB87" s="128">
        <v>1.26</v>
      </c>
      <c r="AC87" s="128">
        <v>1.27</v>
      </c>
      <c r="AD87" s="128">
        <v>1.28</v>
      </c>
      <c r="AE87" s="128">
        <v>1.29</v>
      </c>
      <c r="AF87" s="128">
        <v>1.3</v>
      </c>
      <c r="AG87" s="128">
        <v>1.31</v>
      </c>
      <c r="AH87" s="128">
        <v>1.32</v>
      </c>
      <c r="AI87" s="128">
        <v>1.33</v>
      </c>
      <c r="AJ87" s="128">
        <v>1.34</v>
      </c>
      <c r="AK87" s="128">
        <v>1.35</v>
      </c>
      <c r="AL87" s="128">
        <v>1.36</v>
      </c>
      <c r="AM87" s="128">
        <v>1.37</v>
      </c>
      <c r="AN87" s="128">
        <v>1.38</v>
      </c>
      <c r="AO87" s="128">
        <v>1.39</v>
      </c>
      <c r="AP87" s="128">
        <v>1.4</v>
      </c>
      <c r="AQ87" s="128">
        <v>1.41</v>
      </c>
      <c r="AR87" s="128">
        <v>1.42</v>
      </c>
      <c r="AS87" s="128">
        <v>1.43</v>
      </c>
      <c r="AT87" s="128">
        <v>1.44</v>
      </c>
      <c r="AU87" s="128">
        <v>1.45</v>
      </c>
      <c r="AV87" s="128">
        <v>1.46</v>
      </c>
      <c r="AW87" s="128">
        <v>1.47</v>
      </c>
      <c r="AX87" s="128">
        <v>1.48</v>
      </c>
      <c r="AY87" s="128">
        <v>1.49</v>
      </c>
      <c r="AZ87" s="128">
        <v>1.5</v>
      </c>
      <c r="BA87" s="128">
        <v>1.51</v>
      </c>
      <c r="BB87" s="128">
        <v>1.52</v>
      </c>
      <c r="BC87" s="128">
        <v>1.53</v>
      </c>
      <c r="BD87" s="128">
        <v>1.54</v>
      </c>
      <c r="BE87" s="128">
        <v>1.55</v>
      </c>
      <c r="BF87" s="128">
        <v>1.56</v>
      </c>
      <c r="BG87" s="128">
        <v>1.57</v>
      </c>
      <c r="BH87" s="128">
        <v>1.58</v>
      </c>
      <c r="BI87" s="128">
        <v>1.59</v>
      </c>
      <c r="BJ87" s="128">
        <v>1.6</v>
      </c>
      <c r="BK87" s="128">
        <v>1.61</v>
      </c>
      <c r="BL87" s="128">
        <v>1.62</v>
      </c>
      <c r="BM87" s="128">
        <v>1.63</v>
      </c>
      <c r="BN87" s="128">
        <v>1.64</v>
      </c>
      <c r="BO87" s="128">
        <v>1.65</v>
      </c>
      <c r="BP87" s="128">
        <v>1.66</v>
      </c>
      <c r="BQ87" s="128">
        <v>1.67</v>
      </c>
      <c r="BR87" s="128">
        <v>1.68</v>
      </c>
      <c r="BS87" s="128">
        <v>1.69</v>
      </c>
      <c r="BT87" s="128">
        <v>1.7</v>
      </c>
      <c r="BU87" s="128">
        <v>1.71</v>
      </c>
      <c r="BV87" s="128">
        <v>1.72</v>
      </c>
      <c r="BW87" s="128">
        <v>1.73</v>
      </c>
      <c r="BX87" s="128">
        <v>1.74</v>
      </c>
      <c r="BY87" s="128">
        <v>1.75</v>
      </c>
      <c r="BZ87" s="128">
        <v>1.76</v>
      </c>
      <c r="CA87" s="128">
        <v>1.77</v>
      </c>
      <c r="CB87" s="128">
        <v>1.78</v>
      </c>
      <c r="CC87" s="128">
        <v>1.79</v>
      </c>
      <c r="CD87" s="128">
        <v>1.8</v>
      </c>
      <c r="CE87" s="128">
        <v>1.81</v>
      </c>
      <c r="CF87" s="128">
        <v>1.82</v>
      </c>
      <c r="CG87" s="128">
        <v>1.83</v>
      </c>
      <c r="CH87" s="128">
        <v>1.84</v>
      </c>
      <c r="CI87" s="128">
        <v>1.85</v>
      </c>
      <c r="CJ87" s="128">
        <v>1.86</v>
      </c>
      <c r="CK87" s="128">
        <v>1.87</v>
      </c>
      <c r="CL87" s="128">
        <v>1.88</v>
      </c>
      <c r="CM87" s="128">
        <v>1.88</v>
      </c>
      <c r="CN87" s="128">
        <v>1.89</v>
      </c>
      <c r="CO87" s="128">
        <v>1.9</v>
      </c>
      <c r="CP87" s="128">
        <v>1.91</v>
      </c>
      <c r="CQ87" s="128">
        <v>1.92</v>
      </c>
      <c r="CR87" s="128">
        <v>1.93</v>
      </c>
      <c r="CS87" s="128">
        <v>1.94</v>
      </c>
      <c r="CT87" s="128">
        <v>1.95</v>
      </c>
      <c r="CU87" s="128">
        <v>1.97</v>
      </c>
      <c r="CV87" s="128">
        <v>1.98</v>
      </c>
      <c r="CW87" s="128">
        <v>1.99</v>
      </c>
      <c r="CX87" s="128">
        <v>2</v>
      </c>
      <c r="CZ87" s="126">
        <f>SUMIF(MatrixF2[[1]:[2]],MatrixF2[[#This Row],[Столбец1]])/MatrixF2[[#This Row],[Столбец1]]</f>
        <v>100.00000000000016</v>
      </c>
    </row>
    <row r="88" spans="1:104" ht="21" customHeight="1" x14ac:dyDescent="0.25">
      <c r="A88" s="127">
        <v>1.85</v>
      </c>
      <c r="B88" s="128">
        <v>1</v>
      </c>
      <c r="C88" s="128">
        <v>1.01</v>
      </c>
      <c r="D88" s="128">
        <v>1.02</v>
      </c>
      <c r="E88" s="128">
        <v>1.03</v>
      </c>
      <c r="F88" s="128">
        <v>1.04</v>
      </c>
      <c r="G88" s="128">
        <v>1.06</v>
      </c>
      <c r="H88" s="128">
        <v>1.07</v>
      </c>
      <c r="I88" s="128">
        <v>1.08</v>
      </c>
      <c r="J88" s="128">
        <v>1.0900000000000001</v>
      </c>
      <c r="K88" s="128">
        <v>1.1000000000000001</v>
      </c>
      <c r="L88" s="128">
        <v>1.1100000000000001</v>
      </c>
      <c r="M88" s="128">
        <v>1.1100000000000001</v>
      </c>
      <c r="N88" s="128">
        <v>1.1200000000000001</v>
      </c>
      <c r="O88" s="128">
        <v>1.1299999999999999</v>
      </c>
      <c r="P88" s="128">
        <v>1.1399999999999999</v>
      </c>
      <c r="Q88" s="128">
        <v>1.1499999999999999</v>
      </c>
      <c r="R88" s="128">
        <v>1.1599999999999999</v>
      </c>
      <c r="S88" s="128">
        <v>1.17</v>
      </c>
      <c r="T88" s="128">
        <v>1.18</v>
      </c>
      <c r="U88" s="128">
        <v>1.19</v>
      </c>
      <c r="V88" s="128">
        <v>1.2</v>
      </c>
      <c r="W88" s="128">
        <v>1.21</v>
      </c>
      <c r="X88" s="128">
        <v>1.22</v>
      </c>
      <c r="Y88" s="128">
        <v>1.23</v>
      </c>
      <c r="Z88" s="128">
        <v>1.24</v>
      </c>
      <c r="AA88" s="128">
        <v>1.25</v>
      </c>
      <c r="AB88" s="128">
        <v>1.26</v>
      </c>
      <c r="AC88" s="128">
        <v>1.27</v>
      </c>
      <c r="AD88" s="128">
        <v>1.28</v>
      </c>
      <c r="AE88" s="128">
        <v>1.29</v>
      </c>
      <c r="AF88" s="128">
        <v>1.3</v>
      </c>
      <c r="AG88" s="128">
        <v>1.31</v>
      </c>
      <c r="AH88" s="128">
        <v>1.32</v>
      </c>
      <c r="AI88" s="128">
        <v>1.33</v>
      </c>
      <c r="AJ88" s="128">
        <v>1.34</v>
      </c>
      <c r="AK88" s="128">
        <v>1.35</v>
      </c>
      <c r="AL88" s="128">
        <v>1.36</v>
      </c>
      <c r="AM88" s="128">
        <v>1.37</v>
      </c>
      <c r="AN88" s="128">
        <v>1.38</v>
      </c>
      <c r="AO88" s="128">
        <v>1.39</v>
      </c>
      <c r="AP88" s="128">
        <v>1.4</v>
      </c>
      <c r="AQ88" s="128">
        <v>1.41</v>
      </c>
      <c r="AR88" s="128">
        <v>1.42</v>
      </c>
      <c r="AS88" s="128">
        <v>1.43</v>
      </c>
      <c r="AT88" s="128">
        <v>1.44</v>
      </c>
      <c r="AU88" s="128">
        <v>1.45</v>
      </c>
      <c r="AV88" s="128">
        <v>1.46</v>
      </c>
      <c r="AW88" s="128">
        <v>1.47</v>
      </c>
      <c r="AX88" s="128">
        <v>1.48</v>
      </c>
      <c r="AY88" s="128">
        <v>1.49</v>
      </c>
      <c r="AZ88" s="128">
        <v>1.5</v>
      </c>
      <c r="BA88" s="128">
        <v>1.51</v>
      </c>
      <c r="BB88" s="128">
        <v>1.52</v>
      </c>
      <c r="BC88" s="128">
        <v>1.53</v>
      </c>
      <c r="BD88" s="128">
        <v>1.54</v>
      </c>
      <c r="BE88" s="128">
        <v>1.55</v>
      </c>
      <c r="BF88" s="128">
        <v>1.56</v>
      </c>
      <c r="BG88" s="128">
        <v>1.57</v>
      </c>
      <c r="BH88" s="128">
        <v>1.58</v>
      </c>
      <c r="BI88" s="128">
        <v>1.59</v>
      </c>
      <c r="BJ88" s="128">
        <v>1.6</v>
      </c>
      <c r="BK88" s="128">
        <v>1.61</v>
      </c>
      <c r="BL88" s="128">
        <v>1.62</v>
      </c>
      <c r="BM88" s="128">
        <v>1.63</v>
      </c>
      <c r="BN88" s="128">
        <v>1.64</v>
      </c>
      <c r="BO88" s="128">
        <v>1.65</v>
      </c>
      <c r="BP88" s="128">
        <v>1.66</v>
      </c>
      <c r="BQ88" s="128">
        <v>1.67</v>
      </c>
      <c r="BR88" s="128">
        <v>1.68</v>
      </c>
      <c r="BS88" s="128">
        <v>1.69</v>
      </c>
      <c r="BT88" s="128">
        <v>1.7</v>
      </c>
      <c r="BU88" s="128">
        <v>1.71</v>
      </c>
      <c r="BV88" s="128">
        <v>1.72</v>
      </c>
      <c r="BW88" s="128">
        <v>1.73</v>
      </c>
      <c r="BX88" s="128">
        <v>1.74</v>
      </c>
      <c r="BY88" s="128">
        <v>1.75</v>
      </c>
      <c r="BZ88" s="128">
        <v>1.76</v>
      </c>
      <c r="CA88" s="128">
        <v>1.77</v>
      </c>
      <c r="CB88" s="128">
        <v>1.78</v>
      </c>
      <c r="CC88" s="128">
        <v>1.79</v>
      </c>
      <c r="CD88" s="128">
        <v>1.8</v>
      </c>
      <c r="CE88" s="128">
        <v>1.81</v>
      </c>
      <c r="CF88" s="128">
        <v>1.82</v>
      </c>
      <c r="CG88" s="128">
        <v>1.83</v>
      </c>
      <c r="CH88" s="128">
        <v>1.84</v>
      </c>
      <c r="CI88" s="128">
        <v>1.85</v>
      </c>
      <c r="CJ88" s="128">
        <v>1.86</v>
      </c>
      <c r="CK88" s="128">
        <v>1.87</v>
      </c>
      <c r="CL88" s="128">
        <v>1.88</v>
      </c>
      <c r="CM88" s="128">
        <v>1.89</v>
      </c>
      <c r="CN88" s="128">
        <v>1.89</v>
      </c>
      <c r="CO88" s="128">
        <v>1.9</v>
      </c>
      <c r="CP88" s="128">
        <v>1.91</v>
      </c>
      <c r="CQ88" s="128">
        <v>1.92</v>
      </c>
      <c r="CR88" s="128">
        <v>1.93</v>
      </c>
      <c r="CS88" s="128">
        <v>1.94</v>
      </c>
      <c r="CT88" s="128">
        <v>1.96</v>
      </c>
      <c r="CU88" s="128">
        <v>1.97</v>
      </c>
      <c r="CV88" s="128">
        <v>1.98</v>
      </c>
      <c r="CW88" s="128">
        <v>1.99</v>
      </c>
      <c r="CX88" s="128">
        <v>2</v>
      </c>
      <c r="CZ88" s="126">
        <f>SUMIF(MatrixF2[[1]:[2]],MatrixF2[[#This Row],[Столбец1]])/MatrixF2[[#This Row],[Столбец1]]</f>
        <v>96.999999999999815</v>
      </c>
    </row>
    <row r="89" spans="1:104" ht="21" customHeight="1" x14ac:dyDescent="0.25">
      <c r="A89" s="127">
        <v>1.86</v>
      </c>
      <c r="B89" s="128">
        <v>1</v>
      </c>
      <c r="C89" s="128">
        <v>1.01</v>
      </c>
      <c r="D89" s="128">
        <v>1.02</v>
      </c>
      <c r="E89" s="128">
        <v>1.03</v>
      </c>
      <c r="F89" s="128">
        <v>1.04</v>
      </c>
      <c r="G89" s="128">
        <v>1.05</v>
      </c>
      <c r="H89" s="128">
        <v>1.07</v>
      </c>
      <c r="I89" s="128">
        <v>1.08</v>
      </c>
      <c r="J89" s="128">
        <v>1.0900000000000001</v>
      </c>
      <c r="K89" s="128">
        <v>1.0900000000000001</v>
      </c>
      <c r="L89" s="128">
        <v>1.1000000000000001</v>
      </c>
      <c r="M89" s="128">
        <v>1.1100000000000001</v>
      </c>
      <c r="N89" s="128">
        <v>1.1200000000000001</v>
      </c>
      <c r="O89" s="128">
        <v>1.1299999999999999</v>
      </c>
      <c r="P89" s="128">
        <v>1.1399999999999999</v>
      </c>
      <c r="Q89" s="128">
        <v>1.1499999999999999</v>
      </c>
      <c r="R89" s="128">
        <v>1.1599999999999999</v>
      </c>
      <c r="S89" s="128">
        <v>1.17</v>
      </c>
      <c r="T89" s="128">
        <v>1.18</v>
      </c>
      <c r="U89" s="128">
        <v>1.19</v>
      </c>
      <c r="V89" s="128">
        <v>1.2</v>
      </c>
      <c r="W89" s="128">
        <v>1.21</v>
      </c>
      <c r="X89" s="128">
        <v>1.22</v>
      </c>
      <c r="Y89" s="128">
        <v>1.23</v>
      </c>
      <c r="Z89" s="128">
        <v>1.24</v>
      </c>
      <c r="AA89" s="128">
        <v>1.25</v>
      </c>
      <c r="AB89" s="128">
        <v>1.26</v>
      </c>
      <c r="AC89" s="128">
        <v>1.27</v>
      </c>
      <c r="AD89" s="128">
        <v>1.28</v>
      </c>
      <c r="AE89" s="128">
        <v>1.29</v>
      </c>
      <c r="AF89" s="128">
        <v>1.3</v>
      </c>
      <c r="AG89" s="128">
        <v>1.31</v>
      </c>
      <c r="AH89" s="128">
        <v>1.32</v>
      </c>
      <c r="AI89" s="128">
        <v>1.33</v>
      </c>
      <c r="AJ89" s="128">
        <v>1.34</v>
      </c>
      <c r="AK89" s="128">
        <v>1.35</v>
      </c>
      <c r="AL89" s="128">
        <v>1.36</v>
      </c>
      <c r="AM89" s="128">
        <v>1.37</v>
      </c>
      <c r="AN89" s="128">
        <v>1.38</v>
      </c>
      <c r="AO89" s="128">
        <v>1.39</v>
      </c>
      <c r="AP89" s="128">
        <v>1.4</v>
      </c>
      <c r="AQ89" s="128">
        <v>1.41</v>
      </c>
      <c r="AR89" s="128">
        <v>1.42</v>
      </c>
      <c r="AS89" s="128">
        <v>1.43</v>
      </c>
      <c r="AT89" s="128">
        <v>1.44</v>
      </c>
      <c r="AU89" s="128">
        <v>1.45</v>
      </c>
      <c r="AV89" s="128">
        <v>1.46</v>
      </c>
      <c r="AW89" s="128">
        <v>1.47</v>
      </c>
      <c r="AX89" s="128">
        <v>1.48</v>
      </c>
      <c r="AY89" s="128">
        <v>1.49</v>
      </c>
      <c r="AZ89" s="128">
        <v>1.5</v>
      </c>
      <c r="BA89" s="128">
        <v>1.51</v>
      </c>
      <c r="BB89" s="128">
        <v>1.52</v>
      </c>
      <c r="BC89" s="128">
        <v>1.53</v>
      </c>
      <c r="BD89" s="128">
        <v>1.54</v>
      </c>
      <c r="BE89" s="128">
        <v>1.55</v>
      </c>
      <c r="BF89" s="128">
        <v>1.56</v>
      </c>
      <c r="BG89" s="128">
        <v>1.57</v>
      </c>
      <c r="BH89" s="128">
        <v>1.58</v>
      </c>
      <c r="BI89" s="128">
        <v>1.59</v>
      </c>
      <c r="BJ89" s="128">
        <v>1.6</v>
      </c>
      <c r="BK89" s="128">
        <v>1.61</v>
      </c>
      <c r="BL89" s="128">
        <v>1.62</v>
      </c>
      <c r="BM89" s="128">
        <v>1.63</v>
      </c>
      <c r="BN89" s="128">
        <v>1.64</v>
      </c>
      <c r="BO89" s="128">
        <v>1.65</v>
      </c>
      <c r="BP89" s="128">
        <v>1.66</v>
      </c>
      <c r="BQ89" s="128">
        <v>1.67</v>
      </c>
      <c r="BR89" s="128">
        <v>1.68</v>
      </c>
      <c r="BS89" s="128">
        <v>1.69</v>
      </c>
      <c r="BT89" s="128">
        <v>1.7</v>
      </c>
      <c r="BU89" s="128">
        <v>1.71</v>
      </c>
      <c r="BV89" s="128">
        <v>1.72</v>
      </c>
      <c r="BW89" s="128">
        <v>1.73</v>
      </c>
      <c r="BX89" s="128">
        <v>1.74</v>
      </c>
      <c r="BY89" s="128">
        <v>1.75</v>
      </c>
      <c r="BZ89" s="128">
        <v>1.76</v>
      </c>
      <c r="CA89" s="128">
        <v>1.77</v>
      </c>
      <c r="CB89" s="128">
        <v>1.78</v>
      </c>
      <c r="CC89" s="128">
        <v>1.79</v>
      </c>
      <c r="CD89" s="128">
        <v>1.8</v>
      </c>
      <c r="CE89" s="128">
        <v>1.81</v>
      </c>
      <c r="CF89" s="128">
        <v>1.82</v>
      </c>
      <c r="CG89" s="128">
        <v>1.83</v>
      </c>
      <c r="CH89" s="128">
        <v>1.84</v>
      </c>
      <c r="CI89" s="128">
        <v>1.85</v>
      </c>
      <c r="CJ89" s="128">
        <v>1.86</v>
      </c>
      <c r="CK89" s="128">
        <v>1.87</v>
      </c>
      <c r="CL89" s="128">
        <v>1.88</v>
      </c>
      <c r="CM89" s="128">
        <v>1.89</v>
      </c>
      <c r="CN89" s="128">
        <v>1.9</v>
      </c>
      <c r="CO89" s="128">
        <v>1.91</v>
      </c>
      <c r="CP89" s="128">
        <v>1.91</v>
      </c>
      <c r="CQ89" s="128">
        <v>1.92</v>
      </c>
      <c r="CR89" s="128">
        <v>1.93</v>
      </c>
      <c r="CS89" s="128">
        <v>1.95</v>
      </c>
      <c r="CT89" s="128">
        <v>1.96</v>
      </c>
      <c r="CU89" s="128">
        <v>1.97</v>
      </c>
      <c r="CV89" s="128">
        <v>1.98</v>
      </c>
      <c r="CW89" s="128">
        <v>1.99</v>
      </c>
      <c r="CX89" s="128">
        <v>2</v>
      </c>
      <c r="CZ89" s="126">
        <f>SUMIF(MatrixF2[[1]:[2]],MatrixF2[[#This Row],[Столбец1]])/MatrixF2[[#This Row],[Столбец1]]</f>
        <v>97.000000000000185</v>
      </c>
    </row>
    <row r="90" spans="1:104" ht="21" customHeight="1" x14ac:dyDescent="0.25">
      <c r="A90" s="127">
        <v>1.87</v>
      </c>
      <c r="B90" s="128">
        <v>1</v>
      </c>
      <c r="C90" s="128">
        <v>1.01</v>
      </c>
      <c r="D90" s="128">
        <v>1.02</v>
      </c>
      <c r="E90" s="128">
        <v>1.03</v>
      </c>
      <c r="F90" s="128">
        <v>1.04</v>
      </c>
      <c r="G90" s="128">
        <v>1.05</v>
      </c>
      <c r="H90" s="128">
        <v>1.06</v>
      </c>
      <c r="I90" s="128">
        <v>1.07</v>
      </c>
      <c r="J90" s="128">
        <v>1.08</v>
      </c>
      <c r="K90" s="128">
        <v>1.0900000000000001</v>
      </c>
      <c r="L90" s="128">
        <v>1.1000000000000001</v>
      </c>
      <c r="M90" s="128">
        <v>1.1100000000000001</v>
      </c>
      <c r="N90" s="128">
        <v>1.1200000000000001</v>
      </c>
      <c r="O90" s="128">
        <v>1.1299999999999999</v>
      </c>
      <c r="P90" s="128">
        <v>1.1399999999999999</v>
      </c>
      <c r="Q90" s="128">
        <v>1.1499999999999999</v>
      </c>
      <c r="R90" s="128">
        <v>1.1599999999999999</v>
      </c>
      <c r="S90" s="128">
        <v>1.17</v>
      </c>
      <c r="T90" s="128">
        <v>1.18</v>
      </c>
      <c r="U90" s="128">
        <v>1.19</v>
      </c>
      <c r="V90" s="128">
        <v>1.2</v>
      </c>
      <c r="W90" s="128">
        <v>1.21</v>
      </c>
      <c r="X90" s="128">
        <v>1.22</v>
      </c>
      <c r="Y90" s="128">
        <v>1.23</v>
      </c>
      <c r="Z90" s="128">
        <v>1.24</v>
      </c>
      <c r="AA90" s="128">
        <v>1.25</v>
      </c>
      <c r="AB90" s="128">
        <v>1.26</v>
      </c>
      <c r="AC90" s="128">
        <v>1.27</v>
      </c>
      <c r="AD90" s="128">
        <v>1.28</v>
      </c>
      <c r="AE90" s="128">
        <v>1.29</v>
      </c>
      <c r="AF90" s="128">
        <v>1.3</v>
      </c>
      <c r="AG90" s="128">
        <v>1.31</v>
      </c>
      <c r="AH90" s="128">
        <v>1.32</v>
      </c>
      <c r="AI90" s="128">
        <v>1.33</v>
      </c>
      <c r="AJ90" s="128">
        <v>1.34</v>
      </c>
      <c r="AK90" s="128">
        <v>1.35</v>
      </c>
      <c r="AL90" s="128">
        <v>1.36</v>
      </c>
      <c r="AM90" s="128">
        <v>1.37</v>
      </c>
      <c r="AN90" s="128">
        <v>1.38</v>
      </c>
      <c r="AO90" s="128">
        <v>1.39</v>
      </c>
      <c r="AP90" s="128">
        <v>1.4</v>
      </c>
      <c r="AQ90" s="128">
        <v>1.41</v>
      </c>
      <c r="AR90" s="128">
        <v>1.42</v>
      </c>
      <c r="AS90" s="128">
        <v>1.43</v>
      </c>
      <c r="AT90" s="128">
        <v>1.44</v>
      </c>
      <c r="AU90" s="128">
        <v>1.45</v>
      </c>
      <c r="AV90" s="128">
        <v>1.46</v>
      </c>
      <c r="AW90" s="128">
        <v>1.47</v>
      </c>
      <c r="AX90" s="128">
        <v>1.48</v>
      </c>
      <c r="AY90" s="128">
        <v>1.49</v>
      </c>
      <c r="AZ90" s="128">
        <v>1.5</v>
      </c>
      <c r="BA90" s="128">
        <v>1.51</v>
      </c>
      <c r="BB90" s="128">
        <v>1.52</v>
      </c>
      <c r="BC90" s="128">
        <v>1.53</v>
      </c>
      <c r="BD90" s="128">
        <v>1.54</v>
      </c>
      <c r="BE90" s="128">
        <v>1.55</v>
      </c>
      <c r="BF90" s="128">
        <v>1.56</v>
      </c>
      <c r="BG90" s="128">
        <v>1.57</v>
      </c>
      <c r="BH90" s="128">
        <v>1.58</v>
      </c>
      <c r="BI90" s="128">
        <v>1.59</v>
      </c>
      <c r="BJ90" s="128">
        <v>1.6</v>
      </c>
      <c r="BK90" s="128">
        <v>1.61</v>
      </c>
      <c r="BL90" s="128">
        <v>1.62</v>
      </c>
      <c r="BM90" s="128">
        <v>1.63</v>
      </c>
      <c r="BN90" s="128">
        <v>1.64</v>
      </c>
      <c r="BO90" s="128">
        <v>1.65</v>
      </c>
      <c r="BP90" s="128">
        <v>1.66</v>
      </c>
      <c r="BQ90" s="128">
        <v>1.67</v>
      </c>
      <c r="BR90" s="128">
        <v>1.68</v>
      </c>
      <c r="BS90" s="128">
        <v>1.69</v>
      </c>
      <c r="BT90" s="128">
        <v>1.7</v>
      </c>
      <c r="BU90" s="128">
        <v>1.71</v>
      </c>
      <c r="BV90" s="128">
        <v>1.72</v>
      </c>
      <c r="BW90" s="128">
        <v>1.73</v>
      </c>
      <c r="BX90" s="128">
        <v>1.74</v>
      </c>
      <c r="BY90" s="128">
        <v>1.75</v>
      </c>
      <c r="BZ90" s="128">
        <v>1.76</v>
      </c>
      <c r="CA90" s="128">
        <v>1.77</v>
      </c>
      <c r="CB90" s="128">
        <v>1.78</v>
      </c>
      <c r="CC90" s="128">
        <v>1.79</v>
      </c>
      <c r="CD90" s="128">
        <v>1.8</v>
      </c>
      <c r="CE90" s="128">
        <v>1.81</v>
      </c>
      <c r="CF90" s="128">
        <v>1.82</v>
      </c>
      <c r="CG90" s="128">
        <v>1.83</v>
      </c>
      <c r="CH90" s="128">
        <v>1.84</v>
      </c>
      <c r="CI90" s="128">
        <v>1.85</v>
      </c>
      <c r="CJ90" s="128">
        <v>1.86</v>
      </c>
      <c r="CK90" s="128">
        <v>1.87</v>
      </c>
      <c r="CL90" s="128">
        <v>1.88</v>
      </c>
      <c r="CM90" s="128">
        <v>1.89</v>
      </c>
      <c r="CN90" s="128">
        <v>1.9</v>
      </c>
      <c r="CO90" s="128">
        <v>1.91</v>
      </c>
      <c r="CP90" s="128">
        <v>1.92</v>
      </c>
      <c r="CQ90" s="128">
        <v>1.93</v>
      </c>
      <c r="CR90" s="128">
        <v>1.94</v>
      </c>
      <c r="CS90" s="128">
        <v>1.95</v>
      </c>
      <c r="CT90" s="128">
        <v>1.96</v>
      </c>
      <c r="CU90" s="128">
        <v>1.97</v>
      </c>
      <c r="CV90" s="128">
        <v>1.98</v>
      </c>
      <c r="CW90" s="128">
        <v>1.99</v>
      </c>
      <c r="CX90" s="128">
        <v>2</v>
      </c>
      <c r="CZ90" s="126">
        <f>SUMIF(MatrixF2[[1]:[2]],MatrixF2[[#This Row],[Столбец1]])/MatrixF2[[#This Row],[Столбец1]]</f>
        <v>88.000000000000099</v>
      </c>
    </row>
    <row r="91" spans="1:104" ht="21" customHeight="1" x14ac:dyDescent="0.25">
      <c r="A91" s="127">
        <v>1.88</v>
      </c>
      <c r="B91" s="128">
        <v>1</v>
      </c>
      <c r="C91" s="128">
        <v>1.01</v>
      </c>
      <c r="D91" s="128">
        <v>1.02</v>
      </c>
      <c r="E91" s="128">
        <v>1.03</v>
      </c>
      <c r="F91" s="128">
        <v>1.04</v>
      </c>
      <c r="G91" s="128">
        <v>1.05</v>
      </c>
      <c r="H91" s="128">
        <v>1.06</v>
      </c>
      <c r="I91" s="128">
        <v>1.07</v>
      </c>
      <c r="J91" s="128">
        <v>1.08</v>
      </c>
      <c r="K91" s="128">
        <v>1.0900000000000001</v>
      </c>
      <c r="L91" s="128">
        <v>1.1000000000000001</v>
      </c>
      <c r="M91" s="128">
        <v>1.1100000000000001</v>
      </c>
      <c r="N91" s="128">
        <v>1.1200000000000001</v>
      </c>
      <c r="O91" s="128">
        <v>1.1299999999999999</v>
      </c>
      <c r="P91" s="128">
        <v>1.1399999999999999</v>
      </c>
      <c r="Q91" s="128">
        <v>1.1499999999999999</v>
      </c>
      <c r="R91" s="128">
        <v>1.1599999999999999</v>
      </c>
      <c r="S91" s="128">
        <v>1.17</v>
      </c>
      <c r="T91" s="128">
        <v>1.18</v>
      </c>
      <c r="U91" s="128">
        <v>1.19</v>
      </c>
      <c r="V91" s="128">
        <v>1.2</v>
      </c>
      <c r="W91" s="128">
        <v>1.21</v>
      </c>
      <c r="X91" s="128">
        <v>1.22</v>
      </c>
      <c r="Y91" s="128">
        <v>1.23</v>
      </c>
      <c r="Z91" s="128">
        <v>1.24</v>
      </c>
      <c r="AA91" s="128">
        <v>1.25</v>
      </c>
      <c r="AB91" s="128">
        <v>1.26</v>
      </c>
      <c r="AC91" s="128">
        <v>1.27</v>
      </c>
      <c r="AD91" s="128">
        <v>1.28</v>
      </c>
      <c r="AE91" s="128">
        <v>1.29</v>
      </c>
      <c r="AF91" s="128">
        <v>1.3</v>
      </c>
      <c r="AG91" s="128">
        <v>1.31</v>
      </c>
      <c r="AH91" s="128">
        <v>1.32</v>
      </c>
      <c r="AI91" s="128">
        <v>1.33</v>
      </c>
      <c r="AJ91" s="128">
        <v>1.34</v>
      </c>
      <c r="AK91" s="128">
        <v>1.35</v>
      </c>
      <c r="AL91" s="128">
        <v>1.36</v>
      </c>
      <c r="AM91" s="128">
        <v>1.37</v>
      </c>
      <c r="AN91" s="128">
        <v>1.38</v>
      </c>
      <c r="AO91" s="128">
        <v>1.39</v>
      </c>
      <c r="AP91" s="128">
        <v>1.4</v>
      </c>
      <c r="AQ91" s="128">
        <v>1.41</v>
      </c>
      <c r="AR91" s="128">
        <v>1.42</v>
      </c>
      <c r="AS91" s="128">
        <v>1.43</v>
      </c>
      <c r="AT91" s="128">
        <v>1.44</v>
      </c>
      <c r="AU91" s="128">
        <v>1.45</v>
      </c>
      <c r="AV91" s="128">
        <v>1.46</v>
      </c>
      <c r="AW91" s="128">
        <v>1.47</v>
      </c>
      <c r="AX91" s="128">
        <v>1.48</v>
      </c>
      <c r="AY91" s="128">
        <v>1.49</v>
      </c>
      <c r="AZ91" s="128">
        <v>1.5</v>
      </c>
      <c r="BA91" s="128">
        <v>1.51</v>
      </c>
      <c r="BB91" s="128">
        <v>1.52</v>
      </c>
      <c r="BC91" s="128">
        <v>1.53</v>
      </c>
      <c r="BD91" s="128">
        <v>1.54</v>
      </c>
      <c r="BE91" s="128">
        <v>1.55</v>
      </c>
      <c r="BF91" s="128">
        <v>1.56</v>
      </c>
      <c r="BG91" s="128">
        <v>1.57</v>
      </c>
      <c r="BH91" s="128">
        <v>1.58</v>
      </c>
      <c r="BI91" s="128">
        <v>1.59</v>
      </c>
      <c r="BJ91" s="128">
        <v>1.6</v>
      </c>
      <c r="BK91" s="128">
        <v>1.61</v>
      </c>
      <c r="BL91" s="128">
        <v>1.62</v>
      </c>
      <c r="BM91" s="128">
        <v>1.63</v>
      </c>
      <c r="BN91" s="128">
        <v>1.64</v>
      </c>
      <c r="BO91" s="128">
        <v>1.65</v>
      </c>
      <c r="BP91" s="128">
        <v>1.66</v>
      </c>
      <c r="BQ91" s="128">
        <v>1.67</v>
      </c>
      <c r="BR91" s="128">
        <v>1.68</v>
      </c>
      <c r="BS91" s="128">
        <v>1.69</v>
      </c>
      <c r="BT91" s="128">
        <v>1.7</v>
      </c>
      <c r="BU91" s="128">
        <v>1.71</v>
      </c>
      <c r="BV91" s="128">
        <v>1.72</v>
      </c>
      <c r="BW91" s="128">
        <v>1.73</v>
      </c>
      <c r="BX91" s="128">
        <v>1.74</v>
      </c>
      <c r="BY91" s="128">
        <v>1.75</v>
      </c>
      <c r="BZ91" s="128">
        <v>1.76</v>
      </c>
      <c r="CA91" s="128">
        <v>1.77</v>
      </c>
      <c r="CB91" s="128">
        <v>1.78</v>
      </c>
      <c r="CC91" s="128">
        <v>1.79</v>
      </c>
      <c r="CD91" s="128">
        <v>1.8</v>
      </c>
      <c r="CE91" s="128">
        <v>1.81</v>
      </c>
      <c r="CF91" s="128">
        <v>1.82</v>
      </c>
      <c r="CG91" s="128">
        <v>1.83</v>
      </c>
      <c r="CH91" s="128">
        <v>1.84</v>
      </c>
      <c r="CI91" s="128">
        <v>1.85</v>
      </c>
      <c r="CJ91" s="128">
        <v>1.86</v>
      </c>
      <c r="CK91" s="128">
        <v>1.87</v>
      </c>
      <c r="CL91" s="128">
        <v>1.88</v>
      </c>
      <c r="CM91" s="128">
        <v>1.89</v>
      </c>
      <c r="CN91" s="128">
        <v>1.9</v>
      </c>
      <c r="CO91" s="128">
        <v>1.91</v>
      </c>
      <c r="CP91" s="128">
        <v>1.92</v>
      </c>
      <c r="CQ91" s="128">
        <v>1.93</v>
      </c>
      <c r="CR91" s="128">
        <v>1.94</v>
      </c>
      <c r="CS91" s="128">
        <v>1.95</v>
      </c>
      <c r="CT91" s="128">
        <v>1.96</v>
      </c>
      <c r="CU91" s="128">
        <v>1.97</v>
      </c>
      <c r="CV91" s="128">
        <v>1.98</v>
      </c>
      <c r="CW91" s="128">
        <v>1.99</v>
      </c>
      <c r="CX91" s="128">
        <v>2</v>
      </c>
      <c r="CZ91" s="126">
        <f>SUMIF(MatrixF2[[1]:[2]],MatrixF2[[#This Row],[Столбец1]])/MatrixF2[[#This Row],[Столбец1]]</f>
        <v>96.999999999999872</v>
      </c>
    </row>
    <row r="92" spans="1:104" ht="21" customHeight="1" x14ac:dyDescent="0.25">
      <c r="A92" s="127">
        <v>1.89</v>
      </c>
      <c r="B92" s="128">
        <v>1</v>
      </c>
      <c r="C92" s="128">
        <v>1.01</v>
      </c>
      <c r="D92" s="128">
        <v>1.02</v>
      </c>
      <c r="E92" s="128">
        <v>1.03</v>
      </c>
      <c r="F92" s="128">
        <v>1.04</v>
      </c>
      <c r="G92" s="128">
        <v>1.05</v>
      </c>
      <c r="H92" s="128">
        <v>1.06</v>
      </c>
      <c r="I92" s="128">
        <v>1.07</v>
      </c>
      <c r="J92" s="128">
        <v>1.08</v>
      </c>
      <c r="K92" s="128">
        <v>1.0900000000000001</v>
      </c>
      <c r="L92" s="128">
        <v>1.1000000000000001</v>
      </c>
      <c r="M92" s="128">
        <v>1.1100000000000001</v>
      </c>
      <c r="N92" s="128">
        <v>1.1200000000000001</v>
      </c>
      <c r="O92" s="128">
        <v>1.1299999999999999</v>
      </c>
      <c r="P92" s="128">
        <v>1.1399999999999999</v>
      </c>
      <c r="Q92" s="128">
        <v>1.1499999999999999</v>
      </c>
      <c r="R92" s="128">
        <v>1.1599999999999999</v>
      </c>
      <c r="S92" s="128">
        <v>1.17</v>
      </c>
      <c r="T92" s="128">
        <v>1.18</v>
      </c>
      <c r="U92" s="128">
        <v>1.19</v>
      </c>
      <c r="V92" s="128">
        <v>1.2</v>
      </c>
      <c r="W92" s="128">
        <v>1.21</v>
      </c>
      <c r="X92" s="128">
        <v>1.22</v>
      </c>
      <c r="Y92" s="128">
        <v>1.23</v>
      </c>
      <c r="Z92" s="128">
        <v>1.24</v>
      </c>
      <c r="AA92" s="128">
        <v>1.25</v>
      </c>
      <c r="AB92" s="128">
        <v>1.26</v>
      </c>
      <c r="AC92" s="128">
        <v>1.27</v>
      </c>
      <c r="AD92" s="128">
        <v>1.28</v>
      </c>
      <c r="AE92" s="128">
        <v>1.29</v>
      </c>
      <c r="AF92" s="128">
        <v>1.3</v>
      </c>
      <c r="AG92" s="128">
        <v>1.31</v>
      </c>
      <c r="AH92" s="128">
        <v>1.32</v>
      </c>
      <c r="AI92" s="128">
        <v>1.33</v>
      </c>
      <c r="AJ92" s="128">
        <v>1.34</v>
      </c>
      <c r="AK92" s="128">
        <v>1.35</v>
      </c>
      <c r="AL92" s="128">
        <v>1.36</v>
      </c>
      <c r="AM92" s="128">
        <v>1.37</v>
      </c>
      <c r="AN92" s="128">
        <v>1.38</v>
      </c>
      <c r="AO92" s="128">
        <v>1.39</v>
      </c>
      <c r="AP92" s="128">
        <v>1.4</v>
      </c>
      <c r="AQ92" s="128">
        <v>1.41</v>
      </c>
      <c r="AR92" s="128">
        <v>1.42</v>
      </c>
      <c r="AS92" s="128">
        <v>1.43</v>
      </c>
      <c r="AT92" s="128">
        <v>1.44</v>
      </c>
      <c r="AU92" s="128">
        <v>1.45</v>
      </c>
      <c r="AV92" s="128">
        <v>1.46</v>
      </c>
      <c r="AW92" s="128">
        <v>1.47</v>
      </c>
      <c r="AX92" s="128">
        <v>1.48</v>
      </c>
      <c r="AY92" s="128">
        <v>1.49</v>
      </c>
      <c r="AZ92" s="128">
        <v>1.5</v>
      </c>
      <c r="BA92" s="128">
        <v>1.51</v>
      </c>
      <c r="BB92" s="128">
        <v>1.52</v>
      </c>
      <c r="BC92" s="128">
        <v>1.53</v>
      </c>
      <c r="BD92" s="128">
        <v>1.54</v>
      </c>
      <c r="BE92" s="128">
        <v>1.55</v>
      </c>
      <c r="BF92" s="128">
        <v>1.56</v>
      </c>
      <c r="BG92" s="128">
        <v>1.57</v>
      </c>
      <c r="BH92" s="128">
        <v>1.58</v>
      </c>
      <c r="BI92" s="128">
        <v>1.59</v>
      </c>
      <c r="BJ92" s="128">
        <v>1.6</v>
      </c>
      <c r="BK92" s="128">
        <v>1.61</v>
      </c>
      <c r="BL92" s="128">
        <v>1.62</v>
      </c>
      <c r="BM92" s="128">
        <v>1.63</v>
      </c>
      <c r="BN92" s="128">
        <v>1.64</v>
      </c>
      <c r="BO92" s="128">
        <v>1.65</v>
      </c>
      <c r="BP92" s="128">
        <v>1.66</v>
      </c>
      <c r="BQ92" s="128">
        <v>1.67</v>
      </c>
      <c r="BR92" s="128">
        <v>1.68</v>
      </c>
      <c r="BS92" s="128">
        <v>1.69</v>
      </c>
      <c r="BT92" s="128">
        <v>1.7</v>
      </c>
      <c r="BU92" s="128">
        <v>1.71</v>
      </c>
      <c r="BV92" s="128">
        <v>1.72</v>
      </c>
      <c r="BW92" s="128">
        <v>1.73</v>
      </c>
      <c r="BX92" s="128">
        <v>1.74</v>
      </c>
      <c r="BY92" s="128">
        <v>1.75</v>
      </c>
      <c r="BZ92" s="128">
        <v>1.76</v>
      </c>
      <c r="CA92" s="128">
        <v>1.77</v>
      </c>
      <c r="CB92" s="128">
        <v>1.78</v>
      </c>
      <c r="CC92" s="128">
        <v>1.79</v>
      </c>
      <c r="CD92" s="128">
        <v>1.8</v>
      </c>
      <c r="CE92" s="128">
        <v>1.81</v>
      </c>
      <c r="CF92" s="128">
        <v>1.82</v>
      </c>
      <c r="CG92" s="128">
        <v>1.83</v>
      </c>
      <c r="CH92" s="128">
        <v>1.84</v>
      </c>
      <c r="CI92" s="128">
        <v>1.85</v>
      </c>
      <c r="CJ92" s="128">
        <v>1.86</v>
      </c>
      <c r="CK92" s="128">
        <v>1.87</v>
      </c>
      <c r="CL92" s="128">
        <v>1.88</v>
      </c>
      <c r="CM92" s="128">
        <v>1.89</v>
      </c>
      <c r="CN92" s="128">
        <v>1.9</v>
      </c>
      <c r="CO92" s="128">
        <v>1.91</v>
      </c>
      <c r="CP92" s="128">
        <v>1.92</v>
      </c>
      <c r="CQ92" s="128">
        <v>1.93</v>
      </c>
      <c r="CR92" s="128">
        <v>1.94</v>
      </c>
      <c r="CS92" s="128">
        <v>1.95</v>
      </c>
      <c r="CT92" s="128">
        <v>1.96</v>
      </c>
      <c r="CU92" s="128">
        <v>1.97</v>
      </c>
      <c r="CV92" s="128">
        <v>1.98</v>
      </c>
      <c r="CW92" s="128">
        <v>1.99</v>
      </c>
      <c r="CX92" s="128">
        <v>2</v>
      </c>
      <c r="CZ92" s="126">
        <f>SUMIF(MatrixF2[[1]:[2]],MatrixF2[[#This Row],[Столбец1]])/MatrixF2[[#This Row],[Столбец1]]</f>
        <v>92.999999999999829</v>
      </c>
    </row>
    <row r="93" spans="1:104" ht="21" customHeight="1" x14ac:dyDescent="0.25">
      <c r="A93" s="127">
        <v>1.9</v>
      </c>
      <c r="B93" s="128">
        <v>1</v>
      </c>
      <c r="C93" s="128">
        <v>1.01</v>
      </c>
      <c r="D93" s="128">
        <v>1.02</v>
      </c>
      <c r="E93" s="128">
        <v>1.03</v>
      </c>
      <c r="F93" s="128">
        <v>1.04</v>
      </c>
      <c r="G93" s="128">
        <v>1.05</v>
      </c>
      <c r="H93" s="128">
        <v>1.06</v>
      </c>
      <c r="I93" s="128">
        <v>1.07</v>
      </c>
      <c r="J93" s="128">
        <v>1.08</v>
      </c>
      <c r="K93" s="128">
        <v>1.0900000000000001</v>
      </c>
      <c r="L93" s="128">
        <v>1.1000000000000001</v>
      </c>
      <c r="M93" s="128">
        <v>1.1100000000000001</v>
      </c>
      <c r="N93" s="128">
        <v>1.1200000000000001</v>
      </c>
      <c r="O93" s="128">
        <v>1.1299999999999999</v>
      </c>
      <c r="P93" s="128">
        <v>1.1399999999999999</v>
      </c>
      <c r="Q93" s="128">
        <v>1.1499999999999999</v>
      </c>
      <c r="R93" s="128">
        <v>1.1599999999999999</v>
      </c>
      <c r="S93" s="128">
        <v>1.17</v>
      </c>
      <c r="T93" s="128">
        <v>1.18</v>
      </c>
      <c r="U93" s="128">
        <v>1.19</v>
      </c>
      <c r="V93" s="128">
        <v>1.2</v>
      </c>
      <c r="W93" s="128">
        <v>1.21</v>
      </c>
      <c r="X93" s="128">
        <v>1.22</v>
      </c>
      <c r="Y93" s="128">
        <v>1.23</v>
      </c>
      <c r="Z93" s="128">
        <v>1.24</v>
      </c>
      <c r="AA93" s="128">
        <v>1.25</v>
      </c>
      <c r="AB93" s="128">
        <v>1.26</v>
      </c>
      <c r="AC93" s="128">
        <v>1.27</v>
      </c>
      <c r="AD93" s="128">
        <v>1.28</v>
      </c>
      <c r="AE93" s="128">
        <v>1.29</v>
      </c>
      <c r="AF93" s="128">
        <v>1.3</v>
      </c>
      <c r="AG93" s="128">
        <v>1.31</v>
      </c>
      <c r="AH93" s="128">
        <v>1.32</v>
      </c>
      <c r="AI93" s="128">
        <v>1.33</v>
      </c>
      <c r="AJ93" s="128">
        <v>1.34</v>
      </c>
      <c r="AK93" s="128">
        <v>1.35</v>
      </c>
      <c r="AL93" s="128">
        <v>1.36</v>
      </c>
      <c r="AM93" s="128">
        <v>1.37</v>
      </c>
      <c r="AN93" s="128">
        <v>1.38</v>
      </c>
      <c r="AO93" s="128">
        <v>1.39</v>
      </c>
      <c r="AP93" s="128">
        <v>1.4</v>
      </c>
      <c r="AQ93" s="128">
        <v>1.41</v>
      </c>
      <c r="AR93" s="128">
        <v>1.42</v>
      </c>
      <c r="AS93" s="128">
        <v>1.43</v>
      </c>
      <c r="AT93" s="128">
        <v>1.44</v>
      </c>
      <c r="AU93" s="128">
        <v>1.45</v>
      </c>
      <c r="AV93" s="128">
        <v>1.46</v>
      </c>
      <c r="AW93" s="128">
        <v>1.47</v>
      </c>
      <c r="AX93" s="128">
        <v>1.48</v>
      </c>
      <c r="AY93" s="128">
        <v>1.49</v>
      </c>
      <c r="AZ93" s="128">
        <v>1.5</v>
      </c>
      <c r="BA93" s="128">
        <v>1.51</v>
      </c>
      <c r="BB93" s="128">
        <v>1.52</v>
      </c>
      <c r="BC93" s="128">
        <v>1.53</v>
      </c>
      <c r="BD93" s="128">
        <v>1.54</v>
      </c>
      <c r="BE93" s="128">
        <v>1.55</v>
      </c>
      <c r="BF93" s="128">
        <v>1.56</v>
      </c>
      <c r="BG93" s="128">
        <v>1.57</v>
      </c>
      <c r="BH93" s="128">
        <v>1.58</v>
      </c>
      <c r="BI93" s="128">
        <v>1.59</v>
      </c>
      <c r="BJ93" s="128">
        <v>1.6</v>
      </c>
      <c r="BK93" s="128">
        <v>1.61</v>
      </c>
      <c r="BL93" s="128">
        <v>1.62</v>
      </c>
      <c r="BM93" s="128">
        <v>1.63</v>
      </c>
      <c r="BN93" s="128">
        <v>1.64</v>
      </c>
      <c r="BO93" s="128">
        <v>1.65</v>
      </c>
      <c r="BP93" s="128">
        <v>1.66</v>
      </c>
      <c r="BQ93" s="128">
        <v>1.67</v>
      </c>
      <c r="BR93" s="128">
        <v>1.68</v>
      </c>
      <c r="BS93" s="128">
        <v>1.69</v>
      </c>
      <c r="BT93" s="128">
        <v>1.7</v>
      </c>
      <c r="BU93" s="128">
        <v>1.71</v>
      </c>
      <c r="BV93" s="128">
        <v>1.72</v>
      </c>
      <c r="BW93" s="128">
        <v>1.73</v>
      </c>
      <c r="BX93" s="128">
        <v>1.74</v>
      </c>
      <c r="BY93" s="128">
        <v>1.75</v>
      </c>
      <c r="BZ93" s="128">
        <v>1.76</v>
      </c>
      <c r="CA93" s="128">
        <v>1.77</v>
      </c>
      <c r="CB93" s="128">
        <v>1.78</v>
      </c>
      <c r="CC93" s="128">
        <v>1.79</v>
      </c>
      <c r="CD93" s="128">
        <v>1.8</v>
      </c>
      <c r="CE93" s="128">
        <v>1.81</v>
      </c>
      <c r="CF93" s="128">
        <v>1.82</v>
      </c>
      <c r="CG93" s="128">
        <v>1.83</v>
      </c>
      <c r="CH93" s="128">
        <v>1.84</v>
      </c>
      <c r="CI93" s="128">
        <v>1.85</v>
      </c>
      <c r="CJ93" s="128">
        <v>1.86</v>
      </c>
      <c r="CK93" s="128">
        <v>1.87</v>
      </c>
      <c r="CL93" s="128">
        <v>1.88</v>
      </c>
      <c r="CM93" s="128">
        <v>1.89</v>
      </c>
      <c r="CN93" s="128">
        <v>1.9</v>
      </c>
      <c r="CO93" s="128">
        <v>1.91</v>
      </c>
      <c r="CP93" s="128">
        <v>1.92</v>
      </c>
      <c r="CQ93" s="128">
        <v>1.93</v>
      </c>
      <c r="CR93" s="128">
        <v>1.94</v>
      </c>
      <c r="CS93" s="128">
        <v>1.95</v>
      </c>
      <c r="CT93" s="128">
        <v>1.96</v>
      </c>
      <c r="CU93" s="128">
        <v>1.97</v>
      </c>
      <c r="CV93" s="128">
        <v>1.98</v>
      </c>
      <c r="CW93" s="128">
        <v>1.99</v>
      </c>
      <c r="CX93" s="128">
        <v>2</v>
      </c>
      <c r="CZ93" s="126">
        <f>SUMIF(MatrixF2[[1]:[2]],MatrixF2[[#This Row],[Столбец1]])/MatrixF2[[#This Row],[Столбец1]]</f>
        <v>90.000000000000156</v>
      </c>
    </row>
    <row r="94" spans="1:104" ht="21" customHeight="1" x14ac:dyDescent="0.25">
      <c r="A94" s="127">
        <v>1.91</v>
      </c>
      <c r="B94" s="128">
        <v>1</v>
      </c>
      <c r="C94" s="128">
        <v>1.01</v>
      </c>
      <c r="D94" s="128">
        <v>1.02</v>
      </c>
      <c r="E94" s="128">
        <v>1.03</v>
      </c>
      <c r="F94" s="128">
        <v>1.04</v>
      </c>
      <c r="G94" s="128">
        <v>1.05</v>
      </c>
      <c r="H94" s="128">
        <v>1.06</v>
      </c>
      <c r="I94" s="128">
        <v>1.07</v>
      </c>
      <c r="J94" s="128">
        <v>1.08</v>
      </c>
      <c r="K94" s="128">
        <v>1.0900000000000001</v>
      </c>
      <c r="L94" s="128">
        <v>1.1000000000000001</v>
      </c>
      <c r="M94" s="128">
        <v>1.1100000000000001</v>
      </c>
      <c r="N94" s="128">
        <v>1.1200000000000001</v>
      </c>
      <c r="O94" s="128">
        <v>1.1299999999999999</v>
      </c>
      <c r="P94" s="128">
        <v>1.1399999999999999</v>
      </c>
      <c r="Q94" s="128">
        <v>1.1499999999999999</v>
      </c>
      <c r="R94" s="128">
        <v>1.1599999999999999</v>
      </c>
      <c r="S94" s="128">
        <v>1.17</v>
      </c>
      <c r="T94" s="128">
        <v>1.18</v>
      </c>
      <c r="U94" s="128">
        <v>1.19</v>
      </c>
      <c r="V94" s="128">
        <v>1.2</v>
      </c>
      <c r="W94" s="128">
        <v>1.21</v>
      </c>
      <c r="X94" s="128">
        <v>1.22</v>
      </c>
      <c r="Y94" s="128">
        <v>1.23</v>
      </c>
      <c r="Z94" s="128">
        <v>1.24</v>
      </c>
      <c r="AA94" s="128">
        <v>1.25</v>
      </c>
      <c r="AB94" s="128">
        <v>1.26</v>
      </c>
      <c r="AC94" s="128">
        <v>1.27</v>
      </c>
      <c r="AD94" s="128">
        <v>1.28</v>
      </c>
      <c r="AE94" s="128">
        <v>1.29</v>
      </c>
      <c r="AF94" s="128">
        <v>1.3</v>
      </c>
      <c r="AG94" s="128">
        <v>1.31</v>
      </c>
      <c r="AH94" s="128">
        <v>1.32</v>
      </c>
      <c r="AI94" s="128">
        <v>1.33</v>
      </c>
      <c r="AJ94" s="128">
        <v>1.34</v>
      </c>
      <c r="AK94" s="128">
        <v>1.35</v>
      </c>
      <c r="AL94" s="128">
        <v>1.36</v>
      </c>
      <c r="AM94" s="128">
        <v>1.37</v>
      </c>
      <c r="AN94" s="128">
        <v>1.38</v>
      </c>
      <c r="AO94" s="128">
        <v>1.39</v>
      </c>
      <c r="AP94" s="128">
        <v>1.4</v>
      </c>
      <c r="AQ94" s="128">
        <v>1.41</v>
      </c>
      <c r="AR94" s="128">
        <v>1.42</v>
      </c>
      <c r="AS94" s="128">
        <v>1.43</v>
      </c>
      <c r="AT94" s="128">
        <v>1.44</v>
      </c>
      <c r="AU94" s="128">
        <v>1.45</v>
      </c>
      <c r="AV94" s="128">
        <v>1.46</v>
      </c>
      <c r="AW94" s="128">
        <v>1.47</v>
      </c>
      <c r="AX94" s="128">
        <v>1.48</v>
      </c>
      <c r="AY94" s="128">
        <v>1.49</v>
      </c>
      <c r="AZ94" s="128">
        <v>1.5</v>
      </c>
      <c r="BA94" s="128">
        <v>1.51</v>
      </c>
      <c r="BB94" s="128">
        <v>1.52</v>
      </c>
      <c r="BC94" s="128">
        <v>1.53</v>
      </c>
      <c r="BD94" s="128">
        <v>1.54</v>
      </c>
      <c r="BE94" s="128">
        <v>1.55</v>
      </c>
      <c r="BF94" s="128">
        <v>1.56</v>
      </c>
      <c r="BG94" s="128">
        <v>1.57</v>
      </c>
      <c r="BH94" s="128">
        <v>1.58</v>
      </c>
      <c r="BI94" s="128">
        <v>1.59</v>
      </c>
      <c r="BJ94" s="128">
        <v>1.6</v>
      </c>
      <c r="BK94" s="128">
        <v>1.61</v>
      </c>
      <c r="BL94" s="128">
        <v>1.62</v>
      </c>
      <c r="BM94" s="128">
        <v>1.63</v>
      </c>
      <c r="BN94" s="128">
        <v>1.64</v>
      </c>
      <c r="BO94" s="128">
        <v>1.65</v>
      </c>
      <c r="BP94" s="128">
        <v>1.66</v>
      </c>
      <c r="BQ94" s="128">
        <v>1.67</v>
      </c>
      <c r="BR94" s="128">
        <v>1.68</v>
      </c>
      <c r="BS94" s="128">
        <v>1.69</v>
      </c>
      <c r="BT94" s="128">
        <v>1.7</v>
      </c>
      <c r="BU94" s="128">
        <v>1.71</v>
      </c>
      <c r="BV94" s="128">
        <v>1.72</v>
      </c>
      <c r="BW94" s="128">
        <v>1.73</v>
      </c>
      <c r="BX94" s="128">
        <v>1.74</v>
      </c>
      <c r="BY94" s="128">
        <v>1.75</v>
      </c>
      <c r="BZ94" s="128">
        <v>1.76</v>
      </c>
      <c r="CA94" s="128">
        <v>1.77</v>
      </c>
      <c r="CB94" s="128">
        <v>1.78</v>
      </c>
      <c r="CC94" s="128">
        <v>1.79</v>
      </c>
      <c r="CD94" s="128">
        <v>1.8</v>
      </c>
      <c r="CE94" s="128">
        <v>1.81</v>
      </c>
      <c r="CF94" s="128">
        <v>1.82</v>
      </c>
      <c r="CG94" s="128">
        <v>1.83</v>
      </c>
      <c r="CH94" s="128">
        <v>1.84</v>
      </c>
      <c r="CI94" s="128">
        <v>1.85</v>
      </c>
      <c r="CJ94" s="128">
        <v>1.86</v>
      </c>
      <c r="CK94" s="128">
        <v>1.87</v>
      </c>
      <c r="CL94" s="128">
        <v>1.88</v>
      </c>
      <c r="CM94" s="128">
        <v>1.89</v>
      </c>
      <c r="CN94" s="128">
        <v>1.9</v>
      </c>
      <c r="CO94" s="128">
        <v>1.91</v>
      </c>
      <c r="CP94" s="128">
        <v>1.92</v>
      </c>
      <c r="CQ94" s="128">
        <v>1.93</v>
      </c>
      <c r="CR94" s="128">
        <v>1.94</v>
      </c>
      <c r="CS94" s="128">
        <v>1.95</v>
      </c>
      <c r="CT94" s="128">
        <v>1.96</v>
      </c>
      <c r="CU94" s="128">
        <v>1.97</v>
      </c>
      <c r="CV94" s="128">
        <v>1.98</v>
      </c>
      <c r="CW94" s="128">
        <v>1.99</v>
      </c>
      <c r="CX94" s="128">
        <v>2</v>
      </c>
      <c r="CZ94" s="126">
        <f>SUMIF(MatrixF2[[1]:[2]],MatrixF2[[#This Row],[Столбец1]])/MatrixF2[[#This Row],[Столбец1]]</f>
        <v>88.999999999999872</v>
      </c>
    </row>
    <row r="95" spans="1:104" ht="21" customHeight="1" x14ac:dyDescent="0.25">
      <c r="A95" s="127">
        <v>1.92</v>
      </c>
      <c r="B95" s="128">
        <v>1</v>
      </c>
      <c r="C95" s="128">
        <v>1.01</v>
      </c>
      <c r="D95" s="128">
        <v>1.02</v>
      </c>
      <c r="E95" s="128">
        <v>1.03</v>
      </c>
      <c r="F95" s="128">
        <v>1.04</v>
      </c>
      <c r="G95" s="128">
        <v>1.05</v>
      </c>
      <c r="H95" s="128">
        <v>1.06</v>
      </c>
      <c r="I95" s="128">
        <v>1.07</v>
      </c>
      <c r="J95" s="128">
        <v>1.08</v>
      </c>
      <c r="K95" s="128">
        <v>1.0900000000000001</v>
      </c>
      <c r="L95" s="128">
        <v>1.1000000000000001</v>
      </c>
      <c r="M95" s="128">
        <v>1.1100000000000001</v>
      </c>
      <c r="N95" s="128">
        <v>1.1200000000000001</v>
      </c>
      <c r="O95" s="128">
        <v>1.1299999999999999</v>
      </c>
      <c r="P95" s="128">
        <v>1.1399999999999999</v>
      </c>
      <c r="Q95" s="128">
        <v>1.1499999999999999</v>
      </c>
      <c r="R95" s="128">
        <v>1.1599999999999999</v>
      </c>
      <c r="S95" s="128">
        <v>1.17</v>
      </c>
      <c r="T95" s="128">
        <v>1.18</v>
      </c>
      <c r="U95" s="128">
        <v>1.19</v>
      </c>
      <c r="V95" s="128">
        <v>1.2</v>
      </c>
      <c r="W95" s="128">
        <v>1.21</v>
      </c>
      <c r="X95" s="128">
        <v>1.22</v>
      </c>
      <c r="Y95" s="128">
        <v>1.23</v>
      </c>
      <c r="Z95" s="128">
        <v>1.24</v>
      </c>
      <c r="AA95" s="128">
        <v>1.25</v>
      </c>
      <c r="AB95" s="128">
        <v>1.26</v>
      </c>
      <c r="AC95" s="128">
        <v>1.27</v>
      </c>
      <c r="AD95" s="128">
        <v>1.28</v>
      </c>
      <c r="AE95" s="128">
        <v>1.29</v>
      </c>
      <c r="AF95" s="128">
        <v>1.3</v>
      </c>
      <c r="AG95" s="128">
        <v>1.31</v>
      </c>
      <c r="AH95" s="128">
        <v>1.32</v>
      </c>
      <c r="AI95" s="128">
        <v>1.33</v>
      </c>
      <c r="AJ95" s="128">
        <v>1.34</v>
      </c>
      <c r="AK95" s="128">
        <v>1.35</v>
      </c>
      <c r="AL95" s="128">
        <v>1.36</v>
      </c>
      <c r="AM95" s="128">
        <v>1.37</v>
      </c>
      <c r="AN95" s="128">
        <v>1.38</v>
      </c>
      <c r="AO95" s="128">
        <v>1.39</v>
      </c>
      <c r="AP95" s="128">
        <v>1.4</v>
      </c>
      <c r="AQ95" s="128">
        <v>1.41</v>
      </c>
      <c r="AR95" s="128">
        <v>1.42</v>
      </c>
      <c r="AS95" s="128">
        <v>1.43</v>
      </c>
      <c r="AT95" s="128">
        <v>1.44</v>
      </c>
      <c r="AU95" s="128">
        <v>1.45</v>
      </c>
      <c r="AV95" s="128">
        <v>1.46</v>
      </c>
      <c r="AW95" s="128">
        <v>1.47</v>
      </c>
      <c r="AX95" s="128">
        <v>1.48</v>
      </c>
      <c r="AY95" s="128">
        <v>1.49</v>
      </c>
      <c r="AZ95" s="128">
        <v>1.5</v>
      </c>
      <c r="BA95" s="128">
        <v>1.51</v>
      </c>
      <c r="BB95" s="128">
        <v>1.52</v>
      </c>
      <c r="BC95" s="128">
        <v>1.53</v>
      </c>
      <c r="BD95" s="128">
        <v>1.54</v>
      </c>
      <c r="BE95" s="128">
        <v>1.55</v>
      </c>
      <c r="BF95" s="128">
        <v>1.56</v>
      </c>
      <c r="BG95" s="128">
        <v>1.57</v>
      </c>
      <c r="BH95" s="128">
        <v>1.58</v>
      </c>
      <c r="BI95" s="128">
        <v>1.59</v>
      </c>
      <c r="BJ95" s="128">
        <v>1.6</v>
      </c>
      <c r="BK95" s="128">
        <v>1.61</v>
      </c>
      <c r="BL95" s="128">
        <v>1.62</v>
      </c>
      <c r="BM95" s="128">
        <v>1.63</v>
      </c>
      <c r="BN95" s="128">
        <v>1.64</v>
      </c>
      <c r="BO95" s="128">
        <v>1.65</v>
      </c>
      <c r="BP95" s="128">
        <v>1.66</v>
      </c>
      <c r="BQ95" s="128">
        <v>1.67</v>
      </c>
      <c r="BR95" s="128">
        <v>1.68</v>
      </c>
      <c r="BS95" s="128">
        <v>1.69</v>
      </c>
      <c r="BT95" s="128">
        <v>1.7</v>
      </c>
      <c r="BU95" s="128">
        <v>1.71</v>
      </c>
      <c r="BV95" s="128">
        <v>1.72</v>
      </c>
      <c r="BW95" s="128">
        <v>1.73</v>
      </c>
      <c r="BX95" s="128">
        <v>1.74</v>
      </c>
      <c r="BY95" s="128">
        <v>1.75</v>
      </c>
      <c r="BZ95" s="128">
        <v>1.76</v>
      </c>
      <c r="CA95" s="128">
        <v>1.77</v>
      </c>
      <c r="CB95" s="128">
        <v>1.78</v>
      </c>
      <c r="CC95" s="128">
        <v>1.79</v>
      </c>
      <c r="CD95" s="128">
        <v>1.8</v>
      </c>
      <c r="CE95" s="128">
        <v>1.81</v>
      </c>
      <c r="CF95" s="128">
        <v>1.82</v>
      </c>
      <c r="CG95" s="128">
        <v>1.83</v>
      </c>
      <c r="CH95" s="128">
        <v>1.84</v>
      </c>
      <c r="CI95" s="128">
        <v>1.85</v>
      </c>
      <c r="CJ95" s="128">
        <v>1.86</v>
      </c>
      <c r="CK95" s="128">
        <v>1.87</v>
      </c>
      <c r="CL95" s="128">
        <v>1.88</v>
      </c>
      <c r="CM95" s="128">
        <v>1.89</v>
      </c>
      <c r="CN95" s="128">
        <v>1.9</v>
      </c>
      <c r="CO95" s="128">
        <v>1.91</v>
      </c>
      <c r="CP95" s="128">
        <v>1.92</v>
      </c>
      <c r="CQ95" s="128">
        <v>1.93</v>
      </c>
      <c r="CR95" s="128">
        <v>1.94</v>
      </c>
      <c r="CS95" s="128">
        <v>1.95</v>
      </c>
      <c r="CT95" s="128">
        <v>1.96</v>
      </c>
      <c r="CU95" s="128">
        <v>1.97</v>
      </c>
      <c r="CV95" s="128">
        <v>1.98</v>
      </c>
      <c r="CW95" s="128">
        <v>1.99</v>
      </c>
      <c r="CX95" s="128">
        <v>2</v>
      </c>
      <c r="CZ95" s="126">
        <f>SUMIF(MatrixF2[[1]:[2]],MatrixF2[[#This Row],[Столбец1]])/MatrixF2[[#This Row],[Столбец1]]</f>
        <v>85.999999999999929</v>
      </c>
    </row>
    <row r="96" spans="1:104" ht="21" customHeight="1" x14ac:dyDescent="0.25">
      <c r="A96" s="127">
        <v>1.93</v>
      </c>
      <c r="B96" s="128">
        <v>1</v>
      </c>
      <c r="C96" s="128">
        <v>1.01</v>
      </c>
      <c r="D96" s="128">
        <v>1.02</v>
      </c>
      <c r="E96" s="128">
        <v>1.03</v>
      </c>
      <c r="F96" s="128">
        <v>1.04</v>
      </c>
      <c r="G96" s="128">
        <v>1.05</v>
      </c>
      <c r="H96" s="128">
        <v>1.06</v>
      </c>
      <c r="I96" s="128">
        <v>1.07</v>
      </c>
      <c r="J96" s="128">
        <v>1.08</v>
      </c>
      <c r="K96" s="128">
        <v>1.0900000000000001</v>
      </c>
      <c r="L96" s="128">
        <v>1.1000000000000001</v>
      </c>
      <c r="M96" s="128">
        <v>1.1100000000000001</v>
      </c>
      <c r="N96" s="128">
        <v>1.1200000000000001</v>
      </c>
      <c r="O96" s="128">
        <v>1.1299999999999999</v>
      </c>
      <c r="P96" s="128">
        <v>1.1399999999999999</v>
      </c>
      <c r="Q96" s="128">
        <v>1.1499999999999999</v>
      </c>
      <c r="R96" s="128">
        <v>1.1599999999999999</v>
      </c>
      <c r="S96" s="128">
        <v>1.17</v>
      </c>
      <c r="T96" s="128">
        <v>1.18</v>
      </c>
      <c r="U96" s="128">
        <v>1.19</v>
      </c>
      <c r="V96" s="128">
        <v>1.2</v>
      </c>
      <c r="W96" s="128">
        <v>1.21</v>
      </c>
      <c r="X96" s="128">
        <v>1.22</v>
      </c>
      <c r="Y96" s="128">
        <v>1.23</v>
      </c>
      <c r="Z96" s="128">
        <v>1.24</v>
      </c>
      <c r="AA96" s="128">
        <v>1.25</v>
      </c>
      <c r="AB96" s="128">
        <v>1.26</v>
      </c>
      <c r="AC96" s="128">
        <v>1.27</v>
      </c>
      <c r="AD96" s="128">
        <v>1.28</v>
      </c>
      <c r="AE96" s="128">
        <v>1.29</v>
      </c>
      <c r="AF96" s="128">
        <v>1.3</v>
      </c>
      <c r="AG96" s="128">
        <v>1.31</v>
      </c>
      <c r="AH96" s="128">
        <v>1.32</v>
      </c>
      <c r="AI96" s="128">
        <v>1.33</v>
      </c>
      <c r="AJ96" s="128">
        <v>1.34</v>
      </c>
      <c r="AK96" s="128">
        <v>1.35</v>
      </c>
      <c r="AL96" s="128">
        <v>1.36</v>
      </c>
      <c r="AM96" s="128">
        <v>1.37</v>
      </c>
      <c r="AN96" s="128">
        <v>1.38</v>
      </c>
      <c r="AO96" s="128">
        <v>1.39</v>
      </c>
      <c r="AP96" s="128">
        <v>1.4</v>
      </c>
      <c r="AQ96" s="128">
        <v>1.41</v>
      </c>
      <c r="AR96" s="128">
        <v>1.42</v>
      </c>
      <c r="AS96" s="128">
        <v>1.43</v>
      </c>
      <c r="AT96" s="128">
        <v>1.44</v>
      </c>
      <c r="AU96" s="128">
        <v>1.45</v>
      </c>
      <c r="AV96" s="128">
        <v>1.46</v>
      </c>
      <c r="AW96" s="128">
        <v>1.47</v>
      </c>
      <c r="AX96" s="128">
        <v>1.48</v>
      </c>
      <c r="AY96" s="128">
        <v>1.49</v>
      </c>
      <c r="AZ96" s="128">
        <v>1.5</v>
      </c>
      <c r="BA96" s="128">
        <v>1.51</v>
      </c>
      <c r="BB96" s="128">
        <v>1.52</v>
      </c>
      <c r="BC96" s="128">
        <v>1.53</v>
      </c>
      <c r="BD96" s="128">
        <v>1.54</v>
      </c>
      <c r="BE96" s="128">
        <v>1.55</v>
      </c>
      <c r="BF96" s="128">
        <v>1.56</v>
      </c>
      <c r="BG96" s="128">
        <v>1.57</v>
      </c>
      <c r="BH96" s="128">
        <v>1.58</v>
      </c>
      <c r="BI96" s="128">
        <v>1.59</v>
      </c>
      <c r="BJ96" s="128">
        <v>1.6</v>
      </c>
      <c r="BK96" s="128">
        <v>1.61</v>
      </c>
      <c r="BL96" s="128">
        <v>1.62</v>
      </c>
      <c r="BM96" s="128">
        <v>1.63</v>
      </c>
      <c r="BN96" s="128">
        <v>1.64</v>
      </c>
      <c r="BO96" s="128">
        <v>1.65</v>
      </c>
      <c r="BP96" s="128">
        <v>1.66</v>
      </c>
      <c r="BQ96" s="128">
        <v>1.67</v>
      </c>
      <c r="BR96" s="128">
        <v>1.68</v>
      </c>
      <c r="BS96" s="128">
        <v>1.69</v>
      </c>
      <c r="BT96" s="128">
        <v>1.7</v>
      </c>
      <c r="BU96" s="128">
        <v>1.71</v>
      </c>
      <c r="BV96" s="128">
        <v>1.72</v>
      </c>
      <c r="BW96" s="128">
        <v>1.73</v>
      </c>
      <c r="BX96" s="128">
        <v>1.74</v>
      </c>
      <c r="BY96" s="128">
        <v>1.75</v>
      </c>
      <c r="BZ96" s="128">
        <v>1.76</v>
      </c>
      <c r="CA96" s="128">
        <v>1.77</v>
      </c>
      <c r="CB96" s="128">
        <v>1.78</v>
      </c>
      <c r="CC96" s="128">
        <v>1.79</v>
      </c>
      <c r="CD96" s="128">
        <v>1.8</v>
      </c>
      <c r="CE96" s="128">
        <v>1.81</v>
      </c>
      <c r="CF96" s="128">
        <v>1.82</v>
      </c>
      <c r="CG96" s="128">
        <v>1.83</v>
      </c>
      <c r="CH96" s="128">
        <v>1.84</v>
      </c>
      <c r="CI96" s="128">
        <v>1.85</v>
      </c>
      <c r="CJ96" s="128">
        <v>1.86</v>
      </c>
      <c r="CK96" s="128">
        <v>1.87</v>
      </c>
      <c r="CL96" s="128">
        <v>1.88</v>
      </c>
      <c r="CM96" s="128">
        <v>1.89</v>
      </c>
      <c r="CN96" s="128">
        <v>1.9</v>
      </c>
      <c r="CO96" s="128">
        <v>1.91</v>
      </c>
      <c r="CP96" s="128">
        <v>1.92</v>
      </c>
      <c r="CQ96" s="128">
        <v>1.93</v>
      </c>
      <c r="CR96" s="128">
        <v>1.94</v>
      </c>
      <c r="CS96" s="128">
        <v>1.95</v>
      </c>
      <c r="CT96" s="128">
        <v>1.96</v>
      </c>
      <c r="CU96" s="128">
        <v>1.97</v>
      </c>
      <c r="CV96" s="128">
        <v>1.98</v>
      </c>
      <c r="CW96" s="128">
        <v>1.99</v>
      </c>
      <c r="CX96" s="128">
        <v>2</v>
      </c>
      <c r="CZ96" s="126">
        <f>SUMIF(MatrixF2[[1]:[2]],MatrixF2[[#This Row],[Столбец1]])/MatrixF2[[#This Row],[Столбец1]]</f>
        <v>87.000000000000199</v>
      </c>
    </row>
    <row r="97" spans="1:104" ht="21" customHeight="1" x14ac:dyDescent="0.25">
      <c r="A97" s="127">
        <v>1.94</v>
      </c>
      <c r="B97" s="128">
        <v>1</v>
      </c>
      <c r="C97" s="128">
        <v>1.01</v>
      </c>
      <c r="D97" s="128">
        <v>1.02</v>
      </c>
      <c r="E97" s="128">
        <v>1.03</v>
      </c>
      <c r="F97" s="128">
        <v>1.04</v>
      </c>
      <c r="G97" s="128">
        <v>1.05</v>
      </c>
      <c r="H97" s="128">
        <v>1.06</v>
      </c>
      <c r="I97" s="128">
        <v>1.07</v>
      </c>
      <c r="J97" s="128">
        <v>1.08</v>
      </c>
      <c r="K97" s="128">
        <v>1.0900000000000001</v>
      </c>
      <c r="L97" s="128">
        <v>1.1000000000000001</v>
      </c>
      <c r="M97" s="128">
        <v>1.1100000000000001</v>
      </c>
      <c r="N97" s="128">
        <v>1.1200000000000001</v>
      </c>
      <c r="O97" s="128">
        <v>1.1299999999999999</v>
      </c>
      <c r="P97" s="128">
        <v>1.1399999999999999</v>
      </c>
      <c r="Q97" s="128">
        <v>1.1499999999999999</v>
      </c>
      <c r="R97" s="128">
        <v>1.1599999999999999</v>
      </c>
      <c r="S97" s="128">
        <v>1.17</v>
      </c>
      <c r="T97" s="128">
        <v>1.18</v>
      </c>
      <c r="U97" s="128">
        <v>1.19</v>
      </c>
      <c r="V97" s="128">
        <v>1.2</v>
      </c>
      <c r="W97" s="128">
        <v>1.21</v>
      </c>
      <c r="X97" s="128">
        <v>1.22</v>
      </c>
      <c r="Y97" s="128">
        <v>1.23</v>
      </c>
      <c r="Z97" s="128">
        <v>1.24</v>
      </c>
      <c r="AA97" s="128">
        <v>1.25</v>
      </c>
      <c r="AB97" s="128">
        <v>1.26</v>
      </c>
      <c r="AC97" s="128">
        <v>1.27</v>
      </c>
      <c r="AD97" s="128">
        <v>1.28</v>
      </c>
      <c r="AE97" s="128">
        <v>1.29</v>
      </c>
      <c r="AF97" s="128">
        <v>1.3</v>
      </c>
      <c r="AG97" s="128">
        <v>1.31</v>
      </c>
      <c r="AH97" s="128">
        <v>1.32</v>
      </c>
      <c r="AI97" s="128">
        <v>1.33</v>
      </c>
      <c r="AJ97" s="128">
        <v>1.34</v>
      </c>
      <c r="AK97" s="128">
        <v>1.35</v>
      </c>
      <c r="AL97" s="128">
        <v>1.36</v>
      </c>
      <c r="AM97" s="128">
        <v>1.37</v>
      </c>
      <c r="AN97" s="128">
        <v>1.38</v>
      </c>
      <c r="AO97" s="128">
        <v>1.39</v>
      </c>
      <c r="AP97" s="128">
        <v>1.4</v>
      </c>
      <c r="AQ97" s="128">
        <v>1.41</v>
      </c>
      <c r="AR97" s="128">
        <v>1.42</v>
      </c>
      <c r="AS97" s="128">
        <v>1.43</v>
      </c>
      <c r="AT97" s="128">
        <v>1.44</v>
      </c>
      <c r="AU97" s="128">
        <v>1.45</v>
      </c>
      <c r="AV97" s="128">
        <v>1.46</v>
      </c>
      <c r="AW97" s="128">
        <v>1.47</v>
      </c>
      <c r="AX97" s="128">
        <v>1.48</v>
      </c>
      <c r="AY97" s="128">
        <v>1.49</v>
      </c>
      <c r="AZ97" s="128">
        <v>1.5</v>
      </c>
      <c r="BA97" s="128">
        <v>1.51</v>
      </c>
      <c r="BB97" s="128">
        <v>1.52</v>
      </c>
      <c r="BC97" s="128">
        <v>1.53</v>
      </c>
      <c r="BD97" s="128">
        <v>1.54</v>
      </c>
      <c r="BE97" s="128">
        <v>1.55</v>
      </c>
      <c r="BF97" s="128">
        <v>1.56</v>
      </c>
      <c r="BG97" s="128">
        <v>1.57</v>
      </c>
      <c r="BH97" s="128">
        <v>1.58</v>
      </c>
      <c r="BI97" s="128">
        <v>1.59</v>
      </c>
      <c r="BJ97" s="128">
        <v>1.6</v>
      </c>
      <c r="BK97" s="128">
        <v>1.61</v>
      </c>
      <c r="BL97" s="128">
        <v>1.62</v>
      </c>
      <c r="BM97" s="128">
        <v>1.63</v>
      </c>
      <c r="BN97" s="128">
        <v>1.64</v>
      </c>
      <c r="BO97" s="128">
        <v>1.65</v>
      </c>
      <c r="BP97" s="128">
        <v>1.66</v>
      </c>
      <c r="BQ97" s="128">
        <v>1.67</v>
      </c>
      <c r="BR97" s="128">
        <v>1.68</v>
      </c>
      <c r="BS97" s="128">
        <v>1.69</v>
      </c>
      <c r="BT97" s="128">
        <v>1.7</v>
      </c>
      <c r="BU97" s="128">
        <v>1.71</v>
      </c>
      <c r="BV97" s="128">
        <v>1.72</v>
      </c>
      <c r="BW97" s="128">
        <v>1.73</v>
      </c>
      <c r="BX97" s="128">
        <v>1.74</v>
      </c>
      <c r="BY97" s="128">
        <v>1.75</v>
      </c>
      <c r="BZ97" s="128">
        <v>1.76</v>
      </c>
      <c r="CA97" s="128">
        <v>1.77</v>
      </c>
      <c r="CB97" s="128">
        <v>1.78</v>
      </c>
      <c r="CC97" s="128">
        <v>1.79</v>
      </c>
      <c r="CD97" s="128">
        <v>1.8</v>
      </c>
      <c r="CE97" s="128">
        <v>1.81</v>
      </c>
      <c r="CF97" s="128">
        <v>1.82</v>
      </c>
      <c r="CG97" s="128">
        <v>1.83</v>
      </c>
      <c r="CH97" s="128">
        <v>1.84</v>
      </c>
      <c r="CI97" s="128">
        <v>1.85</v>
      </c>
      <c r="CJ97" s="128">
        <v>1.86</v>
      </c>
      <c r="CK97" s="128">
        <v>1.87</v>
      </c>
      <c r="CL97" s="128">
        <v>1.88</v>
      </c>
      <c r="CM97" s="128">
        <v>1.89</v>
      </c>
      <c r="CN97" s="128">
        <v>1.9</v>
      </c>
      <c r="CO97" s="128">
        <v>1.91</v>
      </c>
      <c r="CP97" s="128">
        <v>1.92</v>
      </c>
      <c r="CQ97" s="128">
        <v>1.93</v>
      </c>
      <c r="CR97" s="128">
        <v>1.94</v>
      </c>
      <c r="CS97" s="128">
        <v>1.95</v>
      </c>
      <c r="CT97" s="128">
        <v>1.96</v>
      </c>
      <c r="CU97" s="128">
        <v>1.97</v>
      </c>
      <c r="CV97" s="128">
        <v>1.98</v>
      </c>
      <c r="CW97" s="128">
        <v>1.99</v>
      </c>
      <c r="CX97" s="128">
        <v>2</v>
      </c>
      <c r="CZ97" s="126">
        <f>SUMIF(MatrixF2[[1]:[2]],MatrixF2[[#This Row],[Столбец1]])/MatrixF2[[#This Row],[Столбец1]]</f>
        <v>80.999999999999943</v>
      </c>
    </row>
    <row r="98" spans="1:104" ht="21" customHeight="1" x14ac:dyDescent="0.25">
      <c r="A98" s="127">
        <v>1.95</v>
      </c>
      <c r="B98" s="128">
        <v>1</v>
      </c>
      <c r="C98" s="128">
        <v>1.01</v>
      </c>
      <c r="D98" s="128">
        <v>1.02</v>
      </c>
      <c r="E98" s="128">
        <v>1.03</v>
      </c>
      <c r="F98" s="128">
        <v>1.04</v>
      </c>
      <c r="G98" s="128">
        <v>1.05</v>
      </c>
      <c r="H98" s="128">
        <v>1.06</v>
      </c>
      <c r="I98" s="128">
        <v>1.07</v>
      </c>
      <c r="J98" s="128">
        <v>1.08</v>
      </c>
      <c r="K98" s="128">
        <v>1.0900000000000001</v>
      </c>
      <c r="L98" s="128">
        <v>1.1000000000000001</v>
      </c>
      <c r="M98" s="128">
        <v>1.1100000000000001</v>
      </c>
      <c r="N98" s="128">
        <v>1.1200000000000001</v>
      </c>
      <c r="O98" s="128">
        <v>1.1299999999999999</v>
      </c>
      <c r="P98" s="128">
        <v>1.1399999999999999</v>
      </c>
      <c r="Q98" s="128">
        <v>1.1499999999999999</v>
      </c>
      <c r="R98" s="128">
        <v>1.1599999999999999</v>
      </c>
      <c r="S98" s="128">
        <v>1.17</v>
      </c>
      <c r="T98" s="128">
        <v>1.18</v>
      </c>
      <c r="U98" s="128">
        <v>1.19</v>
      </c>
      <c r="V98" s="128">
        <v>1.2</v>
      </c>
      <c r="W98" s="128">
        <v>1.21</v>
      </c>
      <c r="X98" s="128">
        <v>1.22</v>
      </c>
      <c r="Y98" s="128">
        <v>1.23</v>
      </c>
      <c r="Z98" s="128">
        <v>1.24</v>
      </c>
      <c r="AA98" s="128">
        <v>1.25</v>
      </c>
      <c r="AB98" s="128">
        <v>1.26</v>
      </c>
      <c r="AC98" s="128">
        <v>1.27</v>
      </c>
      <c r="AD98" s="128">
        <v>1.28</v>
      </c>
      <c r="AE98" s="128">
        <v>1.29</v>
      </c>
      <c r="AF98" s="128">
        <v>1.3</v>
      </c>
      <c r="AG98" s="128">
        <v>1.31</v>
      </c>
      <c r="AH98" s="128">
        <v>1.32</v>
      </c>
      <c r="AI98" s="128">
        <v>1.33</v>
      </c>
      <c r="AJ98" s="128">
        <v>1.34</v>
      </c>
      <c r="AK98" s="128">
        <v>1.35</v>
      </c>
      <c r="AL98" s="128">
        <v>1.36</v>
      </c>
      <c r="AM98" s="128">
        <v>1.37</v>
      </c>
      <c r="AN98" s="128">
        <v>1.38</v>
      </c>
      <c r="AO98" s="128">
        <v>1.39</v>
      </c>
      <c r="AP98" s="128">
        <v>1.4</v>
      </c>
      <c r="AQ98" s="128">
        <v>1.41</v>
      </c>
      <c r="AR98" s="128">
        <v>1.42</v>
      </c>
      <c r="AS98" s="128">
        <v>1.43</v>
      </c>
      <c r="AT98" s="128">
        <v>1.44</v>
      </c>
      <c r="AU98" s="128">
        <v>1.45</v>
      </c>
      <c r="AV98" s="128">
        <v>1.46</v>
      </c>
      <c r="AW98" s="128">
        <v>1.47</v>
      </c>
      <c r="AX98" s="128">
        <v>1.48</v>
      </c>
      <c r="AY98" s="128">
        <v>1.49</v>
      </c>
      <c r="AZ98" s="128">
        <v>1.5</v>
      </c>
      <c r="BA98" s="128">
        <v>1.51</v>
      </c>
      <c r="BB98" s="128">
        <v>1.52</v>
      </c>
      <c r="BC98" s="128">
        <v>1.53</v>
      </c>
      <c r="BD98" s="128">
        <v>1.54</v>
      </c>
      <c r="BE98" s="128">
        <v>1.55</v>
      </c>
      <c r="BF98" s="128">
        <v>1.56</v>
      </c>
      <c r="BG98" s="128">
        <v>1.57</v>
      </c>
      <c r="BH98" s="128">
        <v>1.58</v>
      </c>
      <c r="BI98" s="128">
        <v>1.59</v>
      </c>
      <c r="BJ98" s="128">
        <v>1.6</v>
      </c>
      <c r="BK98" s="128">
        <v>1.61</v>
      </c>
      <c r="BL98" s="128">
        <v>1.62</v>
      </c>
      <c r="BM98" s="128">
        <v>1.63</v>
      </c>
      <c r="BN98" s="128">
        <v>1.64</v>
      </c>
      <c r="BO98" s="128">
        <v>1.65</v>
      </c>
      <c r="BP98" s="128">
        <v>1.66</v>
      </c>
      <c r="BQ98" s="128">
        <v>1.67</v>
      </c>
      <c r="BR98" s="128">
        <v>1.68</v>
      </c>
      <c r="BS98" s="128">
        <v>1.69</v>
      </c>
      <c r="BT98" s="128">
        <v>1.7</v>
      </c>
      <c r="BU98" s="128">
        <v>1.71</v>
      </c>
      <c r="BV98" s="128">
        <v>1.72</v>
      </c>
      <c r="BW98" s="128">
        <v>1.73</v>
      </c>
      <c r="BX98" s="128">
        <v>1.74</v>
      </c>
      <c r="BY98" s="128">
        <v>1.75</v>
      </c>
      <c r="BZ98" s="128">
        <v>1.76</v>
      </c>
      <c r="CA98" s="128">
        <v>1.77</v>
      </c>
      <c r="CB98" s="128">
        <v>1.78</v>
      </c>
      <c r="CC98" s="128">
        <v>1.79</v>
      </c>
      <c r="CD98" s="128">
        <v>1.8</v>
      </c>
      <c r="CE98" s="128">
        <v>1.81</v>
      </c>
      <c r="CF98" s="128">
        <v>1.82</v>
      </c>
      <c r="CG98" s="128">
        <v>1.83</v>
      </c>
      <c r="CH98" s="128">
        <v>1.84</v>
      </c>
      <c r="CI98" s="128">
        <v>1.85</v>
      </c>
      <c r="CJ98" s="128">
        <v>1.86</v>
      </c>
      <c r="CK98" s="128">
        <v>1.87</v>
      </c>
      <c r="CL98" s="128">
        <v>1.88</v>
      </c>
      <c r="CM98" s="128">
        <v>1.89</v>
      </c>
      <c r="CN98" s="128">
        <v>1.9</v>
      </c>
      <c r="CO98" s="128">
        <v>1.91</v>
      </c>
      <c r="CP98" s="128">
        <v>1.92</v>
      </c>
      <c r="CQ98" s="128">
        <v>1.93</v>
      </c>
      <c r="CR98" s="128">
        <v>1.94</v>
      </c>
      <c r="CS98" s="128">
        <v>1.95</v>
      </c>
      <c r="CT98" s="128">
        <v>1.96</v>
      </c>
      <c r="CU98" s="128">
        <v>1.97</v>
      </c>
      <c r="CV98" s="128">
        <v>1.98</v>
      </c>
      <c r="CW98" s="128">
        <v>1.99</v>
      </c>
      <c r="CX98" s="128">
        <v>2</v>
      </c>
      <c r="CZ98" s="126">
        <f>SUMIF(MatrixF2[[1]:[2]],MatrixF2[[#This Row],[Столбец1]])/MatrixF2[[#This Row],[Столбец1]]</f>
        <v>85.999999999999957</v>
      </c>
    </row>
    <row r="99" spans="1:104" ht="21" customHeight="1" x14ac:dyDescent="0.25">
      <c r="A99" s="127">
        <v>1.96</v>
      </c>
      <c r="B99" s="128">
        <v>1</v>
      </c>
      <c r="C99" s="128">
        <v>1.01</v>
      </c>
      <c r="D99" s="128">
        <v>1.02</v>
      </c>
      <c r="E99" s="128">
        <v>1.03</v>
      </c>
      <c r="F99" s="128">
        <v>1.04</v>
      </c>
      <c r="G99" s="128">
        <v>1.05</v>
      </c>
      <c r="H99" s="128">
        <v>1.06</v>
      </c>
      <c r="I99" s="128">
        <v>1.07</v>
      </c>
      <c r="J99" s="128">
        <v>1.08</v>
      </c>
      <c r="K99" s="128">
        <v>1.0900000000000001</v>
      </c>
      <c r="L99" s="128">
        <v>1.1000000000000001</v>
      </c>
      <c r="M99" s="128">
        <v>1.1100000000000001</v>
      </c>
      <c r="N99" s="128">
        <v>1.1200000000000001</v>
      </c>
      <c r="O99" s="128">
        <v>1.1299999999999999</v>
      </c>
      <c r="P99" s="128">
        <v>1.1399999999999999</v>
      </c>
      <c r="Q99" s="128">
        <v>1.1499999999999999</v>
      </c>
      <c r="R99" s="128">
        <v>1.1599999999999999</v>
      </c>
      <c r="S99" s="128">
        <v>1.17</v>
      </c>
      <c r="T99" s="128">
        <v>1.18</v>
      </c>
      <c r="U99" s="128">
        <v>1.19</v>
      </c>
      <c r="V99" s="128">
        <v>1.2</v>
      </c>
      <c r="W99" s="128">
        <v>1.21</v>
      </c>
      <c r="X99" s="128">
        <v>1.22</v>
      </c>
      <c r="Y99" s="128">
        <v>1.23</v>
      </c>
      <c r="Z99" s="128">
        <v>1.24</v>
      </c>
      <c r="AA99" s="128">
        <v>1.25</v>
      </c>
      <c r="AB99" s="128">
        <v>1.26</v>
      </c>
      <c r="AC99" s="128">
        <v>1.27</v>
      </c>
      <c r="AD99" s="128">
        <v>1.28</v>
      </c>
      <c r="AE99" s="128">
        <v>1.29</v>
      </c>
      <c r="AF99" s="128">
        <v>1.3</v>
      </c>
      <c r="AG99" s="128">
        <v>1.31</v>
      </c>
      <c r="AH99" s="128">
        <v>1.32</v>
      </c>
      <c r="AI99" s="128">
        <v>1.33</v>
      </c>
      <c r="AJ99" s="128">
        <v>1.34</v>
      </c>
      <c r="AK99" s="128">
        <v>1.35</v>
      </c>
      <c r="AL99" s="128">
        <v>1.36</v>
      </c>
      <c r="AM99" s="128">
        <v>1.37</v>
      </c>
      <c r="AN99" s="128">
        <v>1.38</v>
      </c>
      <c r="AO99" s="128">
        <v>1.39</v>
      </c>
      <c r="AP99" s="128">
        <v>1.4</v>
      </c>
      <c r="AQ99" s="128">
        <v>1.41</v>
      </c>
      <c r="AR99" s="128">
        <v>1.42</v>
      </c>
      <c r="AS99" s="128">
        <v>1.43</v>
      </c>
      <c r="AT99" s="128">
        <v>1.44</v>
      </c>
      <c r="AU99" s="128">
        <v>1.45</v>
      </c>
      <c r="AV99" s="128">
        <v>1.46</v>
      </c>
      <c r="AW99" s="128">
        <v>1.47</v>
      </c>
      <c r="AX99" s="128">
        <v>1.48</v>
      </c>
      <c r="AY99" s="128">
        <v>1.49</v>
      </c>
      <c r="AZ99" s="128">
        <v>1.5</v>
      </c>
      <c r="BA99" s="128">
        <v>1.51</v>
      </c>
      <c r="BB99" s="128">
        <v>1.52</v>
      </c>
      <c r="BC99" s="128">
        <v>1.53</v>
      </c>
      <c r="BD99" s="128">
        <v>1.54</v>
      </c>
      <c r="BE99" s="128">
        <v>1.55</v>
      </c>
      <c r="BF99" s="128">
        <v>1.56</v>
      </c>
      <c r="BG99" s="128">
        <v>1.57</v>
      </c>
      <c r="BH99" s="128">
        <v>1.58</v>
      </c>
      <c r="BI99" s="128">
        <v>1.59</v>
      </c>
      <c r="BJ99" s="128">
        <v>1.6</v>
      </c>
      <c r="BK99" s="128">
        <v>1.61</v>
      </c>
      <c r="BL99" s="128">
        <v>1.62</v>
      </c>
      <c r="BM99" s="128">
        <v>1.63</v>
      </c>
      <c r="BN99" s="128">
        <v>1.64</v>
      </c>
      <c r="BO99" s="128">
        <v>1.65</v>
      </c>
      <c r="BP99" s="128">
        <v>1.66</v>
      </c>
      <c r="BQ99" s="128">
        <v>1.67</v>
      </c>
      <c r="BR99" s="128">
        <v>1.68</v>
      </c>
      <c r="BS99" s="128">
        <v>1.69</v>
      </c>
      <c r="BT99" s="128">
        <v>1.7</v>
      </c>
      <c r="BU99" s="128">
        <v>1.71</v>
      </c>
      <c r="BV99" s="128">
        <v>1.72</v>
      </c>
      <c r="BW99" s="128">
        <v>1.73</v>
      </c>
      <c r="BX99" s="128">
        <v>1.74</v>
      </c>
      <c r="BY99" s="128">
        <v>1.75</v>
      </c>
      <c r="BZ99" s="128">
        <v>1.76</v>
      </c>
      <c r="CA99" s="128">
        <v>1.77</v>
      </c>
      <c r="CB99" s="128">
        <v>1.78</v>
      </c>
      <c r="CC99" s="128">
        <v>1.79</v>
      </c>
      <c r="CD99" s="128">
        <v>1.8</v>
      </c>
      <c r="CE99" s="128">
        <v>1.81</v>
      </c>
      <c r="CF99" s="128">
        <v>1.82</v>
      </c>
      <c r="CG99" s="128">
        <v>1.83</v>
      </c>
      <c r="CH99" s="128">
        <v>1.84</v>
      </c>
      <c r="CI99" s="128">
        <v>1.85</v>
      </c>
      <c r="CJ99" s="128">
        <v>1.86</v>
      </c>
      <c r="CK99" s="128">
        <v>1.87</v>
      </c>
      <c r="CL99" s="128">
        <v>1.88</v>
      </c>
      <c r="CM99" s="128">
        <v>1.89</v>
      </c>
      <c r="CN99" s="128">
        <v>1.9</v>
      </c>
      <c r="CO99" s="128">
        <v>1.91</v>
      </c>
      <c r="CP99" s="128">
        <v>1.92</v>
      </c>
      <c r="CQ99" s="128">
        <v>1.93</v>
      </c>
      <c r="CR99" s="128">
        <v>1.94</v>
      </c>
      <c r="CS99" s="128">
        <v>1.95</v>
      </c>
      <c r="CT99" s="128">
        <v>1.96</v>
      </c>
      <c r="CU99" s="128">
        <v>1.97</v>
      </c>
      <c r="CV99" s="128">
        <v>1.98</v>
      </c>
      <c r="CW99" s="128">
        <v>1.99</v>
      </c>
      <c r="CX99" s="128">
        <v>2</v>
      </c>
      <c r="CZ99" s="126">
        <f>SUMIF(MatrixF2[[1]:[2]],MatrixF2[[#This Row],[Столбец1]])/MatrixF2[[#This Row],[Столбец1]]</f>
        <v>80.999999999999972</v>
      </c>
    </row>
    <row r="100" spans="1:104" ht="21" customHeight="1" x14ac:dyDescent="0.25">
      <c r="A100" s="127">
        <v>1.97</v>
      </c>
      <c r="B100" s="128">
        <v>1</v>
      </c>
      <c r="C100" s="128">
        <v>1.01</v>
      </c>
      <c r="D100" s="128">
        <v>1.02</v>
      </c>
      <c r="E100" s="128">
        <v>1.03</v>
      </c>
      <c r="F100" s="128">
        <v>1.04</v>
      </c>
      <c r="G100" s="128">
        <v>1.05</v>
      </c>
      <c r="H100" s="128">
        <v>1.06</v>
      </c>
      <c r="I100" s="128">
        <v>1.07</v>
      </c>
      <c r="J100" s="128">
        <v>1.08</v>
      </c>
      <c r="K100" s="128">
        <v>1.0900000000000001</v>
      </c>
      <c r="L100" s="128">
        <v>1.1000000000000001</v>
      </c>
      <c r="M100" s="128">
        <v>1.1100000000000001</v>
      </c>
      <c r="N100" s="128">
        <v>1.1200000000000001</v>
      </c>
      <c r="O100" s="128">
        <v>1.1299999999999999</v>
      </c>
      <c r="P100" s="128">
        <v>1.1399999999999999</v>
      </c>
      <c r="Q100" s="128">
        <v>1.1499999999999999</v>
      </c>
      <c r="R100" s="128">
        <v>1.1599999999999999</v>
      </c>
      <c r="S100" s="128">
        <v>1.17</v>
      </c>
      <c r="T100" s="128">
        <v>1.18</v>
      </c>
      <c r="U100" s="128">
        <v>1.19</v>
      </c>
      <c r="V100" s="128">
        <v>1.2</v>
      </c>
      <c r="W100" s="128">
        <v>1.21</v>
      </c>
      <c r="X100" s="128">
        <v>1.22</v>
      </c>
      <c r="Y100" s="128">
        <v>1.23</v>
      </c>
      <c r="Z100" s="128">
        <v>1.24</v>
      </c>
      <c r="AA100" s="128">
        <v>1.25</v>
      </c>
      <c r="AB100" s="128">
        <v>1.26</v>
      </c>
      <c r="AC100" s="128">
        <v>1.27</v>
      </c>
      <c r="AD100" s="128">
        <v>1.28</v>
      </c>
      <c r="AE100" s="128">
        <v>1.29</v>
      </c>
      <c r="AF100" s="128">
        <v>1.3</v>
      </c>
      <c r="AG100" s="128">
        <v>1.31</v>
      </c>
      <c r="AH100" s="128">
        <v>1.32</v>
      </c>
      <c r="AI100" s="128">
        <v>1.33</v>
      </c>
      <c r="AJ100" s="128">
        <v>1.34</v>
      </c>
      <c r="AK100" s="128">
        <v>1.35</v>
      </c>
      <c r="AL100" s="128">
        <v>1.36</v>
      </c>
      <c r="AM100" s="128">
        <v>1.37</v>
      </c>
      <c r="AN100" s="128">
        <v>1.38</v>
      </c>
      <c r="AO100" s="128">
        <v>1.39</v>
      </c>
      <c r="AP100" s="128">
        <v>1.4</v>
      </c>
      <c r="AQ100" s="128">
        <v>1.41</v>
      </c>
      <c r="AR100" s="128">
        <v>1.42</v>
      </c>
      <c r="AS100" s="128">
        <v>1.43</v>
      </c>
      <c r="AT100" s="128">
        <v>1.44</v>
      </c>
      <c r="AU100" s="128">
        <v>1.45</v>
      </c>
      <c r="AV100" s="128">
        <v>1.46</v>
      </c>
      <c r="AW100" s="128">
        <v>1.47</v>
      </c>
      <c r="AX100" s="128">
        <v>1.48</v>
      </c>
      <c r="AY100" s="128">
        <v>1.49</v>
      </c>
      <c r="AZ100" s="128">
        <v>1.5</v>
      </c>
      <c r="BA100" s="128">
        <v>1.51</v>
      </c>
      <c r="BB100" s="128">
        <v>1.52</v>
      </c>
      <c r="BC100" s="128">
        <v>1.53</v>
      </c>
      <c r="BD100" s="128">
        <v>1.54</v>
      </c>
      <c r="BE100" s="128">
        <v>1.55</v>
      </c>
      <c r="BF100" s="128">
        <v>1.56</v>
      </c>
      <c r="BG100" s="128">
        <v>1.57</v>
      </c>
      <c r="BH100" s="128">
        <v>1.58</v>
      </c>
      <c r="BI100" s="128">
        <v>1.59</v>
      </c>
      <c r="BJ100" s="128">
        <v>1.6</v>
      </c>
      <c r="BK100" s="128">
        <v>1.61</v>
      </c>
      <c r="BL100" s="128">
        <v>1.62</v>
      </c>
      <c r="BM100" s="128">
        <v>1.63</v>
      </c>
      <c r="BN100" s="128">
        <v>1.64</v>
      </c>
      <c r="BO100" s="128">
        <v>1.65</v>
      </c>
      <c r="BP100" s="128">
        <v>1.66</v>
      </c>
      <c r="BQ100" s="128">
        <v>1.67</v>
      </c>
      <c r="BR100" s="128">
        <v>1.68</v>
      </c>
      <c r="BS100" s="128">
        <v>1.69</v>
      </c>
      <c r="BT100" s="128">
        <v>1.7</v>
      </c>
      <c r="BU100" s="128">
        <v>1.71</v>
      </c>
      <c r="BV100" s="128">
        <v>1.72</v>
      </c>
      <c r="BW100" s="128">
        <v>1.73</v>
      </c>
      <c r="BX100" s="128">
        <v>1.74</v>
      </c>
      <c r="BY100" s="128">
        <v>1.75</v>
      </c>
      <c r="BZ100" s="128">
        <v>1.76</v>
      </c>
      <c r="CA100" s="128">
        <v>1.77</v>
      </c>
      <c r="CB100" s="128">
        <v>1.78</v>
      </c>
      <c r="CC100" s="128">
        <v>1.79</v>
      </c>
      <c r="CD100" s="128">
        <v>1.8</v>
      </c>
      <c r="CE100" s="128">
        <v>1.81</v>
      </c>
      <c r="CF100" s="128">
        <v>1.82</v>
      </c>
      <c r="CG100" s="128">
        <v>1.83</v>
      </c>
      <c r="CH100" s="128">
        <v>1.84</v>
      </c>
      <c r="CI100" s="128">
        <v>1.85</v>
      </c>
      <c r="CJ100" s="128">
        <v>1.86</v>
      </c>
      <c r="CK100" s="128">
        <v>1.87</v>
      </c>
      <c r="CL100" s="128">
        <v>1.88</v>
      </c>
      <c r="CM100" s="128">
        <v>1.89</v>
      </c>
      <c r="CN100" s="128">
        <v>1.9</v>
      </c>
      <c r="CO100" s="128">
        <v>1.91</v>
      </c>
      <c r="CP100" s="128">
        <v>1.92</v>
      </c>
      <c r="CQ100" s="128">
        <v>1.93</v>
      </c>
      <c r="CR100" s="128">
        <v>1.94</v>
      </c>
      <c r="CS100" s="128">
        <v>1.95</v>
      </c>
      <c r="CT100" s="128">
        <v>1.96</v>
      </c>
      <c r="CU100" s="128">
        <v>1.97</v>
      </c>
      <c r="CV100" s="128">
        <v>1.98</v>
      </c>
      <c r="CW100" s="128">
        <v>1.99</v>
      </c>
      <c r="CX100" s="128">
        <v>2</v>
      </c>
      <c r="CZ100" s="126">
        <f>SUMIF(MatrixF2[[1]:[2]],MatrixF2[[#This Row],[Столбец1]])/MatrixF2[[#This Row],[Столбец1]]</f>
        <v>79.999999999999972</v>
      </c>
    </row>
    <row r="101" spans="1:104" ht="21" customHeight="1" x14ac:dyDescent="0.25">
      <c r="A101" s="127">
        <v>1.98</v>
      </c>
      <c r="B101" s="128">
        <v>1</v>
      </c>
      <c r="C101" s="128">
        <v>1.01</v>
      </c>
      <c r="D101" s="128">
        <v>1.02</v>
      </c>
      <c r="E101" s="128">
        <v>1.03</v>
      </c>
      <c r="F101" s="128">
        <v>1.04</v>
      </c>
      <c r="G101" s="128">
        <v>1.05</v>
      </c>
      <c r="H101" s="128">
        <v>1.06</v>
      </c>
      <c r="I101" s="128">
        <v>1.07</v>
      </c>
      <c r="J101" s="128">
        <v>1.08</v>
      </c>
      <c r="K101" s="128">
        <v>1.0900000000000001</v>
      </c>
      <c r="L101" s="128">
        <v>1.1000000000000001</v>
      </c>
      <c r="M101" s="128">
        <v>1.1100000000000001</v>
      </c>
      <c r="N101" s="128">
        <v>1.1200000000000001</v>
      </c>
      <c r="O101" s="128">
        <v>1.1299999999999999</v>
      </c>
      <c r="P101" s="128">
        <v>1.1399999999999999</v>
      </c>
      <c r="Q101" s="128">
        <v>1.1499999999999999</v>
      </c>
      <c r="R101" s="128">
        <v>1.1599999999999999</v>
      </c>
      <c r="S101" s="128">
        <v>1.17</v>
      </c>
      <c r="T101" s="128">
        <v>1.18</v>
      </c>
      <c r="U101" s="128">
        <v>1.19</v>
      </c>
      <c r="V101" s="128">
        <v>1.2</v>
      </c>
      <c r="W101" s="128">
        <v>1.21</v>
      </c>
      <c r="X101" s="128">
        <v>1.22</v>
      </c>
      <c r="Y101" s="128">
        <v>1.23</v>
      </c>
      <c r="Z101" s="128">
        <v>1.24</v>
      </c>
      <c r="AA101" s="128">
        <v>1.25</v>
      </c>
      <c r="AB101" s="128">
        <v>1.26</v>
      </c>
      <c r="AC101" s="128">
        <v>1.27</v>
      </c>
      <c r="AD101" s="128">
        <v>1.28</v>
      </c>
      <c r="AE101" s="128">
        <v>1.29</v>
      </c>
      <c r="AF101" s="128">
        <v>1.3</v>
      </c>
      <c r="AG101" s="128">
        <v>1.31</v>
      </c>
      <c r="AH101" s="128">
        <v>1.32</v>
      </c>
      <c r="AI101" s="128">
        <v>1.33</v>
      </c>
      <c r="AJ101" s="128">
        <v>1.34</v>
      </c>
      <c r="AK101" s="128">
        <v>1.35</v>
      </c>
      <c r="AL101" s="128">
        <v>1.36</v>
      </c>
      <c r="AM101" s="128">
        <v>1.37</v>
      </c>
      <c r="AN101" s="128">
        <v>1.38</v>
      </c>
      <c r="AO101" s="128">
        <v>1.39</v>
      </c>
      <c r="AP101" s="128">
        <v>1.4</v>
      </c>
      <c r="AQ101" s="128">
        <v>1.41</v>
      </c>
      <c r="AR101" s="128">
        <v>1.42</v>
      </c>
      <c r="AS101" s="128">
        <v>1.43</v>
      </c>
      <c r="AT101" s="128">
        <v>1.44</v>
      </c>
      <c r="AU101" s="128">
        <v>1.45</v>
      </c>
      <c r="AV101" s="128">
        <v>1.46</v>
      </c>
      <c r="AW101" s="128">
        <v>1.47</v>
      </c>
      <c r="AX101" s="128">
        <v>1.48</v>
      </c>
      <c r="AY101" s="128">
        <v>1.49</v>
      </c>
      <c r="AZ101" s="128">
        <v>1.5</v>
      </c>
      <c r="BA101" s="128">
        <v>1.51</v>
      </c>
      <c r="BB101" s="128">
        <v>1.52</v>
      </c>
      <c r="BC101" s="128">
        <v>1.53</v>
      </c>
      <c r="BD101" s="128">
        <v>1.54</v>
      </c>
      <c r="BE101" s="128">
        <v>1.55</v>
      </c>
      <c r="BF101" s="128">
        <v>1.56</v>
      </c>
      <c r="BG101" s="128">
        <v>1.57</v>
      </c>
      <c r="BH101" s="128">
        <v>1.58</v>
      </c>
      <c r="BI101" s="128">
        <v>1.59</v>
      </c>
      <c r="BJ101" s="128">
        <v>1.6</v>
      </c>
      <c r="BK101" s="128">
        <v>1.61</v>
      </c>
      <c r="BL101" s="128">
        <v>1.62</v>
      </c>
      <c r="BM101" s="128">
        <v>1.63</v>
      </c>
      <c r="BN101" s="128">
        <v>1.64</v>
      </c>
      <c r="BO101" s="128">
        <v>1.65</v>
      </c>
      <c r="BP101" s="128">
        <v>1.66</v>
      </c>
      <c r="BQ101" s="128">
        <v>1.67</v>
      </c>
      <c r="BR101" s="128">
        <v>1.68</v>
      </c>
      <c r="BS101" s="128">
        <v>1.69</v>
      </c>
      <c r="BT101" s="128">
        <v>1.7</v>
      </c>
      <c r="BU101" s="128">
        <v>1.71</v>
      </c>
      <c r="BV101" s="128">
        <v>1.72</v>
      </c>
      <c r="BW101" s="128">
        <v>1.73</v>
      </c>
      <c r="BX101" s="128">
        <v>1.74</v>
      </c>
      <c r="BY101" s="128">
        <v>1.75</v>
      </c>
      <c r="BZ101" s="128">
        <v>1.76</v>
      </c>
      <c r="CA101" s="128">
        <v>1.77</v>
      </c>
      <c r="CB101" s="128">
        <v>1.78</v>
      </c>
      <c r="CC101" s="128">
        <v>1.79</v>
      </c>
      <c r="CD101" s="128">
        <v>1.8</v>
      </c>
      <c r="CE101" s="128">
        <v>1.81</v>
      </c>
      <c r="CF101" s="128">
        <v>1.82</v>
      </c>
      <c r="CG101" s="128">
        <v>1.83</v>
      </c>
      <c r="CH101" s="128">
        <v>1.84</v>
      </c>
      <c r="CI101" s="128">
        <v>1.85</v>
      </c>
      <c r="CJ101" s="128">
        <v>1.86</v>
      </c>
      <c r="CK101" s="128">
        <v>1.87</v>
      </c>
      <c r="CL101" s="128">
        <v>1.88</v>
      </c>
      <c r="CM101" s="128">
        <v>1.89</v>
      </c>
      <c r="CN101" s="128">
        <v>1.9</v>
      </c>
      <c r="CO101" s="128">
        <v>1.91</v>
      </c>
      <c r="CP101" s="128">
        <v>1.92</v>
      </c>
      <c r="CQ101" s="128">
        <v>1.93</v>
      </c>
      <c r="CR101" s="128">
        <v>1.94</v>
      </c>
      <c r="CS101" s="128">
        <v>1.95</v>
      </c>
      <c r="CT101" s="128">
        <v>1.96</v>
      </c>
      <c r="CU101" s="128">
        <v>1.97</v>
      </c>
      <c r="CV101" s="128">
        <v>1.98</v>
      </c>
      <c r="CW101" s="128">
        <v>1.99</v>
      </c>
      <c r="CX101" s="128">
        <v>2</v>
      </c>
      <c r="CZ101" s="126">
        <f>SUMIF(MatrixF2[[1]:[2]],MatrixF2[[#This Row],[Столбец1]])/MatrixF2[[#This Row],[Столбец1]]</f>
        <v>76.999999999999972</v>
      </c>
    </row>
    <row r="102" spans="1:104" ht="21" customHeight="1" x14ac:dyDescent="0.25">
      <c r="A102" s="127">
        <v>1.99</v>
      </c>
      <c r="B102" s="128">
        <v>1</v>
      </c>
      <c r="C102" s="128">
        <v>1.01</v>
      </c>
      <c r="D102" s="128">
        <v>1.02</v>
      </c>
      <c r="E102" s="128">
        <v>1.03</v>
      </c>
      <c r="F102" s="128">
        <v>1.04</v>
      </c>
      <c r="G102" s="128">
        <v>1.05</v>
      </c>
      <c r="H102" s="128">
        <v>1.06</v>
      </c>
      <c r="I102" s="128">
        <v>1.07</v>
      </c>
      <c r="J102" s="128">
        <v>1.08</v>
      </c>
      <c r="K102" s="128">
        <v>1.0900000000000001</v>
      </c>
      <c r="L102" s="128">
        <v>1.1000000000000001</v>
      </c>
      <c r="M102" s="128">
        <v>1.1100000000000001</v>
      </c>
      <c r="N102" s="128">
        <v>1.1200000000000001</v>
      </c>
      <c r="O102" s="128">
        <v>1.1299999999999999</v>
      </c>
      <c r="P102" s="128">
        <v>1.1399999999999999</v>
      </c>
      <c r="Q102" s="128">
        <v>1.1499999999999999</v>
      </c>
      <c r="R102" s="128">
        <v>1.1599999999999999</v>
      </c>
      <c r="S102" s="128">
        <v>1.17</v>
      </c>
      <c r="T102" s="128">
        <v>1.18</v>
      </c>
      <c r="U102" s="128">
        <v>1.19</v>
      </c>
      <c r="V102" s="128">
        <v>1.2</v>
      </c>
      <c r="W102" s="128">
        <v>1.21</v>
      </c>
      <c r="X102" s="128">
        <v>1.22</v>
      </c>
      <c r="Y102" s="128">
        <v>1.23</v>
      </c>
      <c r="Z102" s="128">
        <v>1.24</v>
      </c>
      <c r="AA102" s="128">
        <v>1.25</v>
      </c>
      <c r="AB102" s="128">
        <v>1.26</v>
      </c>
      <c r="AC102" s="128">
        <v>1.27</v>
      </c>
      <c r="AD102" s="128">
        <v>1.28</v>
      </c>
      <c r="AE102" s="128">
        <v>1.29</v>
      </c>
      <c r="AF102" s="128">
        <v>1.3</v>
      </c>
      <c r="AG102" s="128">
        <v>1.31</v>
      </c>
      <c r="AH102" s="128">
        <v>1.32</v>
      </c>
      <c r="AI102" s="128">
        <v>1.33</v>
      </c>
      <c r="AJ102" s="128">
        <v>1.34</v>
      </c>
      <c r="AK102" s="128">
        <v>1.35</v>
      </c>
      <c r="AL102" s="128">
        <v>1.36</v>
      </c>
      <c r="AM102" s="128">
        <v>1.37</v>
      </c>
      <c r="AN102" s="128">
        <v>1.38</v>
      </c>
      <c r="AO102" s="128">
        <v>1.39</v>
      </c>
      <c r="AP102" s="128">
        <v>1.4</v>
      </c>
      <c r="AQ102" s="128">
        <v>1.41</v>
      </c>
      <c r="AR102" s="128">
        <v>1.42</v>
      </c>
      <c r="AS102" s="128">
        <v>1.43</v>
      </c>
      <c r="AT102" s="128">
        <v>1.44</v>
      </c>
      <c r="AU102" s="128">
        <v>1.45</v>
      </c>
      <c r="AV102" s="128">
        <v>1.46</v>
      </c>
      <c r="AW102" s="128">
        <v>1.47</v>
      </c>
      <c r="AX102" s="128">
        <v>1.48</v>
      </c>
      <c r="AY102" s="128">
        <v>1.49</v>
      </c>
      <c r="AZ102" s="128">
        <v>1.5</v>
      </c>
      <c r="BA102" s="128">
        <v>1.51</v>
      </c>
      <c r="BB102" s="128">
        <v>1.52</v>
      </c>
      <c r="BC102" s="128">
        <v>1.53</v>
      </c>
      <c r="BD102" s="128">
        <v>1.54</v>
      </c>
      <c r="BE102" s="128">
        <v>1.55</v>
      </c>
      <c r="BF102" s="128">
        <v>1.56</v>
      </c>
      <c r="BG102" s="128">
        <v>1.57</v>
      </c>
      <c r="BH102" s="128">
        <v>1.58</v>
      </c>
      <c r="BI102" s="128">
        <v>1.59</v>
      </c>
      <c r="BJ102" s="128">
        <v>1.6</v>
      </c>
      <c r="BK102" s="128">
        <v>1.61</v>
      </c>
      <c r="BL102" s="128">
        <v>1.62</v>
      </c>
      <c r="BM102" s="128">
        <v>1.63</v>
      </c>
      <c r="BN102" s="128">
        <v>1.64</v>
      </c>
      <c r="BO102" s="128">
        <v>1.65</v>
      </c>
      <c r="BP102" s="128">
        <v>1.66</v>
      </c>
      <c r="BQ102" s="128">
        <v>1.67</v>
      </c>
      <c r="BR102" s="128">
        <v>1.68</v>
      </c>
      <c r="BS102" s="128">
        <v>1.69</v>
      </c>
      <c r="BT102" s="128">
        <v>1.7</v>
      </c>
      <c r="BU102" s="128">
        <v>1.71</v>
      </c>
      <c r="BV102" s="128">
        <v>1.72</v>
      </c>
      <c r="BW102" s="128">
        <v>1.73</v>
      </c>
      <c r="BX102" s="128">
        <v>1.74</v>
      </c>
      <c r="BY102" s="128">
        <v>1.75</v>
      </c>
      <c r="BZ102" s="128">
        <v>1.76</v>
      </c>
      <c r="CA102" s="128">
        <v>1.77</v>
      </c>
      <c r="CB102" s="128">
        <v>1.78</v>
      </c>
      <c r="CC102" s="128">
        <v>1.79</v>
      </c>
      <c r="CD102" s="128">
        <v>1.8</v>
      </c>
      <c r="CE102" s="128">
        <v>1.81</v>
      </c>
      <c r="CF102" s="128">
        <v>1.82</v>
      </c>
      <c r="CG102" s="128">
        <v>1.83</v>
      </c>
      <c r="CH102" s="128">
        <v>1.84</v>
      </c>
      <c r="CI102" s="128">
        <v>1.85</v>
      </c>
      <c r="CJ102" s="128">
        <v>1.86</v>
      </c>
      <c r="CK102" s="128">
        <v>1.87</v>
      </c>
      <c r="CL102" s="128">
        <v>1.88</v>
      </c>
      <c r="CM102" s="128">
        <v>1.89</v>
      </c>
      <c r="CN102" s="128">
        <v>1.9</v>
      </c>
      <c r="CO102" s="128">
        <v>1.91</v>
      </c>
      <c r="CP102" s="128">
        <v>1.92</v>
      </c>
      <c r="CQ102" s="128">
        <v>1.93</v>
      </c>
      <c r="CR102" s="128">
        <v>1.94</v>
      </c>
      <c r="CS102" s="128">
        <v>1.95</v>
      </c>
      <c r="CT102" s="128">
        <v>1.96</v>
      </c>
      <c r="CU102" s="128">
        <v>1.97</v>
      </c>
      <c r="CV102" s="128">
        <v>1.98</v>
      </c>
      <c r="CW102" s="128">
        <v>1.99</v>
      </c>
      <c r="CX102" s="128">
        <v>2</v>
      </c>
      <c r="CZ102" s="126">
        <f>SUMIF(MatrixF2[[1]:[2]],MatrixF2[[#This Row],[Столбец1]])/MatrixF2[[#This Row],[Столбец1]]</f>
        <v>69.999999999999943</v>
      </c>
    </row>
    <row r="103" spans="1:104" ht="21" customHeight="1" x14ac:dyDescent="0.25">
      <c r="A103" s="127">
        <v>2</v>
      </c>
      <c r="B103" s="128">
        <v>1</v>
      </c>
      <c r="C103" s="128">
        <v>1.01</v>
      </c>
      <c r="D103" s="128">
        <v>1.02</v>
      </c>
      <c r="E103" s="128">
        <v>1.03</v>
      </c>
      <c r="F103" s="128">
        <v>1.04</v>
      </c>
      <c r="G103" s="128">
        <v>1.05</v>
      </c>
      <c r="H103" s="128">
        <v>1.06</v>
      </c>
      <c r="I103" s="128">
        <v>1.07</v>
      </c>
      <c r="J103" s="128">
        <v>1.08</v>
      </c>
      <c r="K103" s="128">
        <v>1.0900000000000001</v>
      </c>
      <c r="L103" s="128">
        <v>1.1000000000000001</v>
      </c>
      <c r="M103" s="128">
        <v>1.1100000000000001</v>
      </c>
      <c r="N103" s="128">
        <v>1.1200000000000001</v>
      </c>
      <c r="O103" s="128">
        <v>1.1299999999999999</v>
      </c>
      <c r="P103" s="128">
        <v>1.1399999999999999</v>
      </c>
      <c r="Q103" s="128">
        <v>1.1499999999999999</v>
      </c>
      <c r="R103" s="128">
        <v>1.1599999999999999</v>
      </c>
      <c r="S103" s="128">
        <v>1.17</v>
      </c>
      <c r="T103" s="128">
        <v>1.18</v>
      </c>
      <c r="U103" s="128">
        <v>1.19</v>
      </c>
      <c r="V103" s="128">
        <v>1.2</v>
      </c>
      <c r="W103" s="128">
        <v>1.21</v>
      </c>
      <c r="X103" s="128">
        <v>1.22</v>
      </c>
      <c r="Y103" s="128">
        <v>1.23</v>
      </c>
      <c r="Z103" s="128">
        <v>1.24</v>
      </c>
      <c r="AA103" s="128">
        <v>1.25</v>
      </c>
      <c r="AB103" s="128">
        <v>1.26</v>
      </c>
      <c r="AC103" s="128">
        <v>1.27</v>
      </c>
      <c r="AD103" s="128">
        <v>1.28</v>
      </c>
      <c r="AE103" s="128">
        <v>1.29</v>
      </c>
      <c r="AF103" s="128">
        <v>1.3</v>
      </c>
      <c r="AG103" s="128">
        <v>1.31</v>
      </c>
      <c r="AH103" s="128">
        <v>1.32</v>
      </c>
      <c r="AI103" s="128">
        <v>1.33</v>
      </c>
      <c r="AJ103" s="128">
        <v>1.34</v>
      </c>
      <c r="AK103" s="128">
        <v>1.35</v>
      </c>
      <c r="AL103" s="128">
        <v>1.36</v>
      </c>
      <c r="AM103" s="128">
        <v>1.37</v>
      </c>
      <c r="AN103" s="128">
        <v>1.38</v>
      </c>
      <c r="AO103" s="128">
        <v>1.39</v>
      </c>
      <c r="AP103" s="128">
        <v>1.4</v>
      </c>
      <c r="AQ103" s="128">
        <v>1.41</v>
      </c>
      <c r="AR103" s="128">
        <v>1.42</v>
      </c>
      <c r="AS103" s="128">
        <v>1.43</v>
      </c>
      <c r="AT103" s="128">
        <v>1.44</v>
      </c>
      <c r="AU103" s="128">
        <v>1.45</v>
      </c>
      <c r="AV103" s="128">
        <v>1.46</v>
      </c>
      <c r="AW103" s="128">
        <v>1.47</v>
      </c>
      <c r="AX103" s="128">
        <v>1.48</v>
      </c>
      <c r="AY103" s="128">
        <v>1.49</v>
      </c>
      <c r="AZ103" s="128">
        <v>1.5</v>
      </c>
      <c r="BA103" s="128">
        <v>1.51</v>
      </c>
      <c r="BB103" s="128">
        <v>1.52</v>
      </c>
      <c r="BC103" s="128">
        <v>1.53</v>
      </c>
      <c r="BD103" s="128">
        <v>1.54</v>
      </c>
      <c r="BE103" s="128">
        <v>1.55</v>
      </c>
      <c r="BF103" s="128">
        <v>1.56</v>
      </c>
      <c r="BG103" s="128">
        <v>1.57</v>
      </c>
      <c r="BH103" s="128">
        <v>1.58</v>
      </c>
      <c r="BI103" s="128">
        <v>1.59</v>
      </c>
      <c r="BJ103" s="128">
        <v>1.6</v>
      </c>
      <c r="BK103" s="128">
        <v>1.61</v>
      </c>
      <c r="BL103" s="128">
        <v>1.62</v>
      </c>
      <c r="BM103" s="128">
        <v>1.63</v>
      </c>
      <c r="BN103" s="128">
        <v>1.64</v>
      </c>
      <c r="BO103" s="128">
        <v>1.65</v>
      </c>
      <c r="BP103" s="128">
        <v>1.66</v>
      </c>
      <c r="BQ103" s="128">
        <v>1.67</v>
      </c>
      <c r="BR103" s="128">
        <v>1.68</v>
      </c>
      <c r="BS103" s="128">
        <v>1.69</v>
      </c>
      <c r="BT103" s="128">
        <v>1.7</v>
      </c>
      <c r="BU103" s="128">
        <v>1.71</v>
      </c>
      <c r="BV103" s="128">
        <v>1.72</v>
      </c>
      <c r="BW103" s="128">
        <v>1.73</v>
      </c>
      <c r="BX103" s="128">
        <v>1.74</v>
      </c>
      <c r="BY103" s="128">
        <v>1.75</v>
      </c>
      <c r="BZ103" s="128">
        <v>1.76</v>
      </c>
      <c r="CA103" s="128">
        <v>1.77</v>
      </c>
      <c r="CB103" s="128">
        <v>1.78</v>
      </c>
      <c r="CC103" s="128">
        <v>1.79</v>
      </c>
      <c r="CD103" s="128">
        <v>1.8</v>
      </c>
      <c r="CE103" s="128">
        <v>1.81</v>
      </c>
      <c r="CF103" s="128">
        <v>1.82</v>
      </c>
      <c r="CG103" s="128">
        <v>1.83</v>
      </c>
      <c r="CH103" s="128">
        <v>1.84</v>
      </c>
      <c r="CI103" s="128">
        <v>1.85</v>
      </c>
      <c r="CJ103" s="128">
        <v>1.86</v>
      </c>
      <c r="CK103" s="128">
        <v>1.87</v>
      </c>
      <c r="CL103" s="128">
        <v>1.88</v>
      </c>
      <c r="CM103" s="128">
        <v>1.89</v>
      </c>
      <c r="CN103" s="128">
        <v>1.9</v>
      </c>
      <c r="CO103" s="128">
        <v>1.91</v>
      </c>
      <c r="CP103" s="128">
        <v>1.92</v>
      </c>
      <c r="CQ103" s="128">
        <v>1.93</v>
      </c>
      <c r="CR103" s="128">
        <v>1.94</v>
      </c>
      <c r="CS103" s="128">
        <v>1.95</v>
      </c>
      <c r="CT103" s="128">
        <v>1.96</v>
      </c>
      <c r="CU103" s="128">
        <v>1.97</v>
      </c>
      <c r="CV103" s="128">
        <v>1.98</v>
      </c>
      <c r="CW103" s="128">
        <v>1.99</v>
      </c>
      <c r="CX103" s="128">
        <v>2</v>
      </c>
      <c r="CZ103" s="126">
        <f>SUMIF(MatrixF2[[1]:[2]],MatrixF2[[#This Row],[Столбец1]])/MatrixF2[[#This Row],[Столбец1]]</f>
        <v>101</v>
      </c>
    </row>
    <row r="105" spans="1:104" s="126" customFormat="1" ht="21" customHeight="1" x14ac:dyDescent="0.25">
      <c r="B105" s="126">
        <f>SUMIF(MatrixF2[[1]:[2]],MatrixF2[[#Headers],[1]])/MatrixF2[[#Headers],[1]]</f>
        <v>101</v>
      </c>
      <c r="C105" s="126">
        <f>SUMIF(MatrixF2[[1]:[2]],MatrixF2[[#Headers],[1,01]])/MatrixF2[[#Headers],[1,01]]</f>
        <v>69.999999999999986</v>
      </c>
      <c r="D105" s="126">
        <f>SUMIF(MatrixF2[[1]:[2]],MatrixF2[[#Headers],[1,02]])/MatrixF2[[#Headers],[1,02]]</f>
        <v>75.000000000000043</v>
      </c>
      <c r="E105" s="126">
        <f>SUMIF(MatrixF2[[1]:[2]],MatrixF2[[#Headers],[1,03]])/MatrixF2[[#Headers],[1,03]]</f>
        <v>82.000000000000057</v>
      </c>
      <c r="F105" s="126">
        <f>SUMIF(MatrixF2[[1]:[2]],MatrixF2[[#Headers],[1,04]])/MatrixF2[[#Headers],[1,04]]</f>
        <v>81.000000000000071</v>
      </c>
      <c r="G105" s="126">
        <f>SUMIF(MatrixF2[[1]:[2]],MatrixF2[[#Headers],[1,05]])/MatrixF2[[#Headers],[1,05]]</f>
        <v>85.999999999999858</v>
      </c>
      <c r="H105" s="126">
        <f>SUMIF(MatrixF2[[1]:[2]],MatrixF2[[#Headers],[1,06]])/MatrixF2[[#Headers],[1,06]]</f>
        <v>81.000000000000085</v>
      </c>
      <c r="I105" s="126">
        <f>SUMIF(MatrixF2[[1]:[2]],MatrixF2[[#Headers],[1,07]])/MatrixF2[[#Headers],[1,07]]</f>
        <v>86.999999999999829</v>
      </c>
      <c r="J105" s="126">
        <f>SUMIF(MatrixF2[[1]:[2]],MatrixF2[[#Headers],[1,08]])/MatrixF2[[#Headers],[1,08]]</f>
        <v>85.999999999999886</v>
      </c>
      <c r="K105" s="126">
        <f>SUMIF(MatrixF2[[1]:[2]],MatrixF2[[#Headers],[1,09]])/MatrixF2[[#Headers],[1,09]]</f>
        <v>89.000000000000185</v>
      </c>
      <c r="L105" s="126">
        <f>SUMIF(MatrixF2[[1]:[2]],MatrixF2[[#Headers],[1,1]])/MatrixF2[[#Headers],[1,1]]</f>
        <v>89.999999999999872</v>
      </c>
      <c r="M105" s="126">
        <f>SUMIF(MatrixF2[[1]:[2]],MatrixF2[[#Headers],[1,11]])/MatrixF2[[#Headers],[1,11]]</f>
        <v>92.999999999999957</v>
      </c>
      <c r="N105" s="126">
        <f>SUMIF(MatrixF2[[1]:[2]],MatrixF2[[#Headers],[1,12]])/MatrixF2[[#Headers],[1,12]]</f>
        <v>95.000000000000099</v>
      </c>
      <c r="O105" s="126">
        <f>SUMIF(MatrixF2[[1]:[2]],MatrixF2[[#Headers],[1,13]])/MatrixF2[[#Headers],[1,13]]</f>
        <v>89.999999999999929</v>
      </c>
      <c r="P105" s="126">
        <f>SUMIF(MatrixF2[[1]:[2]],MatrixF2[[#Headers],[1,14]])/MatrixF2[[#Headers],[1,14]]</f>
        <v>97.000000000000043</v>
      </c>
      <c r="Q105" s="126">
        <f>SUMIF(MatrixF2[[1]:[2]],MatrixF2[[#Headers],[1,15]])/MatrixF2[[#Headers],[1,15]]</f>
        <v>97.000000000000171</v>
      </c>
      <c r="R105" s="126">
        <f>SUMIF(MatrixF2[[1]:[2]],MatrixF2[[#Headers],[1,16]])/MatrixF2[[#Headers],[1,16]]</f>
        <v>99.999999999999801</v>
      </c>
      <c r="S105" s="126">
        <f>SUMIF(MatrixF2[[1]:[2]],MatrixF2[[#Headers],[1,17]])/MatrixF2[[#Headers],[1,17]]</f>
        <v>93.000000000000114</v>
      </c>
      <c r="T105" s="126">
        <f>SUMIF(MatrixF2[[1]:[2]],MatrixF2[[#Headers],[1,18]])/MatrixF2[[#Headers],[1,18]]</f>
        <v>101.00000000000027</v>
      </c>
      <c r="U105" s="126">
        <f>SUMIF(MatrixF2[[1]:[2]],MatrixF2[[#Headers],[1,19]])/MatrixF2[[#Headers],[1,19]]</f>
        <v>100.99999999999987</v>
      </c>
      <c r="V105" s="126">
        <f>SUMIF(MatrixF2[[1]:[2]],MatrixF2[[#Headers],[1,2]])/MatrixF2[[#Headers],[1,2]]</f>
        <v>102.00000000000017</v>
      </c>
      <c r="W105" s="126">
        <f>SUMIF(MatrixF2[[1]:[2]],MatrixF2[[#Headers],[1,21]])/MatrixF2[[#Headers],[1,21]]</f>
        <v>100.99999999999979</v>
      </c>
      <c r="X105" s="126">
        <f>SUMIF(MatrixF2[[1]:[2]],MatrixF2[[#Headers],[1,22]])/MatrixF2[[#Headers],[1,22]]</f>
        <v>106.99999999999993</v>
      </c>
      <c r="Y105" s="126">
        <f>SUMIF(MatrixF2[[1]:[2]],MatrixF2[[#Headers],[1,23]])/MatrixF2[[#Headers],[1,23]]</f>
        <v>103.0000000000001</v>
      </c>
      <c r="Z105" s="126">
        <f>SUMIF(MatrixF2[[1]:[2]],MatrixF2[[#Headers],[1,24]])/MatrixF2[[#Headers],[1,24]]</f>
        <v>108.99999999999986</v>
      </c>
      <c r="AA105" s="126">
        <f>SUMIF(MatrixF2[[1]:[2]],MatrixF2[[#Headers],[1,25]])/MatrixF2[[#Headers],[1,25]]</f>
        <v>101</v>
      </c>
      <c r="AB105" s="126">
        <f>SUMIF(MatrixF2[[1]:[2]],MatrixF2[[#Headers],[1,26]])/MatrixF2[[#Headers],[1,26]]</f>
        <v>109.00000000000014</v>
      </c>
      <c r="AC105" s="126">
        <f>SUMIF(MatrixF2[[1]:[2]],MatrixF2[[#Headers],[1,27]])/MatrixF2[[#Headers],[1,27]]</f>
        <v>107.99999999999996</v>
      </c>
      <c r="AD105" s="126">
        <f>SUMIF(MatrixF2[[1]:[2]],MatrixF2[[#Headers],[1,28]])/MatrixF2[[#Headers],[1,28]]</f>
        <v>109.00000000000007</v>
      </c>
      <c r="AE105" s="126">
        <f>SUMIF(MatrixF2[[1]:[2]],MatrixF2[[#Headers],[1,29]])/MatrixF2[[#Headers],[1,29]]</f>
        <v>111.00000000000016</v>
      </c>
      <c r="AF105" s="126">
        <f>SUMIF(MatrixF2[[1]:[2]],MatrixF2[[#Headers],[1,3]])/MatrixF2[[#Headers],[1,3]]</f>
        <v>108.99999999999994</v>
      </c>
      <c r="AG105" s="126">
        <f>SUMIF(MatrixF2[[1]:[2]],MatrixF2[[#Headers],[1,31]])/MatrixF2[[#Headers],[1,31]]</f>
        <v>109.00000000000011</v>
      </c>
      <c r="AH105" s="126">
        <f>SUMIF(MatrixF2[[1]:[2]],MatrixF2[[#Headers],[1,32]])/MatrixF2[[#Headers],[1,32]]</f>
        <v>111.99999999999967</v>
      </c>
      <c r="AI105" s="126">
        <f>SUMIF(MatrixF2[[1]:[2]],MatrixF2[[#Headers],[1,33]])/MatrixF2[[#Headers],[1,33]]</f>
        <v>113.00000000000006</v>
      </c>
      <c r="AJ105" s="126">
        <f>SUMIF(MatrixF2[[1]:[2]],MatrixF2[[#Headers],[1,34]])/MatrixF2[[#Headers],[1,34]]</f>
        <v>111.00000000000021</v>
      </c>
      <c r="AK105" s="126">
        <f>SUMIF(MatrixF2[[1]:[2]],MatrixF2[[#Headers],[1,35]])/MatrixF2[[#Headers],[1,35]]</f>
        <v>112.99999999999974</v>
      </c>
      <c r="AL105" s="126">
        <f>SUMIF(MatrixF2[[1]:[2]],MatrixF2[[#Headers],[1,36]])/MatrixF2[[#Headers],[1,36]]</f>
        <v>111.00000000000013</v>
      </c>
      <c r="AM105" s="126">
        <f>SUMIF(MatrixF2[[1]:[2]],MatrixF2[[#Headers],[1,37]])/MatrixF2[[#Headers],[1,37]]</f>
        <v>109.00000000000017</v>
      </c>
      <c r="AN105" s="126">
        <f>SUMIF(MatrixF2[[1]:[2]],MatrixF2[[#Headers],[1,38]])/MatrixF2[[#Headers],[1,38]]</f>
        <v>113.99999999999982</v>
      </c>
      <c r="AO105" s="126">
        <f>SUMIF(MatrixF2[[1]:[2]],MatrixF2[[#Headers],[1,39]])/MatrixF2[[#Headers],[1,39]]</f>
        <v>110.99999999999986</v>
      </c>
      <c r="AP105" s="126">
        <f>SUMIF(MatrixF2[[1]:[2]],MatrixF2[[#Headers],[1,4]])/MatrixF2[[#Headers],[1,4]]</f>
        <v>114.00000000000024</v>
      </c>
      <c r="AQ105" s="126">
        <f>SUMIF(MatrixF2[[1]:[2]],MatrixF2[[#Headers],[1,41]])/MatrixF2[[#Headers],[1,41]]</f>
        <v>110.9999999999998</v>
      </c>
      <c r="AR105" s="126">
        <f>SUMIF(MatrixF2[[1]:[2]],MatrixF2[[#Headers],[1,42]])/MatrixF2[[#Headers],[1,42]]</f>
        <v>108.99999999999993</v>
      </c>
      <c r="AS105" s="126">
        <f>SUMIF(MatrixF2[[1]:[2]],MatrixF2[[#Headers],[1,43]])/MatrixF2[[#Headers],[1,43]]</f>
        <v>112.00000000000033</v>
      </c>
      <c r="AT105" s="126">
        <f>SUMIF(MatrixF2[[1]:[2]],MatrixF2[[#Headers],[1,44]])/MatrixF2[[#Headers],[1,44]]</f>
        <v>107.99999999999989</v>
      </c>
      <c r="AU105" s="126">
        <f>SUMIF(MatrixF2[[1]:[2]],MatrixF2[[#Headers],[1,45]])/MatrixF2[[#Headers],[1,45]]</f>
        <v>108.99999999999996</v>
      </c>
      <c r="AV105" s="126">
        <f>SUMIF(MatrixF2[[1]:[2]],MatrixF2[[#Headers],[1,46]])/MatrixF2[[#Headers],[1,46]]</f>
        <v>107.99999999999994</v>
      </c>
      <c r="AW105" s="126">
        <f>SUMIF(MatrixF2[[1]:[2]],MatrixF2[[#Headers],[1,47]])/MatrixF2[[#Headers],[1,47]]</f>
        <v>105.99999999999994</v>
      </c>
      <c r="AX105" s="126">
        <f>SUMIF(MatrixF2[[1]:[2]],MatrixF2[[#Headers],[1,48]])/MatrixF2[[#Headers],[1,48]]</f>
        <v>103.99999999999996</v>
      </c>
      <c r="AY105" s="126">
        <f>SUMIF(MatrixF2[[1]:[2]],MatrixF2[[#Headers],[1,49]])/MatrixF2[[#Headers],[1,49]]</f>
        <v>101.99999999999997</v>
      </c>
      <c r="AZ105" s="126">
        <f>SUMIF(MatrixF2[[1]:[2]],MatrixF2[[#Headers],[1,5]])/MatrixF2[[#Headers],[1,5]]</f>
        <v>101</v>
      </c>
      <c r="BA105" s="126">
        <f>SUMIF(MatrixF2[[1]:[2]],MatrixF2[[#Headers],[1,51]])/MatrixF2[[#Headers],[1,51]]</f>
        <v>102.00000000000003</v>
      </c>
      <c r="BB105" s="126">
        <f>SUMIF(MatrixF2[[1]:[2]],MatrixF2[[#Headers],[1,52]])/MatrixF2[[#Headers],[1,52]]</f>
        <v>104.00000000000006</v>
      </c>
      <c r="BC105" s="126">
        <f>SUMIF(MatrixF2[[1]:[2]],MatrixF2[[#Headers],[1,53]])/MatrixF2[[#Headers],[1,53]]</f>
        <v>106.00000000000006</v>
      </c>
      <c r="BD105" s="126">
        <f>SUMIF(MatrixF2[[1]:[2]],MatrixF2[[#Headers],[1,54]])/MatrixF2[[#Headers],[1,54]]</f>
        <v>108.00000000000003</v>
      </c>
      <c r="BE105" s="126">
        <f>SUMIF(MatrixF2[[1]:[2]],MatrixF2[[#Headers],[1,55]])/MatrixF2[[#Headers],[1,55]]</f>
        <v>109.00000000000009</v>
      </c>
      <c r="BF105" s="126">
        <f>SUMIF(MatrixF2[[1]:[2]],MatrixF2[[#Headers],[1,56]])/MatrixF2[[#Headers],[1,56]]</f>
        <v>108.00000000000011</v>
      </c>
      <c r="BG105" s="126">
        <f>SUMIF(MatrixF2[[1]:[2]],MatrixF2[[#Headers],[1,57]])/MatrixF2[[#Headers],[1,57]]</f>
        <v>111.99999999999969</v>
      </c>
      <c r="BH105" s="126">
        <f>SUMIF(MatrixF2[[1]:[2]],MatrixF2[[#Headers],[1,58]])/MatrixF2[[#Headers],[1,58]]</f>
        <v>109.00000000000014</v>
      </c>
      <c r="BI105" s="126">
        <f>SUMIF(MatrixF2[[1]:[2]],MatrixF2[[#Headers],[1,59]])/MatrixF2[[#Headers],[1,59]]</f>
        <v>111.00000000000018</v>
      </c>
      <c r="BJ105" s="126">
        <f>SUMIF(MatrixF2[[1]:[2]],MatrixF2[[#Headers],[1,6]])/MatrixF2[[#Headers],[1,6]]</f>
        <v>113.99999999999974</v>
      </c>
      <c r="BK105" s="126">
        <f>SUMIF(MatrixF2[[1]:[2]],MatrixF2[[#Headers],[1,61]])/MatrixF2[[#Headers],[1,61]]</f>
        <v>111.00000000000024</v>
      </c>
      <c r="BL105" s="126">
        <f>SUMIF(MatrixF2[[1]:[2]],MatrixF2[[#Headers],[1,62]])/MatrixF2[[#Headers],[1,62]]</f>
        <v>112.00000000000017</v>
      </c>
      <c r="BM105" s="126">
        <f>SUMIF(MatrixF2[[1]:[2]],MatrixF2[[#Headers],[1,63]])/MatrixF2[[#Headers],[1,63]]</f>
        <v>110.99999999999984</v>
      </c>
      <c r="BN105" s="126">
        <f>SUMIF(MatrixF2[[1]:[2]],MatrixF2[[#Headers],[1,64]])/MatrixF2[[#Headers],[1,64]]</f>
        <v>110.99999999999976</v>
      </c>
      <c r="BO105" s="126">
        <f>SUMIF(MatrixF2[[1]:[2]],MatrixF2[[#Headers],[1,65]])/MatrixF2[[#Headers],[1,65]]</f>
        <v>113.00000000000024</v>
      </c>
      <c r="BP105" s="126">
        <f>SUMIF(MatrixF2[[1]:[2]],MatrixF2[[#Headers],[1,66]])/MatrixF2[[#Headers],[1,66]]</f>
        <v>110.99999999999983</v>
      </c>
      <c r="BQ105" s="126">
        <f>SUMIF(MatrixF2[[1]:[2]],MatrixF2[[#Headers],[1,67]])/MatrixF2[[#Headers],[1,67]]</f>
        <v>112.99999999999979</v>
      </c>
      <c r="BR105" s="126">
        <f>SUMIF(MatrixF2[[1]:[2]],MatrixF2[[#Headers],[1,68]])/MatrixF2[[#Headers],[1,68]]</f>
        <v>112.00000000000028</v>
      </c>
      <c r="BS105" s="126">
        <f>SUMIF(MatrixF2[[1]:[2]],MatrixF2[[#Headers],[1,69]])/MatrixF2[[#Headers],[1,69]]</f>
        <v>108.99999999999989</v>
      </c>
      <c r="BT105" s="126">
        <f>SUMIF(MatrixF2[[1]:[2]],MatrixF2[[#Headers],[1,7]])/MatrixF2[[#Headers],[1,7]]</f>
        <v>108.99999999999986</v>
      </c>
      <c r="BU105" s="126">
        <f>SUMIF(MatrixF2[[1]:[2]],MatrixF2[[#Headers],[1,71]])/MatrixF2[[#Headers],[1,71]]</f>
        <v>111.00000000000006</v>
      </c>
      <c r="BV105" s="126">
        <f>SUMIF(MatrixF2[[1]:[2]],MatrixF2[[#Headers],[1,72]])/MatrixF2[[#Headers],[1,72]]</f>
        <v>106.99999999999994</v>
      </c>
      <c r="BW105" s="126">
        <f>SUMIF(MatrixF2[[1]:[2]],MatrixF2[[#Headers],[1,73]])/MatrixF2[[#Headers],[1,73]]</f>
        <v>109.99999999999984</v>
      </c>
      <c r="BX105" s="126">
        <f>SUMIF(MatrixF2[[1]:[2]],MatrixF2[[#Headers],[1,74]])/MatrixF2[[#Headers],[1,74]]</f>
        <v>109.0000000000001</v>
      </c>
      <c r="BY105" s="126">
        <f>SUMIF(MatrixF2[[1]:[2]],MatrixF2[[#Headers],[1,75]])/MatrixF2[[#Headers],[1,75]]</f>
        <v>101</v>
      </c>
      <c r="BZ105" s="126">
        <f>SUMIF(MatrixF2[[1]:[2]],MatrixF2[[#Headers],[1,76]])/MatrixF2[[#Headers],[1,76]]</f>
        <v>108.9999999999999</v>
      </c>
      <c r="CA105" s="126">
        <f>SUMIF(MatrixF2[[1]:[2]],MatrixF2[[#Headers],[1,77]])/MatrixF2[[#Headers],[1,77]]</f>
        <v>103.00000000000013</v>
      </c>
      <c r="CB105" s="126">
        <f>SUMIF(MatrixF2[[1]:[2]],MatrixF2[[#Headers],[1,78]])/MatrixF2[[#Headers],[1,78]]</f>
        <v>107.00000000000006</v>
      </c>
      <c r="CC105" s="126">
        <f>SUMIF(MatrixF2[[1]:[2]],MatrixF2[[#Headers],[1,79]])/MatrixF2[[#Headers],[1,79]]</f>
        <v>100.99999999999997</v>
      </c>
      <c r="CD105" s="126">
        <f>SUMIF(MatrixF2[[1]:[2]],MatrixF2[[#Headers],[1,8]])/MatrixF2[[#Headers],[1,8]]</f>
        <v>102.0000000000001</v>
      </c>
      <c r="CE105" s="126">
        <f>SUMIF(MatrixF2[[1]:[2]],MatrixF2[[#Headers],[1,81]])/MatrixF2[[#Headers],[1,81]]</f>
        <v>101.0000000000001</v>
      </c>
      <c r="CF105" s="126">
        <f>SUMIF(MatrixF2[[1]:[2]],MatrixF2[[#Headers],[1,82]])/MatrixF2[[#Headers],[1,82]]</f>
        <v>100.99999999999976</v>
      </c>
      <c r="CG105" s="126">
        <f>SUMIF(MatrixF2[[1]:[2]],MatrixF2[[#Headers],[1,83]])/MatrixF2[[#Headers],[1,83]]</f>
        <v>93.000000000000099</v>
      </c>
      <c r="CH105" s="126">
        <f>SUMIF(MatrixF2[[1]:[2]],MatrixF2[[#Headers],[1,84]])/MatrixF2[[#Headers],[1,84]]</f>
        <v>100.00000000000016</v>
      </c>
      <c r="CI105" s="126">
        <f>SUMIF(MatrixF2[[1]:[2]],MatrixF2[[#Headers],[1,85]])/MatrixF2[[#Headers],[1,85]]</f>
        <v>96.999999999999815</v>
      </c>
      <c r="CJ105" s="126">
        <f>SUMIF(MatrixF2[[1]:[2]],MatrixF2[[#Headers],[1,86]])/MatrixF2[[#Headers],[1,86]]</f>
        <v>97.000000000000185</v>
      </c>
      <c r="CK105" s="126">
        <f>SUMIF(MatrixF2[[1]:[2]],MatrixF2[[#Headers],[1,87]])/MatrixF2[[#Headers],[1,87]]</f>
        <v>88.000000000000099</v>
      </c>
      <c r="CL105" s="126">
        <f>SUMIF(MatrixF2[[1]:[2]],MatrixF2[[#Headers],[1,88]])/MatrixF2[[#Headers],[1,88]]</f>
        <v>96.999999999999872</v>
      </c>
      <c r="CM105" s="126">
        <f>SUMIF(MatrixF2[[1]:[2]],MatrixF2[[#Headers],[1,89]])/MatrixF2[[#Headers],[1,89]]</f>
        <v>92.999999999999829</v>
      </c>
      <c r="CN105" s="126">
        <f>SUMIF(MatrixF2[[1]:[2]],MatrixF2[[#Headers],[1,9]])/MatrixF2[[#Headers],[1,9]]</f>
        <v>90.000000000000156</v>
      </c>
      <c r="CO105" s="126">
        <f>SUMIF(MatrixF2[[1]:[2]],MatrixF2[[#Headers],[1,91]])/MatrixF2[[#Headers],[1,91]]</f>
        <v>88.999999999999872</v>
      </c>
      <c r="CP105" s="126">
        <f>SUMIF(MatrixF2[[1]:[2]],MatrixF2[[#Headers],[1,92]])/MatrixF2[[#Headers],[1,92]]</f>
        <v>85.999999999999929</v>
      </c>
      <c r="CQ105" s="126">
        <f>SUMIF(MatrixF2[[1]:[2]],MatrixF2[[#Headers],[1,93]])/MatrixF2[[#Headers],[1,93]]</f>
        <v>87.000000000000199</v>
      </c>
      <c r="CR105" s="126">
        <f>SUMIF(MatrixF2[[1]:[2]],MatrixF2[[#Headers],[1,94]])/MatrixF2[[#Headers],[1,94]]</f>
        <v>80.999999999999943</v>
      </c>
      <c r="CS105" s="126">
        <f>SUMIF(MatrixF2[[1]:[2]],MatrixF2[[#Headers],[1,95]])/MatrixF2[[#Headers],[1,95]]</f>
        <v>85.999999999999957</v>
      </c>
      <c r="CT105" s="126">
        <f>SUMIF(MatrixF2[[1]:[2]],MatrixF2[[#Headers],[1,96]])/MatrixF2[[#Headers],[1,96]]</f>
        <v>80.999999999999972</v>
      </c>
      <c r="CU105" s="126">
        <f>SUMIF(MatrixF2[[1]:[2]],MatrixF2[[#Headers],[1,97]])/MatrixF2[[#Headers],[1,97]]</f>
        <v>79.999999999999972</v>
      </c>
      <c r="CV105" s="126">
        <f>SUMIF(MatrixF2[[1]:[2]],MatrixF2[[#Headers],[1,98]])/MatrixF2[[#Headers],[1,98]]</f>
        <v>76.999999999999972</v>
      </c>
      <c r="CW105" s="126">
        <f>SUMIF(MatrixF2[[1]:[2]],MatrixF2[[#Headers],[1,99]])/MatrixF2[[#Headers],[1,99]]</f>
        <v>69.999999999999943</v>
      </c>
      <c r="CX105" s="126">
        <f>SUMIF(MatrixF2[[1]:[2]],MatrixF2[[#Headers],[2]])/MatrixF2[[#Headers],[2]]</f>
        <v>101</v>
      </c>
      <c r="CZ105" s="126">
        <f>SUM(CZ3:CZ103)</f>
        <v>10201</v>
      </c>
    </row>
  </sheetData>
  <mergeCells count="1">
    <mergeCell ref="A1:C1"/>
  </mergeCells>
  <conditionalFormatting sqref="B3:CX103">
    <cfRule type="colorScale" priority="1">
      <colorScale>
        <cfvo type="min"/>
        <cfvo type="percentile" val="50"/>
        <cfvo type="max"/>
        <color rgb="FFF8696B"/>
        <color rgb="FFFFEB84"/>
        <color rgb="FF63BE7B"/>
      </colorScale>
    </cfRule>
  </conditionalFormatting>
  <hyperlinks>
    <hyperlink ref="A1:C1" location="Содержание!A1" display="&lt;&lt;НАЗАД" xr:uid="{00000000-0004-0000-0E00-000000000000}"/>
  </hyperlink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811"/>
  <dimension ref="A1:CZ105"/>
  <sheetViews>
    <sheetView zoomScaleNormal="100" workbookViewId="0">
      <pane xSplit="1" ySplit="2" topLeftCell="B6" activePane="bottomRight" state="frozen"/>
      <selection pane="topRight" activeCell="B1" sqref="B1"/>
      <selection pane="bottomLeft" activeCell="A3" sqref="A3"/>
      <selection pane="bottomRight" activeCell="F1" sqref="F1"/>
    </sheetView>
  </sheetViews>
  <sheetFormatPr defaultColWidth="4.7109375" defaultRowHeight="21" customHeight="1" x14ac:dyDescent="0.25"/>
  <cols>
    <col min="1" max="103" width="4.7109375" style="2"/>
    <col min="104" max="104" width="4.7109375" style="126" customWidth="1"/>
    <col min="105" max="16384" width="4.7109375" style="2"/>
  </cols>
  <sheetData>
    <row r="1" spans="1:104" ht="21" customHeight="1" x14ac:dyDescent="0.25">
      <c r="A1" s="261" t="s">
        <v>109</v>
      </c>
      <c r="B1" s="261"/>
      <c r="C1" s="261"/>
      <c r="D1" s="205">
        <v>1.57</v>
      </c>
      <c r="E1" s="206" t="s">
        <v>614</v>
      </c>
      <c r="F1" s="205">
        <f>COUNTIF(MatrixF3[[1]:[2]],"="&amp;XFC1)</f>
        <v>0</v>
      </c>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8">
        <v>1</v>
      </c>
      <c r="C3" s="128">
        <v>1</v>
      </c>
      <c r="D3" s="128">
        <v>1</v>
      </c>
      <c r="E3" s="128">
        <v>1</v>
      </c>
      <c r="F3" s="128">
        <v>1</v>
      </c>
      <c r="G3" s="128">
        <v>1</v>
      </c>
      <c r="H3" s="128">
        <v>1</v>
      </c>
      <c r="I3" s="128">
        <v>1</v>
      </c>
      <c r="J3" s="128">
        <v>1</v>
      </c>
      <c r="K3" s="128">
        <v>1</v>
      </c>
      <c r="L3" s="128">
        <v>1</v>
      </c>
      <c r="M3" s="128">
        <v>1</v>
      </c>
      <c r="N3" s="128">
        <v>1</v>
      </c>
      <c r="O3" s="128">
        <v>1</v>
      </c>
      <c r="P3" s="128">
        <v>1</v>
      </c>
      <c r="Q3" s="128">
        <v>1</v>
      </c>
      <c r="R3" s="128">
        <v>1</v>
      </c>
      <c r="S3" s="128">
        <v>1</v>
      </c>
      <c r="T3" s="128">
        <v>1</v>
      </c>
      <c r="U3" s="128">
        <v>1</v>
      </c>
      <c r="V3" s="128">
        <v>1</v>
      </c>
      <c r="W3" s="128">
        <v>1</v>
      </c>
      <c r="X3" s="128">
        <v>1</v>
      </c>
      <c r="Y3" s="128">
        <v>1</v>
      </c>
      <c r="Z3" s="128">
        <v>1</v>
      </c>
      <c r="AA3" s="128">
        <v>1</v>
      </c>
      <c r="AB3" s="128">
        <v>1</v>
      </c>
      <c r="AC3" s="128">
        <v>1</v>
      </c>
      <c r="AD3" s="128">
        <v>1</v>
      </c>
      <c r="AE3" s="128">
        <v>1</v>
      </c>
      <c r="AF3" s="128">
        <v>1</v>
      </c>
      <c r="AG3" s="128">
        <v>1</v>
      </c>
      <c r="AH3" s="128">
        <v>1</v>
      </c>
      <c r="AI3" s="128">
        <v>1</v>
      </c>
      <c r="AJ3" s="128">
        <v>1</v>
      </c>
      <c r="AK3" s="128">
        <v>1</v>
      </c>
      <c r="AL3" s="128">
        <v>1</v>
      </c>
      <c r="AM3" s="128">
        <v>1</v>
      </c>
      <c r="AN3" s="128">
        <v>1</v>
      </c>
      <c r="AO3" s="128">
        <v>1</v>
      </c>
      <c r="AP3" s="128">
        <v>1</v>
      </c>
      <c r="AQ3" s="128">
        <v>1</v>
      </c>
      <c r="AR3" s="128">
        <v>1</v>
      </c>
      <c r="AS3" s="128">
        <v>1</v>
      </c>
      <c r="AT3" s="128">
        <v>1</v>
      </c>
      <c r="AU3" s="128">
        <v>1</v>
      </c>
      <c r="AV3" s="128">
        <v>1</v>
      </c>
      <c r="AW3" s="128">
        <v>1</v>
      </c>
      <c r="AX3" s="128">
        <v>1</v>
      </c>
      <c r="AY3" s="128">
        <v>1</v>
      </c>
      <c r="AZ3" s="128">
        <v>1</v>
      </c>
      <c r="BA3" s="128">
        <v>1</v>
      </c>
      <c r="BB3" s="128">
        <v>1</v>
      </c>
      <c r="BC3" s="128">
        <v>1</v>
      </c>
      <c r="BD3" s="128">
        <v>1</v>
      </c>
      <c r="BE3" s="128">
        <v>1</v>
      </c>
      <c r="BF3" s="128">
        <v>1</v>
      </c>
      <c r="BG3" s="128">
        <v>1</v>
      </c>
      <c r="BH3" s="128">
        <v>1</v>
      </c>
      <c r="BI3" s="128">
        <v>1</v>
      </c>
      <c r="BJ3" s="128">
        <v>1</v>
      </c>
      <c r="BK3" s="128">
        <v>1</v>
      </c>
      <c r="BL3" s="128">
        <v>1</v>
      </c>
      <c r="BM3" s="128">
        <v>1</v>
      </c>
      <c r="BN3" s="128">
        <v>1</v>
      </c>
      <c r="BO3" s="128">
        <v>1</v>
      </c>
      <c r="BP3" s="128">
        <v>1</v>
      </c>
      <c r="BQ3" s="128">
        <v>1</v>
      </c>
      <c r="BR3" s="128">
        <v>1</v>
      </c>
      <c r="BS3" s="128">
        <v>1</v>
      </c>
      <c r="BT3" s="128">
        <v>1</v>
      </c>
      <c r="BU3" s="128">
        <v>1</v>
      </c>
      <c r="BV3" s="128">
        <v>1</v>
      </c>
      <c r="BW3" s="128">
        <v>1</v>
      </c>
      <c r="BX3" s="128">
        <v>1</v>
      </c>
      <c r="BY3" s="128">
        <v>1</v>
      </c>
      <c r="BZ3" s="128">
        <v>1</v>
      </c>
      <c r="CA3" s="128">
        <v>1</v>
      </c>
      <c r="CB3" s="128">
        <v>1</v>
      </c>
      <c r="CC3" s="128">
        <v>1</v>
      </c>
      <c r="CD3" s="128">
        <v>1</v>
      </c>
      <c r="CE3" s="128">
        <v>1</v>
      </c>
      <c r="CF3" s="128">
        <v>1</v>
      </c>
      <c r="CG3" s="128">
        <v>1</v>
      </c>
      <c r="CH3" s="128">
        <v>1</v>
      </c>
      <c r="CI3" s="128">
        <v>1</v>
      </c>
      <c r="CJ3" s="128">
        <v>1</v>
      </c>
      <c r="CK3" s="128">
        <v>1</v>
      </c>
      <c r="CL3" s="128">
        <v>1</v>
      </c>
      <c r="CM3" s="128">
        <v>1</v>
      </c>
      <c r="CN3" s="128">
        <v>1</v>
      </c>
      <c r="CO3" s="128">
        <v>1</v>
      </c>
      <c r="CP3" s="128">
        <v>1</v>
      </c>
      <c r="CQ3" s="128">
        <v>1</v>
      </c>
      <c r="CR3" s="128">
        <v>1</v>
      </c>
      <c r="CS3" s="128">
        <v>1</v>
      </c>
      <c r="CT3" s="128">
        <v>1</v>
      </c>
      <c r="CU3" s="128">
        <v>1</v>
      </c>
      <c r="CV3" s="128">
        <v>1</v>
      </c>
      <c r="CW3" s="128">
        <v>1</v>
      </c>
      <c r="CX3" s="128">
        <v>1</v>
      </c>
      <c r="CZ3" s="126">
        <f>SUMIF(MatrixF3[[1]:[2]],MatrixF3[[#This Row],[Столбец1]])/MatrixF3[[#This Row],[Столбец1]]</f>
        <v>101</v>
      </c>
    </row>
    <row r="4" spans="1:104" ht="21" customHeight="1" x14ac:dyDescent="0.25">
      <c r="A4" s="127">
        <v>1.01</v>
      </c>
      <c r="B4" s="128">
        <v>1.01</v>
      </c>
      <c r="C4" s="128">
        <v>1.01</v>
      </c>
      <c r="D4" s="128">
        <v>1.01</v>
      </c>
      <c r="E4" s="128">
        <v>1.01</v>
      </c>
      <c r="F4" s="128">
        <v>1.01</v>
      </c>
      <c r="G4" s="128">
        <v>1.01</v>
      </c>
      <c r="H4" s="128">
        <v>1.01</v>
      </c>
      <c r="I4" s="128">
        <v>1.01</v>
      </c>
      <c r="J4" s="128">
        <v>1.01</v>
      </c>
      <c r="K4" s="128">
        <v>1.01</v>
      </c>
      <c r="L4" s="128">
        <v>1.01</v>
      </c>
      <c r="M4" s="128">
        <v>1.01</v>
      </c>
      <c r="N4" s="128">
        <v>1.01</v>
      </c>
      <c r="O4" s="128">
        <v>1.01</v>
      </c>
      <c r="P4" s="128">
        <v>1.01</v>
      </c>
      <c r="Q4" s="128">
        <v>1.01</v>
      </c>
      <c r="R4" s="128">
        <v>1.01</v>
      </c>
      <c r="S4" s="128">
        <v>1.01</v>
      </c>
      <c r="T4" s="128">
        <v>1.01</v>
      </c>
      <c r="U4" s="128">
        <v>1.01</v>
      </c>
      <c r="V4" s="128">
        <v>1.01</v>
      </c>
      <c r="W4" s="128">
        <v>1.01</v>
      </c>
      <c r="X4" s="128">
        <v>1.01</v>
      </c>
      <c r="Y4" s="128">
        <v>1.01</v>
      </c>
      <c r="Z4" s="128">
        <v>1.01</v>
      </c>
      <c r="AA4" s="128">
        <v>1.01</v>
      </c>
      <c r="AB4" s="128">
        <v>1.01</v>
      </c>
      <c r="AC4" s="128">
        <v>1.01</v>
      </c>
      <c r="AD4" s="128">
        <v>1.01</v>
      </c>
      <c r="AE4" s="128">
        <v>1.01</v>
      </c>
      <c r="AF4" s="128">
        <v>1.01</v>
      </c>
      <c r="AG4" s="128">
        <v>1.01</v>
      </c>
      <c r="AH4" s="128">
        <v>1.01</v>
      </c>
      <c r="AI4" s="128">
        <v>1.01</v>
      </c>
      <c r="AJ4" s="128">
        <v>1.01</v>
      </c>
      <c r="AK4" s="128">
        <v>1.02</v>
      </c>
      <c r="AL4" s="128">
        <v>1.02</v>
      </c>
      <c r="AM4" s="128">
        <v>1.02</v>
      </c>
      <c r="AN4" s="128">
        <v>1.02</v>
      </c>
      <c r="AO4" s="128">
        <v>1.02</v>
      </c>
      <c r="AP4" s="128">
        <v>1.02</v>
      </c>
      <c r="AQ4" s="128">
        <v>1.02</v>
      </c>
      <c r="AR4" s="128">
        <v>1.02</v>
      </c>
      <c r="AS4" s="128">
        <v>1.02</v>
      </c>
      <c r="AT4" s="128">
        <v>1.02</v>
      </c>
      <c r="AU4" s="128">
        <v>1.02</v>
      </c>
      <c r="AV4" s="128">
        <v>1.02</v>
      </c>
      <c r="AW4" s="128">
        <v>1.02</v>
      </c>
      <c r="AX4" s="128">
        <v>1.02</v>
      </c>
      <c r="AY4" s="128">
        <v>1.02</v>
      </c>
      <c r="AZ4" s="128">
        <v>1.02</v>
      </c>
      <c r="BA4" s="128">
        <v>1.02</v>
      </c>
      <c r="BB4" s="128">
        <v>1.02</v>
      </c>
      <c r="BC4" s="128">
        <v>1.02</v>
      </c>
      <c r="BD4" s="128">
        <v>1.02</v>
      </c>
      <c r="BE4" s="128">
        <v>1.02</v>
      </c>
      <c r="BF4" s="128">
        <v>1.02</v>
      </c>
      <c r="BG4" s="128">
        <v>1.02</v>
      </c>
      <c r="BH4" s="128">
        <v>1.02</v>
      </c>
      <c r="BI4" s="128">
        <v>1.02</v>
      </c>
      <c r="BJ4" s="128">
        <v>1.02</v>
      </c>
      <c r="BK4" s="128">
        <v>1.02</v>
      </c>
      <c r="BL4" s="128">
        <v>1.02</v>
      </c>
      <c r="BM4" s="128">
        <v>1.02</v>
      </c>
      <c r="BN4" s="128">
        <v>1.02</v>
      </c>
      <c r="BO4" s="128">
        <v>1.02</v>
      </c>
      <c r="BP4" s="128">
        <v>1.01</v>
      </c>
      <c r="BQ4" s="128">
        <v>1.01</v>
      </c>
      <c r="BR4" s="128">
        <v>1.01</v>
      </c>
      <c r="BS4" s="128">
        <v>1.01</v>
      </c>
      <c r="BT4" s="128">
        <v>1.01</v>
      </c>
      <c r="BU4" s="128">
        <v>1.01</v>
      </c>
      <c r="BV4" s="128">
        <v>1.01</v>
      </c>
      <c r="BW4" s="128">
        <v>1.01</v>
      </c>
      <c r="BX4" s="128">
        <v>1.01</v>
      </c>
      <c r="BY4" s="128">
        <v>1.01</v>
      </c>
      <c r="BZ4" s="128">
        <v>1.01</v>
      </c>
      <c r="CA4" s="128">
        <v>1.01</v>
      </c>
      <c r="CB4" s="128">
        <v>1.01</v>
      </c>
      <c r="CC4" s="128">
        <v>1.01</v>
      </c>
      <c r="CD4" s="128">
        <v>1.01</v>
      </c>
      <c r="CE4" s="128">
        <v>1.01</v>
      </c>
      <c r="CF4" s="128">
        <v>1.01</v>
      </c>
      <c r="CG4" s="128">
        <v>1.01</v>
      </c>
      <c r="CH4" s="128">
        <v>1.01</v>
      </c>
      <c r="CI4" s="128">
        <v>1.01</v>
      </c>
      <c r="CJ4" s="128">
        <v>1.01</v>
      </c>
      <c r="CK4" s="128">
        <v>1.01</v>
      </c>
      <c r="CL4" s="128">
        <v>1.01</v>
      </c>
      <c r="CM4" s="128">
        <v>1.01</v>
      </c>
      <c r="CN4" s="128">
        <v>1.01</v>
      </c>
      <c r="CO4" s="128">
        <v>1.01</v>
      </c>
      <c r="CP4" s="128">
        <v>1.01</v>
      </c>
      <c r="CQ4" s="128">
        <v>1.01</v>
      </c>
      <c r="CR4" s="128">
        <v>1.01</v>
      </c>
      <c r="CS4" s="128">
        <v>1.01</v>
      </c>
      <c r="CT4" s="128">
        <v>1.01</v>
      </c>
      <c r="CU4" s="128">
        <v>1.01</v>
      </c>
      <c r="CV4" s="128">
        <v>1.01</v>
      </c>
      <c r="CW4" s="128">
        <v>1.01</v>
      </c>
      <c r="CX4" s="128">
        <v>1.01</v>
      </c>
      <c r="CZ4" s="126">
        <f>SUMIF(MatrixF3[[1]:[2]],MatrixF3[[#This Row],[Столбец1]])/MatrixF3[[#This Row],[Столбец1]]</f>
        <v>69.999999999999986</v>
      </c>
    </row>
    <row r="5" spans="1:104" ht="21" customHeight="1" x14ac:dyDescent="0.25">
      <c r="A5" s="127">
        <v>1.02</v>
      </c>
      <c r="B5" s="128">
        <v>1.02</v>
      </c>
      <c r="C5" s="128">
        <v>1.02</v>
      </c>
      <c r="D5" s="128">
        <v>1.02</v>
      </c>
      <c r="E5" s="128">
        <v>1.02</v>
      </c>
      <c r="F5" s="128">
        <v>1.02</v>
      </c>
      <c r="G5" s="128">
        <v>1.02</v>
      </c>
      <c r="H5" s="128">
        <v>1.02</v>
      </c>
      <c r="I5" s="128">
        <v>1.02</v>
      </c>
      <c r="J5" s="128">
        <v>1.02</v>
      </c>
      <c r="K5" s="128">
        <v>1.02</v>
      </c>
      <c r="L5" s="128">
        <v>1.02</v>
      </c>
      <c r="M5" s="128">
        <v>1.02</v>
      </c>
      <c r="N5" s="128">
        <v>1.02</v>
      </c>
      <c r="O5" s="128">
        <v>1.02</v>
      </c>
      <c r="P5" s="128">
        <v>1.02</v>
      </c>
      <c r="Q5" s="128">
        <v>1.02</v>
      </c>
      <c r="R5" s="128">
        <v>1.02</v>
      </c>
      <c r="S5" s="128">
        <v>1.02</v>
      </c>
      <c r="T5" s="128">
        <v>1.02</v>
      </c>
      <c r="U5" s="128">
        <v>1.02</v>
      </c>
      <c r="V5" s="128">
        <v>1.02</v>
      </c>
      <c r="W5" s="128">
        <v>1.02</v>
      </c>
      <c r="X5" s="128">
        <v>1.03</v>
      </c>
      <c r="Y5" s="128">
        <v>1.03</v>
      </c>
      <c r="Z5" s="128">
        <v>1.03</v>
      </c>
      <c r="AA5" s="128">
        <v>1.03</v>
      </c>
      <c r="AB5" s="128">
        <v>1.03</v>
      </c>
      <c r="AC5" s="128">
        <v>1.03</v>
      </c>
      <c r="AD5" s="128">
        <v>1.03</v>
      </c>
      <c r="AE5" s="128">
        <v>1.03</v>
      </c>
      <c r="AF5" s="128">
        <v>1.03</v>
      </c>
      <c r="AG5" s="128">
        <v>1.03</v>
      </c>
      <c r="AH5" s="128">
        <v>1.03</v>
      </c>
      <c r="AI5" s="128">
        <v>1.03</v>
      </c>
      <c r="AJ5" s="128">
        <v>1.03</v>
      </c>
      <c r="AK5" s="128">
        <v>1.03</v>
      </c>
      <c r="AL5" s="128">
        <v>1.03</v>
      </c>
      <c r="AM5" s="128">
        <v>1.03</v>
      </c>
      <c r="AN5" s="128">
        <v>1.03</v>
      </c>
      <c r="AO5" s="128">
        <v>1.03</v>
      </c>
      <c r="AP5" s="128">
        <v>1.03</v>
      </c>
      <c r="AQ5" s="128">
        <v>1.03</v>
      </c>
      <c r="AR5" s="128">
        <v>1.03</v>
      </c>
      <c r="AS5" s="128">
        <v>1.03</v>
      </c>
      <c r="AT5" s="128">
        <v>1.03</v>
      </c>
      <c r="AU5" s="128">
        <v>1.04</v>
      </c>
      <c r="AV5" s="128">
        <v>1.04</v>
      </c>
      <c r="AW5" s="128">
        <v>1.04</v>
      </c>
      <c r="AX5" s="128">
        <v>1.04</v>
      </c>
      <c r="AY5" s="128">
        <v>1.04</v>
      </c>
      <c r="AZ5" s="128">
        <v>1.04</v>
      </c>
      <c r="BA5" s="128">
        <v>1.04</v>
      </c>
      <c r="BB5" s="128">
        <v>1.04</v>
      </c>
      <c r="BC5" s="128">
        <v>1.04</v>
      </c>
      <c r="BD5" s="128">
        <v>1.04</v>
      </c>
      <c r="BE5" s="128">
        <v>1.04</v>
      </c>
      <c r="BF5" s="128">
        <v>1.03</v>
      </c>
      <c r="BG5" s="128">
        <v>1.03</v>
      </c>
      <c r="BH5" s="128">
        <v>1.03</v>
      </c>
      <c r="BI5" s="128">
        <v>1.03</v>
      </c>
      <c r="BJ5" s="128">
        <v>1.03</v>
      </c>
      <c r="BK5" s="128">
        <v>1.03</v>
      </c>
      <c r="BL5" s="128">
        <v>1.03</v>
      </c>
      <c r="BM5" s="128">
        <v>1.03</v>
      </c>
      <c r="BN5" s="128">
        <v>1.03</v>
      </c>
      <c r="BO5" s="128">
        <v>1.03</v>
      </c>
      <c r="BP5" s="128">
        <v>1.03</v>
      </c>
      <c r="BQ5" s="128">
        <v>1.03</v>
      </c>
      <c r="BR5" s="128">
        <v>1.03</v>
      </c>
      <c r="BS5" s="128">
        <v>1.03</v>
      </c>
      <c r="BT5" s="128">
        <v>1.03</v>
      </c>
      <c r="BU5" s="128">
        <v>1.03</v>
      </c>
      <c r="BV5" s="128">
        <v>1.03</v>
      </c>
      <c r="BW5" s="128">
        <v>1.03</v>
      </c>
      <c r="BX5" s="128">
        <v>1.03</v>
      </c>
      <c r="BY5" s="128">
        <v>1.03</v>
      </c>
      <c r="BZ5" s="128">
        <v>1.03</v>
      </c>
      <c r="CA5" s="128">
        <v>1.03</v>
      </c>
      <c r="CB5" s="128">
        <v>1.03</v>
      </c>
      <c r="CC5" s="128">
        <v>1.02</v>
      </c>
      <c r="CD5" s="128">
        <v>1.02</v>
      </c>
      <c r="CE5" s="128">
        <v>1.02</v>
      </c>
      <c r="CF5" s="128">
        <v>1.02</v>
      </c>
      <c r="CG5" s="128">
        <v>1.02</v>
      </c>
      <c r="CH5" s="128">
        <v>1.02</v>
      </c>
      <c r="CI5" s="128">
        <v>1.02</v>
      </c>
      <c r="CJ5" s="128">
        <v>1.02</v>
      </c>
      <c r="CK5" s="128">
        <v>1.02</v>
      </c>
      <c r="CL5" s="128">
        <v>1.02</v>
      </c>
      <c r="CM5" s="128">
        <v>1.02</v>
      </c>
      <c r="CN5" s="128">
        <v>1.02</v>
      </c>
      <c r="CO5" s="128">
        <v>1.02</v>
      </c>
      <c r="CP5" s="128">
        <v>1.02</v>
      </c>
      <c r="CQ5" s="128">
        <v>1.02</v>
      </c>
      <c r="CR5" s="128">
        <v>1.02</v>
      </c>
      <c r="CS5" s="128">
        <v>1.02</v>
      </c>
      <c r="CT5" s="128">
        <v>1.02</v>
      </c>
      <c r="CU5" s="128">
        <v>1.02</v>
      </c>
      <c r="CV5" s="128">
        <v>1.02</v>
      </c>
      <c r="CW5" s="128">
        <v>1.02</v>
      </c>
      <c r="CX5" s="128">
        <v>1.02</v>
      </c>
      <c r="CZ5" s="126">
        <f>SUMIF(MatrixF3[[1]:[2]],MatrixF3[[#This Row],[Столбец1]])/MatrixF3[[#This Row],[Столбец1]]</f>
        <v>75.000000000000043</v>
      </c>
    </row>
    <row r="6" spans="1:104" ht="21" customHeight="1" x14ac:dyDescent="0.25">
      <c r="A6" s="127">
        <v>1.03</v>
      </c>
      <c r="B6" s="128">
        <v>1.03</v>
      </c>
      <c r="C6" s="128">
        <v>1.03</v>
      </c>
      <c r="D6" s="128">
        <v>1.03</v>
      </c>
      <c r="E6" s="128">
        <v>1.03</v>
      </c>
      <c r="F6" s="128">
        <v>1.03</v>
      </c>
      <c r="G6" s="128">
        <v>1.03</v>
      </c>
      <c r="H6" s="128">
        <v>1.03</v>
      </c>
      <c r="I6" s="128">
        <v>1.03</v>
      </c>
      <c r="J6" s="128">
        <v>1.03</v>
      </c>
      <c r="K6" s="128">
        <v>1.03</v>
      </c>
      <c r="L6" s="128">
        <v>1.03</v>
      </c>
      <c r="M6" s="128">
        <v>1.03</v>
      </c>
      <c r="N6" s="128">
        <v>1.03</v>
      </c>
      <c r="O6" s="128">
        <v>1.03</v>
      </c>
      <c r="P6" s="128">
        <v>1.03</v>
      </c>
      <c r="Q6" s="128">
        <v>1.03</v>
      </c>
      <c r="R6" s="128">
        <v>1.03</v>
      </c>
      <c r="S6" s="128">
        <v>1.03</v>
      </c>
      <c r="T6" s="128">
        <v>1.04</v>
      </c>
      <c r="U6" s="128">
        <v>1.04</v>
      </c>
      <c r="V6" s="128">
        <v>1.04</v>
      </c>
      <c r="W6" s="128">
        <v>1.04</v>
      </c>
      <c r="X6" s="128">
        <v>1.04</v>
      </c>
      <c r="Y6" s="128">
        <v>1.04</v>
      </c>
      <c r="Z6" s="128">
        <v>1.04</v>
      </c>
      <c r="AA6" s="128">
        <v>1.04</v>
      </c>
      <c r="AB6" s="128">
        <v>1.04</v>
      </c>
      <c r="AC6" s="128">
        <v>1.04</v>
      </c>
      <c r="AD6" s="128">
        <v>1.04</v>
      </c>
      <c r="AE6" s="128">
        <v>1.04</v>
      </c>
      <c r="AF6" s="128">
        <v>1.04</v>
      </c>
      <c r="AG6" s="128">
        <v>1.04</v>
      </c>
      <c r="AH6" s="128">
        <v>1.04</v>
      </c>
      <c r="AI6" s="128">
        <v>1.04</v>
      </c>
      <c r="AJ6" s="128">
        <v>1.04</v>
      </c>
      <c r="AK6" s="128">
        <v>1.04</v>
      </c>
      <c r="AL6" s="128">
        <v>1.04</v>
      </c>
      <c r="AM6" s="128">
        <v>1.05</v>
      </c>
      <c r="AN6" s="128">
        <v>1.05</v>
      </c>
      <c r="AO6" s="128">
        <v>1.05</v>
      </c>
      <c r="AP6" s="128">
        <v>1.05</v>
      </c>
      <c r="AQ6" s="128">
        <v>1.05</v>
      </c>
      <c r="AR6" s="128">
        <v>1.05</v>
      </c>
      <c r="AS6" s="128">
        <v>1.05</v>
      </c>
      <c r="AT6" s="128">
        <v>1.05</v>
      </c>
      <c r="AU6" s="128">
        <v>1.05</v>
      </c>
      <c r="AV6" s="128">
        <v>1.05</v>
      </c>
      <c r="AW6" s="128">
        <v>1.05</v>
      </c>
      <c r="AX6" s="128">
        <v>1.05</v>
      </c>
      <c r="AY6" s="128">
        <v>1.06</v>
      </c>
      <c r="AZ6" s="128">
        <v>1.06</v>
      </c>
      <c r="BA6" s="128">
        <v>1.06</v>
      </c>
      <c r="BB6" s="128">
        <v>1.05</v>
      </c>
      <c r="BC6" s="128">
        <v>1.05</v>
      </c>
      <c r="BD6" s="128">
        <v>1.05</v>
      </c>
      <c r="BE6" s="128">
        <v>1.05</v>
      </c>
      <c r="BF6" s="128">
        <v>1.05</v>
      </c>
      <c r="BG6" s="128">
        <v>1.05</v>
      </c>
      <c r="BH6" s="128">
        <v>1.05</v>
      </c>
      <c r="BI6" s="128">
        <v>1.05</v>
      </c>
      <c r="BJ6" s="128">
        <v>1.05</v>
      </c>
      <c r="BK6" s="128">
        <v>1.05</v>
      </c>
      <c r="BL6" s="128">
        <v>1.05</v>
      </c>
      <c r="BM6" s="128">
        <v>1.05</v>
      </c>
      <c r="BN6" s="128">
        <v>1.04</v>
      </c>
      <c r="BO6" s="128">
        <v>1.04</v>
      </c>
      <c r="BP6" s="128">
        <v>1.04</v>
      </c>
      <c r="BQ6" s="128">
        <v>1.04</v>
      </c>
      <c r="BR6" s="128">
        <v>1.04</v>
      </c>
      <c r="BS6" s="128">
        <v>1.04</v>
      </c>
      <c r="BT6" s="128">
        <v>1.04</v>
      </c>
      <c r="BU6" s="128">
        <v>1.04</v>
      </c>
      <c r="BV6" s="128">
        <v>1.04</v>
      </c>
      <c r="BW6" s="128">
        <v>1.04</v>
      </c>
      <c r="BX6" s="128">
        <v>1.04</v>
      </c>
      <c r="BY6" s="128">
        <v>1.04</v>
      </c>
      <c r="BZ6" s="128">
        <v>1.04</v>
      </c>
      <c r="CA6" s="128">
        <v>1.04</v>
      </c>
      <c r="CB6" s="128">
        <v>1.04</v>
      </c>
      <c r="CC6" s="128">
        <v>1.04</v>
      </c>
      <c r="CD6" s="128">
        <v>1.04</v>
      </c>
      <c r="CE6" s="128">
        <v>1.04</v>
      </c>
      <c r="CF6" s="128">
        <v>1.04</v>
      </c>
      <c r="CG6" s="128">
        <v>1.03</v>
      </c>
      <c r="CH6" s="128">
        <v>1.03</v>
      </c>
      <c r="CI6" s="128">
        <v>1.03</v>
      </c>
      <c r="CJ6" s="128">
        <v>1.03</v>
      </c>
      <c r="CK6" s="128">
        <v>1.03</v>
      </c>
      <c r="CL6" s="128">
        <v>1.03</v>
      </c>
      <c r="CM6" s="128">
        <v>1.03</v>
      </c>
      <c r="CN6" s="128">
        <v>1.03</v>
      </c>
      <c r="CO6" s="128">
        <v>1.03</v>
      </c>
      <c r="CP6" s="128">
        <v>1.03</v>
      </c>
      <c r="CQ6" s="128">
        <v>1.03</v>
      </c>
      <c r="CR6" s="128">
        <v>1.03</v>
      </c>
      <c r="CS6" s="128">
        <v>1.03</v>
      </c>
      <c r="CT6" s="128">
        <v>1.03</v>
      </c>
      <c r="CU6" s="128">
        <v>1.03</v>
      </c>
      <c r="CV6" s="128">
        <v>1.03</v>
      </c>
      <c r="CW6" s="128">
        <v>1.03</v>
      </c>
      <c r="CX6" s="128">
        <v>1.03</v>
      </c>
      <c r="CZ6" s="126">
        <f>SUMIF(MatrixF3[[1]:[2]],MatrixF3[[#This Row],[Столбец1]])/MatrixF3[[#This Row],[Столбец1]]</f>
        <v>82.000000000000057</v>
      </c>
    </row>
    <row r="7" spans="1:104" ht="21" customHeight="1" x14ac:dyDescent="0.25">
      <c r="A7" s="127">
        <v>1.04</v>
      </c>
      <c r="B7" s="128">
        <v>1.04</v>
      </c>
      <c r="C7" s="128">
        <v>1.04</v>
      </c>
      <c r="D7" s="128">
        <v>1.04</v>
      </c>
      <c r="E7" s="128">
        <v>1.04</v>
      </c>
      <c r="F7" s="128">
        <v>1.04</v>
      </c>
      <c r="G7" s="128">
        <v>1.04</v>
      </c>
      <c r="H7" s="128">
        <v>1.04</v>
      </c>
      <c r="I7" s="128">
        <v>1.04</v>
      </c>
      <c r="J7" s="128">
        <v>1.04</v>
      </c>
      <c r="K7" s="128">
        <v>1.04</v>
      </c>
      <c r="L7" s="128">
        <v>1.04</v>
      </c>
      <c r="M7" s="128">
        <v>1.04</v>
      </c>
      <c r="N7" s="128">
        <v>1.04</v>
      </c>
      <c r="O7" s="128">
        <v>1.04</v>
      </c>
      <c r="P7" s="128">
        <v>1.04</v>
      </c>
      <c r="Q7" s="128">
        <v>1.04</v>
      </c>
      <c r="R7" s="128">
        <v>1.05</v>
      </c>
      <c r="S7" s="128">
        <v>1.05</v>
      </c>
      <c r="T7" s="128">
        <v>1.05</v>
      </c>
      <c r="U7" s="128">
        <v>1.05</v>
      </c>
      <c r="V7" s="128">
        <v>1.05</v>
      </c>
      <c r="W7" s="128">
        <v>1.05</v>
      </c>
      <c r="X7" s="128">
        <v>1.05</v>
      </c>
      <c r="Y7" s="128">
        <v>1.05</v>
      </c>
      <c r="Z7" s="128">
        <v>1.05</v>
      </c>
      <c r="AA7" s="128">
        <v>1.05</v>
      </c>
      <c r="AB7" s="128">
        <v>1.05</v>
      </c>
      <c r="AC7" s="128">
        <v>1.05</v>
      </c>
      <c r="AD7" s="128">
        <v>1.05</v>
      </c>
      <c r="AE7" s="128">
        <v>1.05</v>
      </c>
      <c r="AF7" s="128">
        <v>1.05</v>
      </c>
      <c r="AG7" s="128">
        <v>1.05</v>
      </c>
      <c r="AH7" s="128">
        <v>1.06</v>
      </c>
      <c r="AI7" s="128">
        <v>1.06</v>
      </c>
      <c r="AJ7" s="128">
        <v>1.06</v>
      </c>
      <c r="AK7" s="128">
        <v>1.06</v>
      </c>
      <c r="AL7" s="128">
        <v>1.06</v>
      </c>
      <c r="AM7" s="128">
        <v>1.06</v>
      </c>
      <c r="AN7" s="128">
        <v>1.06</v>
      </c>
      <c r="AO7" s="128">
        <v>1.06</v>
      </c>
      <c r="AP7" s="128">
        <v>1.06</v>
      </c>
      <c r="AQ7" s="128">
        <v>1.06</v>
      </c>
      <c r="AR7" s="128">
        <v>1.06</v>
      </c>
      <c r="AS7" s="128">
        <v>1.07</v>
      </c>
      <c r="AT7" s="128">
        <v>1.07</v>
      </c>
      <c r="AU7" s="128">
        <v>1.07</v>
      </c>
      <c r="AV7" s="128">
        <v>1.07</v>
      </c>
      <c r="AW7" s="128">
        <v>1.07</v>
      </c>
      <c r="AX7" s="128">
        <v>1.07</v>
      </c>
      <c r="AY7" s="128">
        <v>1.07</v>
      </c>
      <c r="AZ7" s="128">
        <v>1.07</v>
      </c>
      <c r="BA7" s="128">
        <v>1.07</v>
      </c>
      <c r="BB7" s="128">
        <v>1.07</v>
      </c>
      <c r="BC7" s="128">
        <v>1.07</v>
      </c>
      <c r="BD7" s="128">
        <v>1.07</v>
      </c>
      <c r="BE7" s="128">
        <v>1.07</v>
      </c>
      <c r="BF7" s="128">
        <v>1.07</v>
      </c>
      <c r="BG7" s="128">
        <v>1.07</v>
      </c>
      <c r="BH7" s="128">
        <v>1.06</v>
      </c>
      <c r="BI7" s="128">
        <v>1.06</v>
      </c>
      <c r="BJ7" s="128">
        <v>1.06</v>
      </c>
      <c r="BK7" s="128">
        <v>1.06</v>
      </c>
      <c r="BL7" s="128">
        <v>1.06</v>
      </c>
      <c r="BM7" s="128">
        <v>1.06</v>
      </c>
      <c r="BN7" s="128">
        <v>1.06</v>
      </c>
      <c r="BO7" s="128">
        <v>1.06</v>
      </c>
      <c r="BP7" s="128">
        <v>1.06</v>
      </c>
      <c r="BQ7" s="128">
        <v>1.06</v>
      </c>
      <c r="BR7" s="128">
        <v>1.06</v>
      </c>
      <c r="BS7" s="128">
        <v>1.05</v>
      </c>
      <c r="BT7" s="128">
        <v>1.05</v>
      </c>
      <c r="BU7" s="128">
        <v>1.05</v>
      </c>
      <c r="BV7" s="128">
        <v>1.05</v>
      </c>
      <c r="BW7" s="128">
        <v>1.05</v>
      </c>
      <c r="BX7" s="128">
        <v>1.05</v>
      </c>
      <c r="BY7" s="128">
        <v>1.05</v>
      </c>
      <c r="BZ7" s="128">
        <v>1.05</v>
      </c>
      <c r="CA7" s="128">
        <v>1.05</v>
      </c>
      <c r="CB7" s="128">
        <v>1.05</v>
      </c>
      <c r="CC7" s="128">
        <v>1.05</v>
      </c>
      <c r="CD7" s="128">
        <v>1.05</v>
      </c>
      <c r="CE7" s="128">
        <v>1.05</v>
      </c>
      <c r="CF7" s="128">
        <v>1.05</v>
      </c>
      <c r="CG7" s="128">
        <v>1.05</v>
      </c>
      <c r="CH7" s="128">
        <v>1.05</v>
      </c>
      <c r="CI7" s="128">
        <v>1.04</v>
      </c>
      <c r="CJ7" s="128">
        <v>1.04</v>
      </c>
      <c r="CK7" s="128">
        <v>1.04</v>
      </c>
      <c r="CL7" s="128">
        <v>1.04</v>
      </c>
      <c r="CM7" s="128">
        <v>1.04</v>
      </c>
      <c r="CN7" s="128">
        <v>1.04</v>
      </c>
      <c r="CO7" s="128">
        <v>1.04</v>
      </c>
      <c r="CP7" s="128">
        <v>1.04</v>
      </c>
      <c r="CQ7" s="128">
        <v>1.04</v>
      </c>
      <c r="CR7" s="128">
        <v>1.04</v>
      </c>
      <c r="CS7" s="128">
        <v>1.04</v>
      </c>
      <c r="CT7" s="128">
        <v>1.04</v>
      </c>
      <c r="CU7" s="128">
        <v>1.04</v>
      </c>
      <c r="CV7" s="128">
        <v>1.04</v>
      </c>
      <c r="CW7" s="128">
        <v>1.04</v>
      </c>
      <c r="CX7" s="128">
        <v>1.04</v>
      </c>
      <c r="CZ7" s="126">
        <f>SUMIF(MatrixF3[[1]:[2]],MatrixF3[[#This Row],[Столбец1]])/MatrixF3[[#This Row],[Столбец1]]</f>
        <v>81.000000000000071</v>
      </c>
    </row>
    <row r="8" spans="1:104" ht="21" customHeight="1" x14ac:dyDescent="0.25">
      <c r="A8" s="127">
        <v>1.05</v>
      </c>
      <c r="B8" s="128">
        <v>1.05</v>
      </c>
      <c r="C8" s="128">
        <v>1.05</v>
      </c>
      <c r="D8" s="128">
        <v>1.05</v>
      </c>
      <c r="E8" s="128">
        <v>1.05</v>
      </c>
      <c r="F8" s="128">
        <v>1.05</v>
      </c>
      <c r="G8" s="128">
        <v>1.05</v>
      </c>
      <c r="H8" s="128">
        <v>1.05</v>
      </c>
      <c r="I8" s="128">
        <v>1.05</v>
      </c>
      <c r="J8" s="128">
        <v>1.05</v>
      </c>
      <c r="K8" s="128">
        <v>1.05</v>
      </c>
      <c r="L8" s="128">
        <v>1.05</v>
      </c>
      <c r="M8" s="128">
        <v>1.05</v>
      </c>
      <c r="N8" s="128">
        <v>1.05</v>
      </c>
      <c r="O8" s="128">
        <v>1.05</v>
      </c>
      <c r="P8" s="128">
        <v>1.05</v>
      </c>
      <c r="Q8" s="128">
        <v>1.06</v>
      </c>
      <c r="R8" s="128">
        <v>1.06</v>
      </c>
      <c r="S8" s="128">
        <v>1.06</v>
      </c>
      <c r="T8" s="128">
        <v>1.06</v>
      </c>
      <c r="U8" s="128">
        <v>1.06</v>
      </c>
      <c r="V8" s="128">
        <v>1.06</v>
      </c>
      <c r="W8" s="128">
        <v>1.06</v>
      </c>
      <c r="X8" s="128">
        <v>1.06</v>
      </c>
      <c r="Y8" s="128">
        <v>1.06</v>
      </c>
      <c r="Z8" s="128">
        <v>1.06</v>
      </c>
      <c r="AA8" s="128">
        <v>1.06</v>
      </c>
      <c r="AB8" s="128">
        <v>1.06</v>
      </c>
      <c r="AC8" s="128">
        <v>1.06</v>
      </c>
      <c r="AD8" s="128">
        <v>1.06</v>
      </c>
      <c r="AE8" s="128">
        <v>1.07</v>
      </c>
      <c r="AF8" s="128">
        <v>1.07</v>
      </c>
      <c r="AG8" s="128">
        <v>1.07</v>
      </c>
      <c r="AH8" s="128">
        <v>1.07</v>
      </c>
      <c r="AI8" s="128">
        <v>1.07</v>
      </c>
      <c r="AJ8" s="128">
        <v>1.07</v>
      </c>
      <c r="AK8" s="128">
        <v>1.07</v>
      </c>
      <c r="AL8" s="128">
        <v>1.07</v>
      </c>
      <c r="AM8" s="128">
        <v>1.07</v>
      </c>
      <c r="AN8" s="128">
        <v>1.07</v>
      </c>
      <c r="AO8" s="128">
        <v>1.08</v>
      </c>
      <c r="AP8" s="128">
        <v>1.08</v>
      </c>
      <c r="AQ8" s="128">
        <v>1.08</v>
      </c>
      <c r="AR8" s="128">
        <v>1.08</v>
      </c>
      <c r="AS8" s="128">
        <v>1.08</v>
      </c>
      <c r="AT8" s="128">
        <v>1.08</v>
      </c>
      <c r="AU8" s="128">
        <v>1.08</v>
      </c>
      <c r="AV8" s="128">
        <v>1.08</v>
      </c>
      <c r="AW8" s="128">
        <v>1.0900000000000001</v>
      </c>
      <c r="AX8" s="128">
        <v>1.0900000000000001</v>
      </c>
      <c r="AY8" s="128">
        <v>1.0900000000000001</v>
      </c>
      <c r="AZ8" s="128">
        <v>1.0900000000000001</v>
      </c>
      <c r="BA8" s="128">
        <v>1.0900000000000001</v>
      </c>
      <c r="BB8" s="128">
        <v>1.0900000000000001</v>
      </c>
      <c r="BC8" s="128">
        <v>1.0900000000000001</v>
      </c>
      <c r="BD8" s="128">
        <v>1.08</v>
      </c>
      <c r="BE8" s="128">
        <v>1.08</v>
      </c>
      <c r="BF8" s="128">
        <v>1.08</v>
      </c>
      <c r="BG8" s="128">
        <v>1.08</v>
      </c>
      <c r="BH8" s="128">
        <v>1.08</v>
      </c>
      <c r="BI8" s="128">
        <v>1.08</v>
      </c>
      <c r="BJ8" s="128">
        <v>1.08</v>
      </c>
      <c r="BK8" s="128">
        <v>1.08</v>
      </c>
      <c r="BL8" s="128">
        <v>1.07</v>
      </c>
      <c r="BM8" s="128">
        <v>1.07</v>
      </c>
      <c r="BN8" s="128">
        <v>1.07</v>
      </c>
      <c r="BO8" s="128">
        <v>1.07</v>
      </c>
      <c r="BP8" s="128">
        <v>1.07</v>
      </c>
      <c r="BQ8" s="128">
        <v>1.07</v>
      </c>
      <c r="BR8" s="128">
        <v>1.07</v>
      </c>
      <c r="BS8" s="128">
        <v>1.07</v>
      </c>
      <c r="BT8" s="128">
        <v>1.07</v>
      </c>
      <c r="BU8" s="128">
        <v>1.07</v>
      </c>
      <c r="BV8" s="128">
        <v>1.06</v>
      </c>
      <c r="BW8" s="128">
        <v>1.06</v>
      </c>
      <c r="BX8" s="128">
        <v>1.06</v>
      </c>
      <c r="BY8" s="128">
        <v>1.06</v>
      </c>
      <c r="BZ8" s="128">
        <v>1.06</v>
      </c>
      <c r="CA8" s="128">
        <v>1.06</v>
      </c>
      <c r="CB8" s="128">
        <v>1.06</v>
      </c>
      <c r="CC8" s="128">
        <v>1.06</v>
      </c>
      <c r="CD8" s="128">
        <v>1.06</v>
      </c>
      <c r="CE8" s="128">
        <v>1.06</v>
      </c>
      <c r="CF8" s="128">
        <v>1.06</v>
      </c>
      <c r="CG8" s="128">
        <v>1.06</v>
      </c>
      <c r="CH8" s="128">
        <v>1.06</v>
      </c>
      <c r="CI8" s="128">
        <v>1.06</v>
      </c>
      <c r="CJ8" s="128">
        <v>1.05</v>
      </c>
      <c r="CK8" s="128">
        <v>1.05</v>
      </c>
      <c r="CL8" s="128">
        <v>1.05</v>
      </c>
      <c r="CM8" s="128">
        <v>1.05</v>
      </c>
      <c r="CN8" s="128">
        <v>1.05</v>
      </c>
      <c r="CO8" s="128">
        <v>1.05</v>
      </c>
      <c r="CP8" s="128">
        <v>1.05</v>
      </c>
      <c r="CQ8" s="128">
        <v>1.05</v>
      </c>
      <c r="CR8" s="128">
        <v>1.05</v>
      </c>
      <c r="CS8" s="128">
        <v>1.05</v>
      </c>
      <c r="CT8" s="128">
        <v>1.05</v>
      </c>
      <c r="CU8" s="128">
        <v>1.05</v>
      </c>
      <c r="CV8" s="128">
        <v>1.05</v>
      </c>
      <c r="CW8" s="128">
        <v>1.05</v>
      </c>
      <c r="CX8" s="128">
        <v>1.05</v>
      </c>
      <c r="CZ8" s="126">
        <f>SUMIF(MatrixF3[[1]:[2]],MatrixF3[[#This Row],[Столбец1]])/MatrixF3[[#This Row],[Столбец1]]</f>
        <v>85.999999999999858</v>
      </c>
    </row>
    <row r="9" spans="1:104" ht="21" customHeight="1" x14ac:dyDescent="0.25">
      <c r="A9" s="127">
        <v>1.06</v>
      </c>
      <c r="B9" s="128">
        <v>1.06</v>
      </c>
      <c r="C9" s="128">
        <v>1.06</v>
      </c>
      <c r="D9" s="128">
        <v>1.06</v>
      </c>
      <c r="E9" s="128">
        <v>1.06</v>
      </c>
      <c r="F9" s="128">
        <v>1.06</v>
      </c>
      <c r="G9" s="128">
        <v>1.06</v>
      </c>
      <c r="H9" s="128">
        <v>1.06</v>
      </c>
      <c r="I9" s="128">
        <v>1.06</v>
      </c>
      <c r="J9" s="128">
        <v>1.06</v>
      </c>
      <c r="K9" s="128">
        <v>1.06</v>
      </c>
      <c r="L9" s="128">
        <v>1.06</v>
      </c>
      <c r="M9" s="128">
        <v>1.06</v>
      </c>
      <c r="N9" s="128">
        <v>1.06</v>
      </c>
      <c r="O9" s="128">
        <v>1.06</v>
      </c>
      <c r="P9" s="128">
        <v>1.07</v>
      </c>
      <c r="Q9" s="128">
        <v>1.07</v>
      </c>
      <c r="R9" s="128">
        <v>1.07</v>
      </c>
      <c r="S9" s="128">
        <v>1.07</v>
      </c>
      <c r="T9" s="128">
        <v>1.07</v>
      </c>
      <c r="U9" s="128">
        <v>1.07</v>
      </c>
      <c r="V9" s="128">
        <v>1.07</v>
      </c>
      <c r="W9" s="128">
        <v>1.07</v>
      </c>
      <c r="X9" s="128">
        <v>1.07</v>
      </c>
      <c r="Y9" s="128">
        <v>1.07</v>
      </c>
      <c r="Z9" s="128">
        <v>1.07</v>
      </c>
      <c r="AA9" s="128">
        <v>1.07</v>
      </c>
      <c r="AB9" s="128">
        <v>1.08</v>
      </c>
      <c r="AC9" s="128">
        <v>1.08</v>
      </c>
      <c r="AD9" s="128">
        <v>1.08</v>
      </c>
      <c r="AE9" s="128">
        <v>1.08</v>
      </c>
      <c r="AF9" s="128">
        <v>1.08</v>
      </c>
      <c r="AG9" s="128">
        <v>1.08</v>
      </c>
      <c r="AH9" s="128">
        <v>1.08</v>
      </c>
      <c r="AI9" s="128">
        <v>1.08</v>
      </c>
      <c r="AJ9" s="128">
        <v>1.08</v>
      </c>
      <c r="AK9" s="128">
        <v>1.08</v>
      </c>
      <c r="AL9" s="128">
        <v>1.0900000000000001</v>
      </c>
      <c r="AM9" s="128">
        <v>1.0900000000000001</v>
      </c>
      <c r="AN9" s="128">
        <v>1.0900000000000001</v>
      </c>
      <c r="AO9" s="128">
        <v>1.0900000000000001</v>
      </c>
      <c r="AP9" s="128">
        <v>1.0900000000000001</v>
      </c>
      <c r="AQ9" s="128">
        <v>1.0900000000000001</v>
      </c>
      <c r="AR9" s="128">
        <v>1.0900000000000001</v>
      </c>
      <c r="AS9" s="128">
        <v>1.1000000000000001</v>
      </c>
      <c r="AT9" s="128">
        <v>1.1000000000000001</v>
      </c>
      <c r="AU9" s="128">
        <v>1.1000000000000001</v>
      </c>
      <c r="AV9" s="128">
        <v>1.1000000000000001</v>
      </c>
      <c r="AW9" s="128">
        <v>1.1000000000000001</v>
      </c>
      <c r="AX9" s="128">
        <v>1.1000000000000001</v>
      </c>
      <c r="AY9" s="128">
        <v>1.1100000000000001</v>
      </c>
      <c r="AZ9" s="128">
        <v>1.1100000000000001</v>
      </c>
      <c r="BA9" s="128">
        <v>1.1100000000000001</v>
      </c>
      <c r="BB9" s="128">
        <v>1.1000000000000001</v>
      </c>
      <c r="BC9" s="128">
        <v>1.1000000000000001</v>
      </c>
      <c r="BD9" s="128">
        <v>1.1000000000000001</v>
      </c>
      <c r="BE9" s="128">
        <v>1.1000000000000001</v>
      </c>
      <c r="BF9" s="128">
        <v>1.1000000000000001</v>
      </c>
      <c r="BG9" s="128">
        <v>1.1000000000000001</v>
      </c>
      <c r="BH9" s="128">
        <v>1.0900000000000001</v>
      </c>
      <c r="BI9" s="128">
        <v>1.0900000000000001</v>
      </c>
      <c r="BJ9" s="128">
        <v>1.0900000000000001</v>
      </c>
      <c r="BK9" s="128">
        <v>1.0900000000000001</v>
      </c>
      <c r="BL9" s="128">
        <v>1.0900000000000001</v>
      </c>
      <c r="BM9" s="128">
        <v>1.0900000000000001</v>
      </c>
      <c r="BN9" s="128">
        <v>1.0900000000000001</v>
      </c>
      <c r="BO9" s="128">
        <v>1.08</v>
      </c>
      <c r="BP9" s="128">
        <v>1.08</v>
      </c>
      <c r="BQ9" s="128">
        <v>1.08</v>
      </c>
      <c r="BR9" s="128">
        <v>1.08</v>
      </c>
      <c r="BS9" s="128">
        <v>1.08</v>
      </c>
      <c r="BT9" s="128">
        <v>1.08</v>
      </c>
      <c r="BU9" s="128">
        <v>1.08</v>
      </c>
      <c r="BV9" s="128">
        <v>1.08</v>
      </c>
      <c r="BW9" s="128">
        <v>1.08</v>
      </c>
      <c r="BX9" s="128">
        <v>1.08</v>
      </c>
      <c r="BY9" s="128">
        <v>1.07</v>
      </c>
      <c r="BZ9" s="128">
        <v>1.07</v>
      </c>
      <c r="CA9" s="128">
        <v>1.07</v>
      </c>
      <c r="CB9" s="128">
        <v>1.07</v>
      </c>
      <c r="CC9" s="128">
        <v>1.07</v>
      </c>
      <c r="CD9" s="128">
        <v>1.07</v>
      </c>
      <c r="CE9" s="128">
        <v>1.07</v>
      </c>
      <c r="CF9" s="128">
        <v>1.07</v>
      </c>
      <c r="CG9" s="128">
        <v>1.07</v>
      </c>
      <c r="CH9" s="128">
        <v>1.07</v>
      </c>
      <c r="CI9" s="128">
        <v>1.07</v>
      </c>
      <c r="CJ9" s="128">
        <v>1.07</v>
      </c>
      <c r="CK9" s="128">
        <v>1.06</v>
      </c>
      <c r="CL9" s="128">
        <v>1.06</v>
      </c>
      <c r="CM9" s="128">
        <v>1.06</v>
      </c>
      <c r="CN9" s="128">
        <v>1.06</v>
      </c>
      <c r="CO9" s="128">
        <v>1.06</v>
      </c>
      <c r="CP9" s="128">
        <v>1.06</v>
      </c>
      <c r="CQ9" s="128">
        <v>1.06</v>
      </c>
      <c r="CR9" s="128">
        <v>1.06</v>
      </c>
      <c r="CS9" s="128">
        <v>1.06</v>
      </c>
      <c r="CT9" s="128">
        <v>1.06</v>
      </c>
      <c r="CU9" s="128">
        <v>1.06</v>
      </c>
      <c r="CV9" s="128">
        <v>1.06</v>
      </c>
      <c r="CW9" s="128">
        <v>1.06</v>
      </c>
      <c r="CX9" s="128">
        <v>1.06</v>
      </c>
      <c r="CZ9" s="126">
        <f>SUMIF(MatrixF3[[1]:[2]],MatrixF3[[#This Row],[Столбец1]])/MatrixF3[[#This Row],[Столбец1]]</f>
        <v>81.000000000000085</v>
      </c>
    </row>
    <row r="10" spans="1:104" ht="21" customHeight="1" x14ac:dyDescent="0.25">
      <c r="A10" s="127">
        <v>1.07</v>
      </c>
      <c r="B10" s="128">
        <v>1.07</v>
      </c>
      <c r="C10" s="128">
        <v>1.07</v>
      </c>
      <c r="D10" s="128">
        <v>1.07</v>
      </c>
      <c r="E10" s="128">
        <v>1.07</v>
      </c>
      <c r="F10" s="128">
        <v>1.07</v>
      </c>
      <c r="G10" s="128">
        <v>1.07</v>
      </c>
      <c r="H10" s="128">
        <v>1.07</v>
      </c>
      <c r="I10" s="128">
        <v>1.07</v>
      </c>
      <c r="J10" s="128">
        <v>1.07</v>
      </c>
      <c r="K10" s="128">
        <v>1.07</v>
      </c>
      <c r="L10" s="128">
        <v>1.07</v>
      </c>
      <c r="M10" s="128">
        <v>1.07</v>
      </c>
      <c r="N10" s="128">
        <v>1.07</v>
      </c>
      <c r="O10" s="128">
        <v>1.07</v>
      </c>
      <c r="P10" s="128">
        <v>1.08</v>
      </c>
      <c r="Q10" s="128">
        <v>1.08</v>
      </c>
      <c r="R10" s="128">
        <v>1.08</v>
      </c>
      <c r="S10" s="128">
        <v>1.08</v>
      </c>
      <c r="T10" s="128">
        <v>1.08</v>
      </c>
      <c r="U10" s="128">
        <v>1.08</v>
      </c>
      <c r="V10" s="128">
        <v>1.08</v>
      </c>
      <c r="W10" s="128">
        <v>1.08</v>
      </c>
      <c r="X10" s="128">
        <v>1.08</v>
      </c>
      <c r="Y10" s="128">
        <v>1.08</v>
      </c>
      <c r="Z10" s="128">
        <v>1.08</v>
      </c>
      <c r="AA10" s="128">
        <v>1.0900000000000001</v>
      </c>
      <c r="AB10" s="128">
        <v>1.0900000000000001</v>
      </c>
      <c r="AC10" s="128">
        <v>1.0900000000000001</v>
      </c>
      <c r="AD10" s="128">
        <v>1.0900000000000001</v>
      </c>
      <c r="AE10" s="128">
        <v>1.0900000000000001</v>
      </c>
      <c r="AF10" s="128">
        <v>1.0900000000000001</v>
      </c>
      <c r="AG10" s="128">
        <v>1.0900000000000001</v>
      </c>
      <c r="AH10" s="128">
        <v>1.0900000000000001</v>
      </c>
      <c r="AI10" s="128">
        <v>1.0900000000000001</v>
      </c>
      <c r="AJ10" s="128">
        <v>1.1000000000000001</v>
      </c>
      <c r="AK10" s="128">
        <v>1.1000000000000001</v>
      </c>
      <c r="AL10" s="128">
        <v>1.1000000000000001</v>
      </c>
      <c r="AM10" s="128">
        <v>1.1000000000000001</v>
      </c>
      <c r="AN10" s="128">
        <v>1.1000000000000001</v>
      </c>
      <c r="AO10" s="128">
        <v>1.1000000000000001</v>
      </c>
      <c r="AP10" s="128">
        <v>1.1000000000000001</v>
      </c>
      <c r="AQ10" s="128">
        <v>1.1100000000000001</v>
      </c>
      <c r="AR10" s="128">
        <v>1.1100000000000001</v>
      </c>
      <c r="AS10" s="128">
        <v>1.1100000000000001</v>
      </c>
      <c r="AT10" s="128">
        <v>1.1100000000000001</v>
      </c>
      <c r="AU10" s="128">
        <v>1.1100000000000001</v>
      </c>
      <c r="AV10" s="128">
        <v>1.1100000000000001</v>
      </c>
      <c r="AW10" s="128">
        <v>1.1200000000000001</v>
      </c>
      <c r="AX10" s="128">
        <v>1.1200000000000001</v>
      </c>
      <c r="AY10" s="128">
        <v>1.1200000000000001</v>
      </c>
      <c r="AZ10" s="128">
        <v>1.1200000000000001</v>
      </c>
      <c r="BA10" s="128">
        <v>1.1200000000000001</v>
      </c>
      <c r="BB10" s="128">
        <v>1.1200000000000001</v>
      </c>
      <c r="BC10" s="128">
        <v>1.1200000000000001</v>
      </c>
      <c r="BD10" s="128">
        <v>1.1100000000000001</v>
      </c>
      <c r="BE10" s="128">
        <v>1.1100000000000001</v>
      </c>
      <c r="BF10" s="128">
        <v>1.1100000000000001</v>
      </c>
      <c r="BG10" s="128">
        <v>1.1100000000000001</v>
      </c>
      <c r="BH10" s="128">
        <v>1.1100000000000001</v>
      </c>
      <c r="BI10" s="128">
        <v>1.1100000000000001</v>
      </c>
      <c r="BJ10" s="128">
        <v>1.1000000000000001</v>
      </c>
      <c r="BK10" s="128">
        <v>1.1000000000000001</v>
      </c>
      <c r="BL10" s="128">
        <v>1.1000000000000001</v>
      </c>
      <c r="BM10" s="128">
        <v>1.1000000000000001</v>
      </c>
      <c r="BN10" s="128">
        <v>1.1000000000000001</v>
      </c>
      <c r="BO10" s="128">
        <v>1.1000000000000001</v>
      </c>
      <c r="BP10" s="128">
        <v>1.1000000000000001</v>
      </c>
      <c r="BQ10" s="128">
        <v>1.0900000000000001</v>
      </c>
      <c r="BR10" s="128">
        <v>1.0900000000000001</v>
      </c>
      <c r="BS10" s="128">
        <v>1.0900000000000001</v>
      </c>
      <c r="BT10" s="128">
        <v>1.0900000000000001</v>
      </c>
      <c r="BU10" s="128">
        <v>1.0900000000000001</v>
      </c>
      <c r="BV10" s="128">
        <v>1.0900000000000001</v>
      </c>
      <c r="BW10" s="128">
        <v>1.0900000000000001</v>
      </c>
      <c r="BX10" s="128">
        <v>1.0900000000000001</v>
      </c>
      <c r="BY10" s="128">
        <v>1.0900000000000001</v>
      </c>
      <c r="BZ10" s="128">
        <v>1.08</v>
      </c>
      <c r="CA10" s="128">
        <v>1.08</v>
      </c>
      <c r="CB10" s="128">
        <v>1.08</v>
      </c>
      <c r="CC10" s="128">
        <v>1.08</v>
      </c>
      <c r="CD10" s="128">
        <v>1.08</v>
      </c>
      <c r="CE10" s="128">
        <v>1.08</v>
      </c>
      <c r="CF10" s="128">
        <v>1.08</v>
      </c>
      <c r="CG10" s="128">
        <v>1.08</v>
      </c>
      <c r="CH10" s="128">
        <v>1.08</v>
      </c>
      <c r="CI10" s="128">
        <v>1.08</v>
      </c>
      <c r="CJ10" s="128">
        <v>1.08</v>
      </c>
      <c r="CK10" s="128">
        <v>1.07</v>
      </c>
      <c r="CL10" s="128">
        <v>1.07</v>
      </c>
      <c r="CM10" s="128">
        <v>1.07</v>
      </c>
      <c r="CN10" s="128">
        <v>1.07</v>
      </c>
      <c r="CO10" s="128">
        <v>1.07</v>
      </c>
      <c r="CP10" s="128">
        <v>1.07</v>
      </c>
      <c r="CQ10" s="128">
        <v>1.07</v>
      </c>
      <c r="CR10" s="128">
        <v>1.07</v>
      </c>
      <c r="CS10" s="128">
        <v>1.07</v>
      </c>
      <c r="CT10" s="128">
        <v>1.07</v>
      </c>
      <c r="CU10" s="128">
        <v>1.07</v>
      </c>
      <c r="CV10" s="128">
        <v>1.07</v>
      </c>
      <c r="CW10" s="128">
        <v>1.07</v>
      </c>
      <c r="CX10" s="128">
        <v>1.07</v>
      </c>
      <c r="CZ10" s="126">
        <f>SUMIF(MatrixF3[[1]:[2]],MatrixF3[[#This Row],[Столбец1]])/MatrixF3[[#This Row],[Столбец1]]</f>
        <v>86.999999999999829</v>
      </c>
    </row>
    <row r="11" spans="1:104" ht="21" customHeight="1" x14ac:dyDescent="0.25">
      <c r="A11" s="127">
        <v>1.08</v>
      </c>
      <c r="B11" s="128">
        <v>1.08</v>
      </c>
      <c r="C11" s="128">
        <v>1.08</v>
      </c>
      <c r="D11" s="128">
        <v>1.08</v>
      </c>
      <c r="E11" s="128">
        <v>1.08</v>
      </c>
      <c r="F11" s="128">
        <v>1.08</v>
      </c>
      <c r="G11" s="128">
        <v>1.08</v>
      </c>
      <c r="H11" s="128">
        <v>1.08</v>
      </c>
      <c r="I11" s="128">
        <v>1.08</v>
      </c>
      <c r="J11" s="128">
        <v>1.08</v>
      </c>
      <c r="K11" s="128">
        <v>1.08</v>
      </c>
      <c r="L11" s="128">
        <v>1.08</v>
      </c>
      <c r="M11" s="128">
        <v>1.08</v>
      </c>
      <c r="N11" s="128">
        <v>1.08</v>
      </c>
      <c r="O11" s="128">
        <v>1.08</v>
      </c>
      <c r="P11" s="128">
        <v>1.0900000000000001</v>
      </c>
      <c r="Q11" s="128">
        <v>1.0900000000000001</v>
      </c>
      <c r="R11" s="128">
        <v>1.0900000000000001</v>
      </c>
      <c r="S11" s="128">
        <v>1.0900000000000001</v>
      </c>
      <c r="T11" s="128">
        <v>1.0900000000000001</v>
      </c>
      <c r="U11" s="128">
        <v>1.0900000000000001</v>
      </c>
      <c r="V11" s="128">
        <v>1.0900000000000001</v>
      </c>
      <c r="W11" s="128">
        <v>1.0900000000000001</v>
      </c>
      <c r="X11" s="128">
        <v>1.0900000000000001</v>
      </c>
      <c r="Y11" s="128">
        <v>1.0900000000000001</v>
      </c>
      <c r="Z11" s="128">
        <v>1.1000000000000001</v>
      </c>
      <c r="AA11" s="128">
        <v>1.1000000000000001</v>
      </c>
      <c r="AB11" s="128">
        <v>1.1000000000000001</v>
      </c>
      <c r="AC11" s="128">
        <v>1.1000000000000001</v>
      </c>
      <c r="AD11" s="128">
        <v>1.1000000000000001</v>
      </c>
      <c r="AE11" s="128">
        <v>1.1000000000000001</v>
      </c>
      <c r="AF11" s="128">
        <v>1.1000000000000001</v>
      </c>
      <c r="AG11" s="128">
        <v>1.1000000000000001</v>
      </c>
      <c r="AH11" s="128">
        <v>1.1100000000000001</v>
      </c>
      <c r="AI11" s="128">
        <v>1.1100000000000001</v>
      </c>
      <c r="AJ11" s="128">
        <v>1.1100000000000001</v>
      </c>
      <c r="AK11" s="128">
        <v>1.1100000000000001</v>
      </c>
      <c r="AL11" s="128">
        <v>1.1100000000000001</v>
      </c>
      <c r="AM11" s="128">
        <v>1.1100000000000001</v>
      </c>
      <c r="AN11" s="128">
        <v>1.1100000000000001</v>
      </c>
      <c r="AO11" s="128">
        <v>1.1200000000000001</v>
      </c>
      <c r="AP11" s="128">
        <v>1.1200000000000001</v>
      </c>
      <c r="AQ11" s="128">
        <v>1.1200000000000001</v>
      </c>
      <c r="AR11" s="128">
        <v>1.1200000000000001</v>
      </c>
      <c r="AS11" s="128">
        <v>1.1200000000000001</v>
      </c>
      <c r="AT11" s="128">
        <v>1.1299999999999999</v>
      </c>
      <c r="AU11" s="128">
        <v>1.1299999999999999</v>
      </c>
      <c r="AV11" s="128">
        <v>1.1299999999999999</v>
      </c>
      <c r="AW11" s="128">
        <v>1.1299999999999999</v>
      </c>
      <c r="AX11" s="128">
        <v>1.1299999999999999</v>
      </c>
      <c r="AY11" s="128">
        <v>1.1399999999999999</v>
      </c>
      <c r="AZ11" s="128">
        <v>1.1399999999999999</v>
      </c>
      <c r="BA11" s="128">
        <v>1.1399999999999999</v>
      </c>
      <c r="BB11" s="128">
        <v>1.1299999999999999</v>
      </c>
      <c r="BC11" s="128">
        <v>1.1299999999999999</v>
      </c>
      <c r="BD11" s="128">
        <v>1.1299999999999999</v>
      </c>
      <c r="BE11" s="128">
        <v>1.1299999999999999</v>
      </c>
      <c r="BF11" s="128">
        <v>1.1299999999999999</v>
      </c>
      <c r="BG11" s="128">
        <v>1.1200000000000001</v>
      </c>
      <c r="BH11" s="128">
        <v>1.1200000000000001</v>
      </c>
      <c r="BI11" s="128">
        <v>1.1200000000000001</v>
      </c>
      <c r="BJ11" s="128">
        <v>1.1200000000000001</v>
      </c>
      <c r="BK11" s="128">
        <v>1.1200000000000001</v>
      </c>
      <c r="BL11" s="128">
        <v>1.1100000000000001</v>
      </c>
      <c r="BM11" s="128">
        <v>1.1100000000000001</v>
      </c>
      <c r="BN11" s="128">
        <v>1.1100000000000001</v>
      </c>
      <c r="BO11" s="128">
        <v>1.1100000000000001</v>
      </c>
      <c r="BP11" s="128">
        <v>1.1100000000000001</v>
      </c>
      <c r="BQ11" s="128">
        <v>1.1100000000000001</v>
      </c>
      <c r="BR11" s="128">
        <v>1.1100000000000001</v>
      </c>
      <c r="BS11" s="128">
        <v>1.1000000000000001</v>
      </c>
      <c r="BT11" s="128">
        <v>1.1000000000000001</v>
      </c>
      <c r="BU11" s="128">
        <v>1.1000000000000001</v>
      </c>
      <c r="BV11" s="128">
        <v>1.1000000000000001</v>
      </c>
      <c r="BW11" s="128">
        <v>1.1000000000000001</v>
      </c>
      <c r="BX11" s="128">
        <v>1.1000000000000001</v>
      </c>
      <c r="BY11" s="128">
        <v>1.1000000000000001</v>
      </c>
      <c r="BZ11" s="128">
        <v>1.1000000000000001</v>
      </c>
      <c r="CA11" s="128">
        <v>1.0900000000000001</v>
      </c>
      <c r="CB11" s="128">
        <v>1.0900000000000001</v>
      </c>
      <c r="CC11" s="128">
        <v>1.0900000000000001</v>
      </c>
      <c r="CD11" s="128">
        <v>1.0900000000000001</v>
      </c>
      <c r="CE11" s="128">
        <v>1.0900000000000001</v>
      </c>
      <c r="CF11" s="128">
        <v>1.0900000000000001</v>
      </c>
      <c r="CG11" s="128">
        <v>1.0900000000000001</v>
      </c>
      <c r="CH11" s="128">
        <v>1.0900000000000001</v>
      </c>
      <c r="CI11" s="128">
        <v>1.0900000000000001</v>
      </c>
      <c r="CJ11" s="128">
        <v>1.0900000000000001</v>
      </c>
      <c r="CK11" s="128">
        <v>1.08</v>
      </c>
      <c r="CL11" s="128">
        <v>1.08</v>
      </c>
      <c r="CM11" s="128">
        <v>1.08</v>
      </c>
      <c r="CN11" s="128">
        <v>1.08</v>
      </c>
      <c r="CO11" s="128">
        <v>1.08</v>
      </c>
      <c r="CP11" s="128">
        <v>1.08</v>
      </c>
      <c r="CQ11" s="128">
        <v>1.08</v>
      </c>
      <c r="CR11" s="128">
        <v>1.08</v>
      </c>
      <c r="CS11" s="128">
        <v>1.08</v>
      </c>
      <c r="CT11" s="128">
        <v>1.08</v>
      </c>
      <c r="CU11" s="128">
        <v>1.08</v>
      </c>
      <c r="CV11" s="128">
        <v>1.08</v>
      </c>
      <c r="CW11" s="128">
        <v>1.08</v>
      </c>
      <c r="CX11" s="128">
        <v>1.08</v>
      </c>
      <c r="CZ11" s="126">
        <f>SUMIF(MatrixF3[[1]:[2]],MatrixF3[[#This Row],[Столбец1]])/MatrixF3[[#This Row],[Столбец1]]</f>
        <v>85.999999999999886</v>
      </c>
    </row>
    <row r="12" spans="1:104" ht="21" customHeight="1" x14ac:dyDescent="0.25">
      <c r="A12" s="127">
        <v>1.0900000000000001</v>
      </c>
      <c r="B12" s="128">
        <v>1.0900000000000001</v>
      </c>
      <c r="C12" s="128">
        <v>1.0900000000000001</v>
      </c>
      <c r="D12" s="128">
        <v>1.0900000000000001</v>
      </c>
      <c r="E12" s="128">
        <v>1.0900000000000001</v>
      </c>
      <c r="F12" s="128">
        <v>1.0900000000000001</v>
      </c>
      <c r="G12" s="128">
        <v>1.0900000000000001</v>
      </c>
      <c r="H12" s="128">
        <v>1.0900000000000001</v>
      </c>
      <c r="I12" s="128">
        <v>1.0900000000000001</v>
      </c>
      <c r="J12" s="128">
        <v>1.0900000000000001</v>
      </c>
      <c r="K12" s="128">
        <v>1.0900000000000001</v>
      </c>
      <c r="L12" s="128">
        <v>1.0900000000000001</v>
      </c>
      <c r="M12" s="128">
        <v>1.0900000000000001</v>
      </c>
      <c r="N12" s="128">
        <v>1.0900000000000001</v>
      </c>
      <c r="O12" s="128">
        <v>1.0900000000000001</v>
      </c>
      <c r="P12" s="128">
        <v>1.0900000000000001</v>
      </c>
      <c r="Q12" s="128">
        <v>1.1000000000000001</v>
      </c>
      <c r="R12" s="128">
        <v>1.1000000000000001</v>
      </c>
      <c r="S12" s="128">
        <v>1.1000000000000001</v>
      </c>
      <c r="T12" s="128">
        <v>1.1000000000000001</v>
      </c>
      <c r="U12" s="128">
        <v>1.1000000000000001</v>
      </c>
      <c r="V12" s="128">
        <v>1.1000000000000001</v>
      </c>
      <c r="W12" s="128">
        <v>1.1000000000000001</v>
      </c>
      <c r="X12" s="128">
        <v>1.1000000000000001</v>
      </c>
      <c r="Y12" s="128">
        <v>1.1000000000000001</v>
      </c>
      <c r="Z12" s="128">
        <v>1.1100000000000001</v>
      </c>
      <c r="AA12" s="128">
        <v>1.1100000000000001</v>
      </c>
      <c r="AB12" s="128">
        <v>1.1100000000000001</v>
      </c>
      <c r="AC12" s="128">
        <v>1.1100000000000001</v>
      </c>
      <c r="AD12" s="128">
        <v>1.1100000000000001</v>
      </c>
      <c r="AE12" s="128">
        <v>1.1100000000000001</v>
      </c>
      <c r="AF12" s="128">
        <v>1.1100000000000001</v>
      </c>
      <c r="AG12" s="128">
        <v>1.1200000000000001</v>
      </c>
      <c r="AH12" s="128">
        <v>1.1200000000000001</v>
      </c>
      <c r="AI12" s="128">
        <v>1.1200000000000001</v>
      </c>
      <c r="AJ12" s="128">
        <v>1.1200000000000001</v>
      </c>
      <c r="AK12" s="128">
        <v>1.1200000000000001</v>
      </c>
      <c r="AL12" s="128">
        <v>1.1200000000000001</v>
      </c>
      <c r="AM12" s="128">
        <v>1.1200000000000001</v>
      </c>
      <c r="AN12" s="128">
        <v>1.1299999999999999</v>
      </c>
      <c r="AO12" s="128">
        <v>1.1299999999999999</v>
      </c>
      <c r="AP12" s="128">
        <v>1.1299999999999999</v>
      </c>
      <c r="AQ12" s="128">
        <v>1.1299999999999999</v>
      </c>
      <c r="AR12" s="128">
        <v>1.1299999999999999</v>
      </c>
      <c r="AS12" s="128">
        <v>1.1399999999999999</v>
      </c>
      <c r="AT12" s="128">
        <v>1.1399999999999999</v>
      </c>
      <c r="AU12" s="128">
        <v>1.1399999999999999</v>
      </c>
      <c r="AV12" s="128">
        <v>1.1399999999999999</v>
      </c>
      <c r="AW12" s="128">
        <v>1.1499999999999999</v>
      </c>
      <c r="AX12" s="128">
        <v>1.1499999999999999</v>
      </c>
      <c r="AY12" s="128">
        <v>1.1499999999999999</v>
      </c>
      <c r="AZ12" s="128">
        <v>1.1499999999999999</v>
      </c>
      <c r="BA12" s="128">
        <v>1.1499999999999999</v>
      </c>
      <c r="BB12" s="128">
        <v>1.1499999999999999</v>
      </c>
      <c r="BC12" s="128">
        <v>1.1499999999999999</v>
      </c>
      <c r="BD12" s="128">
        <v>1.1399999999999999</v>
      </c>
      <c r="BE12" s="128">
        <v>1.1399999999999999</v>
      </c>
      <c r="BF12" s="128">
        <v>1.1399999999999999</v>
      </c>
      <c r="BG12" s="128">
        <v>1.1399999999999999</v>
      </c>
      <c r="BH12" s="128">
        <v>1.1299999999999999</v>
      </c>
      <c r="BI12" s="128">
        <v>1.1299999999999999</v>
      </c>
      <c r="BJ12" s="128">
        <v>1.1299999999999999</v>
      </c>
      <c r="BK12" s="128">
        <v>1.1299999999999999</v>
      </c>
      <c r="BL12" s="128">
        <v>1.1299999999999999</v>
      </c>
      <c r="BM12" s="128">
        <v>1.1200000000000001</v>
      </c>
      <c r="BN12" s="128">
        <v>1.1200000000000001</v>
      </c>
      <c r="BO12" s="128">
        <v>1.1200000000000001</v>
      </c>
      <c r="BP12" s="128">
        <v>1.1200000000000001</v>
      </c>
      <c r="BQ12" s="128">
        <v>1.1200000000000001</v>
      </c>
      <c r="BR12" s="128">
        <v>1.1200000000000001</v>
      </c>
      <c r="BS12" s="128">
        <v>1.1200000000000001</v>
      </c>
      <c r="BT12" s="128">
        <v>1.1100000000000001</v>
      </c>
      <c r="BU12" s="128">
        <v>1.1100000000000001</v>
      </c>
      <c r="BV12" s="128">
        <v>1.1100000000000001</v>
      </c>
      <c r="BW12" s="128">
        <v>1.1100000000000001</v>
      </c>
      <c r="BX12" s="128">
        <v>1.1100000000000001</v>
      </c>
      <c r="BY12" s="128">
        <v>1.1100000000000001</v>
      </c>
      <c r="BZ12" s="128">
        <v>1.1100000000000001</v>
      </c>
      <c r="CA12" s="128">
        <v>1.1000000000000001</v>
      </c>
      <c r="CB12" s="128">
        <v>1.1000000000000001</v>
      </c>
      <c r="CC12" s="128">
        <v>1.1000000000000001</v>
      </c>
      <c r="CD12" s="128">
        <v>1.1000000000000001</v>
      </c>
      <c r="CE12" s="128">
        <v>1.1000000000000001</v>
      </c>
      <c r="CF12" s="128">
        <v>1.1000000000000001</v>
      </c>
      <c r="CG12" s="128">
        <v>1.1000000000000001</v>
      </c>
      <c r="CH12" s="128">
        <v>1.1000000000000001</v>
      </c>
      <c r="CI12" s="128">
        <v>1.1000000000000001</v>
      </c>
      <c r="CJ12" s="128">
        <v>1.0900000000000001</v>
      </c>
      <c r="CK12" s="128">
        <v>1.0900000000000001</v>
      </c>
      <c r="CL12" s="128">
        <v>1.0900000000000001</v>
      </c>
      <c r="CM12" s="128">
        <v>1.0900000000000001</v>
      </c>
      <c r="CN12" s="128">
        <v>1.0900000000000001</v>
      </c>
      <c r="CO12" s="128">
        <v>1.0900000000000001</v>
      </c>
      <c r="CP12" s="128">
        <v>1.0900000000000001</v>
      </c>
      <c r="CQ12" s="128">
        <v>1.0900000000000001</v>
      </c>
      <c r="CR12" s="128">
        <v>1.0900000000000001</v>
      </c>
      <c r="CS12" s="128">
        <v>1.0900000000000001</v>
      </c>
      <c r="CT12" s="128">
        <v>1.0900000000000001</v>
      </c>
      <c r="CU12" s="128">
        <v>1.0900000000000001</v>
      </c>
      <c r="CV12" s="128">
        <v>1.0900000000000001</v>
      </c>
      <c r="CW12" s="128">
        <v>1.0900000000000001</v>
      </c>
      <c r="CX12" s="128">
        <v>1.0900000000000001</v>
      </c>
      <c r="CZ12" s="126">
        <f>SUMIF(MatrixF3[[1]:[2]],MatrixF3[[#This Row],[Столбец1]])/MatrixF3[[#This Row],[Столбец1]]</f>
        <v>89.000000000000185</v>
      </c>
    </row>
    <row r="13" spans="1:104" ht="21" customHeight="1" x14ac:dyDescent="0.25">
      <c r="A13" s="127">
        <v>1.1000000000000001</v>
      </c>
      <c r="B13" s="128">
        <v>1.1000000000000001</v>
      </c>
      <c r="C13" s="128">
        <v>1.1000000000000001</v>
      </c>
      <c r="D13" s="128">
        <v>1.1000000000000001</v>
      </c>
      <c r="E13" s="128">
        <v>1.1000000000000001</v>
      </c>
      <c r="F13" s="128">
        <v>1.1000000000000001</v>
      </c>
      <c r="G13" s="128">
        <v>1.1000000000000001</v>
      </c>
      <c r="H13" s="128">
        <v>1.1000000000000001</v>
      </c>
      <c r="I13" s="128">
        <v>1.1000000000000001</v>
      </c>
      <c r="J13" s="128">
        <v>1.1000000000000001</v>
      </c>
      <c r="K13" s="128">
        <v>1.1000000000000001</v>
      </c>
      <c r="L13" s="128">
        <v>1.1000000000000001</v>
      </c>
      <c r="M13" s="128">
        <v>1.1000000000000001</v>
      </c>
      <c r="N13" s="128">
        <v>1.1000000000000001</v>
      </c>
      <c r="O13" s="128">
        <v>1.1000000000000001</v>
      </c>
      <c r="P13" s="128">
        <v>1.1000000000000001</v>
      </c>
      <c r="Q13" s="128">
        <v>1.1100000000000001</v>
      </c>
      <c r="R13" s="128">
        <v>1.1100000000000001</v>
      </c>
      <c r="S13" s="128">
        <v>1.1100000000000001</v>
      </c>
      <c r="T13" s="128">
        <v>1.1100000000000001</v>
      </c>
      <c r="U13" s="128">
        <v>1.1100000000000001</v>
      </c>
      <c r="V13" s="128">
        <v>1.1100000000000001</v>
      </c>
      <c r="W13" s="128">
        <v>1.1100000000000001</v>
      </c>
      <c r="X13" s="128">
        <v>1.1100000000000001</v>
      </c>
      <c r="Y13" s="128">
        <v>1.1100000000000001</v>
      </c>
      <c r="Z13" s="128">
        <v>1.1200000000000001</v>
      </c>
      <c r="AA13" s="128">
        <v>1.1200000000000001</v>
      </c>
      <c r="AB13" s="128">
        <v>1.1200000000000001</v>
      </c>
      <c r="AC13" s="128">
        <v>1.1200000000000001</v>
      </c>
      <c r="AD13" s="128">
        <v>1.1200000000000001</v>
      </c>
      <c r="AE13" s="128">
        <v>1.1200000000000001</v>
      </c>
      <c r="AF13" s="128">
        <v>1.1200000000000001</v>
      </c>
      <c r="AG13" s="128">
        <v>1.1299999999999999</v>
      </c>
      <c r="AH13" s="128">
        <v>1.1299999999999999</v>
      </c>
      <c r="AI13" s="128">
        <v>1.1299999999999999</v>
      </c>
      <c r="AJ13" s="128">
        <v>1.1299999999999999</v>
      </c>
      <c r="AK13" s="128">
        <v>1.1299999999999999</v>
      </c>
      <c r="AL13" s="128">
        <v>1.1399999999999999</v>
      </c>
      <c r="AM13" s="128">
        <v>1.1399999999999999</v>
      </c>
      <c r="AN13" s="128">
        <v>1.1399999999999999</v>
      </c>
      <c r="AO13" s="128">
        <v>1.1399999999999999</v>
      </c>
      <c r="AP13" s="128">
        <v>1.1399999999999999</v>
      </c>
      <c r="AQ13" s="128">
        <v>1.1399999999999999</v>
      </c>
      <c r="AR13" s="128">
        <v>1.1499999999999999</v>
      </c>
      <c r="AS13" s="128">
        <v>1.1499999999999999</v>
      </c>
      <c r="AT13" s="128">
        <v>1.1499999999999999</v>
      </c>
      <c r="AU13" s="128">
        <v>1.1499999999999999</v>
      </c>
      <c r="AV13" s="128">
        <v>1.1599999999999999</v>
      </c>
      <c r="AW13" s="128">
        <v>1.1599999999999999</v>
      </c>
      <c r="AX13" s="128">
        <v>1.1599999999999999</v>
      </c>
      <c r="AY13" s="128">
        <v>1.1599999999999999</v>
      </c>
      <c r="AZ13" s="128">
        <v>1.17</v>
      </c>
      <c r="BA13" s="128">
        <v>1.1599999999999999</v>
      </c>
      <c r="BB13" s="128">
        <v>1.1599999999999999</v>
      </c>
      <c r="BC13" s="128">
        <v>1.1599999999999999</v>
      </c>
      <c r="BD13" s="128">
        <v>1.1599999999999999</v>
      </c>
      <c r="BE13" s="128">
        <v>1.1499999999999999</v>
      </c>
      <c r="BF13" s="128">
        <v>1.1499999999999999</v>
      </c>
      <c r="BG13" s="128">
        <v>1.1499999999999999</v>
      </c>
      <c r="BH13" s="128">
        <v>1.1499999999999999</v>
      </c>
      <c r="BI13" s="128">
        <v>1.1399999999999999</v>
      </c>
      <c r="BJ13" s="128">
        <v>1.1399999999999999</v>
      </c>
      <c r="BK13" s="128">
        <v>1.1399999999999999</v>
      </c>
      <c r="BL13" s="128">
        <v>1.1399999999999999</v>
      </c>
      <c r="BM13" s="128">
        <v>1.1399999999999999</v>
      </c>
      <c r="BN13" s="128">
        <v>1.1399999999999999</v>
      </c>
      <c r="BO13" s="128">
        <v>1.1299999999999999</v>
      </c>
      <c r="BP13" s="128">
        <v>1.1299999999999999</v>
      </c>
      <c r="BQ13" s="128">
        <v>1.1299999999999999</v>
      </c>
      <c r="BR13" s="128">
        <v>1.1299999999999999</v>
      </c>
      <c r="BS13" s="128">
        <v>1.1299999999999999</v>
      </c>
      <c r="BT13" s="128">
        <v>1.1200000000000001</v>
      </c>
      <c r="BU13" s="128">
        <v>1.1200000000000001</v>
      </c>
      <c r="BV13" s="128">
        <v>1.1200000000000001</v>
      </c>
      <c r="BW13" s="128">
        <v>1.1200000000000001</v>
      </c>
      <c r="BX13" s="128">
        <v>1.1200000000000001</v>
      </c>
      <c r="BY13" s="128">
        <v>1.1200000000000001</v>
      </c>
      <c r="BZ13" s="128">
        <v>1.1200000000000001</v>
      </c>
      <c r="CA13" s="128">
        <v>1.1100000000000001</v>
      </c>
      <c r="CB13" s="128">
        <v>1.1100000000000001</v>
      </c>
      <c r="CC13" s="128">
        <v>1.1100000000000001</v>
      </c>
      <c r="CD13" s="128">
        <v>1.1100000000000001</v>
      </c>
      <c r="CE13" s="128">
        <v>1.1100000000000001</v>
      </c>
      <c r="CF13" s="128">
        <v>1.1100000000000001</v>
      </c>
      <c r="CG13" s="128">
        <v>1.1100000000000001</v>
      </c>
      <c r="CH13" s="128">
        <v>1.1100000000000001</v>
      </c>
      <c r="CI13" s="128">
        <v>1.1100000000000001</v>
      </c>
      <c r="CJ13" s="128">
        <v>1.1000000000000001</v>
      </c>
      <c r="CK13" s="128">
        <v>1.1000000000000001</v>
      </c>
      <c r="CL13" s="128">
        <v>1.1000000000000001</v>
      </c>
      <c r="CM13" s="128">
        <v>1.1000000000000001</v>
      </c>
      <c r="CN13" s="128">
        <v>1.1000000000000001</v>
      </c>
      <c r="CO13" s="128">
        <v>1.1000000000000001</v>
      </c>
      <c r="CP13" s="128">
        <v>1.1000000000000001</v>
      </c>
      <c r="CQ13" s="128">
        <v>1.1000000000000001</v>
      </c>
      <c r="CR13" s="128">
        <v>1.1000000000000001</v>
      </c>
      <c r="CS13" s="128">
        <v>1.1000000000000001</v>
      </c>
      <c r="CT13" s="128">
        <v>1.1000000000000001</v>
      </c>
      <c r="CU13" s="128">
        <v>1.1000000000000001</v>
      </c>
      <c r="CV13" s="128">
        <v>1.1000000000000001</v>
      </c>
      <c r="CW13" s="128">
        <v>1.1000000000000001</v>
      </c>
      <c r="CX13" s="128">
        <v>1.1000000000000001</v>
      </c>
      <c r="CZ13" s="126">
        <f>SUMIF(MatrixF3[[1]:[2]],MatrixF3[[#This Row],[Столбец1]])/MatrixF3[[#This Row],[Столбец1]]</f>
        <v>89.999999999999872</v>
      </c>
    </row>
    <row r="14" spans="1:104" ht="21" customHeight="1" x14ac:dyDescent="0.25">
      <c r="A14" s="127">
        <v>1.1100000000000001</v>
      </c>
      <c r="B14" s="128">
        <v>1.1100000000000001</v>
      </c>
      <c r="C14" s="128">
        <v>1.1100000000000001</v>
      </c>
      <c r="D14" s="128">
        <v>1.1100000000000001</v>
      </c>
      <c r="E14" s="128">
        <v>1.1100000000000001</v>
      </c>
      <c r="F14" s="128">
        <v>1.1100000000000001</v>
      </c>
      <c r="G14" s="128">
        <v>1.1100000000000001</v>
      </c>
      <c r="H14" s="128">
        <v>1.1100000000000001</v>
      </c>
      <c r="I14" s="128">
        <v>1.1100000000000001</v>
      </c>
      <c r="J14" s="128">
        <v>1.1100000000000001</v>
      </c>
      <c r="K14" s="128">
        <v>1.1100000000000001</v>
      </c>
      <c r="L14" s="128">
        <v>1.1100000000000001</v>
      </c>
      <c r="M14" s="128">
        <v>1.1100000000000001</v>
      </c>
      <c r="N14" s="128">
        <v>1.1100000000000001</v>
      </c>
      <c r="O14" s="128">
        <v>1.1100000000000001</v>
      </c>
      <c r="P14" s="128">
        <v>1.1100000000000001</v>
      </c>
      <c r="Q14" s="128">
        <v>1.1100000000000001</v>
      </c>
      <c r="R14" s="128">
        <v>1.1200000000000001</v>
      </c>
      <c r="S14" s="128">
        <v>1.1200000000000001</v>
      </c>
      <c r="T14" s="128">
        <v>1.1200000000000001</v>
      </c>
      <c r="U14" s="128">
        <v>1.1200000000000001</v>
      </c>
      <c r="V14" s="128">
        <v>1.1200000000000001</v>
      </c>
      <c r="W14" s="128">
        <v>1.1200000000000001</v>
      </c>
      <c r="X14" s="128">
        <v>1.1200000000000001</v>
      </c>
      <c r="Y14" s="128">
        <v>1.1200000000000001</v>
      </c>
      <c r="Z14" s="128">
        <v>1.1299999999999999</v>
      </c>
      <c r="AA14" s="128">
        <v>1.1299999999999999</v>
      </c>
      <c r="AB14" s="128">
        <v>1.1299999999999999</v>
      </c>
      <c r="AC14" s="128">
        <v>1.1299999999999999</v>
      </c>
      <c r="AD14" s="128">
        <v>1.1299999999999999</v>
      </c>
      <c r="AE14" s="128">
        <v>1.1299999999999999</v>
      </c>
      <c r="AF14" s="128">
        <v>1.1399999999999999</v>
      </c>
      <c r="AG14" s="128">
        <v>1.1399999999999999</v>
      </c>
      <c r="AH14" s="128">
        <v>1.1399999999999999</v>
      </c>
      <c r="AI14" s="128">
        <v>1.1399999999999999</v>
      </c>
      <c r="AJ14" s="128">
        <v>1.1399999999999999</v>
      </c>
      <c r="AK14" s="128">
        <v>1.1399999999999999</v>
      </c>
      <c r="AL14" s="128">
        <v>1.1499999999999999</v>
      </c>
      <c r="AM14" s="128">
        <v>1.1499999999999999</v>
      </c>
      <c r="AN14" s="128">
        <v>1.1499999999999999</v>
      </c>
      <c r="AO14" s="128">
        <v>1.1499999999999999</v>
      </c>
      <c r="AP14" s="128">
        <v>1.1499999999999999</v>
      </c>
      <c r="AQ14" s="128">
        <v>1.1599999999999999</v>
      </c>
      <c r="AR14" s="128">
        <v>1.1599999999999999</v>
      </c>
      <c r="AS14" s="128">
        <v>1.1599999999999999</v>
      </c>
      <c r="AT14" s="128">
        <v>1.1599999999999999</v>
      </c>
      <c r="AU14" s="128">
        <v>1.17</v>
      </c>
      <c r="AV14" s="128">
        <v>1.17</v>
      </c>
      <c r="AW14" s="128">
        <v>1.17</v>
      </c>
      <c r="AX14" s="128">
        <v>1.17</v>
      </c>
      <c r="AY14" s="128">
        <v>1.18</v>
      </c>
      <c r="AZ14" s="128">
        <v>1.18</v>
      </c>
      <c r="BA14" s="128">
        <v>1.18</v>
      </c>
      <c r="BB14" s="128">
        <v>1.17</v>
      </c>
      <c r="BC14" s="128">
        <v>1.17</v>
      </c>
      <c r="BD14" s="128">
        <v>1.17</v>
      </c>
      <c r="BE14" s="128">
        <v>1.17</v>
      </c>
      <c r="BF14" s="128">
        <v>1.1599999999999999</v>
      </c>
      <c r="BG14" s="128">
        <v>1.1599999999999999</v>
      </c>
      <c r="BH14" s="128">
        <v>1.1599999999999999</v>
      </c>
      <c r="BI14" s="128">
        <v>1.1599999999999999</v>
      </c>
      <c r="BJ14" s="128">
        <v>1.1499999999999999</v>
      </c>
      <c r="BK14" s="128">
        <v>1.1499999999999999</v>
      </c>
      <c r="BL14" s="128">
        <v>1.1499999999999999</v>
      </c>
      <c r="BM14" s="128">
        <v>1.1499999999999999</v>
      </c>
      <c r="BN14" s="128">
        <v>1.1499999999999999</v>
      </c>
      <c r="BO14" s="128">
        <v>1.1399999999999999</v>
      </c>
      <c r="BP14" s="128">
        <v>1.1399999999999999</v>
      </c>
      <c r="BQ14" s="128">
        <v>1.1399999999999999</v>
      </c>
      <c r="BR14" s="128">
        <v>1.1399999999999999</v>
      </c>
      <c r="BS14" s="128">
        <v>1.1399999999999999</v>
      </c>
      <c r="BT14" s="128">
        <v>1.1399999999999999</v>
      </c>
      <c r="BU14" s="128">
        <v>1.1299999999999999</v>
      </c>
      <c r="BV14" s="128">
        <v>1.1299999999999999</v>
      </c>
      <c r="BW14" s="128">
        <v>1.1299999999999999</v>
      </c>
      <c r="BX14" s="128">
        <v>1.1299999999999999</v>
      </c>
      <c r="BY14" s="128">
        <v>1.1299999999999999</v>
      </c>
      <c r="BZ14" s="128">
        <v>1.1299999999999999</v>
      </c>
      <c r="CA14" s="128">
        <v>1.1200000000000001</v>
      </c>
      <c r="CB14" s="128">
        <v>1.1200000000000001</v>
      </c>
      <c r="CC14" s="128">
        <v>1.1200000000000001</v>
      </c>
      <c r="CD14" s="128">
        <v>1.1200000000000001</v>
      </c>
      <c r="CE14" s="128">
        <v>1.1200000000000001</v>
      </c>
      <c r="CF14" s="128">
        <v>1.1200000000000001</v>
      </c>
      <c r="CG14" s="128">
        <v>1.1200000000000001</v>
      </c>
      <c r="CH14" s="128">
        <v>1.1200000000000001</v>
      </c>
      <c r="CI14" s="128">
        <v>1.1100000000000001</v>
      </c>
      <c r="CJ14" s="128">
        <v>1.1100000000000001</v>
      </c>
      <c r="CK14" s="128">
        <v>1.1100000000000001</v>
      </c>
      <c r="CL14" s="128">
        <v>1.1100000000000001</v>
      </c>
      <c r="CM14" s="128">
        <v>1.1100000000000001</v>
      </c>
      <c r="CN14" s="128">
        <v>1.1100000000000001</v>
      </c>
      <c r="CO14" s="128">
        <v>1.1100000000000001</v>
      </c>
      <c r="CP14" s="128">
        <v>1.1100000000000001</v>
      </c>
      <c r="CQ14" s="128">
        <v>1.1100000000000001</v>
      </c>
      <c r="CR14" s="128">
        <v>1.1100000000000001</v>
      </c>
      <c r="CS14" s="128">
        <v>1.1100000000000001</v>
      </c>
      <c r="CT14" s="128">
        <v>1.1100000000000001</v>
      </c>
      <c r="CU14" s="128">
        <v>1.1100000000000001</v>
      </c>
      <c r="CV14" s="128">
        <v>1.1100000000000001</v>
      </c>
      <c r="CW14" s="128">
        <v>1.1100000000000001</v>
      </c>
      <c r="CX14" s="128">
        <v>1.1100000000000001</v>
      </c>
      <c r="CZ14" s="126">
        <f>SUMIF(MatrixF3[[1]:[2]],MatrixF3[[#This Row],[Столбец1]])/MatrixF3[[#This Row],[Столбец1]]</f>
        <v>92.999999999999957</v>
      </c>
    </row>
    <row r="15" spans="1:104" ht="21" customHeight="1" x14ac:dyDescent="0.25">
      <c r="A15" s="127">
        <v>1.1200000000000001</v>
      </c>
      <c r="B15" s="128">
        <v>1.1200000000000001</v>
      </c>
      <c r="C15" s="128">
        <v>1.1200000000000001</v>
      </c>
      <c r="D15" s="128">
        <v>1.1200000000000001</v>
      </c>
      <c r="E15" s="128">
        <v>1.1200000000000001</v>
      </c>
      <c r="F15" s="128">
        <v>1.1200000000000001</v>
      </c>
      <c r="G15" s="128">
        <v>1.1200000000000001</v>
      </c>
      <c r="H15" s="128">
        <v>1.1200000000000001</v>
      </c>
      <c r="I15" s="128">
        <v>1.1200000000000001</v>
      </c>
      <c r="J15" s="128">
        <v>1.1200000000000001</v>
      </c>
      <c r="K15" s="128">
        <v>1.1200000000000001</v>
      </c>
      <c r="L15" s="128">
        <v>1.1200000000000001</v>
      </c>
      <c r="M15" s="128">
        <v>1.1200000000000001</v>
      </c>
      <c r="N15" s="128">
        <v>1.1200000000000001</v>
      </c>
      <c r="O15" s="128">
        <v>1.1200000000000001</v>
      </c>
      <c r="P15" s="128">
        <v>1.1200000000000001</v>
      </c>
      <c r="Q15" s="128">
        <v>1.1200000000000001</v>
      </c>
      <c r="R15" s="128">
        <v>1.1200000000000001</v>
      </c>
      <c r="S15" s="128">
        <v>1.1299999999999999</v>
      </c>
      <c r="T15" s="128">
        <v>1.1299999999999999</v>
      </c>
      <c r="U15" s="128">
        <v>1.1299999999999999</v>
      </c>
      <c r="V15" s="128">
        <v>1.1299999999999999</v>
      </c>
      <c r="W15" s="128">
        <v>1.1299999999999999</v>
      </c>
      <c r="X15" s="128">
        <v>1.1299999999999999</v>
      </c>
      <c r="Y15" s="128">
        <v>1.1299999999999999</v>
      </c>
      <c r="Z15" s="128">
        <v>1.1399999999999999</v>
      </c>
      <c r="AA15" s="128">
        <v>1.1399999999999999</v>
      </c>
      <c r="AB15" s="128">
        <v>1.1399999999999999</v>
      </c>
      <c r="AC15" s="128">
        <v>1.1399999999999999</v>
      </c>
      <c r="AD15" s="128">
        <v>1.1399999999999999</v>
      </c>
      <c r="AE15" s="128">
        <v>1.1399999999999999</v>
      </c>
      <c r="AF15" s="128">
        <v>1.1499999999999999</v>
      </c>
      <c r="AG15" s="128">
        <v>1.1499999999999999</v>
      </c>
      <c r="AH15" s="128">
        <v>1.1499999999999999</v>
      </c>
      <c r="AI15" s="128">
        <v>1.1499999999999999</v>
      </c>
      <c r="AJ15" s="128">
        <v>1.1499999999999999</v>
      </c>
      <c r="AK15" s="128">
        <v>1.1599999999999999</v>
      </c>
      <c r="AL15" s="128">
        <v>1.1599999999999999</v>
      </c>
      <c r="AM15" s="128">
        <v>1.1599999999999999</v>
      </c>
      <c r="AN15" s="128">
        <v>1.1599999999999999</v>
      </c>
      <c r="AO15" s="128">
        <v>1.1599999999999999</v>
      </c>
      <c r="AP15" s="128">
        <v>1.17</v>
      </c>
      <c r="AQ15" s="128">
        <v>1.17</v>
      </c>
      <c r="AR15" s="128">
        <v>1.17</v>
      </c>
      <c r="AS15" s="128">
        <v>1.17</v>
      </c>
      <c r="AT15" s="128">
        <v>1.18</v>
      </c>
      <c r="AU15" s="128">
        <v>1.18</v>
      </c>
      <c r="AV15" s="128">
        <v>1.18</v>
      </c>
      <c r="AW15" s="128">
        <v>1.18</v>
      </c>
      <c r="AX15" s="128">
        <v>1.19</v>
      </c>
      <c r="AY15" s="128">
        <v>1.19</v>
      </c>
      <c r="AZ15" s="128">
        <v>1.19</v>
      </c>
      <c r="BA15" s="128">
        <v>1.19</v>
      </c>
      <c r="BB15" s="128">
        <v>1.19</v>
      </c>
      <c r="BC15" s="128">
        <v>1.18</v>
      </c>
      <c r="BD15" s="128">
        <v>1.18</v>
      </c>
      <c r="BE15" s="128">
        <v>1.18</v>
      </c>
      <c r="BF15" s="128">
        <v>1.18</v>
      </c>
      <c r="BG15" s="128">
        <v>1.17</v>
      </c>
      <c r="BH15" s="128">
        <v>1.17</v>
      </c>
      <c r="BI15" s="128">
        <v>1.17</v>
      </c>
      <c r="BJ15" s="128">
        <v>1.17</v>
      </c>
      <c r="BK15" s="128">
        <v>1.1599999999999999</v>
      </c>
      <c r="BL15" s="128">
        <v>1.1599999999999999</v>
      </c>
      <c r="BM15" s="128">
        <v>1.1599999999999999</v>
      </c>
      <c r="BN15" s="128">
        <v>1.1599999999999999</v>
      </c>
      <c r="BO15" s="128">
        <v>1.1599999999999999</v>
      </c>
      <c r="BP15" s="128">
        <v>1.1499999999999999</v>
      </c>
      <c r="BQ15" s="128">
        <v>1.1499999999999999</v>
      </c>
      <c r="BR15" s="128">
        <v>1.1499999999999999</v>
      </c>
      <c r="BS15" s="128">
        <v>1.1499999999999999</v>
      </c>
      <c r="BT15" s="128">
        <v>1.1499999999999999</v>
      </c>
      <c r="BU15" s="128">
        <v>1.1399999999999999</v>
      </c>
      <c r="BV15" s="128">
        <v>1.1399999999999999</v>
      </c>
      <c r="BW15" s="128">
        <v>1.1399999999999999</v>
      </c>
      <c r="BX15" s="128">
        <v>1.1399999999999999</v>
      </c>
      <c r="BY15" s="128">
        <v>1.1399999999999999</v>
      </c>
      <c r="BZ15" s="128">
        <v>1.1399999999999999</v>
      </c>
      <c r="CA15" s="128">
        <v>1.1299999999999999</v>
      </c>
      <c r="CB15" s="128">
        <v>1.1299999999999999</v>
      </c>
      <c r="CC15" s="128">
        <v>1.1299999999999999</v>
      </c>
      <c r="CD15" s="128">
        <v>1.1299999999999999</v>
      </c>
      <c r="CE15" s="128">
        <v>1.1299999999999999</v>
      </c>
      <c r="CF15" s="128">
        <v>1.1299999999999999</v>
      </c>
      <c r="CG15" s="128">
        <v>1.1299999999999999</v>
      </c>
      <c r="CH15" s="128">
        <v>1.1200000000000001</v>
      </c>
      <c r="CI15" s="128">
        <v>1.1200000000000001</v>
      </c>
      <c r="CJ15" s="128">
        <v>1.1200000000000001</v>
      </c>
      <c r="CK15" s="128">
        <v>1.1200000000000001</v>
      </c>
      <c r="CL15" s="128">
        <v>1.1200000000000001</v>
      </c>
      <c r="CM15" s="128">
        <v>1.1200000000000001</v>
      </c>
      <c r="CN15" s="128">
        <v>1.1200000000000001</v>
      </c>
      <c r="CO15" s="128">
        <v>1.1200000000000001</v>
      </c>
      <c r="CP15" s="128">
        <v>1.1200000000000001</v>
      </c>
      <c r="CQ15" s="128">
        <v>1.1200000000000001</v>
      </c>
      <c r="CR15" s="128">
        <v>1.1200000000000001</v>
      </c>
      <c r="CS15" s="128">
        <v>1.1200000000000001</v>
      </c>
      <c r="CT15" s="128">
        <v>1.1200000000000001</v>
      </c>
      <c r="CU15" s="128">
        <v>1.1200000000000001</v>
      </c>
      <c r="CV15" s="128">
        <v>1.1200000000000001</v>
      </c>
      <c r="CW15" s="128">
        <v>1.1200000000000001</v>
      </c>
      <c r="CX15" s="128">
        <v>1.1200000000000001</v>
      </c>
      <c r="CZ15" s="126">
        <f>SUMIF(MatrixF3[[1]:[2]],MatrixF3[[#This Row],[Столбец1]])/MatrixF3[[#This Row],[Столбец1]]</f>
        <v>95.000000000000099</v>
      </c>
    </row>
    <row r="16" spans="1:104" ht="21" customHeight="1" x14ac:dyDescent="0.25">
      <c r="A16" s="127">
        <v>1.1299999999999999</v>
      </c>
      <c r="B16" s="128">
        <v>1.1299999999999999</v>
      </c>
      <c r="C16" s="128">
        <v>1.1299999999999999</v>
      </c>
      <c r="D16" s="128">
        <v>1.1299999999999999</v>
      </c>
      <c r="E16" s="128">
        <v>1.1299999999999999</v>
      </c>
      <c r="F16" s="128">
        <v>1.1299999999999999</v>
      </c>
      <c r="G16" s="128">
        <v>1.1299999999999999</v>
      </c>
      <c r="H16" s="128">
        <v>1.1299999999999999</v>
      </c>
      <c r="I16" s="128">
        <v>1.1299999999999999</v>
      </c>
      <c r="J16" s="128">
        <v>1.1299999999999999</v>
      </c>
      <c r="K16" s="128">
        <v>1.1299999999999999</v>
      </c>
      <c r="L16" s="128">
        <v>1.1299999999999999</v>
      </c>
      <c r="M16" s="128">
        <v>1.1299999999999999</v>
      </c>
      <c r="N16" s="128">
        <v>1.1299999999999999</v>
      </c>
      <c r="O16" s="128">
        <v>1.1299999999999999</v>
      </c>
      <c r="P16" s="128">
        <v>1.1299999999999999</v>
      </c>
      <c r="Q16" s="128">
        <v>1.1299999999999999</v>
      </c>
      <c r="R16" s="128">
        <v>1.1299999999999999</v>
      </c>
      <c r="S16" s="128">
        <v>1.1399999999999999</v>
      </c>
      <c r="T16" s="128">
        <v>1.1399999999999999</v>
      </c>
      <c r="U16" s="128">
        <v>1.1399999999999999</v>
      </c>
      <c r="V16" s="128">
        <v>1.1399999999999999</v>
      </c>
      <c r="W16" s="128">
        <v>1.1399999999999999</v>
      </c>
      <c r="X16" s="128">
        <v>1.1399999999999999</v>
      </c>
      <c r="Y16" s="128">
        <v>1.1399999999999999</v>
      </c>
      <c r="Z16" s="128">
        <v>1.1499999999999999</v>
      </c>
      <c r="AA16" s="128">
        <v>1.1499999999999999</v>
      </c>
      <c r="AB16" s="128">
        <v>1.1499999999999999</v>
      </c>
      <c r="AC16" s="128">
        <v>1.1499999999999999</v>
      </c>
      <c r="AD16" s="128">
        <v>1.1499999999999999</v>
      </c>
      <c r="AE16" s="128">
        <v>1.1499999999999999</v>
      </c>
      <c r="AF16" s="128">
        <v>1.1599999999999999</v>
      </c>
      <c r="AG16" s="128">
        <v>1.1599999999999999</v>
      </c>
      <c r="AH16" s="128">
        <v>1.1599999999999999</v>
      </c>
      <c r="AI16" s="128">
        <v>1.1599999999999999</v>
      </c>
      <c r="AJ16" s="128">
        <v>1.1599999999999999</v>
      </c>
      <c r="AK16" s="128">
        <v>1.17</v>
      </c>
      <c r="AL16" s="128">
        <v>1.17</v>
      </c>
      <c r="AM16" s="128">
        <v>1.17</v>
      </c>
      <c r="AN16" s="128">
        <v>1.17</v>
      </c>
      <c r="AO16" s="128">
        <v>1.18</v>
      </c>
      <c r="AP16" s="128">
        <v>1.18</v>
      </c>
      <c r="AQ16" s="128">
        <v>1.18</v>
      </c>
      <c r="AR16" s="128">
        <v>1.18</v>
      </c>
      <c r="AS16" s="128">
        <v>1.19</v>
      </c>
      <c r="AT16" s="128">
        <v>1.19</v>
      </c>
      <c r="AU16" s="128">
        <v>1.19</v>
      </c>
      <c r="AV16" s="128">
        <v>1.19</v>
      </c>
      <c r="AW16" s="128">
        <v>1.2</v>
      </c>
      <c r="AX16" s="128">
        <v>1.2</v>
      </c>
      <c r="AY16" s="128">
        <v>1.2</v>
      </c>
      <c r="AZ16" s="128">
        <v>1.21</v>
      </c>
      <c r="BA16" s="128">
        <v>1.2</v>
      </c>
      <c r="BB16" s="128">
        <v>1.2</v>
      </c>
      <c r="BC16" s="128">
        <v>1.2</v>
      </c>
      <c r="BD16" s="128">
        <v>1.19</v>
      </c>
      <c r="BE16" s="128">
        <v>1.19</v>
      </c>
      <c r="BF16" s="128">
        <v>1.19</v>
      </c>
      <c r="BG16" s="128">
        <v>1.19</v>
      </c>
      <c r="BH16" s="128">
        <v>1.18</v>
      </c>
      <c r="BI16" s="128">
        <v>1.18</v>
      </c>
      <c r="BJ16" s="128">
        <v>1.18</v>
      </c>
      <c r="BK16" s="128">
        <v>1.18</v>
      </c>
      <c r="BL16" s="128">
        <v>1.17</v>
      </c>
      <c r="BM16" s="128">
        <v>1.17</v>
      </c>
      <c r="BN16" s="128">
        <v>1.17</v>
      </c>
      <c r="BO16" s="128">
        <v>1.17</v>
      </c>
      <c r="BP16" s="128">
        <v>1.1599999999999999</v>
      </c>
      <c r="BQ16" s="128">
        <v>1.1599999999999999</v>
      </c>
      <c r="BR16" s="128">
        <v>1.1599999999999999</v>
      </c>
      <c r="BS16" s="128">
        <v>1.1599999999999999</v>
      </c>
      <c r="BT16" s="128">
        <v>1.1599999999999999</v>
      </c>
      <c r="BU16" s="128">
        <v>1.1499999999999999</v>
      </c>
      <c r="BV16" s="128">
        <v>1.1499999999999999</v>
      </c>
      <c r="BW16" s="128">
        <v>1.1499999999999999</v>
      </c>
      <c r="BX16" s="128">
        <v>1.1499999999999999</v>
      </c>
      <c r="BY16" s="128">
        <v>1.1499999999999999</v>
      </c>
      <c r="BZ16" s="128">
        <v>1.1499999999999999</v>
      </c>
      <c r="CA16" s="128">
        <v>1.1399999999999999</v>
      </c>
      <c r="CB16" s="128">
        <v>1.1399999999999999</v>
      </c>
      <c r="CC16" s="128">
        <v>1.1399999999999999</v>
      </c>
      <c r="CD16" s="128">
        <v>1.1399999999999999</v>
      </c>
      <c r="CE16" s="128">
        <v>1.1399999999999999</v>
      </c>
      <c r="CF16" s="128">
        <v>1.1399999999999999</v>
      </c>
      <c r="CG16" s="128">
        <v>1.1399999999999999</v>
      </c>
      <c r="CH16" s="128">
        <v>1.1299999999999999</v>
      </c>
      <c r="CI16" s="128">
        <v>1.1299999999999999</v>
      </c>
      <c r="CJ16" s="128">
        <v>1.1299999999999999</v>
      </c>
      <c r="CK16" s="128">
        <v>1.1299999999999999</v>
      </c>
      <c r="CL16" s="128">
        <v>1.1299999999999999</v>
      </c>
      <c r="CM16" s="128">
        <v>1.1299999999999999</v>
      </c>
      <c r="CN16" s="128">
        <v>1.1299999999999999</v>
      </c>
      <c r="CO16" s="128">
        <v>1.1299999999999999</v>
      </c>
      <c r="CP16" s="128">
        <v>1.1299999999999999</v>
      </c>
      <c r="CQ16" s="128">
        <v>1.1299999999999999</v>
      </c>
      <c r="CR16" s="128">
        <v>1.1299999999999999</v>
      </c>
      <c r="CS16" s="128">
        <v>1.1299999999999999</v>
      </c>
      <c r="CT16" s="128">
        <v>1.1299999999999999</v>
      </c>
      <c r="CU16" s="128">
        <v>1.1299999999999999</v>
      </c>
      <c r="CV16" s="128">
        <v>1.1299999999999999</v>
      </c>
      <c r="CW16" s="128">
        <v>1.1299999999999999</v>
      </c>
      <c r="CX16" s="128">
        <v>1.1299999999999999</v>
      </c>
      <c r="CZ16" s="126">
        <f>SUMIF(MatrixF3[[1]:[2]],MatrixF3[[#This Row],[Столбец1]])/MatrixF3[[#This Row],[Столбец1]]</f>
        <v>89.999999999999929</v>
      </c>
    </row>
    <row r="17" spans="1:104" ht="21" customHeight="1" x14ac:dyDescent="0.25">
      <c r="A17" s="127">
        <v>1.1399999999999999</v>
      </c>
      <c r="B17" s="128">
        <v>1.1399999999999999</v>
      </c>
      <c r="C17" s="128">
        <v>1.1399999999999999</v>
      </c>
      <c r="D17" s="128">
        <v>1.1399999999999999</v>
      </c>
      <c r="E17" s="128">
        <v>1.1399999999999999</v>
      </c>
      <c r="F17" s="128">
        <v>1.1399999999999999</v>
      </c>
      <c r="G17" s="128">
        <v>1.1399999999999999</v>
      </c>
      <c r="H17" s="128">
        <v>1.1399999999999999</v>
      </c>
      <c r="I17" s="128">
        <v>1.1399999999999999</v>
      </c>
      <c r="J17" s="128">
        <v>1.1399999999999999</v>
      </c>
      <c r="K17" s="128">
        <v>1.1399999999999999</v>
      </c>
      <c r="L17" s="128">
        <v>1.1399999999999999</v>
      </c>
      <c r="M17" s="128">
        <v>1.1399999999999999</v>
      </c>
      <c r="N17" s="128">
        <v>1.1399999999999999</v>
      </c>
      <c r="O17" s="128">
        <v>1.1399999999999999</v>
      </c>
      <c r="P17" s="128">
        <v>1.1399999999999999</v>
      </c>
      <c r="Q17" s="128">
        <v>1.1399999999999999</v>
      </c>
      <c r="R17" s="128">
        <v>1.1399999999999999</v>
      </c>
      <c r="S17" s="128">
        <v>1.1399999999999999</v>
      </c>
      <c r="T17" s="128">
        <v>1.1499999999999999</v>
      </c>
      <c r="U17" s="128">
        <v>1.1499999999999999</v>
      </c>
      <c r="V17" s="128">
        <v>1.1499999999999999</v>
      </c>
      <c r="W17" s="128">
        <v>1.1499999999999999</v>
      </c>
      <c r="X17" s="128">
        <v>1.1499999999999999</v>
      </c>
      <c r="Y17" s="128">
        <v>1.1499999999999999</v>
      </c>
      <c r="Z17" s="128">
        <v>1.1599999999999999</v>
      </c>
      <c r="AA17" s="128">
        <v>1.1599999999999999</v>
      </c>
      <c r="AB17" s="128">
        <v>1.1599999999999999</v>
      </c>
      <c r="AC17" s="128">
        <v>1.1599999999999999</v>
      </c>
      <c r="AD17" s="128">
        <v>1.1599999999999999</v>
      </c>
      <c r="AE17" s="128">
        <v>1.1599999999999999</v>
      </c>
      <c r="AF17" s="128">
        <v>1.17</v>
      </c>
      <c r="AG17" s="128">
        <v>1.17</v>
      </c>
      <c r="AH17" s="128">
        <v>1.17</v>
      </c>
      <c r="AI17" s="128">
        <v>1.17</v>
      </c>
      <c r="AJ17" s="128">
        <v>1.18</v>
      </c>
      <c r="AK17" s="128">
        <v>1.18</v>
      </c>
      <c r="AL17" s="128">
        <v>1.18</v>
      </c>
      <c r="AM17" s="128">
        <v>1.18</v>
      </c>
      <c r="AN17" s="128">
        <v>1.18</v>
      </c>
      <c r="AO17" s="128">
        <v>1.19</v>
      </c>
      <c r="AP17" s="128">
        <v>1.19</v>
      </c>
      <c r="AQ17" s="128">
        <v>1.19</v>
      </c>
      <c r="AR17" s="128">
        <v>1.19</v>
      </c>
      <c r="AS17" s="128">
        <v>1.2</v>
      </c>
      <c r="AT17" s="128">
        <v>1.2</v>
      </c>
      <c r="AU17" s="128">
        <v>1.2</v>
      </c>
      <c r="AV17" s="128">
        <v>1.21</v>
      </c>
      <c r="AW17" s="128">
        <v>1.21</v>
      </c>
      <c r="AX17" s="128">
        <v>1.21</v>
      </c>
      <c r="AY17" s="128">
        <v>1.22</v>
      </c>
      <c r="AZ17" s="128">
        <v>1.22</v>
      </c>
      <c r="BA17" s="128">
        <v>1.22</v>
      </c>
      <c r="BB17" s="128">
        <v>1.21</v>
      </c>
      <c r="BC17" s="128">
        <v>1.21</v>
      </c>
      <c r="BD17" s="128">
        <v>1.21</v>
      </c>
      <c r="BE17" s="128">
        <v>1.2</v>
      </c>
      <c r="BF17" s="128">
        <v>1.2</v>
      </c>
      <c r="BG17" s="128">
        <v>1.2</v>
      </c>
      <c r="BH17" s="128">
        <v>1.19</v>
      </c>
      <c r="BI17" s="128">
        <v>1.19</v>
      </c>
      <c r="BJ17" s="128">
        <v>1.19</v>
      </c>
      <c r="BK17" s="128">
        <v>1.19</v>
      </c>
      <c r="BL17" s="128">
        <v>1.18</v>
      </c>
      <c r="BM17" s="128">
        <v>1.18</v>
      </c>
      <c r="BN17" s="128">
        <v>1.18</v>
      </c>
      <c r="BO17" s="128">
        <v>1.18</v>
      </c>
      <c r="BP17" s="128">
        <v>1.18</v>
      </c>
      <c r="BQ17" s="128">
        <v>1.17</v>
      </c>
      <c r="BR17" s="128">
        <v>1.17</v>
      </c>
      <c r="BS17" s="128">
        <v>1.17</v>
      </c>
      <c r="BT17" s="128">
        <v>1.17</v>
      </c>
      <c r="BU17" s="128">
        <v>1.1599999999999999</v>
      </c>
      <c r="BV17" s="128">
        <v>1.1599999999999999</v>
      </c>
      <c r="BW17" s="128">
        <v>1.1599999999999999</v>
      </c>
      <c r="BX17" s="128">
        <v>1.1599999999999999</v>
      </c>
      <c r="BY17" s="128">
        <v>1.1599999999999999</v>
      </c>
      <c r="BZ17" s="128">
        <v>1.1599999999999999</v>
      </c>
      <c r="CA17" s="128">
        <v>1.1499999999999999</v>
      </c>
      <c r="CB17" s="128">
        <v>1.1499999999999999</v>
      </c>
      <c r="CC17" s="128">
        <v>1.1499999999999999</v>
      </c>
      <c r="CD17" s="128">
        <v>1.1499999999999999</v>
      </c>
      <c r="CE17" s="128">
        <v>1.1499999999999999</v>
      </c>
      <c r="CF17" s="128">
        <v>1.1499999999999999</v>
      </c>
      <c r="CG17" s="128">
        <v>1.1399999999999999</v>
      </c>
      <c r="CH17" s="128">
        <v>1.1399999999999999</v>
      </c>
      <c r="CI17" s="128">
        <v>1.1399999999999999</v>
      </c>
      <c r="CJ17" s="128">
        <v>1.1399999999999999</v>
      </c>
      <c r="CK17" s="128">
        <v>1.1399999999999999</v>
      </c>
      <c r="CL17" s="128">
        <v>1.1399999999999999</v>
      </c>
      <c r="CM17" s="128">
        <v>1.1399999999999999</v>
      </c>
      <c r="CN17" s="128">
        <v>1.1399999999999999</v>
      </c>
      <c r="CO17" s="128">
        <v>1.1399999999999999</v>
      </c>
      <c r="CP17" s="128">
        <v>1.1399999999999999</v>
      </c>
      <c r="CQ17" s="128">
        <v>1.1399999999999999</v>
      </c>
      <c r="CR17" s="128">
        <v>1.1399999999999999</v>
      </c>
      <c r="CS17" s="128">
        <v>1.1399999999999999</v>
      </c>
      <c r="CT17" s="128">
        <v>1.1399999999999999</v>
      </c>
      <c r="CU17" s="128">
        <v>1.1399999999999999</v>
      </c>
      <c r="CV17" s="128">
        <v>1.1399999999999999</v>
      </c>
      <c r="CW17" s="128">
        <v>1.1399999999999999</v>
      </c>
      <c r="CX17" s="128">
        <v>1.1399999999999999</v>
      </c>
      <c r="CZ17" s="126">
        <f>SUMIF(MatrixF3[[1]:[2]],MatrixF3[[#This Row],[Столбец1]])/MatrixF3[[#This Row],[Столбец1]]</f>
        <v>97.000000000000043</v>
      </c>
    </row>
    <row r="18" spans="1:104" ht="21" customHeight="1" x14ac:dyDescent="0.25">
      <c r="A18" s="127">
        <v>1.1499999999999999</v>
      </c>
      <c r="B18" s="128">
        <v>1.1499999999999999</v>
      </c>
      <c r="C18" s="128">
        <v>1.1499999999999999</v>
      </c>
      <c r="D18" s="128">
        <v>1.1499999999999999</v>
      </c>
      <c r="E18" s="128">
        <v>1.1499999999999999</v>
      </c>
      <c r="F18" s="128">
        <v>1.1499999999999999</v>
      </c>
      <c r="G18" s="128">
        <v>1.1499999999999999</v>
      </c>
      <c r="H18" s="128">
        <v>1.1499999999999999</v>
      </c>
      <c r="I18" s="128">
        <v>1.1499999999999999</v>
      </c>
      <c r="J18" s="128">
        <v>1.1499999999999999</v>
      </c>
      <c r="K18" s="128">
        <v>1.1499999999999999</v>
      </c>
      <c r="L18" s="128">
        <v>1.1499999999999999</v>
      </c>
      <c r="M18" s="128">
        <v>1.1499999999999999</v>
      </c>
      <c r="N18" s="128">
        <v>1.1499999999999999</v>
      </c>
      <c r="O18" s="128">
        <v>1.1499999999999999</v>
      </c>
      <c r="P18" s="128">
        <v>1.1499999999999999</v>
      </c>
      <c r="Q18" s="128">
        <v>1.1499999999999999</v>
      </c>
      <c r="R18" s="128">
        <v>1.1499999999999999</v>
      </c>
      <c r="S18" s="128">
        <v>1.1499999999999999</v>
      </c>
      <c r="T18" s="128">
        <v>1.1499999999999999</v>
      </c>
      <c r="U18" s="128">
        <v>1.1599999999999999</v>
      </c>
      <c r="V18" s="128">
        <v>1.1599999999999999</v>
      </c>
      <c r="W18" s="128">
        <v>1.1599999999999999</v>
      </c>
      <c r="X18" s="128">
        <v>1.1599999999999999</v>
      </c>
      <c r="Y18" s="128">
        <v>1.1599999999999999</v>
      </c>
      <c r="Z18" s="128">
        <v>1.1599999999999999</v>
      </c>
      <c r="AA18" s="128">
        <v>1.17</v>
      </c>
      <c r="AB18" s="128">
        <v>1.17</v>
      </c>
      <c r="AC18" s="128">
        <v>1.17</v>
      </c>
      <c r="AD18" s="128">
        <v>1.17</v>
      </c>
      <c r="AE18" s="128">
        <v>1.17</v>
      </c>
      <c r="AF18" s="128">
        <v>1.18</v>
      </c>
      <c r="AG18" s="128">
        <v>1.18</v>
      </c>
      <c r="AH18" s="128">
        <v>1.18</v>
      </c>
      <c r="AI18" s="128">
        <v>1.18</v>
      </c>
      <c r="AJ18" s="128">
        <v>1.19</v>
      </c>
      <c r="AK18" s="128">
        <v>1.19</v>
      </c>
      <c r="AL18" s="128">
        <v>1.19</v>
      </c>
      <c r="AM18" s="128">
        <v>1.19</v>
      </c>
      <c r="AN18" s="128">
        <v>1.19</v>
      </c>
      <c r="AO18" s="128">
        <v>1.2</v>
      </c>
      <c r="AP18" s="128">
        <v>1.2</v>
      </c>
      <c r="AQ18" s="128">
        <v>1.2</v>
      </c>
      <c r="AR18" s="128">
        <v>1.21</v>
      </c>
      <c r="AS18" s="128">
        <v>1.21</v>
      </c>
      <c r="AT18" s="128">
        <v>1.21</v>
      </c>
      <c r="AU18" s="128">
        <v>1.21</v>
      </c>
      <c r="AV18" s="128">
        <v>1.22</v>
      </c>
      <c r="AW18" s="128">
        <v>1.22</v>
      </c>
      <c r="AX18" s="128">
        <v>1.22</v>
      </c>
      <c r="AY18" s="128">
        <v>1.23</v>
      </c>
      <c r="AZ18" s="128">
        <v>1.23</v>
      </c>
      <c r="BA18" s="128">
        <v>1.23</v>
      </c>
      <c r="BB18" s="128">
        <v>1.22</v>
      </c>
      <c r="BC18" s="128">
        <v>1.22</v>
      </c>
      <c r="BD18" s="128">
        <v>1.22</v>
      </c>
      <c r="BE18" s="128">
        <v>1.21</v>
      </c>
      <c r="BF18" s="128">
        <v>1.21</v>
      </c>
      <c r="BG18" s="128">
        <v>1.21</v>
      </c>
      <c r="BH18" s="128">
        <v>1.21</v>
      </c>
      <c r="BI18" s="128">
        <v>1.2</v>
      </c>
      <c r="BJ18" s="128">
        <v>1.2</v>
      </c>
      <c r="BK18" s="128">
        <v>1.2</v>
      </c>
      <c r="BL18" s="128">
        <v>1.19</v>
      </c>
      <c r="BM18" s="128">
        <v>1.19</v>
      </c>
      <c r="BN18" s="128">
        <v>1.19</v>
      </c>
      <c r="BO18" s="128">
        <v>1.19</v>
      </c>
      <c r="BP18" s="128">
        <v>1.19</v>
      </c>
      <c r="BQ18" s="128">
        <v>1.18</v>
      </c>
      <c r="BR18" s="128">
        <v>1.18</v>
      </c>
      <c r="BS18" s="128">
        <v>1.18</v>
      </c>
      <c r="BT18" s="128">
        <v>1.18</v>
      </c>
      <c r="BU18" s="128">
        <v>1.17</v>
      </c>
      <c r="BV18" s="128">
        <v>1.17</v>
      </c>
      <c r="BW18" s="128">
        <v>1.17</v>
      </c>
      <c r="BX18" s="128">
        <v>1.17</v>
      </c>
      <c r="BY18" s="128">
        <v>1.17</v>
      </c>
      <c r="BZ18" s="128">
        <v>1.1599999999999999</v>
      </c>
      <c r="CA18" s="128">
        <v>1.1599999999999999</v>
      </c>
      <c r="CB18" s="128">
        <v>1.1599999999999999</v>
      </c>
      <c r="CC18" s="128">
        <v>1.1599999999999999</v>
      </c>
      <c r="CD18" s="128">
        <v>1.1599999999999999</v>
      </c>
      <c r="CE18" s="128">
        <v>1.1599999999999999</v>
      </c>
      <c r="CF18" s="128">
        <v>1.1499999999999999</v>
      </c>
      <c r="CG18" s="128">
        <v>1.1499999999999999</v>
      </c>
      <c r="CH18" s="128">
        <v>1.1499999999999999</v>
      </c>
      <c r="CI18" s="128">
        <v>1.1499999999999999</v>
      </c>
      <c r="CJ18" s="128">
        <v>1.1499999999999999</v>
      </c>
      <c r="CK18" s="128">
        <v>1.1499999999999999</v>
      </c>
      <c r="CL18" s="128">
        <v>1.1499999999999999</v>
      </c>
      <c r="CM18" s="128">
        <v>1.1499999999999999</v>
      </c>
      <c r="CN18" s="128">
        <v>1.1499999999999999</v>
      </c>
      <c r="CO18" s="128">
        <v>1.1499999999999999</v>
      </c>
      <c r="CP18" s="128">
        <v>1.1499999999999999</v>
      </c>
      <c r="CQ18" s="128">
        <v>1.1499999999999999</v>
      </c>
      <c r="CR18" s="128">
        <v>1.1499999999999999</v>
      </c>
      <c r="CS18" s="128">
        <v>1.1499999999999999</v>
      </c>
      <c r="CT18" s="128">
        <v>1.1499999999999999</v>
      </c>
      <c r="CU18" s="128">
        <v>1.1499999999999999</v>
      </c>
      <c r="CV18" s="128">
        <v>1.1499999999999999</v>
      </c>
      <c r="CW18" s="128">
        <v>1.1499999999999999</v>
      </c>
      <c r="CX18" s="128">
        <v>1.1499999999999999</v>
      </c>
      <c r="CZ18" s="126">
        <f>SUMIF(MatrixF3[[1]:[2]],MatrixF3[[#This Row],[Столбец1]])/MatrixF3[[#This Row],[Столбец1]]</f>
        <v>97.000000000000171</v>
      </c>
    </row>
    <row r="19" spans="1:104" ht="21" customHeight="1" x14ac:dyDescent="0.25">
      <c r="A19" s="127">
        <v>1.1599999999999999</v>
      </c>
      <c r="B19" s="128">
        <v>1.1599999999999999</v>
      </c>
      <c r="C19" s="128">
        <v>1.1599999999999999</v>
      </c>
      <c r="D19" s="128">
        <v>1.1599999999999999</v>
      </c>
      <c r="E19" s="128">
        <v>1.1599999999999999</v>
      </c>
      <c r="F19" s="128">
        <v>1.1599999999999999</v>
      </c>
      <c r="G19" s="128">
        <v>1.1599999999999999</v>
      </c>
      <c r="H19" s="128">
        <v>1.1599999999999999</v>
      </c>
      <c r="I19" s="128">
        <v>1.1599999999999999</v>
      </c>
      <c r="J19" s="128">
        <v>1.1599999999999999</v>
      </c>
      <c r="K19" s="128">
        <v>1.1599999999999999</v>
      </c>
      <c r="L19" s="128">
        <v>1.1599999999999999</v>
      </c>
      <c r="M19" s="128">
        <v>1.1599999999999999</v>
      </c>
      <c r="N19" s="128">
        <v>1.1599999999999999</v>
      </c>
      <c r="O19" s="128">
        <v>1.1599999999999999</v>
      </c>
      <c r="P19" s="128">
        <v>1.1599999999999999</v>
      </c>
      <c r="Q19" s="128">
        <v>1.1599999999999999</v>
      </c>
      <c r="R19" s="128">
        <v>1.1599999999999999</v>
      </c>
      <c r="S19" s="128">
        <v>1.1599999999999999</v>
      </c>
      <c r="T19" s="128">
        <v>1.1599999999999999</v>
      </c>
      <c r="U19" s="128">
        <v>1.1599999999999999</v>
      </c>
      <c r="V19" s="128">
        <v>1.17</v>
      </c>
      <c r="W19" s="128">
        <v>1.17</v>
      </c>
      <c r="X19" s="128">
        <v>1.17</v>
      </c>
      <c r="Y19" s="128">
        <v>1.17</v>
      </c>
      <c r="Z19" s="128">
        <v>1.17</v>
      </c>
      <c r="AA19" s="128">
        <v>1.18</v>
      </c>
      <c r="AB19" s="128">
        <v>1.18</v>
      </c>
      <c r="AC19" s="128">
        <v>1.18</v>
      </c>
      <c r="AD19" s="128">
        <v>1.18</v>
      </c>
      <c r="AE19" s="128">
        <v>1.18</v>
      </c>
      <c r="AF19" s="128">
        <v>1.19</v>
      </c>
      <c r="AG19" s="128">
        <v>1.19</v>
      </c>
      <c r="AH19" s="128">
        <v>1.19</v>
      </c>
      <c r="AI19" s="128">
        <v>1.19</v>
      </c>
      <c r="AJ19" s="128">
        <v>1.2</v>
      </c>
      <c r="AK19" s="128">
        <v>1.2</v>
      </c>
      <c r="AL19" s="128">
        <v>1.2</v>
      </c>
      <c r="AM19" s="128">
        <v>1.2</v>
      </c>
      <c r="AN19" s="128">
        <v>1.21</v>
      </c>
      <c r="AO19" s="128">
        <v>1.21</v>
      </c>
      <c r="AP19" s="128">
        <v>1.21</v>
      </c>
      <c r="AQ19" s="128">
        <v>1.21</v>
      </c>
      <c r="AR19" s="128">
        <v>1.22</v>
      </c>
      <c r="AS19" s="128">
        <v>1.22</v>
      </c>
      <c r="AT19" s="128">
        <v>1.22</v>
      </c>
      <c r="AU19" s="128">
        <v>1.23</v>
      </c>
      <c r="AV19" s="128">
        <v>1.23</v>
      </c>
      <c r="AW19" s="128">
        <v>1.23</v>
      </c>
      <c r="AX19" s="128">
        <v>1.24</v>
      </c>
      <c r="AY19" s="128">
        <v>1.24</v>
      </c>
      <c r="AZ19" s="128">
        <v>1.24</v>
      </c>
      <c r="BA19" s="128">
        <v>1.24</v>
      </c>
      <c r="BB19" s="128">
        <v>1.24</v>
      </c>
      <c r="BC19" s="128">
        <v>1.23</v>
      </c>
      <c r="BD19" s="128">
        <v>1.23</v>
      </c>
      <c r="BE19" s="128">
        <v>1.23</v>
      </c>
      <c r="BF19" s="128">
        <v>1.22</v>
      </c>
      <c r="BG19" s="128">
        <v>1.22</v>
      </c>
      <c r="BH19" s="128">
        <v>1.22</v>
      </c>
      <c r="BI19" s="128">
        <v>1.21</v>
      </c>
      <c r="BJ19" s="128">
        <v>1.21</v>
      </c>
      <c r="BK19" s="128">
        <v>1.21</v>
      </c>
      <c r="BL19" s="128">
        <v>1.21</v>
      </c>
      <c r="BM19" s="128">
        <v>1.2</v>
      </c>
      <c r="BN19" s="128">
        <v>1.2</v>
      </c>
      <c r="BO19" s="128">
        <v>1.2</v>
      </c>
      <c r="BP19" s="128">
        <v>1.2</v>
      </c>
      <c r="BQ19" s="128">
        <v>1.19</v>
      </c>
      <c r="BR19" s="128">
        <v>1.19</v>
      </c>
      <c r="BS19" s="128">
        <v>1.19</v>
      </c>
      <c r="BT19" s="128">
        <v>1.19</v>
      </c>
      <c r="BU19" s="128">
        <v>1.18</v>
      </c>
      <c r="BV19" s="128">
        <v>1.18</v>
      </c>
      <c r="BW19" s="128">
        <v>1.18</v>
      </c>
      <c r="BX19" s="128">
        <v>1.18</v>
      </c>
      <c r="BY19" s="128">
        <v>1.18</v>
      </c>
      <c r="BZ19" s="128">
        <v>1.17</v>
      </c>
      <c r="CA19" s="128">
        <v>1.17</v>
      </c>
      <c r="CB19" s="128">
        <v>1.17</v>
      </c>
      <c r="CC19" s="128">
        <v>1.17</v>
      </c>
      <c r="CD19" s="128">
        <v>1.17</v>
      </c>
      <c r="CE19" s="128">
        <v>1.1599999999999999</v>
      </c>
      <c r="CF19" s="128">
        <v>1.1599999999999999</v>
      </c>
      <c r="CG19" s="128">
        <v>1.1599999999999999</v>
      </c>
      <c r="CH19" s="128">
        <v>1.1599999999999999</v>
      </c>
      <c r="CI19" s="128">
        <v>1.1599999999999999</v>
      </c>
      <c r="CJ19" s="128">
        <v>1.1599999999999999</v>
      </c>
      <c r="CK19" s="128">
        <v>1.1599999999999999</v>
      </c>
      <c r="CL19" s="128">
        <v>1.1599999999999999</v>
      </c>
      <c r="CM19" s="128">
        <v>1.1599999999999999</v>
      </c>
      <c r="CN19" s="128">
        <v>1.1599999999999999</v>
      </c>
      <c r="CO19" s="128">
        <v>1.1599999999999999</v>
      </c>
      <c r="CP19" s="128">
        <v>1.1599999999999999</v>
      </c>
      <c r="CQ19" s="128">
        <v>1.1599999999999999</v>
      </c>
      <c r="CR19" s="128">
        <v>1.1599999999999999</v>
      </c>
      <c r="CS19" s="128">
        <v>1.1599999999999999</v>
      </c>
      <c r="CT19" s="128">
        <v>1.1599999999999999</v>
      </c>
      <c r="CU19" s="128">
        <v>1.1599999999999999</v>
      </c>
      <c r="CV19" s="128">
        <v>1.1599999999999999</v>
      </c>
      <c r="CW19" s="128">
        <v>1.1599999999999999</v>
      </c>
      <c r="CX19" s="128">
        <v>1.1599999999999999</v>
      </c>
      <c r="CZ19" s="126">
        <f>SUMIF(MatrixF3[[1]:[2]],MatrixF3[[#This Row],[Столбец1]])/MatrixF3[[#This Row],[Столбец1]]</f>
        <v>99.999999999999801</v>
      </c>
    </row>
    <row r="20" spans="1:104" ht="21" customHeight="1" x14ac:dyDescent="0.25">
      <c r="A20" s="127">
        <v>1.17</v>
      </c>
      <c r="B20" s="128">
        <v>1.17</v>
      </c>
      <c r="C20" s="128">
        <v>1.17</v>
      </c>
      <c r="D20" s="128">
        <v>1.17</v>
      </c>
      <c r="E20" s="128">
        <v>1.17</v>
      </c>
      <c r="F20" s="128">
        <v>1.17</v>
      </c>
      <c r="G20" s="128">
        <v>1.17</v>
      </c>
      <c r="H20" s="128">
        <v>1.17</v>
      </c>
      <c r="I20" s="128">
        <v>1.17</v>
      </c>
      <c r="J20" s="128">
        <v>1.17</v>
      </c>
      <c r="K20" s="128">
        <v>1.17</v>
      </c>
      <c r="L20" s="128">
        <v>1.17</v>
      </c>
      <c r="M20" s="128">
        <v>1.17</v>
      </c>
      <c r="N20" s="128">
        <v>1.17</v>
      </c>
      <c r="O20" s="128">
        <v>1.17</v>
      </c>
      <c r="P20" s="128">
        <v>1.17</v>
      </c>
      <c r="Q20" s="128">
        <v>1.17</v>
      </c>
      <c r="R20" s="128">
        <v>1.17</v>
      </c>
      <c r="S20" s="128">
        <v>1.17</v>
      </c>
      <c r="T20" s="128">
        <v>1.17</v>
      </c>
      <c r="U20" s="128">
        <v>1.17</v>
      </c>
      <c r="V20" s="128">
        <v>1.18</v>
      </c>
      <c r="W20" s="128">
        <v>1.18</v>
      </c>
      <c r="X20" s="128">
        <v>1.18</v>
      </c>
      <c r="Y20" s="128">
        <v>1.18</v>
      </c>
      <c r="Z20" s="128">
        <v>1.18</v>
      </c>
      <c r="AA20" s="128">
        <v>1.18</v>
      </c>
      <c r="AB20" s="128">
        <v>1.19</v>
      </c>
      <c r="AC20" s="128">
        <v>1.19</v>
      </c>
      <c r="AD20" s="128">
        <v>1.19</v>
      </c>
      <c r="AE20" s="128">
        <v>1.19</v>
      </c>
      <c r="AF20" s="128">
        <v>1.2</v>
      </c>
      <c r="AG20" s="128">
        <v>1.2</v>
      </c>
      <c r="AH20" s="128">
        <v>1.2</v>
      </c>
      <c r="AI20" s="128">
        <v>1.2</v>
      </c>
      <c r="AJ20" s="128">
        <v>1.2</v>
      </c>
      <c r="AK20" s="128">
        <v>1.21</v>
      </c>
      <c r="AL20" s="128">
        <v>1.21</v>
      </c>
      <c r="AM20" s="128">
        <v>1.21</v>
      </c>
      <c r="AN20" s="128">
        <v>1.22</v>
      </c>
      <c r="AO20" s="128">
        <v>1.22</v>
      </c>
      <c r="AP20" s="128">
        <v>1.22</v>
      </c>
      <c r="AQ20" s="128">
        <v>1.22</v>
      </c>
      <c r="AR20" s="128">
        <v>1.23</v>
      </c>
      <c r="AS20" s="128">
        <v>1.23</v>
      </c>
      <c r="AT20" s="128">
        <v>1.23</v>
      </c>
      <c r="AU20" s="128">
        <v>1.24</v>
      </c>
      <c r="AV20" s="128">
        <v>1.24</v>
      </c>
      <c r="AW20" s="128">
        <v>1.24</v>
      </c>
      <c r="AX20" s="128">
        <v>1.25</v>
      </c>
      <c r="AY20" s="128">
        <v>1.25</v>
      </c>
      <c r="AZ20" s="128">
        <v>1.25</v>
      </c>
      <c r="BA20" s="128">
        <v>1.25</v>
      </c>
      <c r="BB20" s="128">
        <v>1.25</v>
      </c>
      <c r="BC20" s="128">
        <v>1.24</v>
      </c>
      <c r="BD20" s="128">
        <v>1.24</v>
      </c>
      <c r="BE20" s="128">
        <v>1.24</v>
      </c>
      <c r="BF20" s="128">
        <v>1.23</v>
      </c>
      <c r="BG20" s="128">
        <v>1.23</v>
      </c>
      <c r="BH20" s="128">
        <v>1.23</v>
      </c>
      <c r="BI20" s="128">
        <v>1.22</v>
      </c>
      <c r="BJ20" s="128">
        <v>1.22</v>
      </c>
      <c r="BK20" s="128">
        <v>1.22</v>
      </c>
      <c r="BL20" s="128">
        <v>1.22</v>
      </c>
      <c r="BM20" s="128">
        <v>1.21</v>
      </c>
      <c r="BN20" s="128">
        <v>1.21</v>
      </c>
      <c r="BO20" s="128">
        <v>1.21</v>
      </c>
      <c r="BP20" s="128">
        <v>1.2</v>
      </c>
      <c r="BQ20" s="128">
        <v>1.2</v>
      </c>
      <c r="BR20" s="128">
        <v>1.2</v>
      </c>
      <c r="BS20" s="128">
        <v>1.2</v>
      </c>
      <c r="BT20" s="128">
        <v>1.2</v>
      </c>
      <c r="BU20" s="128">
        <v>1.19</v>
      </c>
      <c r="BV20" s="128">
        <v>1.19</v>
      </c>
      <c r="BW20" s="128">
        <v>1.19</v>
      </c>
      <c r="BX20" s="128">
        <v>1.19</v>
      </c>
      <c r="BY20" s="128">
        <v>1.18</v>
      </c>
      <c r="BZ20" s="128">
        <v>1.18</v>
      </c>
      <c r="CA20" s="128">
        <v>1.18</v>
      </c>
      <c r="CB20" s="128">
        <v>1.18</v>
      </c>
      <c r="CC20" s="128">
        <v>1.18</v>
      </c>
      <c r="CD20" s="128">
        <v>1.18</v>
      </c>
      <c r="CE20" s="128">
        <v>1.17</v>
      </c>
      <c r="CF20" s="128">
        <v>1.17</v>
      </c>
      <c r="CG20" s="128">
        <v>1.17</v>
      </c>
      <c r="CH20" s="128">
        <v>1.17</v>
      </c>
      <c r="CI20" s="128">
        <v>1.17</v>
      </c>
      <c r="CJ20" s="128">
        <v>1.17</v>
      </c>
      <c r="CK20" s="128">
        <v>1.17</v>
      </c>
      <c r="CL20" s="128">
        <v>1.17</v>
      </c>
      <c r="CM20" s="128">
        <v>1.17</v>
      </c>
      <c r="CN20" s="128">
        <v>1.17</v>
      </c>
      <c r="CO20" s="128">
        <v>1.17</v>
      </c>
      <c r="CP20" s="128">
        <v>1.17</v>
      </c>
      <c r="CQ20" s="128">
        <v>1.17</v>
      </c>
      <c r="CR20" s="128">
        <v>1.17</v>
      </c>
      <c r="CS20" s="128">
        <v>1.17</v>
      </c>
      <c r="CT20" s="128">
        <v>1.17</v>
      </c>
      <c r="CU20" s="128">
        <v>1.17</v>
      </c>
      <c r="CV20" s="128">
        <v>1.17</v>
      </c>
      <c r="CW20" s="128">
        <v>1.17</v>
      </c>
      <c r="CX20" s="128">
        <v>1.17</v>
      </c>
      <c r="CZ20" s="126">
        <f>SUMIF(MatrixF3[[1]:[2]],MatrixF3[[#This Row],[Столбец1]])/MatrixF3[[#This Row],[Столбец1]]</f>
        <v>93.000000000000114</v>
      </c>
    </row>
    <row r="21" spans="1:104" ht="21" customHeight="1" x14ac:dyDescent="0.25">
      <c r="A21" s="127">
        <v>1.18</v>
      </c>
      <c r="B21" s="128">
        <v>1.18</v>
      </c>
      <c r="C21" s="128">
        <v>1.18</v>
      </c>
      <c r="D21" s="128">
        <v>1.18</v>
      </c>
      <c r="E21" s="128">
        <v>1.18</v>
      </c>
      <c r="F21" s="128">
        <v>1.18</v>
      </c>
      <c r="G21" s="128">
        <v>1.18</v>
      </c>
      <c r="H21" s="128">
        <v>1.18</v>
      </c>
      <c r="I21" s="128">
        <v>1.18</v>
      </c>
      <c r="J21" s="128">
        <v>1.18</v>
      </c>
      <c r="K21" s="128">
        <v>1.18</v>
      </c>
      <c r="L21" s="128">
        <v>1.18</v>
      </c>
      <c r="M21" s="128">
        <v>1.18</v>
      </c>
      <c r="N21" s="128">
        <v>1.18</v>
      </c>
      <c r="O21" s="128">
        <v>1.18</v>
      </c>
      <c r="P21" s="128">
        <v>1.18</v>
      </c>
      <c r="Q21" s="128">
        <v>1.18</v>
      </c>
      <c r="R21" s="128">
        <v>1.18</v>
      </c>
      <c r="S21" s="128">
        <v>1.18</v>
      </c>
      <c r="T21" s="128">
        <v>1.18</v>
      </c>
      <c r="U21" s="128">
        <v>1.18</v>
      </c>
      <c r="V21" s="128">
        <v>1.18</v>
      </c>
      <c r="W21" s="128">
        <v>1.19</v>
      </c>
      <c r="X21" s="128">
        <v>1.19</v>
      </c>
      <c r="Y21" s="128">
        <v>1.19</v>
      </c>
      <c r="Z21" s="128">
        <v>1.19</v>
      </c>
      <c r="AA21" s="128">
        <v>1.19</v>
      </c>
      <c r="AB21" s="128">
        <v>1.2</v>
      </c>
      <c r="AC21" s="128">
        <v>1.2</v>
      </c>
      <c r="AD21" s="128">
        <v>1.2</v>
      </c>
      <c r="AE21" s="128">
        <v>1.2</v>
      </c>
      <c r="AF21" s="128">
        <v>1.2</v>
      </c>
      <c r="AG21" s="128">
        <v>1.21</v>
      </c>
      <c r="AH21" s="128">
        <v>1.21</v>
      </c>
      <c r="AI21" s="128">
        <v>1.21</v>
      </c>
      <c r="AJ21" s="128">
        <v>1.21</v>
      </c>
      <c r="AK21" s="128">
        <v>1.22</v>
      </c>
      <c r="AL21" s="128">
        <v>1.22</v>
      </c>
      <c r="AM21" s="128">
        <v>1.22</v>
      </c>
      <c r="AN21" s="128">
        <v>1.22</v>
      </c>
      <c r="AO21" s="128">
        <v>1.23</v>
      </c>
      <c r="AP21" s="128">
        <v>1.23</v>
      </c>
      <c r="AQ21" s="128">
        <v>1.23</v>
      </c>
      <c r="AR21" s="128">
        <v>1.24</v>
      </c>
      <c r="AS21" s="128">
        <v>1.24</v>
      </c>
      <c r="AT21" s="128">
        <v>1.24</v>
      </c>
      <c r="AU21" s="128">
        <v>1.25</v>
      </c>
      <c r="AV21" s="128">
        <v>1.25</v>
      </c>
      <c r="AW21" s="128">
        <v>1.25</v>
      </c>
      <c r="AX21" s="128">
        <v>1.26</v>
      </c>
      <c r="AY21" s="128">
        <v>1.26</v>
      </c>
      <c r="AZ21" s="128">
        <v>1.26</v>
      </c>
      <c r="BA21" s="128">
        <v>1.26</v>
      </c>
      <c r="BB21" s="128">
        <v>1.26</v>
      </c>
      <c r="BC21" s="128">
        <v>1.25</v>
      </c>
      <c r="BD21" s="128">
        <v>1.25</v>
      </c>
      <c r="BE21" s="128">
        <v>1.25</v>
      </c>
      <c r="BF21" s="128">
        <v>1.24</v>
      </c>
      <c r="BG21" s="128">
        <v>1.24</v>
      </c>
      <c r="BH21" s="128">
        <v>1.24</v>
      </c>
      <c r="BI21" s="128">
        <v>1.23</v>
      </c>
      <c r="BJ21" s="128">
        <v>1.23</v>
      </c>
      <c r="BK21" s="128">
        <v>1.23</v>
      </c>
      <c r="BL21" s="128">
        <v>1.22</v>
      </c>
      <c r="BM21" s="128">
        <v>1.22</v>
      </c>
      <c r="BN21" s="128">
        <v>1.22</v>
      </c>
      <c r="BO21" s="128">
        <v>1.22</v>
      </c>
      <c r="BP21" s="128">
        <v>1.21</v>
      </c>
      <c r="BQ21" s="128">
        <v>1.21</v>
      </c>
      <c r="BR21" s="128">
        <v>1.21</v>
      </c>
      <c r="BS21" s="128">
        <v>1.21</v>
      </c>
      <c r="BT21" s="128">
        <v>1.2</v>
      </c>
      <c r="BU21" s="128">
        <v>1.2</v>
      </c>
      <c r="BV21" s="128">
        <v>1.2</v>
      </c>
      <c r="BW21" s="128">
        <v>1.2</v>
      </c>
      <c r="BX21" s="128">
        <v>1.2</v>
      </c>
      <c r="BY21" s="128">
        <v>1.19</v>
      </c>
      <c r="BZ21" s="128">
        <v>1.19</v>
      </c>
      <c r="CA21" s="128">
        <v>1.19</v>
      </c>
      <c r="CB21" s="128">
        <v>1.19</v>
      </c>
      <c r="CC21" s="128">
        <v>1.19</v>
      </c>
      <c r="CD21" s="128">
        <v>1.18</v>
      </c>
      <c r="CE21" s="128">
        <v>1.18</v>
      </c>
      <c r="CF21" s="128">
        <v>1.18</v>
      </c>
      <c r="CG21" s="128">
        <v>1.18</v>
      </c>
      <c r="CH21" s="128">
        <v>1.18</v>
      </c>
      <c r="CI21" s="128">
        <v>1.18</v>
      </c>
      <c r="CJ21" s="128">
        <v>1.18</v>
      </c>
      <c r="CK21" s="128">
        <v>1.18</v>
      </c>
      <c r="CL21" s="128">
        <v>1.18</v>
      </c>
      <c r="CM21" s="128">
        <v>1.18</v>
      </c>
      <c r="CN21" s="128">
        <v>1.18</v>
      </c>
      <c r="CO21" s="128">
        <v>1.18</v>
      </c>
      <c r="CP21" s="128">
        <v>1.18</v>
      </c>
      <c r="CQ21" s="128">
        <v>1.18</v>
      </c>
      <c r="CR21" s="128">
        <v>1.18</v>
      </c>
      <c r="CS21" s="128">
        <v>1.18</v>
      </c>
      <c r="CT21" s="128">
        <v>1.18</v>
      </c>
      <c r="CU21" s="128">
        <v>1.18</v>
      </c>
      <c r="CV21" s="128">
        <v>1.18</v>
      </c>
      <c r="CW21" s="128">
        <v>1.18</v>
      </c>
      <c r="CX21" s="128">
        <v>1.18</v>
      </c>
      <c r="CZ21" s="126">
        <f>SUMIF(MatrixF3[[1]:[2]],MatrixF3[[#This Row],[Столбец1]])/MatrixF3[[#This Row],[Столбец1]]</f>
        <v>101.00000000000027</v>
      </c>
    </row>
    <row r="22" spans="1:104" ht="21" customHeight="1" x14ac:dyDescent="0.25">
      <c r="A22" s="127">
        <v>1.19</v>
      </c>
      <c r="B22" s="128">
        <v>1.19</v>
      </c>
      <c r="C22" s="128">
        <v>1.19</v>
      </c>
      <c r="D22" s="128">
        <v>1.19</v>
      </c>
      <c r="E22" s="128">
        <v>1.19</v>
      </c>
      <c r="F22" s="128">
        <v>1.19</v>
      </c>
      <c r="G22" s="128">
        <v>1.19</v>
      </c>
      <c r="H22" s="128">
        <v>1.19</v>
      </c>
      <c r="I22" s="128">
        <v>1.19</v>
      </c>
      <c r="J22" s="128">
        <v>1.19</v>
      </c>
      <c r="K22" s="128">
        <v>1.19</v>
      </c>
      <c r="L22" s="128">
        <v>1.19</v>
      </c>
      <c r="M22" s="128">
        <v>1.19</v>
      </c>
      <c r="N22" s="128">
        <v>1.19</v>
      </c>
      <c r="O22" s="128">
        <v>1.19</v>
      </c>
      <c r="P22" s="128">
        <v>1.19</v>
      </c>
      <c r="Q22" s="128">
        <v>1.19</v>
      </c>
      <c r="R22" s="128">
        <v>1.19</v>
      </c>
      <c r="S22" s="128">
        <v>1.19</v>
      </c>
      <c r="T22" s="128">
        <v>1.19</v>
      </c>
      <c r="U22" s="128">
        <v>1.19</v>
      </c>
      <c r="V22" s="128">
        <v>1.19</v>
      </c>
      <c r="W22" s="128">
        <v>1.19</v>
      </c>
      <c r="X22" s="128">
        <v>1.2</v>
      </c>
      <c r="Y22" s="128">
        <v>1.2</v>
      </c>
      <c r="Z22" s="128">
        <v>1.2</v>
      </c>
      <c r="AA22" s="128">
        <v>1.2</v>
      </c>
      <c r="AB22" s="128">
        <v>1.2</v>
      </c>
      <c r="AC22" s="128">
        <v>1.21</v>
      </c>
      <c r="AD22" s="128">
        <v>1.21</v>
      </c>
      <c r="AE22" s="128">
        <v>1.21</v>
      </c>
      <c r="AF22" s="128">
        <v>1.21</v>
      </c>
      <c r="AG22" s="128">
        <v>1.22</v>
      </c>
      <c r="AH22" s="128">
        <v>1.22</v>
      </c>
      <c r="AI22" s="128">
        <v>1.22</v>
      </c>
      <c r="AJ22" s="128">
        <v>1.22</v>
      </c>
      <c r="AK22" s="128">
        <v>1.23</v>
      </c>
      <c r="AL22" s="128">
        <v>1.23</v>
      </c>
      <c r="AM22" s="128">
        <v>1.23</v>
      </c>
      <c r="AN22" s="128">
        <v>1.23</v>
      </c>
      <c r="AO22" s="128">
        <v>1.24</v>
      </c>
      <c r="AP22" s="128">
        <v>1.24</v>
      </c>
      <c r="AQ22" s="128">
        <v>1.24</v>
      </c>
      <c r="AR22" s="128">
        <v>1.25</v>
      </c>
      <c r="AS22" s="128">
        <v>1.25</v>
      </c>
      <c r="AT22" s="128">
        <v>1.25</v>
      </c>
      <c r="AU22" s="128">
        <v>1.26</v>
      </c>
      <c r="AV22" s="128">
        <v>1.26</v>
      </c>
      <c r="AW22" s="128">
        <v>1.26</v>
      </c>
      <c r="AX22" s="128">
        <v>1.27</v>
      </c>
      <c r="AY22" s="128">
        <v>1.27</v>
      </c>
      <c r="AZ22" s="128">
        <v>1.28</v>
      </c>
      <c r="BA22" s="128">
        <v>1.27</v>
      </c>
      <c r="BB22" s="128">
        <v>1.27</v>
      </c>
      <c r="BC22" s="128">
        <v>1.26</v>
      </c>
      <c r="BD22" s="128">
        <v>1.26</v>
      </c>
      <c r="BE22" s="128">
        <v>1.26</v>
      </c>
      <c r="BF22" s="128">
        <v>1.25</v>
      </c>
      <c r="BG22" s="128">
        <v>1.25</v>
      </c>
      <c r="BH22" s="128">
        <v>1.25</v>
      </c>
      <c r="BI22" s="128">
        <v>1.24</v>
      </c>
      <c r="BJ22" s="128">
        <v>1.24</v>
      </c>
      <c r="BK22" s="128">
        <v>1.24</v>
      </c>
      <c r="BL22" s="128">
        <v>1.23</v>
      </c>
      <c r="BM22" s="128">
        <v>1.23</v>
      </c>
      <c r="BN22" s="128">
        <v>1.23</v>
      </c>
      <c r="BO22" s="128">
        <v>1.23</v>
      </c>
      <c r="BP22" s="128">
        <v>1.22</v>
      </c>
      <c r="BQ22" s="128">
        <v>1.22</v>
      </c>
      <c r="BR22" s="128">
        <v>1.22</v>
      </c>
      <c r="BS22" s="128">
        <v>1.22</v>
      </c>
      <c r="BT22" s="128">
        <v>1.21</v>
      </c>
      <c r="BU22" s="128">
        <v>1.21</v>
      </c>
      <c r="BV22" s="128">
        <v>1.21</v>
      </c>
      <c r="BW22" s="128">
        <v>1.21</v>
      </c>
      <c r="BX22" s="128">
        <v>1.2</v>
      </c>
      <c r="BY22" s="128">
        <v>1.2</v>
      </c>
      <c r="BZ22" s="128">
        <v>1.2</v>
      </c>
      <c r="CA22" s="128">
        <v>1.2</v>
      </c>
      <c r="CB22" s="128">
        <v>1.2</v>
      </c>
      <c r="CC22" s="128">
        <v>1.19</v>
      </c>
      <c r="CD22" s="128">
        <v>1.19</v>
      </c>
      <c r="CE22" s="128">
        <v>1.19</v>
      </c>
      <c r="CF22" s="128">
        <v>1.19</v>
      </c>
      <c r="CG22" s="128">
        <v>1.19</v>
      </c>
      <c r="CH22" s="128">
        <v>1.19</v>
      </c>
      <c r="CI22" s="128">
        <v>1.19</v>
      </c>
      <c r="CJ22" s="128">
        <v>1.19</v>
      </c>
      <c r="CK22" s="128">
        <v>1.19</v>
      </c>
      <c r="CL22" s="128">
        <v>1.19</v>
      </c>
      <c r="CM22" s="128">
        <v>1.19</v>
      </c>
      <c r="CN22" s="128">
        <v>1.19</v>
      </c>
      <c r="CO22" s="128">
        <v>1.19</v>
      </c>
      <c r="CP22" s="128">
        <v>1.19</v>
      </c>
      <c r="CQ22" s="128">
        <v>1.19</v>
      </c>
      <c r="CR22" s="128">
        <v>1.19</v>
      </c>
      <c r="CS22" s="128">
        <v>1.19</v>
      </c>
      <c r="CT22" s="128">
        <v>1.19</v>
      </c>
      <c r="CU22" s="128">
        <v>1.19</v>
      </c>
      <c r="CV22" s="128">
        <v>1.19</v>
      </c>
      <c r="CW22" s="128">
        <v>1.19</v>
      </c>
      <c r="CX22" s="128">
        <v>1.19</v>
      </c>
      <c r="CZ22" s="126">
        <f>SUMIF(MatrixF3[[1]:[2]],MatrixF3[[#This Row],[Столбец1]])/MatrixF3[[#This Row],[Столбец1]]</f>
        <v>100.99999999999987</v>
      </c>
    </row>
    <row r="23" spans="1:104" ht="21" customHeight="1" x14ac:dyDescent="0.25">
      <c r="A23" s="127">
        <v>1.2</v>
      </c>
      <c r="B23" s="128">
        <v>1.2</v>
      </c>
      <c r="C23" s="128">
        <v>1.2</v>
      </c>
      <c r="D23" s="128">
        <v>1.2</v>
      </c>
      <c r="E23" s="128">
        <v>1.2</v>
      </c>
      <c r="F23" s="128">
        <v>1.2</v>
      </c>
      <c r="G23" s="128">
        <v>1.2</v>
      </c>
      <c r="H23" s="128">
        <v>1.2</v>
      </c>
      <c r="I23" s="128">
        <v>1.2</v>
      </c>
      <c r="J23" s="128">
        <v>1.2</v>
      </c>
      <c r="K23" s="128">
        <v>1.2</v>
      </c>
      <c r="L23" s="128">
        <v>1.2</v>
      </c>
      <c r="M23" s="128">
        <v>1.2</v>
      </c>
      <c r="N23" s="128">
        <v>1.2</v>
      </c>
      <c r="O23" s="128">
        <v>1.2</v>
      </c>
      <c r="P23" s="128">
        <v>1.2</v>
      </c>
      <c r="Q23" s="128">
        <v>1.2</v>
      </c>
      <c r="R23" s="128">
        <v>1.2</v>
      </c>
      <c r="S23" s="128">
        <v>1.2</v>
      </c>
      <c r="T23" s="128">
        <v>1.2</v>
      </c>
      <c r="U23" s="128">
        <v>1.2</v>
      </c>
      <c r="V23" s="128">
        <v>1.2</v>
      </c>
      <c r="W23" s="128">
        <v>1.2</v>
      </c>
      <c r="X23" s="128">
        <v>1.2</v>
      </c>
      <c r="Y23" s="128">
        <v>1.21</v>
      </c>
      <c r="Z23" s="128">
        <v>1.21</v>
      </c>
      <c r="AA23" s="128">
        <v>1.21</v>
      </c>
      <c r="AB23" s="128">
        <v>1.21</v>
      </c>
      <c r="AC23" s="128">
        <v>1.22</v>
      </c>
      <c r="AD23" s="128">
        <v>1.22</v>
      </c>
      <c r="AE23" s="128">
        <v>1.22</v>
      </c>
      <c r="AF23" s="128">
        <v>1.22</v>
      </c>
      <c r="AG23" s="128">
        <v>1.22</v>
      </c>
      <c r="AH23" s="128">
        <v>1.23</v>
      </c>
      <c r="AI23" s="128">
        <v>1.23</v>
      </c>
      <c r="AJ23" s="128">
        <v>1.23</v>
      </c>
      <c r="AK23" s="128">
        <v>1.24</v>
      </c>
      <c r="AL23" s="128">
        <v>1.24</v>
      </c>
      <c r="AM23" s="128">
        <v>1.24</v>
      </c>
      <c r="AN23" s="128">
        <v>1.24</v>
      </c>
      <c r="AO23" s="128">
        <v>1.25</v>
      </c>
      <c r="AP23" s="128">
        <v>1.25</v>
      </c>
      <c r="AQ23" s="128">
        <v>1.25</v>
      </c>
      <c r="AR23" s="128">
        <v>1.26</v>
      </c>
      <c r="AS23" s="128">
        <v>1.26</v>
      </c>
      <c r="AT23" s="128">
        <v>1.26</v>
      </c>
      <c r="AU23" s="128">
        <v>1.27</v>
      </c>
      <c r="AV23" s="128">
        <v>1.27</v>
      </c>
      <c r="AW23" s="128">
        <v>1.27</v>
      </c>
      <c r="AX23" s="128">
        <v>1.28</v>
      </c>
      <c r="AY23" s="128">
        <v>1.28</v>
      </c>
      <c r="AZ23" s="128">
        <v>1.29</v>
      </c>
      <c r="BA23" s="128">
        <v>1.28</v>
      </c>
      <c r="BB23" s="128">
        <v>1.28</v>
      </c>
      <c r="BC23" s="128">
        <v>1.27</v>
      </c>
      <c r="BD23" s="128">
        <v>1.27</v>
      </c>
      <c r="BE23" s="128">
        <v>1.27</v>
      </c>
      <c r="BF23" s="128">
        <v>1.26</v>
      </c>
      <c r="BG23" s="128">
        <v>1.26</v>
      </c>
      <c r="BH23" s="128">
        <v>1.26</v>
      </c>
      <c r="BI23" s="128">
        <v>1.25</v>
      </c>
      <c r="BJ23" s="128">
        <v>1.25</v>
      </c>
      <c r="BK23" s="128">
        <v>1.25</v>
      </c>
      <c r="BL23" s="128">
        <v>1.24</v>
      </c>
      <c r="BM23" s="128">
        <v>1.24</v>
      </c>
      <c r="BN23" s="128">
        <v>1.24</v>
      </c>
      <c r="BO23" s="128">
        <v>1.24</v>
      </c>
      <c r="BP23" s="128">
        <v>1.23</v>
      </c>
      <c r="BQ23" s="128">
        <v>1.23</v>
      </c>
      <c r="BR23" s="128">
        <v>1.23</v>
      </c>
      <c r="BS23" s="128">
        <v>1.22</v>
      </c>
      <c r="BT23" s="128">
        <v>1.22</v>
      </c>
      <c r="BU23" s="128">
        <v>1.22</v>
      </c>
      <c r="BV23" s="128">
        <v>1.22</v>
      </c>
      <c r="BW23" s="128">
        <v>1.22</v>
      </c>
      <c r="BX23" s="128">
        <v>1.21</v>
      </c>
      <c r="BY23" s="128">
        <v>1.21</v>
      </c>
      <c r="BZ23" s="128">
        <v>1.21</v>
      </c>
      <c r="CA23" s="128">
        <v>1.21</v>
      </c>
      <c r="CB23" s="128">
        <v>1.2</v>
      </c>
      <c r="CC23" s="128">
        <v>1.2</v>
      </c>
      <c r="CD23" s="128">
        <v>1.2</v>
      </c>
      <c r="CE23" s="128">
        <v>1.2</v>
      </c>
      <c r="CF23" s="128">
        <v>1.2</v>
      </c>
      <c r="CG23" s="128">
        <v>1.2</v>
      </c>
      <c r="CH23" s="128">
        <v>1.2</v>
      </c>
      <c r="CI23" s="128">
        <v>1.2</v>
      </c>
      <c r="CJ23" s="128">
        <v>1.2</v>
      </c>
      <c r="CK23" s="128">
        <v>1.2</v>
      </c>
      <c r="CL23" s="128">
        <v>1.2</v>
      </c>
      <c r="CM23" s="128">
        <v>1.2</v>
      </c>
      <c r="CN23" s="128">
        <v>1.2</v>
      </c>
      <c r="CO23" s="128">
        <v>1.2</v>
      </c>
      <c r="CP23" s="128">
        <v>1.2</v>
      </c>
      <c r="CQ23" s="128">
        <v>1.2</v>
      </c>
      <c r="CR23" s="128">
        <v>1.2</v>
      </c>
      <c r="CS23" s="128">
        <v>1.2</v>
      </c>
      <c r="CT23" s="128">
        <v>1.2</v>
      </c>
      <c r="CU23" s="128">
        <v>1.2</v>
      </c>
      <c r="CV23" s="128">
        <v>1.2</v>
      </c>
      <c r="CW23" s="128">
        <v>1.2</v>
      </c>
      <c r="CX23" s="128">
        <v>1.2</v>
      </c>
      <c r="CZ23" s="126">
        <f>SUMIF(MatrixF3[[1]:[2]],MatrixF3[[#This Row],[Столбец1]])/MatrixF3[[#This Row],[Столбец1]]</f>
        <v>102.00000000000017</v>
      </c>
    </row>
    <row r="24" spans="1:104" ht="21" customHeight="1" x14ac:dyDescent="0.25">
      <c r="A24" s="127">
        <v>1.21</v>
      </c>
      <c r="B24" s="128">
        <v>1.21</v>
      </c>
      <c r="C24" s="128">
        <v>1.21</v>
      </c>
      <c r="D24" s="128">
        <v>1.21</v>
      </c>
      <c r="E24" s="128">
        <v>1.21</v>
      </c>
      <c r="F24" s="128">
        <v>1.21</v>
      </c>
      <c r="G24" s="128">
        <v>1.21</v>
      </c>
      <c r="H24" s="128">
        <v>1.21</v>
      </c>
      <c r="I24" s="128">
        <v>1.21</v>
      </c>
      <c r="J24" s="128">
        <v>1.21</v>
      </c>
      <c r="K24" s="128">
        <v>1.21</v>
      </c>
      <c r="L24" s="128">
        <v>1.21</v>
      </c>
      <c r="M24" s="128">
        <v>1.21</v>
      </c>
      <c r="N24" s="128">
        <v>1.21</v>
      </c>
      <c r="O24" s="128">
        <v>1.21</v>
      </c>
      <c r="P24" s="128">
        <v>1.21</v>
      </c>
      <c r="Q24" s="128">
        <v>1.21</v>
      </c>
      <c r="R24" s="128">
        <v>1.21</v>
      </c>
      <c r="S24" s="128">
        <v>1.21</v>
      </c>
      <c r="T24" s="128">
        <v>1.21</v>
      </c>
      <c r="U24" s="128">
        <v>1.21</v>
      </c>
      <c r="V24" s="128">
        <v>1.21</v>
      </c>
      <c r="W24" s="128">
        <v>1.21</v>
      </c>
      <c r="X24" s="128">
        <v>1.21</v>
      </c>
      <c r="Y24" s="128">
        <v>1.21</v>
      </c>
      <c r="Z24" s="128">
        <v>1.22</v>
      </c>
      <c r="AA24" s="128">
        <v>1.22</v>
      </c>
      <c r="AB24" s="128">
        <v>1.22</v>
      </c>
      <c r="AC24" s="128">
        <v>1.22</v>
      </c>
      <c r="AD24" s="128">
        <v>1.23</v>
      </c>
      <c r="AE24" s="128">
        <v>1.23</v>
      </c>
      <c r="AF24" s="128">
        <v>1.23</v>
      </c>
      <c r="AG24" s="128">
        <v>1.23</v>
      </c>
      <c r="AH24" s="128">
        <v>1.24</v>
      </c>
      <c r="AI24" s="128">
        <v>1.24</v>
      </c>
      <c r="AJ24" s="128">
        <v>1.24</v>
      </c>
      <c r="AK24" s="128">
        <v>1.24</v>
      </c>
      <c r="AL24" s="128">
        <v>1.25</v>
      </c>
      <c r="AM24" s="128">
        <v>1.25</v>
      </c>
      <c r="AN24" s="128">
        <v>1.25</v>
      </c>
      <c r="AO24" s="128">
        <v>1.26</v>
      </c>
      <c r="AP24" s="128">
        <v>1.26</v>
      </c>
      <c r="AQ24" s="128">
        <v>1.26</v>
      </c>
      <c r="AR24" s="128">
        <v>1.27</v>
      </c>
      <c r="AS24" s="128">
        <v>1.27</v>
      </c>
      <c r="AT24" s="128">
        <v>1.27</v>
      </c>
      <c r="AU24" s="128">
        <v>1.28</v>
      </c>
      <c r="AV24" s="128">
        <v>1.28</v>
      </c>
      <c r="AW24" s="128">
        <v>1.28</v>
      </c>
      <c r="AX24" s="128">
        <v>1.29</v>
      </c>
      <c r="AY24" s="128">
        <v>1.29</v>
      </c>
      <c r="AZ24" s="128">
        <v>1.3</v>
      </c>
      <c r="BA24" s="128">
        <v>1.29</v>
      </c>
      <c r="BB24" s="128">
        <v>1.29</v>
      </c>
      <c r="BC24" s="128">
        <v>1.28</v>
      </c>
      <c r="BD24" s="128">
        <v>1.28</v>
      </c>
      <c r="BE24" s="128">
        <v>1.28</v>
      </c>
      <c r="BF24" s="128">
        <v>1.27</v>
      </c>
      <c r="BG24" s="128">
        <v>1.27</v>
      </c>
      <c r="BH24" s="128">
        <v>1.27</v>
      </c>
      <c r="BI24" s="128">
        <v>1.26</v>
      </c>
      <c r="BJ24" s="128">
        <v>1.26</v>
      </c>
      <c r="BK24" s="128">
        <v>1.26</v>
      </c>
      <c r="BL24" s="128">
        <v>1.25</v>
      </c>
      <c r="BM24" s="128">
        <v>1.25</v>
      </c>
      <c r="BN24" s="128">
        <v>1.25</v>
      </c>
      <c r="BO24" s="128">
        <v>1.24</v>
      </c>
      <c r="BP24" s="128">
        <v>1.24</v>
      </c>
      <c r="BQ24" s="128">
        <v>1.24</v>
      </c>
      <c r="BR24" s="128">
        <v>1.24</v>
      </c>
      <c r="BS24" s="128">
        <v>1.23</v>
      </c>
      <c r="BT24" s="128">
        <v>1.23</v>
      </c>
      <c r="BU24" s="128">
        <v>1.23</v>
      </c>
      <c r="BV24" s="128">
        <v>1.23</v>
      </c>
      <c r="BW24" s="128">
        <v>1.22</v>
      </c>
      <c r="BX24" s="128">
        <v>1.22</v>
      </c>
      <c r="BY24" s="128">
        <v>1.22</v>
      </c>
      <c r="BZ24" s="128">
        <v>1.22</v>
      </c>
      <c r="CA24" s="128">
        <v>1.21</v>
      </c>
      <c r="CB24" s="128">
        <v>1.21</v>
      </c>
      <c r="CC24" s="128">
        <v>1.21</v>
      </c>
      <c r="CD24" s="128">
        <v>1.21</v>
      </c>
      <c r="CE24" s="128">
        <v>1.21</v>
      </c>
      <c r="CF24" s="128">
        <v>1.21</v>
      </c>
      <c r="CG24" s="128">
        <v>1.21</v>
      </c>
      <c r="CH24" s="128">
        <v>1.21</v>
      </c>
      <c r="CI24" s="128">
        <v>1.21</v>
      </c>
      <c r="CJ24" s="128">
        <v>1.21</v>
      </c>
      <c r="CK24" s="128">
        <v>1.21</v>
      </c>
      <c r="CL24" s="128">
        <v>1.21</v>
      </c>
      <c r="CM24" s="128">
        <v>1.21</v>
      </c>
      <c r="CN24" s="128">
        <v>1.21</v>
      </c>
      <c r="CO24" s="128">
        <v>1.21</v>
      </c>
      <c r="CP24" s="128">
        <v>1.21</v>
      </c>
      <c r="CQ24" s="128">
        <v>1.21</v>
      </c>
      <c r="CR24" s="128">
        <v>1.21</v>
      </c>
      <c r="CS24" s="128">
        <v>1.21</v>
      </c>
      <c r="CT24" s="128">
        <v>1.21</v>
      </c>
      <c r="CU24" s="128">
        <v>1.21</v>
      </c>
      <c r="CV24" s="128">
        <v>1.21</v>
      </c>
      <c r="CW24" s="128">
        <v>1.21</v>
      </c>
      <c r="CX24" s="128">
        <v>1.21</v>
      </c>
      <c r="CZ24" s="126">
        <f>SUMIF(MatrixF3[[1]:[2]],MatrixF3[[#This Row],[Столбец1]])/MatrixF3[[#This Row],[Столбец1]]</f>
        <v>100.99999999999979</v>
      </c>
    </row>
    <row r="25" spans="1:104" ht="21" customHeight="1" x14ac:dyDescent="0.25">
      <c r="A25" s="127">
        <v>1.22</v>
      </c>
      <c r="B25" s="128">
        <v>1.22</v>
      </c>
      <c r="C25" s="128">
        <v>1.22</v>
      </c>
      <c r="D25" s="128">
        <v>1.22</v>
      </c>
      <c r="E25" s="128">
        <v>1.22</v>
      </c>
      <c r="F25" s="128">
        <v>1.22</v>
      </c>
      <c r="G25" s="128">
        <v>1.22</v>
      </c>
      <c r="H25" s="128">
        <v>1.22</v>
      </c>
      <c r="I25" s="128">
        <v>1.22</v>
      </c>
      <c r="J25" s="128">
        <v>1.22</v>
      </c>
      <c r="K25" s="128">
        <v>1.22</v>
      </c>
      <c r="L25" s="128">
        <v>1.22</v>
      </c>
      <c r="M25" s="128">
        <v>1.22</v>
      </c>
      <c r="N25" s="128">
        <v>1.22</v>
      </c>
      <c r="O25" s="128">
        <v>1.22</v>
      </c>
      <c r="P25" s="128">
        <v>1.22</v>
      </c>
      <c r="Q25" s="128">
        <v>1.22</v>
      </c>
      <c r="R25" s="128">
        <v>1.22</v>
      </c>
      <c r="S25" s="128">
        <v>1.22</v>
      </c>
      <c r="T25" s="128">
        <v>1.22</v>
      </c>
      <c r="U25" s="128">
        <v>1.22</v>
      </c>
      <c r="V25" s="128">
        <v>1.22</v>
      </c>
      <c r="W25" s="128">
        <v>1.22</v>
      </c>
      <c r="X25" s="128">
        <v>1.22</v>
      </c>
      <c r="Y25" s="128">
        <v>1.22</v>
      </c>
      <c r="Z25" s="128">
        <v>1.22</v>
      </c>
      <c r="AA25" s="128">
        <v>1.23</v>
      </c>
      <c r="AB25" s="128">
        <v>1.23</v>
      </c>
      <c r="AC25" s="128">
        <v>1.23</v>
      </c>
      <c r="AD25" s="128">
        <v>1.23</v>
      </c>
      <c r="AE25" s="128">
        <v>1.24</v>
      </c>
      <c r="AF25" s="128">
        <v>1.24</v>
      </c>
      <c r="AG25" s="128">
        <v>1.24</v>
      </c>
      <c r="AH25" s="128">
        <v>1.24</v>
      </c>
      <c r="AI25" s="128">
        <v>1.25</v>
      </c>
      <c r="AJ25" s="128">
        <v>1.25</v>
      </c>
      <c r="AK25" s="128">
        <v>1.25</v>
      </c>
      <c r="AL25" s="128">
        <v>1.26</v>
      </c>
      <c r="AM25" s="128">
        <v>1.26</v>
      </c>
      <c r="AN25" s="128">
        <v>1.26</v>
      </c>
      <c r="AO25" s="128">
        <v>1.27</v>
      </c>
      <c r="AP25" s="128">
        <v>1.27</v>
      </c>
      <c r="AQ25" s="128">
        <v>1.27</v>
      </c>
      <c r="AR25" s="128">
        <v>1.28</v>
      </c>
      <c r="AS25" s="128">
        <v>1.28</v>
      </c>
      <c r="AT25" s="128">
        <v>1.28</v>
      </c>
      <c r="AU25" s="128">
        <v>1.29</v>
      </c>
      <c r="AV25" s="128">
        <v>1.29</v>
      </c>
      <c r="AW25" s="128">
        <v>1.29</v>
      </c>
      <c r="AX25" s="128">
        <v>1.3</v>
      </c>
      <c r="AY25" s="128">
        <v>1.3</v>
      </c>
      <c r="AZ25" s="128">
        <v>1.31</v>
      </c>
      <c r="BA25" s="128">
        <v>1.3</v>
      </c>
      <c r="BB25" s="128">
        <v>1.3</v>
      </c>
      <c r="BC25" s="128">
        <v>1.29</v>
      </c>
      <c r="BD25" s="128">
        <v>1.29</v>
      </c>
      <c r="BE25" s="128">
        <v>1.29</v>
      </c>
      <c r="BF25" s="128">
        <v>1.28</v>
      </c>
      <c r="BG25" s="128">
        <v>1.28</v>
      </c>
      <c r="BH25" s="128">
        <v>1.28</v>
      </c>
      <c r="BI25" s="128">
        <v>1.27</v>
      </c>
      <c r="BJ25" s="128">
        <v>1.27</v>
      </c>
      <c r="BK25" s="128">
        <v>1.27</v>
      </c>
      <c r="BL25" s="128">
        <v>1.26</v>
      </c>
      <c r="BM25" s="128">
        <v>1.26</v>
      </c>
      <c r="BN25" s="128">
        <v>1.26</v>
      </c>
      <c r="BO25" s="128">
        <v>1.25</v>
      </c>
      <c r="BP25" s="128">
        <v>1.25</v>
      </c>
      <c r="BQ25" s="128">
        <v>1.25</v>
      </c>
      <c r="BR25" s="128">
        <v>1.24</v>
      </c>
      <c r="BS25" s="128">
        <v>1.24</v>
      </c>
      <c r="BT25" s="128">
        <v>1.24</v>
      </c>
      <c r="BU25" s="128">
        <v>1.24</v>
      </c>
      <c r="BV25" s="128">
        <v>1.23</v>
      </c>
      <c r="BW25" s="128">
        <v>1.23</v>
      </c>
      <c r="BX25" s="128">
        <v>1.23</v>
      </c>
      <c r="BY25" s="128">
        <v>1.23</v>
      </c>
      <c r="BZ25" s="128">
        <v>1.22</v>
      </c>
      <c r="CA25" s="128">
        <v>1.22</v>
      </c>
      <c r="CB25" s="128">
        <v>1.22</v>
      </c>
      <c r="CC25" s="128">
        <v>1.22</v>
      </c>
      <c r="CD25" s="128">
        <v>1.22</v>
      </c>
      <c r="CE25" s="128">
        <v>1.22</v>
      </c>
      <c r="CF25" s="128">
        <v>1.22</v>
      </c>
      <c r="CG25" s="128">
        <v>1.22</v>
      </c>
      <c r="CH25" s="128">
        <v>1.22</v>
      </c>
      <c r="CI25" s="128">
        <v>1.22</v>
      </c>
      <c r="CJ25" s="128">
        <v>1.22</v>
      </c>
      <c r="CK25" s="128">
        <v>1.22</v>
      </c>
      <c r="CL25" s="128">
        <v>1.22</v>
      </c>
      <c r="CM25" s="128">
        <v>1.22</v>
      </c>
      <c r="CN25" s="128">
        <v>1.22</v>
      </c>
      <c r="CO25" s="128">
        <v>1.22</v>
      </c>
      <c r="CP25" s="128">
        <v>1.22</v>
      </c>
      <c r="CQ25" s="128">
        <v>1.22</v>
      </c>
      <c r="CR25" s="128">
        <v>1.22</v>
      </c>
      <c r="CS25" s="128">
        <v>1.22</v>
      </c>
      <c r="CT25" s="128">
        <v>1.22</v>
      </c>
      <c r="CU25" s="128">
        <v>1.22</v>
      </c>
      <c r="CV25" s="128">
        <v>1.22</v>
      </c>
      <c r="CW25" s="128">
        <v>1.22</v>
      </c>
      <c r="CX25" s="128">
        <v>1.22</v>
      </c>
      <c r="CZ25" s="126">
        <f>SUMIF(MatrixF3[[1]:[2]],MatrixF3[[#This Row],[Столбец1]])/MatrixF3[[#This Row],[Столбец1]]</f>
        <v>106.99999999999993</v>
      </c>
    </row>
    <row r="26" spans="1:104" ht="21" customHeight="1" x14ac:dyDescent="0.25">
      <c r="A26" s="127">
        <v>1.23</v>
      </c>
      <c r="B26" s="128">
        <v>1.23</v>
      </c>
      <c r="C26" s="128">
        <v>1.23</v>
      </c>
      <c r="D26" s="128">
        <v>1.23</v>
      </c>
      <c r="E26" s="128">
        <v>1.23</v>
      </c>
      <c r="F26" s="128">
        <v>1.23</v>
      </c>
      <c r="G26" s="128">
        <v>1.23</v>
      </c>
      <c r="H26" s="128">
        <v>1.23</v>
      </c>
      <c r="I26" s="128">
        <v>1.23</v>
      </c>
      <c r="J26" s="128">
        <v>1.23</v>
      </c>
      <c r="K26" s="128">
        <v>1.23</v>
      </c>
      <c r="L26" s="128">
        <v>1.23</v>
      </c>
      <c r="M26" s="128">
        <v>1.23</v>
      </c>
      <c r="N26" s="128">
        <v>1.23</v>
      </c>
      <c r="O26" s="128">
        <v>1.23</v>
      </c>
      <c r="P26" s="128">
        <v>1.23</v>
      </c>
      <c r="Q26" s="128">
        <v>1.23</v>
      </c>
      <c r="R26" s="128">
        <v>1.23</v>
      </c>
      <c r="S26" s="128">
        <v>1.23</v>
      </c>
      <c r="T26" s="128">
        <v>1.23</v>
      </c>
      <c r="U26" s="128">
        <v>1.23</v>
      </c>
      <c r="V26" s="128">
        <v>1.23</v>
      </c>
      <c r="W26" s="128">
        <v>1.23</v>
      </c>
      <c r="X26" s="128">
        <v>1.23</v>
      </c>
      <c r="Y26" s="128">
        <v>1.23</v>
      </c>
      <c r="Z26" s="128">
        <v>1.23</v>
      </c>
      <c r="AA26" s="128">
        <v>1.23</v>
      </c>
      <c r="AB26" s="128">
        <v>1.24</v>
      </c>
      <c r="AC26" s="128">
        <v>1.24</v>
      </c>
      <c r="AD26" s="128">
        <v>1.24</v>
      </c>
      <c r="AE26" s="128">
        <v>1.24</v>
      </c>
      <c r="AF26" s="128">
        <v>1.25</v>
      </c>
      <c r="AG26" s="128">
        <v>1.25</v>
      </c>
      <c r="AH26" s="128">
        <v>1.25</v>
      </c>
      <c r="AI26" s="128">
        <v>1.26</v>
      </c>
      <c r="AJ26" s="128">
        <v>1.26</v>
      </c>
      <c r="AK26" s="128">
        <v>1.26</v>
      </c>
      <c r="AL26" s="128">
        <v>1.26</v>
      </c>
      <c r="AM26" s="128">
        <v>1.27</v>
      </c>
      <c r="AN26" s="128">
        <v>1.27</v>
      </c>
      <c r="AO26" s="128">
        <v>1.27</v>
      </c>
      <c r="AP26" s="128">
        <v>1.28</v>
      </c>
      <c r="AQ26" s="128">
        <v>1.28</v>
      </c>
      <c r="AR26" s="128">
        <v>1.28</v>
      </c>
      <c r="AS26" s="128">
        <v>1.29</v>
      </c>
      <c r="AT26" s="128">
        <v>1.29</v>
      </c>
      <c r="AU26" s="128">
        <v>1.29</v>
      </c>
      <c r="AV26" s="128">
        <v>1.3</v>
      </c>
      <c r="AW26" s="128">
        <v>1.3</v>
      </c>
      <c r="AX26" s="128">
        <v>1.31</v>
      </c>
      <c r="AY26" s="128">
        <v>1.31</v>
      </c>
      <c r="AZ26" s="128">
        <v>1.32</v>
      </c>
      <c r="BA26" s="128">
        <v>1.31</v>
      </c>
      <c r="BB26" s="128">
        <v>1.31</v>
      </c>
      <c r="BC26" s="128">
        <v>1.3</v>
      </c>
      <c r="BD26" s="128">
        <v>1.3</v>
      </c>
      <c r="BE26" s="128">
        <v>1.29</v>
      </c>
      <c r="BF26" s="128">
        <v>1.29</v>
      </c>
      <c r="BG26" s="128">
        <v>1.29</v>
      </c>
      <c r="BH26" s="128">
        <v>1.28</v>
      </c>
      <c r="BI26" s="128">
        <v>1.28</v>
      </c>
      <c r="BJ26" s="128">
        <v>1.28</v>
      </c>
      <c r="BK26" s="128">
        <v>1.27</v>
      </c>
      <c r="BL26" s="128">
        <v>1.27</v>
      </c>
      <c r="BM26" s="128">
        <v>1.27</v>
      </c>
      <c r="BN26" s="128">
        <v>1.26</v>
      </c>
      <c r="BO26" s="128">
        <v>1.26</v>
      </c>
      <c r="BP26" s="128">
        <v>1.26</v>
      </c>
      <c r="BQ26" s="128">
        <v>1.26</v>
      </c>
      <c r="BR26" s="128">
        <v>1.25</v>
      </c>
      <c r="BS26" s="128">
        <v>1.25</v>
      </c>
      <c r="BT26" s="128">
        <v>1.25</v>
      </c>
      <c r="BU26" s="128">
        <v>1.24</v>
      </c>
      <c r="BV26" s="128">
        <v>1.24</v>
      </c>
      <c r="BW26" s="128">
        <v>1.24</v>
      </c>
      <c r="BX26" s="128">
        <v>1.24</v>
      </c>
      <c r="BY26" s="128">
        <v>1.23</v>
      </c>
      <c r="BZ26" s="128">
        <v>1.23</v>
      </c>
      <c r="CA26" s="128">
        <v>1.23</v>
      </c>
      <c r="CB26" s="128">
        <v>1.23</v>
      </c>
      <c r="CC26" s="128">
        <v>1.23</v>
      </c>
      <c r="CD26" s="128">
        <v>1.23</v>
      </c>
      <c r="CE26" s="128">
        <v>1.23</v>
      </c>
      <c r="CF26" s="128">
        <v>1.23</v>
      </c>
      <c r="CG26" s="128">
        <v>1.23</v>
      </c>
      <c r="CH26" s="128">
        <v>1.23</v>
      </c>
      <c r="CI26" s="128">
        <v>1.23</v>
      </c>
      <c r="CJ26" s="128">
        <v>1.23</v>
      </c>
      <c r="CK26" s="128">
        <v>1.23</v>
      </c>
      <c r="CL26" s="128">
        <v>1.23</v>
      </c>
      <c r="CM26" s="128">
        <v>1.23</v>
      </c>
      <c r="CN26" s="128">
        <v>1.23</v>
      </c>
      <c r="CO26" s="128">
        <v>1.23</v>
      </c>
      <c r="CP26" s="128">
        <v>1.23</v>
      </c>
      <c r="CQ26" s="128">
        <v>1.23</v>
      </c>
      <c r="CR26" s="128">
        <v>1.23</v>
      </c>
      <c r="CS26" s="128">
        <v>1.23</v>
      </c>
      <c r="CT26" s="128">
        <v>1.23</v>
      </c>
      <c r="CU26" s="128">
        <v>1.23</v>
      </c>
      <c r="CV26" s="128">
        <v>1.23</v>
      </c>
      <c r="CW26" s="128">
        <v>1.23</v>
      </c>
      <c r="CX26" s="128">
        <v>1.23</v>
      </c>
      <c r="CZ26" s="126">
        <f>SUMIF(MatrixF3[[1]:[2]],MatrixF3[[#This Row],[Столбец1]])/MatrixF3[[#This Row],[Столбец1]]</f>
        <v>103.0000000000001</v>
      </c>
    </row>
    <row r="27" spans="1:104" ht="21" customHeight="1" x14ac:dyDescent="0.25">
      <c r="A27" s="127">
        <v>1.24</v>
      </c>
      <c r="B27" s="128">
        <v>1.24</v>
      </c>
      <c r="C27" s="128">
        <v>1.24</v>
      </c>
      <c r="D27" s="128">
        <v>1.24</v>
      </c>
      <c r="E27" s="128">
        <v>1.24</v>
      </c>
      <c r="F27" s="128">
        <v>1.24</v>
      </c>
      <c r="G27" s="128">
        <v>1.24</v>
      </c>
      <c r="H27" s="128">
        <v>1.24</v>
      </c>
      <c r="I27" s="128">
        <v>1.24</v>
      </c>
      <c r="J27" s="128">
        <v>1.24</v>
      </c>
      <c r="K27" s="128">
        <v>1.24</v>
      </c>
      <c r="L27" s="128">
        <v>1.24</v>
      </c>
      <c r="M27" s="128">
        <v>1.24</v>
      </c>
      <c r="N27" s="128">
        <v>1.24</v>
      </c>
      <c r="O27" s="128">
        <v>1.24</v>
      </c>
      <c r="P27" s="128">
        <v>1.24</v>
      </c>
      <c r="Q27" s="128">
        <v>1.24</v>
      </c>
      <c r="R27" s="128">
        <v>1.24</v>
      </c>
      <c r="S27" s="128">
        <v>1.24</v>
      </c>
      <c r="T27" s="128">
        <v>1.24</v>
      </c>
      <c r="U27" s="128">
        <v>1.24</v>
      </c>
      <c r="V27" s="128">
        <v>1.24</v>
      </c>
      <c r="W27" s="128">
        <v>1.24</v>
      </c>
      <c r="X27" s="128">
        <v>1.24</v>
      </c>
      <c r="Y27" s="128">
        <v>1.24</v>
      </c>
      <c r="Z27" s="128">
        <v>1.24</v>
      </c>
      <c r="AA27" s="128">
        <v>1.24</v>
      </c>
      <c r="AB27" s="128">
        <v>1.24</v>
      </c>
      <c r="AC27" s="128">
        <v>1.25</v>
      </c>
      <c r="AD27" s="128">
        <v>1.25</v>
      </c>
      <c r="AE27" s="128">
        <v>1.25</v>
      </c>
      <c r="AF27" s="128">
        <v>1.26</v>
      </c>
      <c r="AG27" s="128">
        <v>1.26</v>
      </c>
      <c r="AH27" s="128">
        <v>1.26</v>
      </c>
      <c r="AI27" s="128">
        <v>1.26</v>
      </c>
      <c r="AJ27" s="128">
        <v>1.27</v>
      </c>
      <c r="AK27" s="128">
        <v>1.27</v>
      </c>
      <c r="AL27" s="128">
        <v>1.27</v>
      </c>
      <c r="AM27" s="128">
        <v>1.28</v>
      </c>
      <c r="AN27" s="128">
        <v>1.28</v>
      </c>
      <c r="AO27" s="128">
        <v>1.28</v>
      </c>
      <c r="AP27" s="128">
        <v>1.29</v>
      </c>
      <c r="AQ27" s="128">
        <v>1.29</v>
      </c>
      <c r="AR27" s="128">
        <v>1.29</v>
      </c>
      <c r="AS27" s="128">
        <v>1.3</v>
      </c>
      <c r="AT27" s="128">
        <v>1.3</v>
      </c>
      <c r="AU27" s="128">
        <v>1.3</v>
      </c>
      <c r="AV27" s="128">
        <v>1.31</v>
      </c>
      <c r="AW27" s="128">
        <v>1.31</v>
      </c>
      <c r="AX27" s="128">
        <v>1.32</v>
      </c>
      <c r="AY27" s="128">
        <v>1.32</v>
      </c>
      <c r="AZ27" s="128">
        <v>1.32</v>
      </c>
      <c r="BA27" s="128">
        <v>1.32</v>
      </c>
      <c r="BB27" s="128">
        <v>1.32</v>
      </c>
      <c r="BC27" s="128">
        <v>1.31</v>
      </c>
      <c r="BD27" s="128">
        <v>1.31</v>
      </c>
      <c r="BE27" s="128">
        <v>1.3</v>
      </c>
      <c r="BF27" s="128">
        <v>1.3</v>
      </c>
      <c r="BG27" s="128">
        <v>1.3</v>
      </c>
      <c r="BH27" s="128">
        <v>1.29</v>
      </c>
      <c r="BI27" s="128">
        <v>1.29</v>
      </c>
      <c r="BJ27" s="128">
        <v>1.29</v>
      </c>
      <c r="BK27" s="128">
        <v>1.28</v>
      </c>
      <c r="BL27" s="128">
        <v>1.28</v>
      </c>
      <c r="BM27" s="128">
        <v>1.28</v>
      </c>
      <c r="BN27" s="128">
        <v>1.27</v>
      </c>
      <c r="BO27" s="128">
        <v>1.27</v>
      </c>
      <c r="BP27" s="128">
        <v>1.27</v>
      </c>
      <c r="BQ27" s="128">
        <v>1.26</v>
      </c>
      <c r="BR27" s="128">
        <v>1.26</v>
      </c>
      <c r="BS27" s="128">
        <v>1.26</v>
      </c>
      <c r="BT27" s="128">
        <v>1.26</v>
      </c>
      <c r="BU27" s="128">
        <v>1.25</v>
      </c>
      <c r="BV27" s="128">
        <v>1.25</v>
      </c>
      <c r="BW27" s="128">
        <v>1.25</v>
      </c>
      <c r="BX27" s="128">
        <v>1.24</v>
      </c>
      <c r="BY27" s="128">
        <v>1.24</v>
      </c>
      <c r="BZ27" s="128">
        <v>1.24</v>
      </c>
      <c r="CA27" s="128">
        <v>1.24</v>
      </c>
      <c r="CB27" s="128">
        <v>1.24</v>
      </c>
      <c r="CC27" s="128">
        <v>1.24</v>
      </c>
      <c r="CD27" s="128">
        <v>1.24</v>
      </c>
      <c r="CE27" s="128">
        <v>1.24</v>
      </c>
      <c r="CF27" s="128">
        <v>1.24</v>
      </c>
      <c r="CG27" s="128">
        <v>1.24</v>
      </c>
      <c r="CH27" s="128">
        <v>1.24</v>
      </c>
      <c r="CI27" s="128">
        <v>1.24</v>
      </c>
      <c r="CJ27" s="128">
        <v>1.24</v>
      </c>
      <c r="CK27" s="128">
        <v>1.24</v>
      </c>
      <c r="CL27" s="128">
        <v>1.24</v>
      </c>
      <c r="CM27" s="128">
        <v>1.24</v>
      </c>
      <c r="CN27" s="128">
        <v>1.24</v>
      </c>
      <c r="CO27" s="128">
        <v>1.24</v>
      </c>
      <c r="CP27" s="128">
        <v>1.24</v>
      </c>
      <c r="CQ27" s="128">
        <v>1.24</v>
      </c>
      <c r="CR27" s="128">
        <v>1.24</v>
      </c>
      <c r="CS27" s="128">
        <v>1.24</v>
      </c>
      <c r="CT27" s="128">
        <v>1.24</v>
      </c>
      <c r="CU27" s="128">
        <v>1.24</v>
      </c>
      <c r="CV27" s="128">
        <v>1.24</v>
      </c>
      <c r="CW27" s="128">
        <v>1.24</v>
      </c>
      <c r="CX27" s="128">
        <v>1.24</v>
      </c>
      <c r="CZ27" s="126">
        <f>SUMIF(MatrixF3[[1]:[2]],MatrixF3[[#This Row],[Столбец1]])/MatrixF3[[#This Row],[Столбец1]]</f>
        <v>108.99999999999986</v>
      </c>
    </row>
    <row r="28" spans="1:104" ht="21" customHeight="1" x14ac:dyDescent="0.25">
      <c r="A28" s="127">
        <v>1.25</v>
      </c>
      <c r="B28" s="128">
        <v>1.25</v>
      </c>
      <c r="C28" s="128">
        <v>1.25</v>
      </c>
      <c r="D28" s="128">
        <v>1.25</v>
      </c>
      <c r="E28" s="128">
        <v>1.25</v>
      </c>
      <c r="F28" s="128">
        <v>1.25</v>
      </c>
      <c r="G28" s="128">
        <v>1.25</v>
      </c>
      <c r="H28" s="128">
        <v>1.25</v>
      </c>
      <c r="I28" s="128">
        <v>1.25</v>
      </c>
      <c r="J28" s="128">
        <v>1.25</v>
      </c>
      <c r="K28" s="128">
        <v>1.25</v>
      </c>
      <c r="L28" s="128">
        <v>1.25</v>
      </c>
      <c r="M28" s="128">
        <v>1.25</v>
      </c>
      <c r="N28" s="128">
        <v>1.25</v>
      </c>
      <c r="O28" s="128">
        <v>1.25</v>
      </c>
      <c r="P28" s="128">
        <v>1.25</v>
      </c>
      <c r="Q28" s="128">
        <v>1.25</v>
      </c>
      <c r="R28" s="128">
        <v>1.25</v>
      </c>
      <c r="S28" s="128">
        <v>1.25</v>
      </c>
      <c r="T28" s="128">
        <v>1.25</v>
      </c>
      <c r="U28" s="128">
        <v>1.25</v>
      </c>
      <c r="V28" s="128">
        <v>1.25</v>
      </c>
      <c r="W28" s="128">
        <v>1.25</v>
      </c>
      <c r="X28" s="128">
        <v>1.25</v>
      </c>
      <c r="Y28" s="128">
        <v>1.25</v>
      </c>
      <c r="Z28" s="128">
        <v>1.25</v>
      </c>
      <c r="AA28" s="128">
        <v>1.25</v>
      </c>
      <c r="AB28" s="128">
        <v>1.25</v>
      </c>
      <c r="AC28" s="128">
        <v>1.26</v>
      </c>
      <c r="AD28" s="128">
        <v>1.26</v>
      </c>
      <c r="AE28" s="128">
        <v>1.26</v>
      </c>
      <c r="AF28" s="128">
        <v>1.26</v>
      </c>
      <c r="AG28" s="128">
        <v>1.27</v>
      </c>
      <c r="AH28" s="128">
        <v>1.27</v>
      </c>
      <c r="AI28" s="128">
        <v>1.27</v>
      </c>
      <c r="AJ28" s="128">
        <v>1.27</v>
      </c>
      <c r="AK28" s="128">
        <v>1.28</v>
      </c>
      <c r="AL28" s="128">
        <v>1.28</v>
      </c>
      <c r="AM28" s="128">
        <v>1.28</v>
      </c>
      <c r="AN28" s="128">
        <v>1.29</v>
      </c>
      <c r="AO28" s="128">
        <v>1.29</v>
      </c>
      <c r="AP28" s="128">
        <v>1.29</v>
      </c>
      <c r="AQ28" s="128">
        <v>1.3</v>
      </c>
      <c r="AR28" s="128">
        <v>1.3</v>
      </c>
      <c r="AS28" s="128">
        <v>1.3</v>
      </c>
      <c r="AT28" s="128">
        <v>1.31</v>
      </c>
      <c r="AU28" s="128">
        <v>1.31</v>
      </c>
      <c r="AV28" s="128">
        <v>1.32</v>
      </c>
      <c r="AW28" s="128">
        <v>1.32</v>
      </c>
      <c r="AX28" s="128">
        <v>1.32</v>
      </c>
      <c r="AY28" s="128">
        <v>1.33</v>
      </c>
      <c r="AZ28" s="128">
        <v>1.33</v>
      </c>
      <c r="BA28" s="128">
        <v>1.33</v>
      </c>
      <c r="BB28" s="128">
        <v>1.32</v>
      </c>
      <c r="BC28" s="128">
        <v>1.32</v>
      </c>
      <c r="BD28" s="128">
        <v>1.32</v>
      </c>
      <c r="BE28" s="128">
        <v>1.31</v>
      </c>
      <c r="BF28" s="128">
        <v>1.31</v>
      </c>
      <c r="BG28" s="128">
        <v>1.3</v>
      </c>
      <c r="BH28" s="128">
        <v>1.3</v>
      </c>
      <c r="BI28" s="128">
        <v>1.3</v>
      </c>
      <c r="BJ28" s="128">
        <v>1.29</v>
      </c>
      <c r="BK28" s="128">
        <v>1.29</v>
      </c>
      <c r="BL28" s="128">
        <v>1.29</v>
      </c>
      <c r="BM28" s="128">
        <v>1.28</v>
      </c>
      <c r="BN28" s="128">
        <v>1.28</v>
      </c>
      <c r="BO28" s="128">
        <v>1.28</v>
      </c>
      <c r="BP28" s="128">
        <v>1.27</v>
      </c>
      <c r="BQ28" s="128">
        <v>1.27</v>
      </c>
      <c r="BR28" s="128">
        <v>1.27</v>
      </c>
      <c r="BS28" s="128">
        <v>1.27</v>
      </c>
      <c r="BT28" s="128">
        <v>1.26</v>
      </c>
      <c r="BU28" s="128">
        <v>1.26</v>
      </c>
      <c r="BV28" s="128">
        <v>1.26</v>
      </c>
      <c r="BW28" s="128">
        <v>1.26</v>
      </c>
      <c r="BX28" s="128">
        <v>1.25</v>
      </c>
      <c r="BY28" s="128">
        <v>1.25</v>
      </c>
      <c r="BZ28" s="128">
        <v>1.25</v>
      </c>
      <c r="CA28" s="128">
        <v>1.25</v>
      </c>
      <c r="CB28" s="128">
        <v>1.25</v>
      </c>
      <c r="CC28" s="128">
        <v>1.25</v>
      </c>
      <c r="CD28" s="128">
        <v>1.25</v>
      </c>
      <c r="CE28" s="128">
        <v>1.25</v>
      </c>
      <c r="CF28" s="128">
        <v>1.25</v>
      </c>
      <c r="CG28" s="128">
        <v>1.25</v>
      </c>
      <c r="CH28" s="128">
        <v>1.25</v>
      </c>
      <c r="CI28" s="128">
        <v>1.25</v>
      </c>
      <c r="CJ28" s="128">
        <v>1.25</v>
      </c>
      <c r="CK28" s="128">
        <v>1.25</v>
      </c>
      <c r="CL28" s="128">
        <v>1.25</v>
      </c>
      <c r="CM28" s="128">
        <v>1.25</v>
      </c>
      <c r="CN28" s="128">
        <v>1.25</v>
      </c>
      <c r="CO28" s="128">
        <v>1.25</v>
      </c>
      <c r="CP28" s="128">
        <v>1.25</v>
      </c>
      <c r="CQ28" s="128">
        <v>1.25</v>
      </c>
      <c r="CR28" s="128">
        <v>1.25</v>
      </c>
      <c r="CS28" s="128">
        <v>1.25</v>
      </c>
      <c r="CT28" s="128">
        <v>1.25</v>
      </c>
      <c r="CU28" s="128">
        <v>1.25</v>
      </c>
      <c r="CV28" s="128">
        <v>1.25</v>
      </c>
      <c r="CW28" s="128">
        <v>1.25</v>
      </c>
      <c r="CX28" s="128">
        <v>1.25</v>
      </c>
      <c r="CZ28" s="126">
        <f>SUMIF(MatrixF3[[1]:[2]],MatrixF3[[#This Row],[Столбец1]])/MatrixF3[[#This Row],[Столбец1]]</f>
        <v>101</v>
      </c>
    </row>
    <row r="29" spans="1:104" ht="21" customHeight="1" x14ac:dyDescent="0.25">
      <c r="A29" s="127">
        <v>1.26</v>
      </c>
      <c r="B29" s="128">
        <v>1.26</v>
      </c>
      <c r="C29" s="128">
        <v>1.26</v>
      </c>
      <c r="D29" s="128">
        <v>1.26</v>
      </c>
      <c r="E29" s="128">
        <v>1.26</v>
      </c>
      <c r="F29" s="128">
        <v>1.26</v>
      </c>
      <c r="G29" s="128">
        <v>1.26</v>
      </c>
      <c r="H29" s="128">
        <v>1.26</v>
      </c>
      <c r="I29" s="128">
        <v>1.26</v>
      </c>
      <c r="J29" s="128">
        <v>1.26</v>
      </c>
      <c r="K29" s="128">
        <v>1.26</v>
      </c>
      <c r="L29" s="128">
        <v>1.26</v>
      </c>
      <c r="M29" s="128">
        <v>1.26</v>
      </c>
      <c r="N29" s="128">
        <v>1.26</v>
      </c>
      <c r="O29" s="128">
        <v>1.26</v>
      </c>
      <c r="P29" s="128">
        <v>1.26</v>
      </c>
      <c r="Q29" s="128">
        <v>1.26</v>
      </c>
      <c r="R29" s="128">
        <v>1.26</v>
      </c>
      <c r="S29" s="128">
        <v>1.26</v>
      </c>
      <c r="T29" s="128">
        <v>1.26</v>
      </c>
      <c r="U29" s="128">
        <v>1.26</v>
      </c>
      <c r="V29" s="128">
        <v>1.26</v>
      </c>
      <c r="W29" s="128">
        <v>1.26</v>
      </c>
      <c r="X29" s="128">
        <v>1.26</v>
      </c>
      <c r="Y29" s="128">
        <v>1.26</v>
      </c>
      <c r="Z29" s="128">
        <v>1.26</v>
      </c>
      <c r="AA29" s="128">
        <v>1.26</v>
      </c>
      <c r="AB29" s="128">
        <v>1.26</v>
      </c>
      <c r="AC29" s="128">
        <v>1.26</v>
      </c>
      <c r="AD29" s="128">
        <v>1.27</v>
      </c>
      <c r="AE29" s="128">
        <v>1.27</v>
      </c>
      <c r="AF29" s="128">
        <v>1.27</v>
      </c>
      <c r="AG29" s="128">
        <v>1.27</v>
      </c>
      <c r="AH29" s="128">
        <v>1.28</v>
      </c>
      <c r="AI29" s="128">
        <v>1.28</v>
      </c>
      <c r="AJ29" s="128">
        <v>1.28</v>
      </c>
      <c r="AK29" s="128">
        <v>1.29</v>
      </c>
      <c r="AL29" s="128">
        <v>1.29</v>
      </c>
      <c r="AM29" s="128">
        <v>1.29</v>
      </c>
      <c r="AN29" s="128">
        <v>1.3</v>
      </c>
      <c r="AO29" s="128">
        <v>1.3</v>
      </c>
      <c r="AP29" s="128">
        <v>1.3</v>
      </c>
      <c r="AQ29" s="128">
        <v>1.31</v>
      </c>
      <c r="AR29" s="128">
        <v>1.31</v>
      </c>
      <c r="AS29" s="128">
        <v>1.31</v>
      </c>
      <c r="AT29" s="128">
        <v>1.32</v>
      </c>
      <c r="AU29" s="128">
        <v>1.32</v>
      </c>
      <c r="AV29" s="128">
        <v>1.32</v>
      </c>
      <c r="AW29" s="128">
        <v>1.33</v>
      </c>
      <c r="AX29" s="128">
        <v>1.33</v>
      </c>
      <c r="AY29" s="128">
        <v>1.34</v>
      </c>
      <c r="AZ29" s="128">
        <v>1.34</v>
      </c>
      <c r="BA29" s="128">
        <v>1.34</v>
      </c>
      <c r="BB29" s="128">
        <v>1.33</v>
      </c>
      <c r="BC29" s="128">
        <v>1.33</v>
      </c>
      <c r="BD29" s="128">
        <v>1.32</v>
      </c>
      <c r="BE29" s="128">
        <v>1.32</v>
      </c>
      <c r="BF29" s="128">
        <v>1.32</v>
      </c>
      <c r="BG29" s="128">
        <v>1.31</v>
      </c>
      <c r="BH29" s="128">
        <v>1.31</v>
      </c>
      <c r="BI29" s="128">
        <v>1.31</v>
      </c>
      <c r="BJ29" s="128">
        <v>1.3</v>
      </c>
      <c r="BK29" s="128">
        <v>1.3</v>
      </c>
      <c r="BL29" s="128">
        <v>1.3</v>
      </c>
      <c r="BM29" s="128">
        <v>1.29</v>
      </c>
      <c r="BN29" s="128">
        <v>1.29</v>
      </c>
      <c r="BO29" s="128">
        <v>1.29</v>
      </c>
      <c r="BP29" s="128">
        <v>1.28</v>
      </c>
      <c r="BQ29" s="128">
        <v>1.28</v>
      </c>
      <c r="BR29" s="128">
        <v>1.28</v>
      </c>
      <c r="BS29" s="128">
        <v>1.27</v>
      </c>
      <c r="BT29" s="128">
        <v>1.27</v>
      </c>
      <c r="BU29" s="128">
        <v>1.27</v>
      </c>
      <c r="BV29" s="128">
        <v>1.27</v>
      </c>
      <c r="BW29" s="128">
        <v>1.26</v>
      </c>
      <c r="BX29" s="128">
        <v>1.26</v>
      </c>
      <c r="BY29" s="128">
        <v>1.26</v>
      </c>
      <c r="BZ29" s="128">
        <v>1.26</v>
      </c>
      <c r="CA29" s="128">
        <v>1.26</v>
      </c>
      <c r="CB29" s="128">
        <v>1.26</v>
      </c>
      <c r="CC29" s="128">
        <v>1.26</v>
      </c>
      <c r="CD29" s="128">
        <v>1.26</v>
      </c>
      <c r="CE29" s="128">
        <v>1.26</v>
      </c>
      <c r="CF29" s="128">
        <v>1.26</v>
      </c>
      <c r="CG29" s="128">
        <v>1.26</v>
      </c>
      <c r="CH29" s="128">
        <v>1.26</v>
      </c>
      <c r="CI29" s="128">
        <v>1.26</v>
      </c>
      <c r="CJ29" s="128">
        <v>1.26</v>
      </c>
      <c r="CK29" s="128">
        <v>1.26</v>
      </c>
      <c r="CL29" s="128">
        <v>1.26</v>
      </c>
      <c r="CM29" s="128">
        <v>1.26</v>
      </c>
      <c r="CN29" s="128">
        <v>1.26</v>
      </c>
      <c r="CO29" s="128">
        <v>1.26</v>
      </c>
      <c r="CP29" s="128">
        <v>1.26</v>
      </c>
      <c r="CQ29" s="128">
        <v>1.26</v>
      </c>
      <c r="CR29" s="128">
        <v>1.26</v>
      </c>
      <c r="CS29" s="128">
        <v>1.26</v>
      </c>
      <c r="CT29" s="128">
        <v>1.26</v>
      </c>
      <c r="CU29" s="128">
        <v>1.26</v>
      </c>
      <c r="CV29" s="128">
        <v>1.26</v>
      </c>
      <c r="CW29" s="128">
        <v>1.26</v>
      </c>
      <c r="CX29" s="128">
        <v>1.26</v>
      </c>
      <c r="CZ29" s="126">
        <f>SUMIF(MatrixF3[[1]:[2]],MatrixF3[[#This Row],[Столбец1]])/MatrixF3[[#This Row],[Столбец1]]</f>
        <v>109.00000000000014</v>
      </c>
    </row>
    <row r="30" spans="1:104" ht="21" customHeight="1" x14ac:dyDescent="0.25">
      <c r="A30" s="127">
        <v>1.27</v>
      </c>
      <c r="B30" s="128">
        <v>1.27</v>
      </c>
      <c r="C30" s="128">
        <v>1.27</v>
      </c>
      <c r="D30" s="128">
        <v>1.27</v>
      </c>
      <c r="E30" s="128">
        <v>1.27</v>
      </c>
      <c r="F30" s="128">
        <v>1.27</v>
      </c>
      <c r="G30" s="128">
        <v>1.27</v>
      </c>
      <c r="H30" s="128">
        <v>1.27</v>
      </c>
      <c r="I30" s="128">
        <v>1.27</v>
      </c>
      <c r="J30" s="128">
        <v>1.27</v>
      </c>
      <c r="K30" s="128">
        <v>1.27</v>
      </c>
      <c r="L30" s="128">
        <v>1.27</v>
      </c>
      <c r="M30" s="128">
        <v>1.27</v>
      </c>
      <c r="N30" s="128">
        <v>1.27</v>
      </c>
      <c r="O30" s="128">
        <v>1.27</v>
      </c>
      <c r="P30" s="128">
        <v>1.27</v>
      </c>
      <c r="Q30" s="128">
        <v>1.27</v>
      </c>
      <c r="R30" s="128">
        <v>1.27</v>
      </c>
      <c r="S30" s="128">
        <v>1.27</v>
      </c>
      <c r="T30" s="128">
        <v>1.27</v>
      </c>
      <c r="U30" s="128">
        <v>1.27</v>
      </c>
      <c r="V30" s="128">
        <v>1.27</v>
      </c>
      <c r="W30" s="128">
        <v>1.27</v>
      </c>
      <c r="X30" s="128">
        <v>1.27</v>
      </c>
      <c r="Y30" s="128">
        <v>1.27</v>
      </c>
      <c r="Z30" s="128">
        <v>1.27</v>
      </c>
      <c r="AA30" s="128">
        <v>1.27</v>
      </c>
      <c r="AB30" s="128">
        <v>1.27</v>
      </c>
      <c r="AC30" s="128">
        <v>1.27</v>
      </c>
      <c r="AD30" s="128">
        <v>1.27</v>
      </c>
      <c r="AE30" s="128">
        <v>1.28</v>
      </c>
      <c r="AF30" s="128">
        <v>1.28</v>
      </c>
      <c r="AG30" s="128">
        <v>1.28</v>
      </c>
      <c r="AH30" s="128">
        <v>1.28</v>
      </c>
      <c r="AI30" s="128">
        <v>1.29</v>
      </c>
      <c r="AJ30" s="128">
        <v>1.29</v>
      </c>
      <c r="AK30" s="128">
        <v>1.29</v>
      </c>
      <c r="AL30" s="128">
        <v>1.3</v>
      </c>
      <c r="AM30" s="128">
        <v>1.3</v>
      </c>
      <c r="AN30" s="128">
        <v>1.3</v>
      </c>
      <c r="AO30" s="128">
        <v>1.31</v>
      </c>
      <c r="AP30" s="128">
        <v>1.31</v>
      </c>
      <c r="AQ30" s="128">
        <v>1.31</v>
      </c>
      <c r="AR30" s="128">
        <v>1.32</v>
      </c>
      <c r="AS30" s="128">
        <v>1.32</v>
      </c>
      <c r="AT30" s="128">
        <v>1.33</v>
      </c>
      <c r="AU30" s="128">
        <v>1.33</v>
      </c>
      <c r="AV30" s="128">
        <v>1.33</v>
      </c>
      <c r="AW30" s="128">
        <v>1.34</v>
      </c>
      <c r="AX30" s="128">
        <v>1.34</v>
      </c>
      <c r="AY30" s="128">
        <v>1.35</v>
      </c>
      <c r="AZ30" s="128">
        <v>1.35</v>
      </c>
      <c r="BA30" s="128">
        <v>1.35</v>
      </c>
      <c r="BB30" s="128">
        <v>1.34</v>
      </c>
      <c r="BC30" s="128">
        <v>1.34</v>
      </c>
      <c r="BD30" s="128">
        <v>1.33</v>
      </c>
      <c r="BE30" s="128">
        <v>1.33</v>
      </c>
      <c r="BF30" s="128">
        <v>1.33</v>
      </c>
      <c r="BG30" s="128">
        <v>1.32</v>
      </c>
      <c r="BH30" s="128">
        <v>1.32</v>
      </c>
      <c r="BI30" s="128">
        <v>1.31</v>
      </c>
      <c r="BJ30" s="128">
        <v>1.31</v>
      </c>
      <c r="BK30" s="128">
        <v>1.31</v>
      </c>
      <c r="BL30" s="128">
        <v>1.3</v>
      </c>
      <c r="BM30" s="128">
        <v>1.3</v>
      </c>
      <c r="BN30" s="128">
        <v>1.3</v>
      </c>
      <c r="BO30" s="128">
        <v>1.29</v>
      </c>
      <c r="BP30" s="128">
        <v>1.29</v>
      </c>
      <c r="BQ30" s="128">
        <v>1.29</v>
      </c>
      <c r="BR30" s="128">
        <v>1.28</v>
      </c>
      <c r="BS30" s="128">
        <v>1.28</v>
      </c>
      <c r="BT30" s="128">
        <v>1.28</v>
      </c>
      <c r="BU30" s="128">
        <v>1.28</v>
      </c>
      <c r="BV30" s="128">
        <v>1.27</v>
      </c>
      <c r="BW30" s="128">
        <v>1.27</v>
      </c>
      <c r="BX30" s="128">
        <v>1.27</v>
      </c>
      <c r="BY30" s="128">
        <v>1.27</v>
      </c>
      <c r="BZ30" s="128">
        <v>1.27</v>
      </c>
      <c r="CA30" s="128">
        <v>1.27</v>
      </c>
      <c r="CB30" s="128">
        <v>1.27</v>
      </c>
      <c r="CC30" s="128">
        <v>1.27</v>
      </c>
      <c r="CD30" s="128">
        <v>1.27</v>
      </c>
      <c r="CE30" s="128">
        <v>1.27</v>
      </c>
      <c r="CF30" s="128">
        <v>1.27</v>
      </c>
      <c r="CG30" s="128">
        <v>1.27</v>
      </c>
      <c r="CH30" s="128">
        <v>1.27</v>
      </c>
      <c r="CI30" s="128">
        <v>1.27</v>
      </c>
      <c r="CJ30" s="128">
        <v>1.27</v>
      </c>
      <c r="CK30" s="128">
        <v>1.27</v>
      </c>
      <c r="CL30" s="128">
        <v>1.27</v>
      </c>
      <c r="CM30" s="128">
        <v>1.27</v>
      </c>
      <c r="CN30" s="128">
        <v>1.27</v>
      </c>
      <c r="CO30" s="128">
        <v>1.27</v>
      </c>
      <c r="CP30" s="128">
        <v>1.27</v>
      </c>
      <c r="CQ30" s="128">
        <v>1.27</v>
      </c>
      <c r="CR30" s="128">
        <v>1.27</v>
      </c>
      <c r="CS30" s="128">
        <v>1.27</v>
      </c>
      <c r="CT30" s="128">
        <v>1.27</v>
      </c>
      <c r="CU30" s="128">
        <v>1.27</v>
      </c>
      <c r="CV30" s="128">
        <v>1.27</v>
      </c>
      <c r="CW30" s="128">
        <v>1.27</v>
      </c>
      <c r="CX30" s="128">
        <v>1.27</v>
      </c>
      <c r="CZ30" s="126">
        <f>SUMIF(MatrixF3[[1]:[2]],MatrixF3[[#This Row],[Столбец1]])/MatrixF3[[#This Row],[Столбец1]]</f>
        <v>107.99999999999996</v>
      </c>
    </row>
    <row r="31" spans="1:104" ht="21" customHeight="1" x14ac:dyDescent="0.25">
      <c r="A31" s="127">
        <v>1.28</v>
      </c>
      <c r="B31" s="128">
        <v>1.28</v>
      </c>
      <c r="C31" s="128">
        <v>1.28</v>
      </c>
      <c r="D31" s="128">
        <v>1.28</v>
      </c>
      <c r="E31" s="128">
        <v>1.28</v>
      </c>
      <c r="F31" s="128">
        <v>1.28</v>
      </c>
      <c r="G31" s="128">
        <v>1.28</v>
      </c>
      <c r="H31" s="128">
        <v>1.28</v>
      </c>
      <c r="I31" s="128">
        <v>1.28</v>
      </c>
      <c r="J31" s="128">
        <v>1.28</v>
      </c>
      <c r="K31" s="128">
        <v>1.28</v>
      </c>
      <c r="L31" s="128">
        <v>1.28</v>
      </c>
      <c r="M31" s="128">
        <v>1.28</v>
      </c>
      <c r="N31" s="128">
        <v>1.28</v>
      </c>
      <c r="O31" s="128">
        <v>1.28</v>
      </c>
      <c r="P31" s="128">
        <v>1.28</v>
      </c>
      <c r="Q31" s="128">
        <v>1.28</v>
      </c>
      <c r="R31" s="128">
        <v>1.28</v>
      </c>
      <c r="S31" s="128">
        <v>1.28</v>
      </c>
      <c r="T31" s="128">
        <v>1.28</v>
      </c>
      <c r="U31" s="128">
        <v>1.28</v>
      </c>
      <c r="V31" s="128">
        <v>1.28</v>
      </c>
      <c r="W31" s="128">
        <v>1.28</v>
      </c>
      <c r="X31" s="128">
        <v>1.28</v>
      </c>
      <c r="Y31" s="128">
        <v>1.28</v>
      </c>
      <c r="Z31" s="128">
        <v>1.28</v>
      </c>
      <c r="AA31" s="128">
        <v>1.28</v>
      </c>
      <c r="AB31" s="128">
        <v>1.28</v>
      </c>
      <c r="AC31" s="128">
        <v>1.28</v>
      </c>
      <c r="AD31" s="128">
        <v>1.28</v>
      </c>
      <c r="AE31" s="128">
        <v>1.28</v>
      </c>
      <c r="AF31" s="128">
        <v>1.29</v>
      </c>
      <c r="AG31" s="128">
        <v>1.29</v>
      </c>
      <c r="AH31" s="128">
        <v>1.29</v>
      </c>
      <c r="AI31" s="128">
        <v>1.29</v>
      </c>
      <c r="AJ31" s="128">
        <v>1.3</v>
      </c>
      <c r="AK31" s="128">
        <v>1.3</v>
      </c>
      <c r="AL31" s="128">
        <v>1.3</v>
      </c>
      <c r="AM31" s="128">
        <v>1.31</v>
      </c>
      <c r="AN31" s="128">
        <v>1.31</v>
      </c>
      <c r="AO31" s="128">
        <v>1.31</v>
      </c>
      <c r="AP31" s="128">
        <v>1.32</v>
      </c>
      <c r="AQ31" s="128">
        <v>1.32</v>
      </c>
      <c r="AR31" s="128">
        <v>1.33</v>
      </c>
      <c r="AS31" s="128">
        <v>1.33</v>
      </c>
      <c r="AT31" s="128">
        <v>1.33</v>
      </c>
      <c r="AU31" s="128">
        <v>1.34</v>
      </c>
      <c r="AV31" s="128">
        <v>1.34</v>
      </c>
      <c r="AW31" s="128">
        <v>1.35</v>
      </c>
      <c r="AX31" s="128">
        <v>1.35</v>
      </c>
      <c r="AY31" s="128">
        <v>1.35</v>
      </c>
      <c r="AZ31" s="128">
        <v>1.36</v>
      </c>
      <c r="BA31" s="128">
        <v>1.35</v>
      </c>
      <c r="BB31" s="128">
        <v>1.35</v>
      </c>
      <c r="BC31" s="128">
        <v>1.35</v>
      </c>
      <c r="BD31" s="128">
        <v>1.34</v>
      </c>
      <c r="BE31" s="128">
        <v>1.34</v>
      </c>
      <c r="BF31" s="128">
        <v>1.33</v>
      </c>
      <c r="BG31" s="128">
        <v>1.33</v>
      </c>
      <c r="BH31" s="128">
        <v>1.33</v>
      </c>
      <c r="BI31" s="128">
        <v>1.32</v>
      </c>
      <c r="BJ31" s="128">
        <v>1.32</v>
      </c>
      <c r="BK31" s="128">
        <v>1.31</v>
      </c>
      <c r="BL31" s="128">
        <v>1.31</v>
      </c>
      <c r="BM31" s="128">
        <v>1.31</v>
      </c>
      <c r="BN31" s="128">
        <v>1.3</v>
      </c>
      <c r="BO31" s="128">
        <v>1.3</v>
      </c>
      <c r="BP31" s="128">
        <v>1.3</v>
      </c>
      <c r="BQ31" s="128">
        <v>1.29</v>
      </c>
      <c r="BR31" s="128">
        <v>1.29</v>
      </c>
      <c r="BS31" s="128">
        <v>1.29</v>
      </c>
      <c r="BT31" s="128">
        <v>1.29</v>
      </c>
      <c r="BU31" s="128">
        <v>1.28</v>
      </c>
      <c r="BV31" s="128">
        <v>1.28</v>
      </c>
      <c r="BW31" s="128">
        <v>1.28</v>
      </c>
      <c r="BX31" s="128">
        <v>1.28</v>
      </c>
      <c r="BY31" s="128">
        <v>1.28</v>
      </c>
      <c r="BZ31" s="128">
        <v>1.28</v>
      </c>
      <c r="CA31" s="128">
        <v>1.28</v>
      </c>
      <c r="CB31" s="128">
        <v>1.28</v>
      </c>
      <c r="CC31" s="128">
        <v>1.28</v>
      </c>
      <c r="CD31" s="128">
        <v>1.28</v>
      </c>
      <c r="CE31" s="128">
        <v>1.28</v>
      </c>
      <c r="CF31" s="128">
        <v>1.28</v>
      </c>
      <c r="CG31" s="128">
        <v>1.28</v>
      </c>
      <c r="CH31" s="128">
        <v>1.28</v>
      </c>
      <c r="CI31" s="128">
        <v>1.28</v>
      </c>
      <c r="CJ31" s="128">
        <v>1.28</v>
      </c>
      <c r="CK31" s="128">
        <v>1.28</v>
      </c>
      <c r="CL31" s="128">
        <v>1.28</v>
      </c>
      <c r="CM31" s="128">
        <v>1.28</v>
      </c>
      <c r="CN31" s="128">
        <v>1.28</v>
      </c>
      <c r="CO31" s="128">
        <v>1.28</v>
      </c>
      <c r="CP31" s="128">
        <v>1.28</v>
      </c>
      <c r="CQ31" s="128">
        <v>1.28</v>
      </c>
      <c r="CR31" s="128">
        <v>1.28</v>
      </c>
      <c r="CS31" s="128">
        <v>1.28</v>
      </c>
      <c r="CT31" s="128">
        <v>1.28</v>
      </c>
      <c r="CU31" s="128">
        <v>1.28</v>
      </c>
      <c r="CV31" s="128">
        <v>1.28</v>
      </c>
      <c r="CW31" s="128">
        <v>1.28</v>
      </c>
      <c r="CX31" s="128">
        <v>1.28</v>
      </c>
      <c r="CZ31" s="126">
        <f>SUMIF(MatrixF3[[1]:[2]],MatrixF3[[#This Row],[Столбец1]])/MatrixF3[[#This Row],[Столбец1]]</f>
        <v>109.00000000000007</v>
      </c>
    </row>
    <row r="32" spans="1:104" ht="21" customHeight="1" x14ac:dyDescent="0.25">
      <c r="A32" s="127">
        <v>1.29</v>
      </c>
      <c r="B32" s="128">
        <v>1.29</v>
      </c>
      <c r="C32" s="128">
        <v>1.29</v>
      </c>
      <c r="D32" s="128">
        <v>1.29</v>
      </c>
      <c r="E32" s="128">
        <v>1.29</v>
      </c>
      <c r="F32" s="128">
        <v>1.29</v>
      </c>
      <c r="G32" s="128">
        <v>1.29</v>
      </c>
      <c r="H32" s="128">
        <v>1.29</v>
      </c>
      <c r="I32" s="128">
        <v>1.29</v>
      </c>
      <c r="J32" s="128">
        <v>1.29</v>
      </c>
      <c r="K32" s="128">
        <v>1.29</v>
      </c>
      <c r="L32" s="128">
        <v>1.29</v>
      </c>
      <c r="M32" s="128">
        <v>1.29</v>
      </c>
      <c r="N32" s="128">
        <v>1.29</v>
      </c>
      <c r="O32" s="128">
        <v>1.29</v>
      </c>
      <c r="P32" s="128">
        <v>1.29</v>
      </c>
      <c r="Q32" s="128">
        <v>1.29</v>
      </c>
      <c r="R32" s="128">
        <v>1.29</v>
      </c>
      <c r="S32" s="128">
        <v>1.29</v>
      </c>
      <c r="T32" s="128">
        <v>1.29</v>
      </c>
      <c r="U32" s="128">
        <v>1.29</v>
      </c>
      <c r="V32" s="128">
        <v>1.29</v>
      </c>
      <c r="W32" s="128">
        <v>1.29</v>
      </c>
      <c r="X32" s="128">
        <v>1.29</v>
      </c>
      <c r="Y32" s="128">
        <v>1.29</v>
      </c>
      <c r="Z32" s="128">
        <v>1.29</v>
      </c>
      <c r="AA32" s="128">
        <v>1.29</v>
      </c>
      <c r="AB32" s="128">
        <v>1.29</v>
      </c>
      <c r="AC32" s="128">
        <v>1.29</v>
      </c>
      <c r="AD32" s="128">
        <v>1.29</v>
      </c>
      <c r="AE32" s="128">
        <v>1.29</v>
      </c>
      <c r="AF32" s="128">
        <v>1.29</v>
      </c>
      <c r="AG32" s="128">
        <v>1.3</v>
      </c>
      <c r="AH32" s="128">
        <v>1.3</v>
      </c>
      <c r="AI32" s="128">
        <v>1.3</v>
      </c>
      <c r="AJ32" s="128">
        <v>1.31</v>
      </c>
      <c r="AK32" s="128">
        <v>1.31</v>
      </c>
      <c r="AL32" s="128">
        <v>1.31</v>
      </c>
      <c r="AM32" s="128">
        <v>1.32</v>
      </c>
      <c r="AN32" s="128">
        <v>1.32</v>
      </c>
      <c r="AO32" s="128">
        <v>1.32</v>
      </c>
      <c r="AP32" s="128">
        <v>1.33</v>
      </c>
      <c r="AQ32" s="128">
        <v>1.33</v>
      </c>
      <c r="AR32" s="128">
        <v>1.33</v>
      </c>
      <c r="AS32" s="128">
        <v>1.34</v>
      </c>
      <c r="AT32" s="128">
        <v>1.34</v>
      </c>
      <c r="AU32" s="128">
        <v>1.35</v>
      </c>
      <c r="AV32" s="128">
        <v>1.35</v>
      </c>
      <c r="AW32" s="128">
        <v>1.35</v>
      </c>
      <c r="AX32" s="128">
        <v>1.36</v>
      </c>
      <c r="AY32" s="128">
        <v>1.36</v>
      </c>
      <c r="AZ32" s="128">
        <v>1.37</v>
      </c>
      <c r="BA32" s="128">
        <v>1.36</v>
      </c>
      <c r="BB32" s="128">
        <v>1.36</v>
      </c>
      <c r="BC32" s="128">
        <v>1.35</v>
      </c>
      <c r="BD32" s="128">
        <v>1.35</v>
      </c>
      <c r="BE32" s="128">
        <v>1.35</v>
      </c>
      <c r="BF32" s="128">
        <v>1.34</v>
      </c>
      <c r="BG32" s="128">
        <v>1.34</v>
      </c>
      <c r="BH32" s="128">
        <v>1.33</v>
      </c>
      <c r="BI32" s="128">
        <v>1.33</v>
      </c>
      <c r="BJ32" s="128">
        <v>1.33</v>
      </c>
      <c r="BK32" s="128">
        <v>1.32</v>
      </c>
      <c r="BL32" s="128">
        <v>1.32</v>
      </c>
      <c r="BM32" s="128">
        <v>1.32</v>
      </c>
      <c r="BN32" s="128">
        <v>1.31</v>
      </c>
      <c r="BO32" s="128">
        <v>1.31</v>
      </c>
      <c r="BP32" s="128">
        <v>1.31</v>
      </c>
      <c r="BQ32" s="128">
        <v>1.3</v>
      </c>
      <c r="BR32" s="128">
        <v>1.3</v>
      </c>
      <c r="BS32" s="128">
        <v>1.3</v>
      </c>
      <c r="BT32" s="128">
        <v>1.29</v>
      </c>
      <c r="BU32" s="128">
        <v>1.29</v>
      </c>
      <c r="BV32" s="128">
        <v>1.29</v>
      </c>
      <c r="BW32" s="128">
        <v>1.29</v>
      </c>
      <c r="BX32" s="128">
        <v>1.29</v>
      </c>
      <c r="BY32" s="128">
        <v>1.29</v>
      </c>
      <c r="BZ32" s="128">
        <v>1.29</v>
      </c>
      <c r="CA32" s="128">
        <v>1.29</v>
      </c>
      <c r="CB32" s="128">
        <v>1.29</v>
      </c>
      <c r="CC32" s="128">
        <v>1.29</v>
      </c>
      <c r="CD32" s="128">
        <v>1.29</v>
      </c>
      <c r="CE32" s="128">
        <v>1.29</v>
      </c>
      <c r="CF32" s="128">
        <v>1.29</v>
      </c>
      <c r="CG32" s="128">
        <v>1.29</v>
      </c>
      <c r="CH32" s="128">
        <v>1.29</v>
      </c>
      <c r="CI32" s="128">
        <v>1.29</v>
      </c>
      <c r="CJ32" s="128">
        <v>1.29</v>
      </c>
      <c r="CK32" s="128">
        <v>1.29</v>
      </c>
      <c r="CL32" s="128">
        <v>1.29</v>
      </c>
      <c r="CM32" s="128">
        <v>1.29</v>
      </c>
      <c r="CN32" s="128">
        <v>1.29</v>
      </c>
      <c r="CO32" s="128">
        <v>1.29</v>
      </c>
      <c r="CP32" s="128">
        <v>1.29</v>
      </c>
      <c r="CQ32" s="128">
        <v>1.29</v>
      </c>
      <c r="CR32" s="128">
        <v>1.29</v>
      </c>
      <c r="CS32" s="128">
        <v>1.29</v>
      </c>
      <c r="CT32" s="128">
        <v>1.29</v>
      </c>
      <c r="CU32" s="128">
        <v>1.29</v>
      </c>
      <c r="CV32" s="128">
        <v>1.29</v>
      </c>
      <c r="CW32" s="128">
        <v>1.29</v>
      </c>
      <c r="CX32" s="128">
        <v>1.29</v>
      </c>
      <c r="CZ32" s="126">
        <f>SUMIF(MatrixF3[[1]:[2]],MatrixF3[[#This Row],[Столбец1]])/MatrixF3[[#This Row],[Столбец1]]</f>
        <v>111.00000000000016</v>
      </c>
    </row>
    <row r="33" spans="1:104" ht="21" customHeight="1" x14ac:dyDescent="0.25">
      <c r="A33" s="127">
        <v>1.3</v>
      </c>
      <c r="B33" s="128">
        <v>1.3</v>
      </c>
      <c r="C33" s="128">
        <v>1.3</v>
      </c>
      <c r="D33" s="128">
        <v>1.3</v>
      </c>
      <c r="E33" s="128">
        <v>1.3</v>
      </c>
      <c r="F33" s="128">
        <v>1.3</v>
      </c>
      <c r="G33" s="128">
        <v>1.3</v>
      </c>
      <c r="H33" s="128">
        <v>1.3</v>
      </c>
      <c r="I33" s="128">
        <v>1.3</v>
      </c>
      <c r="J33" s="128">
        <v>1.3</v>
      </c>
      <c r="K33" s="128">
        <v>1.3</v>
      </c>
      <c r="L33" s="128">
        <v>1.3</v>
      </c>
      <c r="M33" s="128">
        <v>1.3</v>
      </c>
      <c r="N33" s="128">
        <v>1.3</v>
      </c>
      <c r="O33" s="128">
        <v>1.3</v>
      </c>
      <c r="P33" s="128">
        <v>1.3</v>
      </c>
      <c r="Q33" s="128">
        <v>1.3</v>
      </c>
      <c r="R33" s="128">
        <v>1.3</v>
      </c>
      <c r="S33" s="128">
        <v>1.3</v>
      </c>
      <c r="T33" s="128">
        <v>1.3</v>
      </c>
      <c r="U33" s="128">
        <v>1.3</v>
      </c>
      <c r="V33" s="128">
        <v>1.3</v>
      </c>
      <c r="W33" s="128">
        <v>1.3</v>
      </c>
      <c r="X33" s="128">
        <v>1.3</v>
      </c>
      <c r="Y33" s="128">
        <v>1.3</v>
      </c>
      <c r="Z33" s="128">
        <v>1.3</v>
      </c>
      <c r="AA33" s="128">
        <v>1.3</v>
      </c>
      <c r="AB33" s="128">
        <v>1.3</v>
      </c>
      <c r="AC33" s="128">
        <v>1.3</v>
      </c>
      <c r="AD33" s="128">
        <v>1.3</v>
      </c>
      <c r="AE33" s="128">
        <v>1.3</v>
      </c>
      <c r="AF33" s="128">
        <v>1.3</v>
      </c>
      <c r="AG33" s="128">
        <v>1.3</v>
      </c>
      <c r="AH33" s="128">
        <v>1.31</v>
      </c>
      <c r="AI33" s="128">
        <v>1.31</v>
      </c>
      <c r="AJ33" s="128">
        <v>1.31</v>
      </c>
      <c r="AK33" s="128">
        <v>1.32</v>
      </c>
      <c r="AL33" s="128">
        <v>1.32</v>
      </c>
      <c r="AM33" s="128">
        <v>1.32</v>
      </c>
      <c r="AN33" s="128">
        <v>1.33</v>
      </c>
      <c r="AO33" s="128">
        <v>1.33</v>
      </c>
      <c r="AP33" s="128">
        <v>1.33</v>
      </c>
      <c r="AQ33" s="128">
        <v>1.34</v>
      </c>
      <c r="AR33" s="128">
        <v>1.34</v>
      </c>
      <c r="AS33" s="128">
        <v>1.34</v>
      </c>
      <c r="AT33" s="128">
        <v>1.35</v>
      </c>
      <c r="AU33" s="128">
        <v>1.35</v>
      </c>
      <c r="AV33" s="128">
        <v>1.36</v>
      </c>
      <c r="AW33" s="128">
        <v>1.36</v>
      </c>
      <c r="AX33" s="128">
        <v>1.37</v>
      </c>
      <c r="AY33" s="128">
        <v>1.37</v>
      </c>
      <c r="AZ33" s="128">
        <v>1.38</v>
      </c>
      <c r="BA33" s="128">
        <v>1.37</v>
      </c>
      <c r="BB33" s="128">
        <v>1.37</v>
      </c>
      <c r="BC33" s="128">
        <v>1.36</v>
      </c>
      <c r="BD33" s="128">
        <v>1.36</v>
      </c>
      <c r="BE33" s="128">
        <v>1.35</v>
      </c>
      <c r="BF33" s="128">
        <v>1.35</v>
      </c>
      <c r="BG33" s="128">
        <v>1.34</v>
      </c>
      <c r="BH33" s="128">
        <v>1.34</v>
      </c>
      <c r="BI33" s="128">
        <v>1.34</v>
      </c>
      <c r="BJ33" s="128">
        <v>1.33</v>
      </c>
      <c r="BK33" s="128">
        <v>1.33</v>
      </c>
      <c r="BL33" s="128">
        <v>1.33</v>
      </c>
      <c r="BM33" s="128">
        <v>1.32</v>
      </c>
      <c r="BN33" s="128">
        <v>1.32</v>
      </c>
      <c r="BO33" s="128">
        <v>1.32</v>
      </c>
      <c r="BP33" s="128">
        <v>1.31</v>
      </c>
      <c r="BQ33" s="128">
        <v>1.31</v>
      </c>
      <c r="BR33" s="128">
        <v>1.31</v>
      </c>
      <c r="BS33" s="128">
        <v>1.3</v>
      </c>
      <c r="BT33" s="128">
        <v>1.3</v>
      </c>
      <c r="BU33" s="128">
        <v>1.3</v>
      </c>
      <c r="BV33" s="128">
        <v>1.3</v>
      </c>
      <c r="BW33" s="128">
        <v>1.3</v>
      </c>
      <c r="BX33" s="128">
        <v>1.3</v>
      </c>
      <c r="BY33" s="128">
        <v>1.3</v>
      </c>
      <c r="BZ33" s="128">
        <v>1.3</v>
      </c>
      <c r="CA33" s="128">
        <v>1.3</v>
      </c>
      <c r="CB33" s="128">
        <v>1.3</v>
      </c>
      <c r="CC33" s="128">
        <v>1.3</v>
      </c>
      <c r="CD33" s="128">
        <v>1.3</v>
      </c>
      <c r="CE33" s="128">
        <v>1.3</v>
      </c>
      <c r="CF33" s="128">
        <v>1.3</v>
      </c>
      <c r="CG33" s="128">
        <v>1.3</v>
      </c>
      <c r="CH33" s="128">
        <v>1.3</v>
      </c>
      <c r="CI33" s="128">
        <v>1.3</v>
      </c>
      <c r="CJ33" s="128">
        <v>1.3</v>
      </c>
      <c r="CK33" s="128">
        <v>1.3</v>
      </c>
      <c r="CL33" s="128">
        <v>1.3</v>
      </c>
      <c r="CM33" s="128">
        <v>1.3</v>
      </c>
      <c r="CN33" s="128">
        <v>1.3</v>
      </c>
      <c r="CO33" s="128">
        <v>1.3</v>
      </c>
      <c r="CP33" s="128">
        <v>1.3</v>
      </c>
      <c r="CQ33" s="128">
        <v>1.3</v>
      </c>
      <c r="CR33" s="128">
        <v>1.3</v>
      </c>
      <c r="CS33" s="128">
        <v>1.3</v>
      </c>
      <c r="CT33" s="128">
        <v>1.3</v>
      </c>
      <c r="CU33" s="128">
        <v>1.3</v>
      </c>
      <c r="CV33" s="128">
        <v>1.3</v>
      </c>
      <c r="CW33" s="128">
        <v>1.3</v>
      </c>
      <c r="CX33" s="128">
        <v>1.3</v>
      </c>
      <c r="CZ33" s="126">
        <f>SUMIF(MatrixF3[[1]:[2]],MatrixF3[[#This Row],[Столбец1]])/MatrixF3[[#This Row],[Столбец1]]</f>
        <v>108.99999999999994</v>
      </c>
    </row>
    <row r="34" spans="1:104" ht="21" customHeight="1" x14ac:dyDescent="0.25">
      <c r="A34" s="127">
        <v>1.31</v>
      </c>
      <c r="B34" s="128">
        <v>1.31</v>
      </c>
      <c r="C34" s="128">
        <v>1.31</v>
      </c>
      <c r="D34" s="128">
        <v>1.31</v>
      </c>
      <c r="E34" s="128">
        <v>1.31</v>
      </c>
      <c r="F34" s="128">
        <v>1.31</v>
      </c>
      <c r="G34" s="128">
        <v>1.31</v>
      </c>
      <c r="H34" s="128">
        <v>1.31</v>
      </c>
      <c r="I34" s="128">
        <v>1.31</v>
      </c>
      <c r="J34" s="128">
        <v>1.31</v>
      </c>
      <c r="K34" s="128">
        <v>1.31</v>
      </c>
      <c r="L34" s="128">
        <v>1.31</v>
      </c>
      <c r="M34" s="128">
        <v>1.31</v>
      </c>
      <c r="N34" s="128">
        <v>1.31</v>
      </c>
      <c r="O34" s="128">
        <v>1.31</v>
      </c>
      <c r="P34" s="128">
        <v>1.31</v>
      </c>
      <c r="Q34" s="128">
        <v>1.31</v>
      </c>
      <c r="R34" s="128">
        <v>1.31</v>
      </c>
      <c r="S34" s="128">
        <v>1.31</v>
      </c>
      <c r="T34" s="128">
        <v>1.31</v>
      </c>
      <c r="U34" s="128">
        <v>1.31</v>
      </c>
      <c r="V34" s="128">
        <v>1.31</v>
      </c>
      <c r="W34" s="128">
        <v>1.31</v>
      </c>
      <c r="X34" s="128">
        <v>1.31</v>
      </c>
      <c r="Y34" s="128">
        <v>1.31</v>
      </c>
      <c r="Z34" s="128">
        <v>1.31</v>
      </c>
      <c r="AA34" s="128">
        <v>1.31</v>
      </c>
      <c r="AB34" s="128">
        <v>1.31</v>
      </c>
      <c r="AC34" s="128">
        <v>1.31</v>
      </c>
      <c r="AD34" s="128">
        <v>1.31</v>
      </c>
      <c r="AE34" s="128">
        <v>1.31</v>
      </c>
      <c r="AF34" s="128">
        <v>1.31</v>
      </c>
      <c r="AG34" s="128">
        <v>1.31</v>
      </c>
      <c r="AH34" s="128">
        <v>1.31</v>
      </c>
      <c r="AI34" s="128">
        <v>1.32</v>
      </c>
      <c r="AJ34" s="128">
        <v>1.32</v>
      </c>
      <c r="AK34" s="128">
        <v>1.32</v>
      </c>
      <c r="AL34" s="128">
        <v>1.33</v>
      </c>
      <c r="AM34" s="128">
        <v>1.33</v>
      </c>
      <c r="AN34" s="128">
        <v>1.33</v>
      </c>
      <c r="AO34" s="128">
        <v>1.34</v>
      </c>
      <c r="AP34" s="128">
        <v>1.34</v>
      </c>
      <c r="AQ34" s="128">
        <v>1.34</v>
      </c>
      <c r="AR34" s="128">
        <v>1.35</v>
      </c>
      <c r="AS34" s="128">
        <v>1.35</v>
      </c>
      <c r="AT34" s="128">
        <v>1.36</v>
      </c>
      <c r="AU34" s="128">
        <v>1.36</v>
      </c>
      <c r="AV34" s="128">
        <v>1.36</v>
      </c>
      <c r="AW34" s="128">
        <v>1.37</v>
      </c>
      <c r="AX34" s="128">
        <v>1.37</v>
      </c>
      <c r="AY34" s="128">
        <v>1.38</v>
      </c>
      <c r="AZ34" s="128">
        <v>1.38</v>
      </c>
      <c r="BA34" s="128">
        <v>1.38</v>
      </c>
      <c r="BB34" s="128">
        <v>1.37</v>
      </c>
      <c r="BC34" s="128">
        <v>1.37</v>
      </c>
      <c r="BD34" s="128">
        <v>1.36</v>
      </c>
      <c r="BE34" s="128">
        <v>1.36</v>
      </c>
      <c r="BF34" s="128">
        <v>1.36</v>
      </c>
      <c r="BG34" s="128">
        <v>1.35</v>
      </c>
      <c r="BH34" s="128">
        <v>1.35</v>
      </c>
      <c r="BI34" s="128">
        <v>1.34</v>
      </c>
      <c r="BJ34" s="128">
        <v>1.34</v>
      </c>
      <c r="BK34" s="128">
        <v>1.34</v>
      </c>
      <c r="BL34" s="128">
        <v>1.33</v>
      </c>
      <c r="BM34" s="128">
        <v>1.33</v>
      </c>
      <c r="BN34" s="128">
        <v>1.33</v>
      </c>
      <c r="BO34" s="128">
        <v>1.32</v>
      </c>
      <c r="BP34" s="128">
        <v>1.32</v>
      </c>
      <c r="BQ34" s="128">
        <v>1.32</v>
      </c>
      <c r="BR34" s="128">
        <v>1.31</v>
      </c>
      <c r="BS34" s="128">
        <v>1.31</v>
      </c>
      <c r="BT34" s="128">
        <v>1.31</v>
      </c>
      <c r="BU34" s="128">
        <v>1.31</v>
      </c>
      <c r="BV34" s="128">
        <v>1.31</v>
      </c>
      <c r="BW34" s="128">
        <v>1.31</v>
      </c>
      <c r="BX34" s="128">
        <v>1.31</v>
      </c>
      <c r="BY34" s="128">
        <v>1.31</v>
      </c>
      <c r="BZ34" s="128">
        <v>1.31</v>
      </c>
      <c r="CA34" s="128">
        <v>1.31</v>
      </c>
      <c r="CB34" s="128">
        <v>1.31</v>
      </c>
      <c r="CC34" s="128">
        <v>1.31</v>
      </c>
      <c r="CD34" s="128">
        <v>1.31</v>
      </c>
      <c r="CE34" s="128">
        <v>1.31</v>
      </c>
      <c r="CF34" s="128">
        <v>1.31</v>
      </c>
      <c r="CG34" s="128">
        <v>1.31</v>
      </c>
      <c r="CH34" s="128">
        <v>1.31</v>
      </c>
      <c r="CI34" s="128">
        <v>1.31</v>
      </c>
      <c r="CJ34" s="128">
        <v>1.31</v>
      </c>
      <c r="CK34" s="128">
        <v>1.31</v>
      </c>
      <c r="CL34" s="128">
        <v>1.31</v>
      </c>
      <c r="CM34" s="128">
        <v>1.31</v>
      </c>
      <c r="CN34" s="128">
        <v>1.31</v>
      </c>
      <c r="CO34" s="128">
        <v>1.31</v>
      </c>
      <c r="CP34" s="128">
        <v>1.31</v>
      </c>
      <c r="CQ34" s="128">
        <v>1.31</v>
      </c>
      <c r="CR34" s="128">
        <v>1.31</v>
      </c>
      <c r="CS34" s="128">
        <v>1.31</v>
      </c>
      <c r="CT34" s="128">
        <v>1.31</v>
      </c>
      <c r="CU34" s="128">
        <v>1.31</v>
      </c>
      <c r="CV34" s="128">
        <v>1.31</v>
      </c>
      <c r="CW34" s="128">
        <v>1.31</v>
      </c>
      <c r="CX34" s="128">
        <v>1.31</v>
      </c>
      <c r="CZ34" s="126">
        <f>SUMIF(MatrixF3[[1]:[2]],MatrixF3[[#This Row],[Столбец1]])/MatrixF3[[#This Row],[Столбец1]]</f>
        <v>109.00000000000011</v>
      </c>
    </row>
    <row r="35" spans="1:104" ht="21" customHeight="1" x14ac:dyDescent="0.25">
      <c r="A35" s="127">
        <v>1.32</v>
      </c>
      <c r="B35" s="128">
        <v>1.32</v>
      </c>
      <c r="C35" s="128">
        <v>1.32</v>
      </c>
      <c r="D35" s="128">
        <v>1.32</v>
      </c>
      <c r="E35" s="128">
        <v>1.32</v>
      </c>
      <c r="F35" s="128">
        <v>1.32</v>
      </c>
      <c r="G35" s="128">
        <v>1.32</v>
      </c>
      <c r="H35" s="128">
        <v>1.32</v>
      </c>
      <c r="I35" s="128">
        <v>1.32</v>
      </c>
      <c r="J35" s="128">
        <v>1.32</v>
      </c>
      <c r="K35" s="128">
        <v>1.32</v>
      </c>
      <c r="L35" s="128">
        <v>1.32</v>
      </c>
      <c r="M35" s="128">
        <v>1.32</v>
      </c>
      <c r="N35" s="128">
        <v>1.32</v>
      </c>
      <c r="O35" s="128">
        <v>1.32</v>
      </c>
      <c r="P35" s="128">
        <v>1.32</v>
      </c>
      <c r="Q35" s="128">
        <v>1.32</v>
      </c>
      <c r="R35" s="128">
        <v>1.32</v>
      </c>
      <c r="S35" s="128">
        <v>1.32</v>
      </c>
      <c r="T35" s="128">
        <v>1.32</v>
      </c>
      <c r="U35" s="128">
        <v>1.32</v>
      </c>
      <c r="V35" s="128">
        <v>1.32</v>
      </c>
      <c r="W35" s="128">
        <v>1.32</v>
      </c>
      <c r="X35" s="128">
        <v>1.32</v>
      </c>
      <c r="Y35" s="128">
        <v>1.32</v>
      </c>
      <c r="Z35" s="128">
        <v>1.32</v>
      </c>
      <c r="AA35" s="128">
        <v>1.32</v>
      </c>
      <c r="AB35" s="128">
        <v>1.32</v>
      </c>
      <c r="AC35" s="128">
        <v>1.32</v>
      </c>
      <c r="AD35" s="128">
        <v>1.32</v>
      </c>
      <c r="AE35" s="128">
        <v>1.32</v>
      </c>
      <c r="AF35" s="128">
        <v>1.32</v>
      </c>
      <c r="AG35" s="128">
        <v>1.32</v>
      </c>
      <c r="AH35" s="128">
        <v>1.32</v>
      </c>
      <c r="AI35" s="128">
        <v>1.32</v>
      </c>
      <c r="AJ35" s="128">
        <v>1.33</v>
      </c>
      <c r="AK35" s="128">
        <v>1.33</v>
      </c>
      <c r="AL35" s="128">
        <v>1.33</v>
      </c>
      <c r="AM35" s="128">
        <v>1.34</v>
      </c>
      <c r="AN35" s="128">
        <v>1.34</v>
      </c>
      <c r="AO35" s="128">
        <v>1.34</v>
      </c>
      <c r="AP35" s="128">
        <v>1.35</v>
      </c>
      <c r="AQ35" s="128">
        <v>1.35</v>
      </c>
      <c r="AR35" s="128">
        <v>1.36</v>
      </c>
      <c r="AS35" s="128">
        <v>1.36</v>
      </c>
      <c r="AT35" s="128">
        <v>1.36</v>
      </c>
      <c r="AU35" s="128">
        <v>1.37</v>
      </c>
      <c r="AV35" s="128">
        <v>1.37</v>
      </c>
      <c r="AW35" s="128">
        <v>1.38</v>
      </c>
      <c r="AX35" s="128">
        <v>1.38</v>
      </c>
      <c r="AY35" s="128">
        <v>1.39</v>
      </c>
      <c r="AZ35" s="128">
        <v>1.39</v>
      </c>
      <c r="BA35" s="128">
        <v>1.39</v>
      </c>
      <c r="BB35" s="128">
        <v>1.38</v>
      </c>
      <c r="BC35" s="128">
        <v>1.38</v>
      </c>
      <c r="BD35" s="128">
        <v>1.37</v>
      </c>
      <c r="BE35" s="128">
        <v>1.37</v>
      </c>
      <c r="BF35" s="128">
        <v>1.36</v>
      </c>
      <c r="BG35" s="128">
        <v>1.36</v>
      </c>
      <c r="BH35" s="128">
        <v>1.36</v>
      </c>
      <c r="BI35" s="128">
        <v>1.35</v>
      </c>
      <c r="BJ35" s="128">
        <v>1.35</v>
      </c>
      <c r="BK35" s="128">
        <v>1.34</v>
      </c>
      <c r="BL35" s="128">
        <v>1.34</v>
      </c>
      <c r="BM35" s="128">
        <v>1.34</v>
      </c>
      <c r="BN35" s="128">
        <v>1.33</v>
      </c>
      <c r="BO35" s="128">
        <v>1.33</v>
      </c>
      <c r="BP35" s="128">
        <v>1.33</v>
      </c>
      <c r="BQ35" s="128">
        <v>1.32</v>
      </c>
      <c r="BR35" s="128">
        <v>1.32</v>
      </c>
      <c r="BS35" s="128">
        <v>1.32</v>
      </c>
      <c r="BT35" s="128">
        <v>1.32</v>
      </c>
      <c r="BU35" s="128">
        <v>1.32</v>
      </c>
      <c r="BV35" s="128">
        <v>1.32</v>
      </c>
      <c r="BW35" s="128">
        <v>1.32</v>
      </c>
      <c r="BX35" s="128">
        <v>1.32</v>
      </c>
      <c r="BY35" s="128">
        <v>1.32</v>
      </c>
      <c r="BZ35" s="128">
        <v>1.32</v>
      </c>
      <c r="CA35" s="128">
        <v>1.32</v>
      </c>
      <c r="CB35" s="128">
        <v>1.32</v>
      </c>
      <c r="CC35" s="128">
        <v>1.32</v>
      </c>
      <c r="CD35" s="128">
        <v>1.32</v>
      </c>
      <c r="CE35" s="128">
        <v>1.32</v>
      </c>
      <c r="CF35" s="128">
        <v>1.32</v>
      </c>
      <c r="CG35" s="128">
        <v>1.32</v>
      </c>
      <c r="CH35" s="128">
        <v>1.32</v>
      </c>
      <c r="CI35" s="128">
        <v>1.32</v>
      </c>
      <c r="CJ35" s="128">
        <v>1.32</v>
      </c>
      <c r="CK35" s="128">
        <v>1.32</v>
      </c>
      <c r="CL35" s="128">
        <v>1.32</v>
      </c>
      <c r="CM35" s="128">
        <v>1.32</v>
      </c>
      <c r="CN35" s="128">
        <v>1.32</v>
      </c>
      <c r="CO35" s="128">
        <v>1.32</v>
      </c>
      <c r="CP35" s="128">
        <v>1.32</v>
      </c>
      <c r="CQ35" s="128">
        <v>1.32</v>
      </c>
      <c r="CR35" s="128">
        <v>1.32</v>
      </c>
      <c r="CS35" s="128">
        <v>1.32</v>
      </c>
      <c r="CT35" s="128">
        <v>1.32</v>
      </c>
      <c r="CU35" s="128">
        <v>1.32</v>
      </c>
      <c r="CV35" s="128">
        <v>1.32</v>
      </c>
      <c r="CW35" s="128">
        <v>1.32</v>
      </c>
      <c r="CX35" s="128">
        <v>1.32</v>
      </c>
      <c r="CZ35" s="126">
        <f>SUMIF(MatrixF3[[1]:[2]],MatrixF3[[#This Row],[Столбец1]])/MatrixF3[[#This Row],[Столбец1]]</f>
        <v>111.99999999999967</v>
      </c>
    </row>
    <row r="36" spans="1:104" ht="21" customHeight="1" x14ac:dyDescent="0.25">
      <c r="A36" s="127">
        <v>1.33</v>
      </c>
      <c r="B36" s="128">
        <v>1.33</v>
      </c>
      <c r="C36" s="128">
        <v>1.33</v>
      </c>
      <c r="D36" s="128">
        <v>1.33</v>
      </c>
      <c r="E36" s="128">
        <v>1.33</v>
      </c>
      <c r="F36" s="128">
        <v>1.33</v>
      </c>
      <c r="G36" s="128">
        <v>1.33</v>
      </c>
      <c r="H36" s="128">
        <v>1.33</v>
      </c>
      <c r="I36" s="128">
        <v>1.33</v>
      </c>
      <c r="J36" s="128">
        <v>1.33</v>
      </c>
      <c r="K36" s="128">
        <v>1.33</v>
      </c>
      <c r="L36" s="128">
        <v>1.33</v>
      </c>
      <c r="M36" s="128">
        <v>1.33</v>
      </c>
      <c r="N36" s="128">
        <v>1.33</v>
      </c>
      <c r="O36" s="128">
        <v>1.33</v>
      </c>
      <c r="P36" s="128">
        <v>1.33</v>
      </c>
      <c r="Q36" s="128">
        <v>1.33</v>
      </c>
      <c r="R36" s="128">
        <v>1.33</v>
      </c>
      <c r="S36" s="128">
        <v>1.33</v>
      </c>
      <c r="T36" s="128">
        <v>1.33</v>
      </c>
      <c r="U36" s="128">
        <v>1.33</v>
      </c>
      <c r="V36" s="128">
        <v>1.33</v>
      </c>
      <c r="W36" s="128">
        <v>1.33</v>
      </c>
      <c r="X36" s="128">
        <v>1.33</v>
      </c>
      <c r="Y36" s="128">
        <v>1.33</v>
      </c>
      <c r="Z36" s="128">
        <v>1.33</v>
      </c>
      <c r="AA36" s="128">
        <v>1.33</v>
      </c>
      <c r="AB36" s="128">
        <v>1.33</v>
      </c>
      <c r="AC36" s="128">
        <v>1.33</v>
      </c>
      <c r="AD36" s="128">
        <v>1.33</v>
      </c>
      <c r="AE36" s="128">
        <v>1.33</v>
      </c>
      <c r="AF36" s="128">
        <v>1.33</v>
      </c>
      <c r="AG36" s="128">
        <v>1.33</v>
      </c>
      <c r="AH36" s="128">
        <v>1.33</v>
      </c>
      <c r="AI36" s="128">
        <v>1.33</v>
      </c>
      <c r="AJ36" s="128">
        <v>1.33</v>
      </c>
      <c r="AK36" s="128">
        <v>1.34</v>
      </c>
      <c r="AL36" s="128">
        <v>1.34</v>
      </c>
      <c r="AM36" s="128">
        <v>1.34</v>
      </c>
      <c r="AN36" s="128">
        <v>1.35</v>
      </c>
      <c r="AO36" s="128">
        <v>1.35</v>
      </c>
      <c r="AP36" s="128">
        <v>1.35</v>
      </c>
      <c r="AQ36" s="128">
        <v>1.36</v>
      </c>
      <c r="AR36" s="128">
        <v>1.36</v>
      </c>
      <c r="AS36" s="128">
        <v>1.37</v>
      </c>
      <c r="AT36" s="128">
        <v>1.37</v>
      </c>
      <c r="AU36" s="128">
        <v>1.38</v>
      </c>
      <c r="AV36" s="128">
        <v>1.38</v>
      </c>
      <c r="AW36" s="128">
        <v>1.38</v>
      </c>
      <c r="AX36" s="128">
        <v>1.39</v>
      </c>
      <c r="AY36" s="128">
        <v>1.39</v>
      </c>
      <c r="AZ36" s="128">
        <v>1.4</v>
      </c>
      <c r="BA36" s="128">
        <v>1.39</v>
      </c>
      <c r="BB36" s="128">
        <v>1.39</v>
      </c>
      <c r="BC36" s="128">
        <v>1.38</v>
      </c>
      <c r="BD36" s="128">
        <v>1.38</v>
      </c>
      <c r="BE36" s="128">
        <v>1.38</v>
      </c>
      <c r="BF36" s="128">
        <v>1.37</v>
      </c>
      <c r="BG36" s="128">
        <v>1.37</v>
      </c>
      <c r="BH36" s="128">
        <v>1.36</v>
      </c>
      <c r="BI36" s="128">
        <v>1.36</v>
      </c>
      <c r="BJ36" s="128">
        <v>1.35</v>
      </c>
      <c r="BK36" s="128">
        <v>1.35</v>
      </c>
      <c r="BL36" s="128">
        <v>1.35</v>
      </c>
      <c r="BM36" s="128">
        <v>1.34</v>
      </c>
      <c r="BN36" s="128">
        <v>1.34</v>
      </c>
      <c r="BO36" s="128">
        <v>1.34</v>
      </c>
      <c r="BP36" s="128">
        <v>1.33</v>
      </c>
      <c r="BQ36" s="128">
        <v>1.33</v>
      </c>
      <c r="BR36" s="128">
        <v>1.33</v>
      </c>
      <c r="BS36" s="128">
        <v>1.33</v>
      </c>
      <c r="BT36" s="128">
        <v>1.33</v>
      </c>
      <c r="BU36" s="128">
        <v>1.33</v>
      </c>
      <c r="BV36" s="128">
        <v>1.33</v>
      </c>
      <c r="BW36" s="128">
        <v>1.33</v>
      </c>
      <c r="BX36" s="128">
        <v>1.33</v>
      </c>
      <c r="BY36" s="128">
        <v>1.33</v>
      </c>
      <c r="BZ36" s="128">
        <v>1.33</v>
      </c>
      <c r="CA36" s="128">
        <v>1.33</v>
      </c>
      <c r="CB36" s="128">
        <v>1.33</v>
      </c>
      <c r="CC36" s="128">
        <v>1.33</v>
      </c>
      <c r="CD36" s="128">
        <v>1.33</v>
      </c>
      <c r="CE36" s="128">
        <v>1.33</v>
      </c>
      <c r="CF36" s="128">
        <v>1.33</v>
      </c>
      <c r="CG36" s="128">
        <v>1.33</v>
      </c>
      <c r="CH36" s="128">
        <v>1.33</v>
      </c>
      <c r="CI36" s="128">
        <v>1.33</v>
      </c>
      <c r="CJ36" s="128">
        <v>1.33</v>
      </c>
      <c r="CK36" s="128">
        <v>1.33</v>
      </c>
      <c r="CL36" s="128">
        <v>1.33</v>
      </c>
      <c r="CM36" s="128">
        <v>1.33</v>
      </c>
      <c r="CN36" s="128">
        <v>1.33</v>
      </c>
      <c r="CO36" s="128">
        <v>1.33</v>
      </c>
      <c r="CP36" s="128">
        <v>1.33</v>
      </c>
      <c r="CQ36" s="128">
        <v>1.33</v>
      </c>
      <c r="CR36" s="128">
        <v>1.33</v>
      </c>
      <c r="CS36" s="128">
        <v>1.33</v>
      </c>
      <c r="CT36" s="128">
        <v>1.33</v>
      </c>
      <c r="CU36" s="128">
        <v>1.33</v>
      </c>
      <c r="CV36" s="128">
        <v>1.33</v>
      </c>
      <c r="CW36" s="128">
        <v>1.33</v>
      </c>
      <c r="CX36" s="128">
        <v>1.33</v>
      </c>
      <c r="CZ36" s="126">
        <f>SUMIF(MatrixF3[[1]:[2]],MatrixF3[[#This Row],[Столбец1]])/MatrixF3[[#This Row],[Столбец1]]</f>
        <v>113.00000000000006</v>
      </c>
    </row>
    <row r="37" spans="1:104" ht="21" customHeight="1" x14ac:dyDescent="0.25">
      <c r="A37" s="127">
        <v>1.34</v>
      </c>
      <c r="B37" s="128">
        <v>1.34</v>
      </c>
      <c r="C37" s="128">
        <v>1.34</v>
      </c>
      <c r="D37" s="128">
        <v>1.34</v>
      </c>
      <c r="E37" s="128">
        <v>1.34</v>
      </c>
      <c r="F37" s="128">
        <v>1.34</v>
      </c>
      <c r="G37" s="128">
        <v>1.34</v>
      </c>
      <c r="H37" s="128">
        <v>1.34</v>
      </c>
      <c r="I37" s="128">
        <v>1.34</v>
      </c>
      <c r="J37" s="128">
        <v>1.34</v>
      </c>
      <c r="K37" s="128">
        <v>1.34</v>
      </c>
      <c r="L37" s="128">
        <v>1.34</v>
      </c>
      <c r="M37" s="128">
        <v>1.34</v>
      </c>
      <c r="N37" s="128">
        <v>1.34</v>
      </c>
      <c r="O37" s="128">
        <v>1.34</v>
      </c>
      <c r="P37" s="128">
        <v>1.34</v>
      </c>
      <c r="Q37" s="128">
        <v>1.34</v>
      </c>
      <c r="R37" s="128">
        <v>1.34</v>
      </c>
      <c r="S37" s="128">
        <v>1.34</v>
      </c>
      <c r="T37" s="128">
        <v>1.34</v>
      </c>
      <c r="U37" s="128">
        <v>1.34</v>
      </c>
      <c r="V37" s="128">
        <v>1.34</v>
      </c>
      <c r="W37" s="128">
        <v>1.34</v>
      </c>
      <c r="X37" s="128">
        <v>1.34</v>
      </c>
      <c r="Y37" s="128">
        <v>1.34</v>
      </c>
      <c r="Z37" s="128">
        <v>1.34</v>
      </c>
      <c r="AA37" s="128">
        <v>1.34</v>
      </c>
      <c r="AB37" s="128">
        <v>1.34</v>
      </c>
      <c r="AC37" s="128">
        <v>1.34</v>
      </c>
      <c r="AD37" s="128">
        <v>1.34</v>
      </c>
      <c r="AE37" s="128">
        <v>1.34</v>
      </c>
      <c r="AF37" s="128">
        <v>1.34</v>
      </c>
      <c r="AG37" s="128">
        <v>1.34</v>
      </c>
      <c r="AH37" s="128">
        <v>1.34</v>
      </c>
      <c r="AI37" s="128">
        <v>1.34</v>
      </c>
      <c r="AJ37" s="128">
        <v>1.34</v>
      </c>
      <c r="AK37" s="128">
        <v>1.34</v>
      </c>
      <c r="AL37" s="128">
        <v>1.35</v>
      </c>
      <c r="AM37" s="128">
        <v>1.35</v>
      </c>
      <c r="AN37" s="128">
        <v>1.35</v>
      </c>
      <c r="AO37" s="128">
        <v>1.36</v>
      </c>
      <c r="AP37" s="128">
        <v>1.36</v>
      </c>
      <c r="AQ37" s="128">
        <v>1.37</v>
      </c>
      <c r="AR37" s="128">
        <v>1.37</v>
      </c>
      <c r="AS37" s="128">
        <v>1.37</v>
      </c>
      <c r="AT37" s="128">
        <v>1.38</v>
      </c>
      <c r="AU37" s="128">
        <v>1.38</v>
      </c>
      <c r="AV37" s="128">
        <v>1.39</v>
      </c>
      <c r="AW37" s="128">
        <v>1.39</v>
      </c>
      <c r="AX37" s="128">
        <v>1.4</v>
      </c>
      <c r="AY37" s="128">
        <v>1.4</v>
      </c>
      <c r="AZ37" s="128">
        <v>1.4</v>
      </c>
      <c r="BA37" s="128">
        <v>1.4</v>
      </c>
      <c r="BB37" s="128">
        <v>1.4</v>
      </c>
      <c r="BC37" s="128">
        <v>1.39</v>
      </c>
      <c r="BD37" s="128">
        <v>1.39</v>
      </c>
      <c r="BE37" s="128">
        <v>1.38</v>
      </c>
      <c r="BF37" s="128">
        <v>1.38</v>
      </c>
      <c r="BG37" s="128">
        <v>1.37</v>
      </c>
      <c r="BH37" s="128">
        <v>1.37</v>
      </c>
      <c r="BI37" s="128">
        <v>1.37</v>
      </c>
      <c r="BJ37" s="128">
        <v>1.36</v>
      </c>
      <c r="BK37" s="128">
        <v>1.36</v>
      </c>
      <c r="BL37" s="128">
        <v>1.35</v>
      </c>
      <c r="BM37" s="128">
        <v>1.35</v>
      </c>
      <c r="BN37" s="128">
        <v>1.35</v>
      </c>
      <c r="BO37" s="128">
        <v>1.34</v>
      </c>
      <c r="BP37" s="128">
        <v>1.34</v>
      </c>
      <c r="BQ37" s="128">
        <v>1.34</v>
      </c>
      <c r="BR37" s="128">
        <v>1.34</v>
      </c>
      <c r="BS37" s="128">
        <v>1.34</v>
      </c>
      <c r="BT37" s="128">
        <v>1.34</v>
      </c>
      <c r="BU37" s="128">
        <v>1.34</v>
      </c>
      <c r="BV37" s="128">
        <v>1.34</v>
      </c>
      <c r="BW37" s="128">
        <v>1.34</v>
      </c>
      <c r="BX37" s="128">
        <v>1.34</v>
      </c>
      <c r="BY37" s="128">
        <v>1.34</v>
      </c>
      <c r="BZ37" s="128">
        <v>1.34</v>
      </c>
      <c r="CA37" s="128">
        <v>1.34</v>
      </c>
      <c r="CB37" s="128">
        <v>1.34</v>
      </c>
      <c r="CC37" s="128">
        <v>1.34</v>
      </c>
      <c r="CD37" s="128">
        <v>1.34</v>
      </c>
      <c r="CE37" s="128">
        <v>1.34</v>
      </c>
      <c r="CF37" s="128">
        <v>1.34</v>
      </c>
      <c r="CG37" s="128">
        <v>1.34</v>
      </c>
      <c r="CH37" s="128">
        <v>1.34</v>
      </c>
      <c r="CI37" s="128">
        <v>1.34</v>
      </c>
      <c r="CJ37" s="128">
        <v>1.34</v>
      </c>
      <c r="CK37" s="128">
        <v>1.34</v>
      </c>
      <c r="CL37" s="128">
        <v>1.34</v>
      </c>
      <c r="CM37" s="128">
        <v>1.34</v>
      </c>
      <c r="CN37" s="128">
        <v>1.34</v>
      </c>
      <c r="CO37" s="128">
        <v>1.34</v>
      </c>
      <c r="CP37" s="128">
        <v>1.34</v>
      </c>
      <c r="CQ37" s="128">
        <v>1.34</v>
      </c>
      <c r="CR37" s="128">
        <v>1.34</v>
      </c>
      <c r="CS37" s="128">
        <v>1.34</v>
      </c>
      <c r="CT37" s="128">
        <v>1.34</v>
      </c>
      <c r="CU37" s="128">
        <v>1.34</v>
      </c>
      <c r="CV37" s="128">
        <v>1.34</v>
      </c>
      <c r="CW37" s="128">
        <v>1.34</v>
      </c>
      <c r="CX37" s="128">
        <v>1.34</v>
      </c>
      <c r="CZ37" s="126">
        <f>SUMIF(MatrixF3[[1]:[2]],MatrixF3[[#This Row],[Столбец1]])/MatrixF3[[#This Row],[Столбец1]]</f>
        <v>111.00000000000021</v>
      </c>
    </row>
    <row r="38" spans="1:104" ht="21" customHeight="1" x14ac:dyDescent="0.25">
      <c r="A38" s="127">
        <v>1.35</v>
      </c>
      <c r="B38" s="128">
        <v>1.35</v>
      </c>
      <c r="C38" s="128">
        <v>1.35</v>
      </c>
      <c r="D38" s="128">
        <v>1.35</v>
      </c>
      <c r="E38" s="128">
        <v>1.35</v>
      </c>
      <c r="F38" s="128">
        <v>1.35</v>
      </c>
      <c r="G38" s="128">
        <v>1.35</v>
      </c>
      <c r="H38" s="128">
        <v>1.35</v>
      </c>
      <c r="I38" s="128">
        <v>1.35</v>
      </c>
      <c r="J38" s="128">
        <v>1.35</v>
      </c>
      <c r="K38" s="128">
        <v>1.35</v>
      </c>
      <c r="L38" s="128">
        <v>1.35</v>
      </c>
      <c r="M38" s="128">
        <v>1.35</v>
      </c>
      <c r="N38" s="128">
        <v>1.35</v>
      </c>
      <c r="O38" s="128">
        <v>1.35</v>
      </c>
      <c r="P38" s="128">
        <v>1.35</v>
      </c>
      <c r="Q38" s="128">
        <v>1.35</v>
      </c>
      <c r="R38" s="128">
        <v>1.35</v>
      </c>
      <c r="S38" s="128">
        <v>1.35</v>
      </c>
      <c r="T38" s="128">
        <v>1.35</v>
      </c>
      <c r="U38" s="128">
        <v>1.35</v>
      </c>
      <c r="V38" s="128">
        <v>1.35</v>
      </c>
      <c r="W38" s="128">
        <v>1.35</v>
      </c>
      <c r="X38" s="128">
        <v>1.35</v>
      </c>
      <c r="Y38" s="128">
        <v>1.35</v>
      </c>
      <c r="Z38" s="128">
        <v>1.35</v>
      </c>
      <c r="AA38" s="128">
        <v>1.35</v>
      </c>
      <c r="AB38" s="128">
        <v>1.35</v>
      </c>
      <c r="AC38" s="128">
        <v>1.35</v>
      </c>
      <c r="AD38" s="128">
        <v>1.35</v>
      </c>
      <c r="AE38" s="128">
        <v>1.35</v>
      </c>
      <c r="AF38" s="128">
        <v>1.35</v>
      </c>
      <c r="AG38" s="128">
        <v>1.35</v>
      </c>
      <c r="AH38" s="128">
        <v>1.35</v>
      </c>
      <c r="AI38" s="128">
        <v>1.35</v>
      </c>
      <c r="AJ38" s="128">
        <v>1.35</v>
      </c>
      <c r="AK38" s="128">
        <v>1.35</v>
      </c>
      <c r="AL38" s="128">
        <v>1.35</v>
      </c>
      <c r="AM38" s="128">
        <v>1.36</v>
      </c>
      <c r="AN38" s="128">
        <v>1.36</v>
      </c>
      <c r="AO38" s="128">
        <v>1.36</v>
      </c>
      <c r="AP38" s="128">
        <v>1.37</v>
      </c>
      <c r="AQ38" s="128">
        <v>1.37</v>
      </c>
      <c r="AR38" s="128">
        <v>1.38</v>
      </c>
      <c r="AS38" s="128">
        <v>1.38</v>
      </c>
      <c r="AT38" s="128">
        <v>1.38</v>
      </c>
      <c r="AU38" s="128">
        <v>1.39</v>
      </c>
      <c r="AV38" s="128">
        <v>1.39</v>
      </c>
      <c r="AW38" s="128">
        <v>1.4</v>
      </c>
      <c r="AX38" s="128">
        <v>1.4</v>
      </c>
      <c r="AY38" s="128">
        <v>1.41</v>
      </c>
      <c r="AZ38" s="128">
        <v>1.41</v>
      </c>
      <c r="BA38" s="128">
        <v>1.41</v>
      </c>
      <c r="BB38" s="128">
        <v>1.4</v>
      </c>
      <c r="BC38" s="128">
        <v>1.4</v>
      </c>
      <c r="BD38" s="128">
        <v>1.39</v>
      </c>
      <c r="BE38" s="128">
        <v>1.39</v>
      </c>
      <c r="BF38" s="128">
        <v>1.38</v>
      </c>
      <c r="BG38" s="128">
        <v>1.38</v>
      </c>
      <c r="BH38" s="128">
        <v>1.38</v>
      </c>
      <c r="BI38" s="128">
        <v>1.37</v>
      </c>
      <c r="BJ38" s="128">
        <v>1.37</v>
      </c>
      <c r="BK38" s="128">
        <v>1.36</v>
      </c>
      <c r="BL38" s="128">
        <v>1.36</v>
      </c>
      <c r="BM38" s="128">
        <v>1.36</v>
      </c>
      <c r="BN38" s="128">
        <v>1.35</v>
      </c>
      <c r="BO38" s="128">
        <v>1.35</v>
      </c>
      <c r="BP38" s="128">
        <v>1.35</v>
      </c>
      <c r="BQ38" s="128">
        <v>1.35</v>
      </c>
      <c r="BR38" s="128">
        <v>1.35</v>
      </c>
      <c r="BS38" s="128">
        <v>1.35</v>
      </c>
      <c r="BT38" s="128">
        <v>1.35</v>
      </c>
      <c r="BU38" s="128">
        <v>1.35</v>
      </c>
      <c r="BV38" s="128">
        <v>1.35</v>
      </c>
      <c r="BW38" s="128">
        <v>1.35</v>
      </c>
      <c r="BX38" s="128">
        <v>1.35</v>
      </c>
      <c r="BY38" s="128">
        <v>1.35</v>
      </c>
      <c r="BZ38" s="128">
        <v>1.35</v>
      </c>
      <c r="CA38" s="128">
        <v>1.35</v>
      </c>
      <c r="CB38" s="128">
        <v>1.35</v>
      </c>
      <c r="CC38" s="128">
        <v>1.35</v>
      </c>
      <c r="CD38" s="128">
        <v>1.35</v>
      </c>
      <c r="CE38" s="128">
        <v>1.35</v>
      </c>
      <c r="CF38" s="128">
        <v>1.35</v>
      </c>
      <c r="CG38" s="128">
        <v>1.35</v>
      </c>
      <c r="CH38" s="128">
        <v>1.35</v>
      </c>
      <c r="CI38" s="128">
        <v>1.35</v>
      </c>
      <c r="CJ38" s="128">
        <v>1.35</v>
      </c>
      <c r="CK38" s="128">
        <v>1.35</v>
      </c>
      <c r="CL38" s="128">
        <v>1.35</v>
      </c>
      <c r="CM38" s="128">
        <v>1.35</v>
      </c>
      <c r="CN38" s="128">
        <v>1.35</v>
      </c>
      <c r="CO38" s="128">
        <v>1.35</v>
      </c>
      <c r="CP38" s="128">
        <v>1.35</v>
      </c>
      <c r="CQ38" s="128">
        <v>1.35</v>
      </c>
      <c r="CR38" s="128">
        <v>1.35</v>
      </c>
      <c r="CS38" s="128">
        <v>1.35</v>
      </c>
      <c r="CT38" s="128">
        <v>1.35</v>
      </c>
      <c r="CU38" s="128">
        <v>1.35</v>
      </c>
      <c r="CV38" s="128">
        <v>1.35</v>
      </c>
      <c r="CW38" s="128">
        <v>1.35</v>
      </c>
      <c r="CX38" s="128">
        <v>1.35</v>
      </c>
      <c r="CZ38" s="126">
        <f>SUMIF(MatrixF3[[1]:[2]],MatrixF3[[#This Row],[Столбец1]])/MatrixF3[[#This Row],[Столбец1]]</f>
        <v>112.99999999999974</v>
      </c>
    </row>
    <row r="39" spans="1:104" ht="21" customHeight="1" x14ac:dyDescent="0.25">
      <c r="A39" s="127">
        <v>1.36</v>
      </c>
      <c r="B39" s="128">
        <v>1.36</v>
      </c>
      <c r="C39" s="128">
        <v>1.36</v>
      </c>
      <c r="D39" s="128">
        <v>1.36</v>
      </c>
      <c r="E39" s="128">
        <v>1.36</v>
      </c>
      <c r="F39" s="128">
        <v>1.36</v>
      </c>
      <c r="G39" s="128">
        <v>1.36</v>
      </c>
      <c r="H39" s="128">
        <v>1.36</v>
      </c>
      <c r="I39" s="128">
        <v>1.36</v>
      </c>
      <c r="J39" s="128">
        <v>1.36</v>
      </c>
      <c r="K39" s="128">
        <v>1.36</v>
      </c>
      <c r="L39" s="128">
        <v>1.36</v>
      </c>
      <c r="M39" s="128">
        <v>1.36</v>
      </c>
      <c r="N39" s="128">
        <v>1.36</v>
      </c>
      <c r="O39" s="128">
        <v>1.36</v>
      </c>
      <c r="P39" s="128">
        <v>1.36</v>
      </c>
      <c r="Q39" s="128">
        <v>1.36</v>
      </c>
      <c r="R39" s="128">
        <v>1.36</v>
      </c>
      <c r="S39" s="128">
        <v>1.36</v>
      </c>
      <c r="T39" s="128">
        <v>1.36</v>
      </c>
      <c r="U39" s="128">
        <v>1.36</v>
      </c>
      <c r="V39" s="128">
        <v>1.36</v>
      </c>
      <c r="W39" s="128">
        <v>1.36</v>
      </c>
      <c r="X39" s="128">
        <v>1.36</v>
      </c>
      <c r="Y39" s="128">
        <v>1.36</v>
      </c>
      <c r="Z39" s="128">
        <v>1.36</v>
      </c>
      <c r="AA39" s="128">
        <v>1.36</v>
      </c>
      <c r="AB39" s="128">
        <v>1.36</v>
      </c>
      <c r="AC39" s="128">
        <v>1.36</v>
      </c>
      <c r="AD39" s="128">
        <v>1.36</v>
      </c>
      <c r="AE39" s="128">
        <v>1.36</v>
      </c>
      <c r="AF39" s="128">
        <v>1.36</v>
      </c>
      <c r="AG39" s="128">
        <v>1.36</v>
      </c>
      <c r="AH39" s="128">
        <v>1.36</v>
      </c>
      <c r="AI39" s="128">
        <v>1.36</v>
      </c>
      <c r="AJ39" s="128">
        <v>1.36</v>
      </c>
      <c r="AK39" s="128">
        <v>1.36</v>
      </c>
      <c r="AL39" s="128">
        <v>1.36</v>
      </c>
      <c r="AM39" s="128">
        <v>1.36</v>
      </c>
      <c r="AN39" s="128">
        <v>1.37</v>
      </c>
      <c r="AO39" s="128">
        <v>1.37</v>
      </c>
      <c r="AP39" s="128">
        <v>1.38</v>
      </c>
      <c r="AQ39" s="128">
        <v>1.38</v>
      </c>
      <c r="AR39" s="128">
        <v>1.38</v>
      </c>
      <c r="AS39" s="128">
        <v>1.39</v>
      </c>
      <c r="AT39" s="128">
        <v>1.39</v>
      </c>
      <c r="AU39" s="128">
        <v>1.4</v>
      </c>
      <c r="AV39" s="128">
        <v>1.4</v>
      </c>
      <c r="AW39" s="128">
        <v>1.4</v>
      </c>
      <c r="AX39" s="128">
        <v>1.41</v>
      </c>
      <c r="AY39" s="128">
        <v>1.41</v>
      </c>
      <c r="AZ39" s="128">
        <v>1.42</v>
      </c>
      <c r="BA39" s="128">
        <v>1.41</v>
      </c>
      <c r="BB39" s="128">
        <v>1.41</v>
      </c>
      <c r="BC39" s="128">
        <v>1.4</v>
      </c>
      <c r="BD39" s="128">
        <v>1.4</v>
      </c>
      <c r="BE39" s="128">
        <v>1.4</v>
      </c>
      <c r="BF39" s="128">
        <v>1.39</v>
      </c>
      <c r="BG39" s="128">
        <v>1.39</v>
      </c>
      <c r="BH39" s="128">
        <v>1.38</v>
      </c>
      <c r="BI39" s="128">
        <v>1.38</v>
      </c>
      <c r="BJ39" s="128">
        <v>1.38</v>
      </c>
      <c r="BK39" s="128">
        <v>1.37</v>
      </c>
      <c r="BL39" s="128">
        <v>1.37</v>
      </c>
      <c r="BM39" s="128">
        <v>1.36</v>
      </c>
      <c r="BN39" s="128">
        <v>1.36</v>
      </c>
      <c r="BO39" s="128">
        <v>1.36</v>
      </c>
      <c r="BP39" s="128">
        <v>1.36</v>
      </c>
      <c r="BQ39" s="128">
        <v>1.36</v>
      </c>
      <c r="BR39" s="128">
        <v>1.36</v>
      </c>
      <c r="BS39" s="128">
        <v>1.36</v>
      </c>
      <c r="BT39" s="128">
        <v>1.36</v>
      </c>
      <c r="BU39" s="128">
        <v>1.36</v>
      </c>
      <c r="BV39" s="128">
        <v>1.36</v>
      </c>
      <c r="BW39" s="128">
        <v>1.36</v>
      </c>
      <c r="BX39" s="128">
        <v>1.36</v>
      </c>
      <c r="BY39" s="128">
        <v>1.36</v>
      </c>
      <c r="BZ39" s="128">
        <v>1.36</v>
      </c>
      <c r="CA39" s="128">
        <v>1.36</v>
      </c>
      <c r="CB39" s="128">
        <v>1.36</v>
      </c>
      <c r="CC39" s="128">
        <v>1.36</v>
      </c>
      <c r="CD39" s="128">
        <v>1.36</v>
      </c>
      <c r="CE39" s="128">
        <v>1.36</v>
      </c>
      <c r="CF39" s="128">
        <v>1.36</v>
      </c>
      <c r="CG39" s="128">
        <v>1.36</v>
      </c>
      <c r="CH39" s="128">
        <v>1.36</v>
      </c>
      <c r="CI39" s="128">
        <v>1.36</v>
      </c>
      <c r="CJ39" s="128">
        <v>1.36</v>
      </c>
      <c r="CK39" s="128">
        <v>1.36</v>
      </c>
      <c r="CL39" s="128">
        <v>1.36</v>
      </c>
      <c r="CM39" s="128">
        <v>1.36</v>
      </c>
      <c r="CN39" s="128">
        <v>1.36</v>
      </c>
      <c r="CO39" s="128">
        <v>1.36</v>
      </c>
      <c r="CP39" s="128">
        <v>1.36</v>
      </c>
      <c r="CQ39" s="128">
        <v>1.36</v>
      </c>
      <c r="CR39" s="128">
        <v>1.36</v>
      </c>
      <c r="CS39" s="128">
        <v>1.36</v>
      </c>
      <c r="CT39" s="128">
        <v>1.36</v>
      </c>
      <c r="CU39" s="128">
        <v>1.36</v>
      </c>
      <c r="CV39" s="128">
        <v>1.36</v>
      </c>
      <c r="CW39" s="128">
        <v>1.36</v>
      </c>
      <c r="CX39" s="128">
        <v>1.36</v>
      </c>
      <c r="CZ39" s="126">
        <f>SUMIF(MatrixF3[[1]:[2]],MatrixF3[[#This Row],[Столбец1]])/MatrixF3[[#This Row],[Столбец1]]</f>
        <v>111.00000000000013</v>
      </c>
    </row>
    <row r="40" spans="1:104" ht="21" customHeight="1" x14ac:dyDescent="0.25">
      <c r="A40" s="127">
        <v>1.37</v>
      </c>
      <c r="B40" s="128">
        <v>1.37</v>
      </c>
      <c r="C40" s="128">
        <v>1.37</v>
      </c>
      <c r="D40" s="128">
        <v>1.37</v>
      </c>
      <c r="E40" s="128">
        <v>1.37</v>
      </c>
      <c r="F40" s="128">
        <v>1.37</v>
      </c>
      <c r="G40" s="128">
        <v>1.37</v>
      </c>
      <c r="H40" s="128">
        <v>1.37</v>
      </c>
      <c r="I40" s="128">
        <v>1.37</v>
      </c>
      <c r="J40" s="128">
        <v>1.37</v>
      </c>
      <c r="K40" s="128">
        <v>1.37</v>
      </c>
      <c r="L40" s="128">
        <v>1.37</v>
      </c>
      <c r="M40" s="128">
        <v>1.37</v>
      </c>
      <c r="N40" s="128">
        <v>1.37</v>
      </c>
      <c r="O40" s="128">
        <v>1.37</v>
      </c>
      <c r="P40" s="128">
        <v>1.37</v>
      </c>
      <c r="Q40" s="128">
        <v>1.37</v>
      </c>
      <c r="R40" s="128">
        <v>1.37</v>
      </c>
      <c r="S40" s="128">
        <v>1.37</v>
      </c>
      <c r="T40" s="128">
        <v>1.37</v>
      </c>
      <c r="U40" s="128">
        <v>1.37</v>
      </c>
      <c r="V40" s="128">
        <v>1.37</v>
      </c>
      <c r="W40" s="128">
        <v>1.37</v>
      </c>
      <c r="X40" s="128">
        <v>1.37</v>
      </c>
      <c r="Y40" s="128">
        <v>1.37</v>
      </c>
      <c r="Z40" s="128">
        <v>1.37</v>
      </c>
      <c r="AA40" s="128">
        <v>1.37</v>
      </c>
      <c r="AB40" s="128">
        <v>1.37</v>
      </c>
      <c r="AC40" s="128">
        <v>1.37</v>
      </c>
      <c r="AD40" s="128">
        <v>1.37</v>
      </c>
      <c r="AE40" s="128">
        <v>1.37</v>
      </c>
      <c r="AF40" s="128">
        <v>1.37</v>
      </c>
      <c r="AG40" s="128">
        <v>1.37</v>
      </c>
      <c r="AH40" s="128">
        <v>1.37</v>
      </c>
      <c r="AI40" s="128">
        <v>1.37</v>
      </c>
      <c r="AJ40" s="128">
        <v>1.37</v>
      </c>
      <c r="AK40" s="128">
        <v>1.37</v>
      </c>
      <c r="AL40" s="128">
        <v>1.37</v>
      </c>
      <c r="AM40" s="128">
        <v>1.37</v>
      </c>
      <c r="AN40" s="128">
        <v>1.37</v>
      </c>
      <c r="AO40" s="128">
        <v>1.38</v>
      </c>
      <c r="AP40" s="128">
        <v>1.38</v>
      </c>
      <c r="AQ40" s="128">
        <v>1.39</v>
      </c>
      <c r="AR40" s="128">
        <v>1.39</v>
      </c>
      <c r="AS40" s="128">
        <v>1.39</v>
      </c>
      <c r="AT40" s="128">
        <v>1.4</v>
      </c>
      <c r="AU40" s="128">
        <v>1.4</v>
      </c>
      <c r="AV40" s="128">
        <v>1.41</v>
      </c>
      <c r="AW40" s="128">
        <v>1.41</v>
      </c>
      <c r="AX40" s="128">
        <v>1.42</v>
      </c>
      <c r="AY40" s="128">
        <v>1.42</v>
      </c>
      <c r="AZ40" s="128">
        <v>1.43</v>
      </c>
      <c r="BA40" s="128">
        <v>1.42</v>
      </c>
      <c r="BB40" s="128">
        <v>1.42</v>
      </c>
      <c r="BC40" s="128">
        <v>1.41</v>
      </c>
      <c r="BD40" s="128">
        <v>1.41</v>
      </c>
      <c r="BE40" s="128">
        <v>1.4</v>
      </c>
      <c r="BF40" s="128">
        <v>1.4</v>
      </c>
      <c r="BG40" s="128">
        <v>1.39</v>
      </c>
      <c r="BH40" s="128">
        <v>1.39</v>
      </c>
      <c r="BI40" s="128">
        <v>1.39</v>
      </c>
      <c r="BJ40" s="128">
        <v>1.38</v>
      </c>
      <c r="BK40" s="128">
        <v>1.38</v>
      </c>
      <c r="BL40" s="128">
        <v>1.37</v>
      </c>
      <c r="BM40" s="128">
        <v>1.37</v>
      </c>
      <c r="BN40" s="128">
        <v>1.37</v>
      </c>
      <c r="BO40" s="128">
        <v>1.37</v>
      </c>
      <c r="BP40" s="128">
        <v>1.37</v>
      </c>
      <c r="BQ40" s="128">
        <v>1.37</v>
      </c>
      <c r="BR40" s="128">
        <v>1.37</v>
      </c>
      <c r="BS40" s="128">
        <v>1.37</v>
      </c>
      <c r="BT40" s="128">
        <v>1.37</v>
      </c>
      <c r="BU40" s="128">
        <v>1.37</v>
      </c>
      <c r="BV40" s="128">
        <v>1.37</v>
      </c>
      <c r="BW40" s="128">
        <v>1.37</v>
      </c>
      <c r="BX40" s="128">
        <v>1.37</v>
      </c>
      <c r="BY40" s="128">
        <v>1.37</v>
      </c>
      <c r="BZ40" s="128">
        <v>1.37</v>
      </c>
      <c r="CA40" s="128">
        <v>1.37</v>
      </c>
      <c r="CB40" s="128">
        <v>1.37</v>
      </c>
      <c r="CC40" s="128">
        <v>1.37</v>
      </c>
      <c r="CD40" s="128">
        <v>1.37</v>
      </c>
      <c r="CE40" s="128">
        <v>1.37</v>
      </c>
      <c r="CF40" s="128">
        <v>1.37</v>
      </c>
      <c r="CG40" s="128">
        <v>1.37</v>
      </c>
      <c r="CH40" s="128">
        <v>1.37</v>
      </c>
      <c r="CI40" s="128">
        <v>1.37</v>
      </c>
      <c r="CJ40" s="128">
        <v>1.37</v>
      </c>
      <c r="CK40" s="128">
        <v>1.37</v>
      </c>
      <c r="CL40" s="128">
        <v>1.37</v>
      </c>
      <c r="CM40" s="128">
        <v>1.37</v>
      </c>
      <c r="CN40" s="128">
        <v>1.37</v>
      </c>
      <c r="CO40" s="128">
        <v>1.37</v>
      </c>
      <c r="CP40" s="128">
        <v>1.37</v>
      </c>
      <c r="CQ40" s="128">
        <v>1.37</v>
      </c>
      <c r="CR40" s="128">
        <v>1.37</v>
      </c>
      <c r="CS40" s="128">
        <v>1.37</v>
      </c>
      <c r="CT40" s="128">
        <v>1.37</v>
      </c>
      <c r="CU40" s="128">
        <v>1.37</v>
      </c>
      <c r="CV40" s="128">
        <v>1.37</v>
      </c>
      <c r="CW40" s="128">
        <v>1.37</v>
      </c>
      <c r="CX40" s="128">
        <v>1.37</v>
      </c>
      <c r="CZ40" s="126">
        <f>SUMIF(MatrixF3[[1]:[2]],MatrixF3[[#This Row],[Столбец1]])/MatrixF3[[#This Row],[Столбец1]]</f>
        <v>109.00000000000017</v>
      </c>
    </row>
    <row r="41" spans="1:104" ht="21" customHeight="1" x14ac:dyDescent="0.25">
      <c r="A41" s="127">
        <v>1.38</v>
      </c>
      <c r="B41" s="128">
        <v>1.38</v>
      </c>
      <c r="C41" s="128">
        <v>1.38</v>
      </c>
      <c r="D41" s="128">
        <v>1.38</v>
      </c>
      <c r="E41" s="128">
        <v>1.38</v>
      </c>
      <c r="F41" s="128">
        <v>1.38</v>
      </c>
      <c r="G41" s="128">
        <v>1.38</v>
      </c>
      <c r="H41" s="128">
        <v>1.38</v>
      </c>
      <c r="I41" s="128">
        <v>1.38</v>
      </c>
      <c r="J41" s="128">
        <v>1.38</v>
      </c>
      <c r="K41" s="128">
        <v>1.38</v>
      </c>
      <c r="L41" s="128">
        <v>1.38</v>
      </c>
      <c r="M41" s="128">
        <v>1.38</v>
      </c>
      <c r="N41" s="128">
        <v>1.38</v>
      </c>
      <c r="O41" s="128">
        <v>1.38</v>
      </c>
      <c r="P41" s="128">
        <v>1.38</v>
      </c>
      <c r="Q41" s="128">
        <v>1.38</v>
      </c>
      <c r="R41" s="128">
        <v>1.38</v>
      </c>
      <c r="S41" s="128">
        <v>1.38</v>
      </c>
      <c r="T41" s="128">
        <v>1.38</v>
      </c>
      <c r="U41" s="128">
        <v>1.38</v>
      </c>
      <c r="V41" s="128">
        <v>1.38</v>
      </c>
      <c r="W41" s="128">
        <v>1.38</v>
      </c>
      <c r="X41" s="128">
        <v>1.38</v>
      </c>
      <c r="Y41" s="128">
        <v>1.38</v>
      </c>
      <c r="Z41" s="128">
        <v>1.38</v>
      </c>
      <c r="AA41" s="128">
        <v>1.38</v>
      </c>
      <c r="AB41" s="128">
        <v>1.38</v>
      </c>
      <c r="AC41" s="128">
        <v>1.38</v>
      </c>
      <c r="AD41" s="128">
        <v>1.38</v>
      </c>
      <c r="AE41" s="128">
        <v>1.38</v>
      </c>
      <c r="AF41" s="128">
        <v>1.38</v>
      </c>
      <c r="AG41" s="128">
        <v>1.38</v>
      </c>
      <c r="AH41" s="128">
        <v>1.38</v>
      </c>
      <c r="AI41" s="128">
        <v>1.38</v>
      </c>
      <c r="AJ41" s="128">
        <v>1.38</v>
      </c>
      <c r="AK41" s="128">
        <v>1.38</v>
      </c>
      <c r="AL41" s="128">
        <v>1.38</v>
      </c>
      <c r="AM41" s="128">
        <v>1.38</v>
      </c>
      <c r="AN41" s="128">
        <v>1.38</v>
      </c>
      <c r="AO41" s="128">
        <v>1.38</v>
      </c>
      <c r="AP41" s="128">
        <v>1.39</v>
      </c>
      <c r="AQ41" s="128">
        <v>1.39</v>
      </c>
      <c r="AR41" s="128">
        <v>1.4</v>
      </c>
      <c r="AS41" s="128">
        <v>1.4</v>
      </c>
      <c r="AT41" s="128">
        <v>1.4</v>
      </c>
      <c r="AU41" s="128">
        <v>1.41</v>
      </c>
      <c r="AV41" s="128">
        <v>1.41</v>
      </c>
      <c r="AW41" s="128">
        <v>1.42</v>
      </c>
      <c r="AX41" s="128">
        <v>1.42</v>
      </c>
      <c r="AY41" s="128">
        <v>1.43</v>
      </c>
      <c r="AZ41" s="128">
        <v>1.43</v>
      </c>
      <c r="BA41" s="128">
        <v>1.43</v>
      </c>
      <c r="BB41" s="128">
        <v>1.42</v>
      </c>
      <c r="BC41" s="128">
        <v>1.42</v>
      </c>
      <c r="BD41" s="128">
        <v>1.41</v>
      </c>
      <c r="BE41" s="128">
        <v>1.41</v>
      </c>
      <c r="BF41" s="128">
        <v>1.4</v>
      </c>
      <c r="BG41" s="128">
        <v>1.4</v>
      </c>
      <c r="BH41" s="128">
        <v>1.4</v>
      </c>
      <c r="BI41" s="128">
        <v>1.39</v>
      </c>
      <c r="BJ41" s="128">
        <v>1.39</v>
      </c>
      <c r="BK41" s="128">
        <v>1.38</v>
      </c>
      <c r="BL41" s="128">
        <v>1.38</v>
      </c>
      <c r="BM41" s="128">
        <v>1.38</v>
      </c>
      <c r="BN41" s="128">
        <v>1.38</v>
      </c>
      <c r="BO41" s="128">
        <v>1.38</v>
      </c>
      <c r="BP41" s="128">
        <v>1.38</v>
      </c>
      <c r="BQ41" s="128">
        <v>1.38</v>
      </c>
      <c r="BR41" s="128">
        <v>1.38</v>
      </c>
      <c r="BS41" s="128">
        <v>1.38</v>
      </c>
      <c r="BT41" s="128">
        <v>1.38</v>
      </c>
      <c r="BU41" s="128">
        <v>1.38</v>
      </c>
      <c r="BV41" s="128">
        <v>1.38</v>
      </c>
      <c r="BW41" s="128">
        <v>1.38</v>
      </c>
      <c r="BX41" s="128">
        <v>1.38</v>
      </c>
      <c r="BY41" s="128">
        <v>1.38</v>
      </c>
      <c r="BZ41" s="128">
        <v>1.38</v>
      </c>
      <c r="CA41" s="128">
        <v>1.38</v>
      </c>
      <c r="CB41" s="128">
        <v>1.38</v>
      </c>
      <c r="CC41" s="128">
        <v>1.38</v>
      </c>
      <c r="CD41" s="128">
        <v>1.38</v>
      </c>
      <c r="CE41" s="128">
        <v>1.38</v>
      </c>
      <c r="CF41" s="128">
        <v>1.38</v>
      </c>
      <c r="CG41" s="128">
        <v>1.38</v>
      </c>
      <c r="CH41" s="128">
        <v>1.38</v>
      </c>
      <c r="CI41" s="128">
        <v>1.38</v>
      </c>
      <c r="CJ41" s="128">
        <v>1.38</v>
      </c>
      <c r="CK41" s="128">
        <v>1.38</v>
      </c>
      <c r="CL41" s="128">
        <v>1.38</v>
      </c>
      <c r="CM41" s="128">
        <v>1.38</v>
      </c>
      <c r="CN41" s="128">
        <v>1.38</v>
      </c>
      <c r="CO41" s="128">
        <v>1.38</v>
      </c>
      <c r="CP41" s="128">
        <v>1.38</v>
      </c>
      <c r="CQ41" s="128">
        <v>1.38</v>
      </c>
      <c r="CR41" s="128">
        <v>1.38</v>
      </c>
      <c r="CS41" s="128">
        <v>1.38</v>
      </c>
      <c r="CT41" s="128">
        <v>1.38</v>
      </c>
      <c r="CU41" s="128">
        <v>1.38</v>
      </c>
      <c r="CV41" s="128">
        <v>1.38</v>
      </c>
      <c r="CW41" s="128">
        <v>1.38</v>
      </c>
      <c r="CX41" s="128">
        <v>1.38</v>
      </c>
      <c r="CZ41" s="126">
        <f>SUMIF(MatrixF3[[1]:[2]],MatrixF3[[#This Row],[Столбец1]])/MatrixF3[[#This Row],[Столбец1]]</f>
        <v>113.99999999999982</v>
      </c>
    </row>
    <row r="42" spans="1:104" ht="21" customHeight="1" x14ac:dyDescent="0.25">
      <c r="A42" s="127">
        <v>1.39</v>
      </c>
      <c r="B42" s="128">
        <v>1.39</v>
      </c>
      <c r="C42" s="128">
        <v>1.39</v>
      </c>
      <c r="D42" s="128">
        <v>1.39</v>
      </c>
      <c r="E42" s="128">
        <v>1.39</v>
      </c>
      <c r="F42" s="128">
        <v>1.39</v>
      </c>
      <c r="G42" s="128">
        <v>1.39</v>
      </c>
      <c r="H42" s="128">
        <v>1.39</v>
      </c>
      <c r="I42" s="128">
        <v>1.39</v>
      </c>
      <c r="J42" s="128">
        <v>1.39</v>
      </c>
      <c r="K42" s="128">
        <v>1.39</v>
      </c>
      <c r="L42" s="128">
        <v>1.39</v>
      </c>
      <c r="M42" s="128">
        <v>1.39</v>
      </c>
      <c r="N42" s="128">
        <v>1.39</v>
      </c>
      <c r="O42" s="128">
        <v>1.39</v>
      </c>
      <c r="P42" s="128">
        <v>1.39</v>
      </c>
      <c r="Q42" s="128">
        <v>1.39</v>
      </c>
      <c r="R42" s="128">
        <v>1.39</v>
      </c>
      <c r="S42" s="128">
        <v>1.39</v>
      </c>
      <c r="T42" s="128">
        <v>1.39</v>
      </c>
      <c r="U42" s="128">
        <v>1.39</v>
      </c>
      <c r="V42" s="128">
        <v>1.39</v>
      </c>
      <c r="W42" s="128">
        <v>1.39</v>
      </c>
      <c r="X42" s="128">
        <v>1.39</v>
      </c>
      <c r="Y42" s="128">
        <v>1.39</v>
      </c>
      <c r="Z42" s="128">
        <v>1.39</v>
      </c>
      <c r="AA42" s="128">
        <v>1.39</v>
      </c>
      <c r="AB42" s="128">
        <v>1.39</v>
      </c>
      <c r="AC42" s="128">
        <v>1.39</v>
      </c>
      <c r="AD42" s="128">
        <v>1.39</v>
      </c>
      <c r="AE42" s="128">
        <v>1.39</v>
      </c>
      <c r="AF42" s="128">
        <v>1.39</v>
      </c>
      <c r="AG42" s="128">
        <v>1.39</v>
      </c>
      <c r="AH42" s="128">
        <v>1.39</v>
      </c>
      <c r="AI42" s="128">
        <v>1.39</v>
      </c>
      <c r="AJ42" s="128">
        <v>1.39</v>
      </c>
      <c r="AK42" s="128">
        <v>1.39</v>
      </c>
      <c r="AL42" s="128">
        <v>1.39</v>
      </c>
      <c r="AM42" s="128">
        <v>1.39</v>
      </c>
      <c r="AN42" s="128">
        <v>1.39</v>
      </c>
      <c r="AO42" s="128">
        <v>1.39</v>
      </c>
      <c r="AP42" s="128">
        <v>1.39</v>
      </c>
      <c r="AQ42" s="128">
        <v>1.4</v>
      </c>
      <c r="AR42" s="128">
        <v>1.4</v>
      </c>
      <c r="AS42" s="128">
        <v>1.41</v>
      </c>
      <c r="AT42" s="128">
        <v>1.41</v>
      </c>
      <c r="AU42" s="128">
        <v>1.41</v>
      </c>
      <c r="AV42" s="128">
        <v>1.42</v>
      </c>
      <c r="AW42" s="128">
        <v>1.42</v>
      </c>
      <c r="AX42" s="128">
        <v>1.43</v>
      </c>
      <c r="AY42" s="128">
        <v>1.43</v>
      </c>
      <c r="AZ42" s="128">
        <v>1.44</v>
      </c>
      <c r="BA42" s="128">
        <v>1.43</v>
      </c>
      <c r="BB42" s="128">
        <v>1.43</v>
      </c>
      <c r="BC42" s="128">
        <v>1.42</v>
      </c>
      <c r="BD42" s="128">
        <v>1.42</v>
      </c>
      <c r="BE42" s="128">
        <v>1.41</v>
      </c>
      <c r="BF42" s="128">
        <v>1.41</v>
      </c>
      <c r="BG42" s="128">
        <v>1.41</v>
      </c>
      <c r="BH42" s="128">
        <v>1.4</v>
      </c>
      <c r="BI42" s="128">
        <v>1.4</v>
      </c>
      <c r="BJ42" s="128">
        <v>1.39</v>
      </c>
      <c r="BK42" s="128">
        <v>1.39</v>
      </c>
      <c r="BL42" s="128">
        <v>1.39</v>
      </c>
      <c r="BM42" s="128">
        <v>1.39</v>
      </c>
      <c r="BN42" s="128">
        <v>1.39</v>
      </c>
      <c r="BO42" s="128">
        <v>1.39</v>
      </c>
      <c r="BP42" s="128">
        <v>1.39</v>
      </c>
      <c r="BQ42" s="128">
        <v>1.39</v>
      </c>
      <c r="BR42" s="128">
        <v>1.39</v>
      </c>
      <c r="BS42" s="128">
        <v>1.39</v>
      </c>
      <c r="BT42" s="128">
        <v>1.39</v>
      </c>
      <c r="BU42" s="128">
        <v>1.39</v>
      </c>
      <c r="BV42" s="128">
        <v>1.39</v>
      </c>
      <c r="BW42" s="128">
        <v>1.39</v>
      </c>
      <c r="BX42" s="128">
        <v>1.39</v>
      </c>
      <c r="BY42" s="128">
        <v>1.39</v>
      </c>
      <c r="BZ42" s="128">
        <v>1.39</v>
      </c>
      <c r="CA42" s="128">
        <v>1.39</v>
      </c>
      <c r="CB42" s="128">
        <v>1.39</v>
      </c>
      <c r="CC42" s="128">
        <v>1.39</v>
      </c>
      <c r="CD42" s="128">
        <v>1.39</v>
      </c>
      <c r="CE42" s="128">
        <v>1.39</v>
      </c>
      <c r="CF42" s="128">
        <v>1.39</v>
      </c>
      <c r="CG42" s="128">
        <v>1.39</v>
      </c>
      <c r="CH42" s="128">
        <v>1.39</v>
      </c>
      <c r="CI42" s="128">
        <v>1.39</v>
      </c>
      <c r="CJ42" s="128">
        <v>1.39</v>
      </c>
      <c r="CK42" s="128">
        <v>1.39</v>
      </c>
      <c r="CL42" s="128">
        <v>1.39</v>
      </c>
      <c r="CM42" s="128">
        <v>1.39</v>
      </c>
      <c r="CN42" s="128">
        <v>1.39</v>
      </c>
      <c r="CO42" s="128">
        <v>1.39</v>
      </c>
      <c r="CP42" s="128">
        <v>1.39</v>
      </c>
      <c r="CQ42" s="128">
        <v>1.39</v>
      </c>
      <c r="CR42" s="128">
        <v>1.39</v>
      </c>
      <c r="CS42" s="128">
        <v>1.39</v>
      </c>
      <c r="CT42" s="128">
        <v>1.39</v>
      </c>
      <c r="CU42" s="128">
        <v>1.39</v>
      </c>
      <c r="CV42" s="128">
        <v>1.39</v>
      </c>
      <c r="CW42" s="128">
        <v>1.39</v>
      </c>
      <c r="CX42" s="128">
        <v>1.39</v>
      </c>
      <c r="CZ42" s="126">
        <f>SUMIF(MatrixF3[[1]:[2]],MatrixF3[[#This Row],[Столбец1]])/MatrixF3[[#This Row],[Столбец1]]</f>
        <v>110.99999999999986</v>
      </c>
    </row>
    <row r="43" spans="1:104" ht="21" customHeight="1" x14ac:dyDescent="0.25">
      <c r="A43" s="127">
        <v>1.4</v>
      </c>
      <c r="B43" s="128">
        <v>1.4</v>
      </c>
      <c r="C43" s="128">
        <v>1.4</v>
      </c>
      <c r="D43" s="128">
        <v>1.4</v>
      </c>
      <c r="E43" s="128">
        <v>1.4</v>
      </c>
      <c r="F43" s="128">
        <v>1.4</v>
      </c>
      <c r="G43" s="128">
        <v>1.4</v>
      </c>
      <c r="H43" s="128">
        <v>1.4</v>
      </c>
      <c r="I43" s="128">
        <v>1.4</v>
      </c>
      <c r="J43" s="128">
        <v>1.4</v>
      </c>
      <c r="K43" s="128">
        <v>1.4</v>
      </c>
      <c r="L43" s="128">
        <v>1.4</v>
      </c>
      <c r="M43" s="128">
        <v>1.4</v>
      </c>
      <c r="N43" s="128">
        <v>1.4</v>
      </c>
      <c r="O43" s="128">
        <v>1.4</v>
      </c>
      <c r="P43" s="128">
        <v>1.4</v>
      </c>
      <c r="Q43" s="128">
        <v>1.4</v>
      </c>
      <c r="R43" s="128">
        <v>1.4</v>
      </c>
      <c r="S43" s="128">
        <v>1.4</v>
      </c>
      <c r="T43" s="128">
        <v>1.4</v>
      </c>
      <c r="U43" s="128">
        <v>1.4</v>
      </c>
      <c r="V43" s="128">
        <v>1.4</v>
      </c>
      <c r="W43" s="128">
        <v>1.4</v>
      </c>
      <c r="X43" s="128">
        <v>1.4</v>
      </c>
      <c r="Y43" s="128">
        <v>1.4</v>
      </c>
      <c r="Z43" s="128">
        <v>1.4</v>
      </c>
      <c r="AA43" s="128">
        <v>1.4</v>
      </c>
      <c r="AB43" s="128">
        <v>1.4</v>
      </c>
      <c r="AC43" s="128">
        <v>1.4</v>
      </c>
      <c r="AD43" s="128">
        <v>1.4</v>
      </c>
      <c r="AE43" s="128">
        <v>1.4</v>
      </c>
      <c r="AF43" s="128">
        <v>1.4</v>
      </c>
      <c r="AG43" s="128">
        <v>1.4</v>
      </c>
      <c r="AH43" s="128">
        <v>1.4</v>
      </c>
      <c r="AI43" s="128">
        <v>1.4</v>
      </c>
      <c r="AJ43" s="128">
        <v>1.4</v>
      </c>
      <c r="AK43" s="128">
        <v>1.4</v>
      </c>
      <c r="AL43" s="128">
        <v>1.4</v>
      </c>
      <c r="AM43" s="128">
        <v>1.4</v>
      </c>
      <c r="AN43" s="128">
        <v>1.4</v>
      </c>
      <c r="AO43" s="128">
        <v>1.4</v>
      </c>
      <c r="AP43" s="128">
        <v>1.4</v>
      </c>
      <c r="AQ43" s="128">
        <v>1.4</v>
      </c>
      <c r="AR43" s="128">
        <v>1.41</v>
      </c>
      <c r="AS43" s="128">
        <v>1.41</v>
      </c>
      <c r="AT43" s="128">
        <v>1.42</v>
      </c>
      <c r="AU43" s="128">
        <v>1.42</v>
      </c>
      <c r="AV43" s="128">
        <v>1.43</v>
      </c>
      <c r="AW43" s="128">
        <v>1.43</v>
      </c>
      <c r="AX43" s="128">
        <v>1.43</v>
      </c>
      <c r="AY43" s="128">
        <v>1.44</v>
      </c>
      <c r="AZ43" s="128">
        <v>1.44</v>
      </c>
      <c r="BA43" s="128">
        <v>1.44</v>
      </c>
      <c r="BB43" s="128">
        <v>1.43</v>
      </c>
      <c r="BC43" s="128">
        <v>1.43</v>
      </c>
      <c r="BD43" s="128">
        <v>1.43</v>
      </c>
      <c r="BE43" s="128">
        <v>1.42</v>
      </c>
      <c r="BF43" s="128">
        <v>1.42</v>
      </c>
      <c r="BG43" s="128">
        <v>1.41</v>
      </c>
      <c r="BH43" s="128">
        <v>1.41</v>
      </c>
      <c r="BI43" s="128">
        <v>1.4</v>
      </c>
      <c r="BJ43" s="128">
        <v>1.4</v>
      </c>
      <c r="BK43" s="128">
        <v>1.4</v>
      </c>
      <c r="BL43" s="128">
        <v>1.4</v>
      </c>
      <c r="BM43" s="128">
        <v>1.4</v>
      </c>
      <c r="BN43" s="128">
        <v>1.4</v>
      </c>
      <c r="BO43" s="128">
        <v>1.4</v>
      </c>
      <c r="BP43" s="128">
        <v>1.4</v>
      </c>
      <c r="BQ43" s="128">
        <v>1.4</v>
      </c>
      <c r="BR43" s="128">
        <v>1.4</v>
      </c>
      <c r="BS43" s="128">
        <v>1.4</v>
      </c>
      <c r="BT43" s="128">
        <v>1.4</v>
      </c>
      <c r="BU43" s="128">
        <v>1.4</v>
      </c>
      <c r="BV43" s="128">
        <v>1.4</v>
      </c>
      <c r="BW43" s="128">
        <v>1.4</v>
      </c>
      <c r="BX43" s="128">
        <v>1.4</v>
      </c>
      <c r="BY43" s="128">
        <v>1.4</v>
      </c>
      <c r="BZ43" s="128">
        <v>1.4</v>
      </c>
      <c r="CA43" s="128">
        <v>1.4</v>
      </c>
      <c r="CB43" s="128">
        <v>1.4</v>
      </c>
      <c r="CC43" s="128">
        <v>1.4</v>
      </c>
      <c r="CD43" s="128">
        <v>1.4</v>
      </c>
      <c r="CE43" s="128">
        <v>1.4</v>
      </c>
      <c r="CF43" s="128">
        <v>1.4</v>
      </c>
      <c r="CG43" s="128">
        <v>1.4</v>
      </c>
      <c r="CH43" s="128">
        <v>1.4</v>
      </c>
      <c r="CI43" s="128">
        <v>1.4</v>
      </c>
      <c r="CJ43" s="128">
        <v>1.4</v>
      </c>
      <c r="CK43" s="128">
        <v>1.4</v>
      </c>
      <c r="CL43" s="128">
        <v>1.4</v>
      </c>
      <c r="CM43" s="128">
        <v>1.4</v>
      </c>
      <c r="CN43" s="128">
        <v>1.4</v>
      </c>
      <c r="CO43" s="128">
        <v>1.4</v>
      </c>
      <c r="CP43" s="128">
        <v>1.4</v>
      </c>
      <c r="CQ43" s="128">
        <v>1.4</v>
      </c>
      <c r="CR43" s="128">
        <v>1.4</v>
      </c>
      <c r="CS43" s="128">
        <v>1.4</v>
      </c>
      <c r="CT43" s="128">
        <v>1.4</v>
      </c>
      <c r="CU43" s="128">
        <v>1.4</v>
      </c>
      <c r="CV43" s="128">
        <v>1.4</v>
      </c>
      <c r="CW43" s="128">
        <v>1.4</v>
      </c>
      <c r="CX43" s="128">
        <v>1.4</v>
      </c>
      <c r="CZ43" s="126">
        <f>SUMIF(MatrixF3[[1]:[2]],MatrixF3[[#This Row],[Столбец1]])/MatrixF3[[#This Row],[Столбец1]]</f>
        <v>114.00000000000024</v>
      </c>
    </row>
    <row r="44" spans="1:104" ht="21" customHeight="1" x14ac:dyDescent="0.25">
      <c r="A44" s="127">
        <v>1.41</v>
      </c>
      <c r="B44" s="128">
        <v>1.41</v>
      </c>
      <c r="C44" s="128">
        <v>1.41</v>
      </c>
      <c r="D44" s="128">
        <v>1.41</v>
      </c>
      <c r="E44" s="128">
        <v>1.41</v>
      </c>
      <c r="F44" s="128">
        <v>1.41</v>
      </c>
      <c r="G44" s="128">
        <v>1.41</v>
      </c>
      <c r="H44" s="128">
        <v>1.41</v>
      </c>
      <c r="I44" s="128">
        <v>1.41</v>
      </c>
      <c r="J44" s="128">
        <v>1.41</v>
      </c>
      <c r="K44" s="128">
        <v>1.41</v>
      </c>
      <c r="L44" s="128">
        <v>1.41</v>
      </c>
      <c r="M44" s="128">
        <v>1.41</v>
      </c>
      <c r="N44" s="128">
        <v>1.41</v>
      </c>
      <c r="O44" s="128">
        <v>1.41</v>
      </c>
      <c r="P44" s="128">
        <v>1.41</v>
      </c>
      <c r="Q44" s="128">
        <v>1.41</v>
      </c>
      <c r="R44" s="128">
        <v>1.41</v>
      </c>
      <c r="S44" s="128">
        <v>1.41</v>
      </c>
      <c r="T44" s="128">
        <v>1.41</v>
      </c>
      <c r="U44" s="128">
        <v>1.41</v>
      </c>
      <c r="V44" s="128">
        <v>1.41</v>
      </c>
      <c r="W44" s="128">
        <v>1.41</v>
      </c>
      <c r="X44" s="128">
        <v>1.41</v>
      </c>
      <c r="Y44" s="128">
        <v>1.41</v>
      </c>
      <c r="Z44" s="128">
        <v>1.41</v>
      </c>
      <c r="AA44" s="128">
        <v>1.41</v>
      </c>
      <c r="AB44" s="128">
        <v>1.41</v>
      </c>
      <c r="AC44" s="128">
        <v>1.41</v>
      </c>
      <c r="AD44" s="128">
        <v>1.41</v>
      </c>
      <c r="AE44" s="128">
        <v>1.41</v>
      </c>
      <c r="AF44" s="128">
        <v>1.41</v>
      </c>
      <c r="AG44" s="128">
        <v>1.41</v>
      </c>
      <c r="AH44" s="128">
        <v>1.41</v>
      </c>
      <c r="AI44" s="128">
        <v>1.41</v>
      </c>
      <c r="AJ44" s="128">
        <v>1.41</v>
      </c>
      <c r="AK44" s="128">
        <v>1.41</v>
      </c>
      <c r="AL44" s="128">
        <v>1.41</v>
      </c>
      <c r="AM44" s="128">
        <v>1.41</v>
      </c>
      <c r="AN44" s="128">
        <v>1.41</v>
      </c>
      <c r="AO44" s="128">
        <v>1.41</v>
      </c>
      <c r="AP44" s="128">
        <v>1.41</v>
      </c>
      <c r="AQ44" s="128">
        <v>1.41</v>
      </c>
      <c r="AR44" s="128">
        <v>1.41</v>
      </c>
      <c r="AS44" s="128">
        <v>1.42</v>
      </c>
      <c r="AT44" s="128">
        <v>1.42</v>
      </c>
      <c r="AU44" s="128">
        <v>1.43</v>
      </c>
      <c r="AV44" s="128">
        <v>1.43</v>
      </c>
      <c r="AW44" s="128">
        <v>1.44</v>
      </c>
      <c r="AX44" s="128">
        <v>1.44</v>
      </c>
      <c r="AY44" s="128">
        <v>1.45</v>
      </c>
      <c r="AZ44" s="128">
        <v>1.45</v>
      </c>
      <c r="BA44" s="128">
        <v>1.45</v>
      </c>
      <c r="BB44" s="128">
        <v>1.44</v>
      </c>
      <c r="BC44" s="128">
        <v>1.44</v>
      </c>
      <c r="BD44" s="128">
        <v>1.43</v>
      </c>
      <c r="BE44" s="128">
        <v>1.43</v>
      </c>
      <c r="BF44" s="128">
        <v>1.42</v>
      </c>
      <c r="BG44" s="128">
        <v>1.42</v>
      </c>
      <c r="BH44" s="128">
        <v>1.41</v>
      </c>
      <c r="BI44" s="128">
        <v>1.41</v>
      </c>
      <c r="BJ44" s="128">
        <v>1.41</v>
      </c>
      <c r="BK44" s="128">
        <v>1.41</v>
      </c>
      <c r="BL44" s="128">
        <v>1.41</v>
      </c>
      <c r="BM44" s="128">
        <v>1.41</v>
      </c>
      <c r="BN44" s="128">
        <v>1.41</v>
      </c>
      <c r="BO44" s="128">
        <v>1.41</v>
      </c>
      <c r="BP44" s="128">
        <v>1.41</v>
      </c>
      <c r="BQ44" s="128">
        <v>1.41</v>
      </c>
      <c r="BR44" s="128">
        <v>1.41</v>
      </c>
      <c r="BS44" s="128">
        <v>1.41</v>
      </c>
      <c r="BT44" s="128">
        <v>1.41</v>
      </c>
      <c r="BU44" s="128">
        <v>1.41</v>
      </c>
      <c r="BV44" s="128">
        <v>1.41</v>
      </c>
      <c r="BW44" s="128">
        <v>1.41</v>
      </c>
      <c r="BX44" s="128">
        <v>1.41</v>
      </c>
      <c r="BY44" s="128">
        <v>1.41</v>
      </c>
      <c r="BZ44" s="128">
        <v>1.41</v>
      </c>
      <c r="CA44" s="128">
        <v>1.41</v>
      </c>
      <c r="CB44" s="128">
        <v>1.41</v>
      </c>
      <c r="CC44" s="128">
        <v>1.41</v>
      </c>
      <c r="CD44" s="128">
        <v>1.41</v>
      </c>
      <c r="CE44" s="128">
        <v>1.41</v>
      </c>
      <c r="CF44" s="128">
        <v>1.41</v>
      </c>
      <c r="CG44" s="128">
        <v>1.41</v>
      </c>
      <c r="CH44" s="128">
        <v>1.41</v>
      </c>
      <c r="CI44" s="128">
        <v>1.41</v>
      </c>
      <c r="CJ44" s="128">
        <v>1.41</v>
      </c>
      <c r="CK44" s="128">
        <v>1.41</v>
      </c>
      <c r="CL44" s="128">
        <v>1.41</v>
      </c>
      <c r="CM44" s="128">
        <v>1.41</v>
      </c>
      <c r="CN44" s="128">
        <v>1.41</v>
      </c>
      <c r="CO44" s="128">
        <v>1.41</v>
      </c>
      <c r="CP44" s="128">
        <v>1.41</v>
      </c>
      <c r="CQ44" s="128">
        <v>1.41</v>
      </c>
      <c r="CR44" s="128">
        <v>1.41</v>
      </c>
      <c r="CS44" s="128">
        <v>1.41</v>
      </c>
      <c r="CT44" s="128">
        <v>1.41</v>
      </c>
      <c r="CU44" s="128">
        <v>1.41</v>
      </c>
      <c r="CV44" s="128">
        <v>1.41</v>
      </c>
      <c r="CW44" s="128">
        <v>1.41</v>
      </c>
      <c r="CX44" s="128">
        <v>1.41</v>
      </c>
      <c r="CZ44" s="126">
        <f>SUMIF(MatrixF3[[1]:[2]],MatrixF3[[#This Row],[Столбец1]])/MatrixF3[[#This Row],[Столбец1]]</f>
        <v>110.9999999999998</v>
      </c>
    </row>
    <row r="45" spans="1:104" ht="21" customHeight="1" x14ac:dyDescent="0.25">
      <c r="A45" s="127">
        <v>1.42</v>
      </c>
      <c r="B45" s="128">
        <v>1.42</v>
      </c>
      <c r="C45" s="128">
        <v>1.42</v>
      </c>
      <c r="D45" s="128">
        <v>1.42</v>
      </c>
      <c r="E45" s="128">
        <v>1.42</v>
      </c>
      <c r="F45" s="128">
        <v>1.42</v>
      </c>
      <c r="G45" s="128">
        <v>1.42</v>
      </c>
      <c r="H45" s="128">
        <v>1.42</v>
      </c>
      <c r="I45" s="128">
        <v>1.42</v>
      </c>
      <c r="J45" s="128">
        <v>1.42</v>
      </c>
      <c r="K45" s="128">
        <v>1.42</v>
      </c>
      <c r="L45" s="128">
        <v>1.42</v>
      </c>
      <c r="M45" s="128">
        <v>1.42</v>
      </c>
      <c r="N45" s="128">
        <v>1.42</v>
      </c>
      <c r="O45" s="128">
        <v>1.42</v>
      </c>
      <c r="P45" s="128">
        <v>1.42</v>
      </c>
      <c r="Q45" s="128">
        <v>1.42</v>
      </c>
      <c r="R45" s="128">
        <v>1.42</v>
      </c>
      <c r="S45" s="128">
        <v>1.42</v>
      </c>
      <c r="T45" s="128">
        <v>1.42</v>
      </c>
      <c r="U45" s="128">
        <v>1.42</v>
      </c>
      <c r="V45" s="128">
        <v>1.42</v>
      </c>
      <c r="W45" s="128">
        <v>1.42</v>
      </c>
      <c r="X45" s="128">
        <v>1.42</v>
      </c>
      <c r="Y45" s="128">
        <v>1.42</v>
      </c>
      <c r="Z45" s="128">
        <v>1.42</v>
      </c>
      <c r="AA45" s="128">
        <v>1.42</v>
      </c>
      <c r="AB45" s="128">
        <v>1.42</v>
      </c>
      <c r="AC45" s="128">
        <v>1.42</v>
      </c>
      <c r="AD45" s="128">
        <v>1.42</v>
      </c>
      <c r="AE45" s="128">
        <v>1.42</v>
      </c>
      <c r="AF45" s="128">
        <v>1.42</v>
      </c>
      <c r="AG45" s="128">
        <v>1.42</v>
      </c>
      <c r="AH45" s="128">
        <v>1.42</v>
      </c>
      <c r="AI45" s="128">
        <v>1.42</v>
      </c>
      <c r="AJ45" s="128">
        <v>1.42</v>
      </c>
      <c r="AK45" s="128">
        <v>1.42</v>
      </c>
      <c r="AL45" s="128">
        <v>1.42</v>
      </c>
      <c r="AM45" s="128">
        <v>1.42</v>
      </c>
      <c r="AN45" s="128">
        <v>1.42</v>
      </c>
      <c r="AO45" s="128">
        <v>1.42</v>
      </c>
      <c r="AP45" s="128">
        <v>1.42</v>
      </c>
      <c r="AQ45" s="128">
        <v>1.42</v>
      </c>
      <c r="AR45" s="128">
        <v>1.42</v>
      </c>
      <c r="AS45" s="128">
        <v>1.42</v>
      </c>
      <c r="AT45" s="128">
        <v>1.43</v>
      </c>
      <c r="AU45" s="128">
        <v>1.43</v>
      </c>
      <c r="AV45" s="128">
        <v>1.44</v>
      </c>
      <c r="AW45" s="128">
        <v>1.44</v>
      </c>
      <c r="AX45" s="128">
        <v>1.45</v>
      </c>
      <c r="AY45" s="128">
        <v>1.45</v>
      </c>
      <c r="AZ45" s="128">
        <v>1.46</v>
      </c>
      <c r="BA45" s="128">
        <v>1.45</v>
      </c>
      <c r="BB45" s="128">
        <v>1.45</v>
      </c>
      <c r="BC45" s="128">
        <v>1.44</v>
      </c>
      <c r="BD45" s="128">
        <v>1.44</v>
      </c>
      <c r="BE45" s="128">
        <v>1.43</v>
      </c>
      <c r="BF45" s="128">
        <v>1.43</v>
      </c>
      <c r="BG45" s="128">
        <v>1.42</v>
      </c>
      <c r="BH45" s="128">
        <v>1.42</v>
      </c>
      <c r="BI45" s="128">
        <v>1.42</v>
      </c>
      <c r="BJ45" s="128">
        <v>1.42</v>
      </c>
      <c r="BK45" s="128">
        <v>1.42</v>
      </c>
      <c r="BL45" s="128">
        <v>1.42</v>
      </c>
      <c r="BM45" s="128">
        <v>1.42</v>
      </c>
      <c r="BN45" s="128">
        <v>1.42</v>
      </c>
      <c r="BO45" s="128">
        <v>1.42</v>
      </c>
      <c r="BP45" s="128">
        <v>1.42</v>
      </c>
      <c r="BQ45" s="128">
        <v>1.42</v>
      </c>
      <c r="BR45" s="128">
        <v>1.42</v>
      </c>
      <c r="BS45" s="128">
        <v>1.42</v>
      </c>
      <c r="BT45" s="128">
        <v>1.42</v>
      </c>
      <c r="BU45" s="128">
        <v>1.42</v>
      </c>
      <c r="BV45" s="128">
        <v>1.42</v>
      </c>
      <c r="BW45" s="128">
        <v>1.42</v>
      </c>
      <c r="BX45" s="128">
        <v>1.42</v>
      </c>
      <c r="BY45" s="128">
        <v>1.42</v>
      </c>
      <c r="BZ45" s="128">
        <v>1.42</v>
      </c>
      <c r="CA45" s="128">
        <v>1.42</v>
      </c>
      <c r="CB45" s="128">
        <v>1.42</v>
      </c>
      <c r="CC45" s="128">
        <v>1.42</v>
      </c>
      <c r="CD45" s="128">
        <v>1.42</v>
      </c>
      <c r="CE45" s="128">
        <v>1.42</v>
      </c>
      <c r="CF45" s="128">
        <v>1.42</v>
      </c>
      <c r="CG45" s="128">
        <v>1.42</v>
      </c>
      <c r="CH45" s="128">
        <v>1.42</v>
      </c>
      <c r="CI45" s="128">
        <v>1.42</v>
      </c>
      <c r="CJ45" s="128">
        <v>1.42</v>
      </c>
      <c r="CK45" s="128">
        <v>1.42</v>
      </c>
      <c r="CL45" s="128">
        <v>1.42</v>
      </c>
      <c r="CM45" s="128">
        <v>1.42</v>
      </c>
      <c r="CN45" s="128">
        <v>1.42</v>
      </c>
      <c r="CO45" s="128">
        <v>1.42</v>
      </c>
      <c r="CP45" s="128">
        <v>1.42</v>
      </c>
      <c r="CQ45" s="128">
        <v>1.42</v>
      </c>
      <c r="CR45" s="128">
        <v>1.42</v>
      </c>
      <c r="CS45" s="128">
        <v>1.42</v>
      </c>
      <c r="CT45" s="128">
        <v>1.42</v>
      </c>
      <c r="CU45" s="128">
        <v>1.42</v>
      </c>
      <c r="CV45" s="128">
        <v>1.42</v>
      </c>
      <c r="CW45" s="128">
        <v>1.42</v>
      </c>
      <c r="CX45" s="128">
        <v>1.42</v>
      </c>
      <c r="CZ45" s="126">
        <f>SUMIF(MatrixF3[[1]:[2]],MatrixF3[[#This Row],[Столбец1]])/MatrixF3[[#This Row],[Столбец1]]</f>
        <v>108.99999999999993</v>
      </c>
    </row>
    <row r="46" spans="1:104" ht="21" customHeight="1" x14ac:dyDescent="0.25">
      <c r="A46" s="127">
        <v>1.43</v>
      </c>
      <c r="B46" s="128">
        <v>1.43</v>
      </c>
      <c r="C46" s="128">
        <v>1.43</v>
      </c>
      <c r="D46" s="128">
        <v>1.43</v>
      </c>
      <c r="E46" s="128">
        <v>1.43</v>
      </c>
      <c r="F46" s="128">
        <v>1.43</v>
      </c>
      <c r="G46" s="128">
        <v>1.43</v>
      </c>
      <c r="H46" s="128">
        <v>1.43</v>
      </c>
      <c r="I46" s="128">
        <v>1.43</v>
      </c>
      <c r="J46" s="128">
        <v>1.43</v>
      </c>
      <c r="K46" s="128">
        <v>1.43</v>
      </c>
      <c r="L46" s="128">
        <v>1.43</v>
      </c>
      <c r="M46" s="128">
        <v>1.43</v>
      </c>
      <c r="N46" s="128">
        <v>1.43</v>
      </c>
      <c r="O46" s="128">
        <v>1.43</v>
      </c>
      <c r="P46" s="128">
        <v>1.43</v>
      </c>
      <c r="Q46" s="128">
        <v>1.43</v>
      </c>
      <c r="R46" s="128">
        <v>1.43</v>
      </c>
      <c r="S46" s="128">
        <v>1.43</v>
      </c>
      <c r="T46" s="128">
        <v>1.43</v>
      </c>
      <c r="U46" s="128">
        <v>1.43</v>
      </c>
      <c r="V46" s="128">
        <v>1.43</v>
      </c>
      <c r="W46" s="128">
        <v>1.43</v>
      </c>
      <c r="X46" s="128">
        <v>1.43</v>
      </c>
      <c r="Y46" s="128">
        <v>1.43</v>
      </c>
      <c r="Z46" s="128">
        <v>1.43</v>
      </c>
      <c r="AA46" s="128">
        <v>1.43</v>
      </c>
      <c r="AB46" s="128">
        <v>1.43</v>
      </c>
      <c r="AC46" s="128">
        <v>1.43</v>
      </c>
      <c r="AD46" s="128">
        <v>1.43</v>
      </c>
      <c r="AE46" s="128">
        <v>1.43</v>
      </c>
      <c r="AF46" s="128">
        <v>1.43</v>
      </c>
      <c r="AG46" s="128">
        <v>1.43</v>
      </c>
      <c r="AH46" s="128">
        <v>1.43</v>
      </c>
      <c r="AI46" s="128">
        <v>1.43</v>
      </c>
      <c r="AJ46" s="128">
        <v>1.43</v>
      </c>
      <c r="AK46" s="128">
        <v>1.43</v>
      </c>
      <c r="AL46" s="128">
        <v>1.43</v>
      </c>
      <c r="AM46" s="128">
        <v>1.43</v>
      </c>
      <c r="AN46" s="128">
        <v>1.43</v>
      </c>
      <c r="AO46" s="128">
        <v>1.43</v>
      </c>
      <c r="AP46" s="128">
        <v>1.43</v>
      </c>
      <c r="AQ46" s="128">
        <v>1.43</v>
      </c>
      <c r="AR46" s="128">
        <v>1.43</v>
      </c>
      <c r="AS46" s="128">
        <v>1.43</v>
      </c>
      <c r="AT46" s="128">
        <v>1.43</v>
      </c>
      <c r="AU46" s="128">
        <v>1.44</v>
      </c>
      <c r="AV46" s="128">
        <v>1.44</v>
      </c>
      <c r="AW46" s="128">
        <v>1.45</v>
      </c>
      <c r="AX46" s="128">
        <v>1.45</v>
      </c>
      <c r="AY46" s="128">
        <v>1.46</v>
      </c>
      <c r="AZ46" s="128">
        <v>1.46</v>
      </c>
      <c r="BA46" s="128">
        <v>1.46</v>
      </c>
      <c r="BB46" s="128">
        <v>1.45</v>
      </c>
      <c r="BC46" s="128">
        <v>1.45</v>
      </c>
      <c r="BD46" s="128">
        <v>1.44</v>
      </c>
      <c r="BE46" s="128">
        <v>1.44</v>
      </c>
      <c r="BF46" s="128">
        <v>1.43</v>
      </c>
      <c r="BG46" s="128">
        <v>1.43</v>
      </c>
      <c r="BH46" s="128">
        <v>1.43</v>
      </c>
      <c r="BI46" s="128">
        <v>1.43</v>
      </c>
      <c r="BJ46" s="128">
        <v>1.43</v>
      </c>
      <c r="BK46" s="128">
        <v>1.43</v>
      </c>
      <c r="BL46" s="128">
        <v>1.43</v>
      </c>
      <c r="BM46" s="128">
        <v>1.43</v>
      </c>
      <c r="BN46" s="128">
        <v>1.43</v>
      </c>
      <c r="BO46" s="128">
        <v>1.43</v>
      </c>
      <c r="BP46" s="128">
        <v>1.43</v>
      </c>
      <c r="BQ46" s="128">
        <v>1.43</v>
      </c>
      <c r="BR46" s="128">
        <v>1.43</v>
      </c>
      <c r="BS46" s="128">
        <v>1.43</v>
      </c>
      <c r="BT46" s="128">
        <v>1.43</v>
      </c>
      <c r="BU46" s="128">
        <v>1.43</v>
      </c>
      <c r="BV46" s="128">
        <v>1.43</v>
      </c>
      <c r="BW46" s="128">
        <v>1.43</v>
      </c>
      <c r="BX46" s="128">
        <v>1.43</v>
      </c>
      <c r="BY46" s="128">
        <v>1.43</v>
      </c>
      <c r="BZ46" s="128">
        <v>1.43</v>
      </c>
      <c r="CA46" s="128">
        <v>1.43</v>
      </c>
      <c r="CB46" s="128">
        <v>1.43</v>
      </c>
      <c r="CC46" s="128">
        <v>1.43</v>
      </c>
      <c r="CD46" s="128">
        <v>1.43</v>
      </c>
      <c r="CE46" s="128">
        <v>1.43</v>
      </c>
      <c r="CF46" s="128">
        <v>1.43</v>
      </c>
      <c r="CG46" s="128">
        <v>1.43</v>
      </c>
      <c r="CH46" s="128">
        <v>1.43</v>
      </c>
      <c r="CI46" s="128">
        <v>1.43</v>
      </c>
      <c r="CJ46" s="128">
        <v>1.43</v>
      </c>
      <c r="CK46" s="128">
        <v>1.43</v>
      </c>
      <c r="CL46" s="128">
        <v>1.43</v>
      </c>
      <c r="CM46" s="128">
        <v>1.43</v>
      </c>
      <c r="CN46" s="128">
        <v>1.43</v>
      </c>
      <c r="CO46" s="128">
        <v>1.43</v>
      </c>
      <c r="CP46" s="128">
        <v>1.43</v>
      </c>
      <c r="CQ46" s="128">
        <v>1.43</v>
      </c>
      <c r="CR46" s="128">
        <v>1.43</v>
      </c>
      <c r="CS46" s="128">
        <v>1.43</v>
      </c>
      <c r="CT46" s="128">
        <v>1.43</v>
      </c>
      <c r="CU46" s="128">
        <v>1.43</v>
      </c>
      <c r="CV46" s="128">
        <v>1.43</v>
      </c>
      <c r="CW46" s="128">
        <v>1.43</v>
      </c>
      <c r="CX46" s="128">
        <v>1.43</v>
      </c>
      <c r="CZ46" s="126">
        <f>SUMIF(MatrixF3[[1]:[2]],MatrixF3[[#This Row],[Столбец1]])/MatrixF3[[#This Row],[Столбец1]]</f>
        <v>112.00000000000033</v>
      </c>
    </row>
    <row r="47" spans="1:104" ht="21" customHeight="1" x14ac:dyDescent="0.25">
      <c r="A47" s="127">
        <v>1.44</v>
      </c>
      <c r="B47" s="128">
        <v>1.44</v>
      </c>
      <c r="C47" s="128">
        <v>1.44</v>
      </c>
      <c r="D47" s="128">
        <v>1.44</v>
      </c>
      <c r="E47" s="128">
        <v>1.44</v>
      </c>
      <c r="F47" s="128">
        <v>1.44</v>
      </c>
      <c r="G47" s="128">
        <v>1.44</v>
      </c>
      <c r="H47" s="128">
        <v>1.44</v>
      </c>
      <c r="I47" s="128">
        <v>1.44</v>
      </c>
      <c r="J47" s="128">
        <v>1.44</v>
      </c>
      <c r="K47" s="128">
        <v>1.44</v>
      </c>
      <c r="L47" s="128">
        <v>1.44</v>
      </c>
      <c r="M47" s="128">
        <v>1.44</v>
      </c>
      <c r="N47" s="128">
        <v>1.44</v>
      </c>
      <c r="O47" s="128">
        <v>1.44</v>
      </c>
      <c r="P47" s="128">
        <v>1.44</v>
      </c>
      <c r="Q47" s="128">
        <v>1.44</v>
      </c>
      <c r="R47" s="128">
        <v>1.44</v>
      </c>
      <c r="S47" s="128">
        <v>1.44</v>
      </c>
      <c r="T47" s="128">
        <v>1.44</v>
      </c>
      <c r="U47" s="128">
        <v>1.44</v>
      </c>
      <c r="V47" s="128">
        <v>1.44</v>
      </c>
      <c r="W47" s="128">
        <v>1.44</v>
      </c>
      <c r="X47" s="128">
        <v>1.44</v>
      </c>
      <c r="Y47" s="128">
        <v>1.44</v>
      </c>
      <c r="Z47" s="128">
        <v>1.44</v>
      </c>
      <c r="AA47" s="128">
        <v>1.44</v>
      </c>
      <c r="AB47" s="128">
        <v>1.44</v>
      </c>
      <c r="AC47" s="128">
        <v>1.44</v>
      </c>
      <c r="AD47" s="128">
        <v>1.44</v>
      </c>
      <c r="AE47" s="128">
        <v>1.44</v>
      </c>
      <c r="AF47" s="128">
        <v>1.44</v>
      </c>
      <c r="AG47" s="128">
        <v>1.44</v>
      </c>
      <c r="AH47" s="128">
        <v>1.44</v>
      </c>
      <c r="AI47" s="128">
        <v>1.44</v>
      </c>
      <c r="AJ47" s="128">
        <v>1.44</v>
      </c>
      <c r="AK47" s="128">
        <v>1.44</v>
      </c>
      <c r="AL47" s="128">
        <v>1.44</v>
      </c>
      <c r="AM47" s="128">
        <v>1.44</v>
      </c>
      <c r="AN47" s="128">
        <v>1.44</v>
      </c>
      <c r="AO47" s="128">
        <v>1.44</v>
      </c>
      <c r="AP47" s="128">
        <v>1.44</v>
      </c>
      <c r="AQ47" s="128">
        <v>1.44</v>
      </c>
      <c r="AR47" s="128">
        <v>1.44</v>
      </c>
      <c r="AS47" s="128">
        <v>1.44</v>
      </c>
      <c r="AT47" s="128">
        <v>1.44</v>
      </c>
      <c r="AU47" s="128">
        <v>1.44</v>
      </c>
      <c r="AV47" s="128">
        <v>1.45</v>
      </c>
      <c r="AW47" s="128">
        <v>1.45</v>
      </c>
      <c r="AX47" s="128">
        <v>1.46</v>
      </c>
      <c r="AY47" s="128">
        <v>1.46</v>
      </c>
      <c r="AZ47" s="128">
        <v>1.47</v>
      </c>
      <c r="BA47" s="128">
        <v>1.46</v>
      </c>
      <c r="BB47" s="128">
        <v>1.46</v>
      </c>
      <c r="BC47" s="128">
        <v>1.45</v>
      </c>
      <c r="BD47" s="128">
        <v>1.45</v>
      </c>
      <c r="BE47" s="128">
        <v>1.44</v>
      </c>
      <c r="BF47" s="128">
        <v>1.44</v>
      </c>
      <c r="BG47" s="128">
        <v>1.44</v>
      </c>
      <c r="BH47" s="128">
        <v>1.44</v>
      </c>
      <c r="BI47" s="128">
        <v>1.44</v>
      </c>
      <c r="BJ47" s="128">
        <v>1.44</v>
      </c>
      <c r="BK47" s="128">
        <v>1.44</v>
      </c>
      <c r="BL47" s="128">
        <v>1.44</v>
      </c>
      <c r="BM47" s="128">
        <v>1.44</v>
      </c>
      <c r="BN47" s="128">
        <v>1.44</v>
      </c>
      <c r="BO47" s="128">
        <v>1.44</v>
      </c>
      <c r="BP47" s="128">
        <v>1.44</v>
      </c>
      <c r="BQ47" s="128">
        <v>1.44</v>
      </c>
      <c r="BR47" s="128">
        <v>1.44</v>
      </c>
      <c r="BS47" s="128">
        <v>1.44</v>
      </c>
      <c r="BT47" s="128">
        <v>1.44</v>
      </c>
      <c r="BU47" s="128">
        <v>1.44</v>
      </c>
      <c r="BV47" s="128">
        <v>1.44</v>
      </c>
      <c r="BW47" s="128">
        <v>1.44</v>
      </c>
      <c r="BX47" s="128">
        <v>1.44</v>
      </c>
      <c r="BY47" s="128">
        <v>1.44</v>
      </c>
      <c r="BZ47" s="128">
        <v>1.44</v>
      </c>
      <c r="CA47" s="128">
        <v>1.44</v>
      </c>
      <c r="CB47" s="128">
        <v>1.44</v>
      </c>
      <c r="CC47" s="128">
        <v>1.44</v>
      </c>
      <c r="CD47" s="128">
        <v>1.44</v>
      </c>
      <c r="CE47" s="128">
        <v>1.44</v>
      </c>
      <c r="CF47" s="128">
        <v>1.44</v>
      </c>
      <c r="CG47" s="128">
        <v>1.44</v>
      </c>
      <c r="CH47" s="128">
        <v>1.44</v>
      </c>
      <c r="CI47" s="128">
        <v>1.44</v>
      </c>
      <c r="CJ47" s="128">
        <v>1.44</v>
      </c>
      <c r="CK47" s="128">
        <v>1.44</v>
      </c>
      <c r="CL47" s="128">
        <v>1.44</v>
      </c>
      <c r="CM47" s="128">
        <v>1.44</v>
      </c>
      <c r="CN47" s="128">
        <v>1.44</v>
      </c>
      <c r="CO47" s="128">
        <v>1.44</v>
      </c>
      <c r="CP47" s="128">
        <v>1.44</v>
      </c>
      <c r="CQ47" s="128">
        <v>1.44</v>
      </c>
      <c r="CR47" s="128">
        <v>1.44</v>
      </c>
      <c r="CS47" s="128">
        <v>1.44</v>
      </c>
      <c r="CT47" s="128">
        <v>1.44</v>
      </c>
      <c r="CU47" s="128">
        <v>1.44</v>
      </c>
      <c r="CV47" s="128">
        <v>1.44</v>
      </c>
      <c r="CW47" s="128">
        <v>1.44</v>
      </c>
      <c r="CX47" s="128">
        <v>1.44</v>
      </c>
      <c r="CZ47" s="126">
        <f>SUMIF(MatrixF3[[1]:[2]],MatrixF3[[#This Row],[Столбец1]])/MatrixF3[[#This Row],[Столбец1]]</f>
        <v>107.99999999999989</v>
      </c>
    </row>
    <row r="48" spans="1:104" ht="21" customHeight="1" x14ac:dyDescent="0.25">
      <c r="A48" s="127">
        <v>1.45</v>
      </c>
      <c r="B48" s="128">
        <v>1.45</v>
      </c>
      <c r="C48" s="128">
        <v>1.45</v>
      </c>
      <c r="D48" s="128">
        <v>1.45</v>
      </c>
      <c r="E48" s="128">
        <v>1.45</v>
      </c>
      <c r="F48" s="128">
        <v>1.45</v>
      </c>
      <c r="G48" s="128">
        <v>1.45</v>
      </c>
      <c r="H48" s="128">
        <v>1.45</v>
      </c>
      <c r="I48" s="128">
        <v>1.45</v>
      </c>
      <c r="J48" s="128">
        <v>1.45</v>
      </c>
      <c r="K48" s="128">
        <v>1.45</v>
      </c>
      <c r="L48" s="128">
        <v>1.45</v>
      </c>
      <c r="M48" s="128">
        <v>1.45</v>
      </c>
      <c r="N48" s="128">
        <v>1.45</v>
      </c>
      <c r="O48" s="128">
        <v>1.45</v>
      </c>
      <c r="P48" s="128">
        <v>1.45</v>
      </c>
      <c r="Q48" s="128">
        <v>1.45</v>
      </c>
      <c r="R48" s="128">
        <v>1.45</v>
      </c>
      <c r="S48" s="128">
        <v>1.45</v>
      </c>
      <c r="T48" s="128">
        <v>1.45</v>
      </c>
      <c r="U48" s="128">
        <v>1.45</v>
      </c>
      <c r="V48" s="128">
        <v>1.45</v>
      </c>
      <c r="W48" s="128">
        <v>1.45</v>
      </c>
      <c r="X48" s="128">
        <v>1.45</v>
      </c>
      <c r="Y48" s="128">
        <v>1.45</v>
      </c>
      <c r="Z48" s="128">
        <v>1.45</v>
      </c>
      <c r="AA48" s="128">
        <v>1.45</v>
      </c>
      <c r="AB48" s="128">
        <v>1.45</v>
      </c>
      <c r="AC48" s="128">
        <v>1.45</v>
      </c>
      <c r="AD48" s="128">
        <v>1.45</v>
      </c>
      <c r="AE48" s="128">
        <v>1.45</v>
      </c>
      <c r="AF48" s="128">
        <v>1.45</v>
      </c>
      <c r="AG48" s="128">
        <v>1.45</v>
      </c>
      <c r="AH48" s="128">
        <v>1.45</v>
      </c>
      <c r="AI48" s="128">
        <v>1.45</v>
      </c>
      <c r="AJ48" s="128">
        <v>1.45</v>
      </c>
      <c r="AK48" s="128">
        <v>1.45</v>
      </c>
      <c r="AL48" s="128">
        <v>1.45</v>
      </c>
      <c r="AM48" s="128">
        <v>1.45</v>
      </c>
      <c r="AN48" s="128">
        <v>1.45</v>
      </c>
      <c r="AO48" s="128">
        <v>1.45</v>
      </c>
      <c r="AP48" s="128">
        <v>1.45</v>
      </c>
      <c r="AQ48" s="128">
        <v>1.45</v>
      </c>
      <c r="AR48" s="128">
        <v>1.45</v>
      </c>
      <c r="AS48" s="128">
        <v>1.45</v>
      </c>
      <c r="AT48" s="128">
        <v>1.45</v>
      </c>
      <c r="AU48" s="128">
        <v>1.45</v>
      </c>
      <c r="AV48" s="128">
        <v>1.45</v>
      </c>
      <c r="AW48" s="128">
        <v>1.46</v>
      </c>
      <c r="AX48" s="128">
        <v>1.46</v>
      </c>
      <c r="AY48" s="128">
        <v>1.47</v>
      </c>
      <c r="AZ48" s="128">
        <v>1.47</v>
      </c>
      <c r="BA48" s="128">
        <v>1.47</v>
      </c>
      <c r="BB48" s="128">
        <v>1.46</v>
      </c>
      <c r="BC48" s="128">
        <v>1.46</v>
      </c>
      <c r="BD48" s="128">
        <v>1.45</v>
      </c>
      <c r="BE48" s="128">
        <v>1.45</v>
      </c>
      <c r="BF48" s="128">
        <v>1.45</v>
      </c>
      <c r="BG48" s="128">
        <v>1.45</v>
      </c>
      <c r="BH48" s="128">
        <v>1.45</v>
      </c>
      <c r="BI48" s="128">
        <v>1.45</v>
      </c>
      <c r="BJ48" s="128">
        <v>1.45</v>
      </c>
      <c r="BK48" s="128">
        <v>1.45</v>
      </c>
      <c r="BL48" s="128">
        <v>1.45</v>
      </c>
      <c r="BM48" s="128">
        <v>1.45</v>
      </c>
      <c r="BN48" s="128">
        <v>1.45</v>
      </c>
      <c r="BO48" s="128">
        <v>1.45</v>
      </c>
      <c r="BP48" s="128">
        <v>1.45</v>
      </c>
      <c r="BQ48" s="128">
        <v>1.45</v>
      </c>
      <c r="BR48" s="128">
        <v>1.45</v>
      </c>
      <c r="BS48" s="128">
        <v>1.45</v>
      </c>
      <c r="BT48" s="128">
        <v>1.45</v>
      </c>
      <c r="BU48" s="128">
        <v>1.45</v>
      </c>
      <c r="BV48" s="128">
        <v>1.45</v>
      </c>
      <c r="BW48" s="128">
        <v>1.45</v>
      </c>
      <c r="BX48" s="128">
        <v>1.45</v>
      </c>
      <c r="BY48" s="128">
        <v>1.45</v>
      </c>
      <c r="BZ48" s="128">
        <v>1.45</v>
      </c>
      <c r="CA48" s="128">
        <v>1.45</v>
      </c>
      <c r="CB48" s="128">
        <v>1.45</v>
      </c>
      <c r="CC48" s="128">
        <v>1.45</v>
      </c>
      <c r="CD48" s="128">
        <v>1.45</v>
      </c>
      <c r="CE48" s="128">
        <v>1.45</v>
      </c>
      <c r="CF48" s="128">
        <v>1.45</v>
      </c>
      <c r="CG48" s="128">
        <v>1.45</v>
      </c>
      <c r="CH48" s="128">
        <v>1.45</v>
      </c>
      <c r="CI48" s="128">
        <v>1.45</v>
      </c>
      <c r="CJ48" s="128">
        <v>1.45</v>
      </c>
      <c r="CK48" s="128">
        <v>1.45</v>
      </c>
      <c r="CL48" s="128">
        <v>1.45</v>
      </c>
      <c r="CM48" s="128">
        <v>1.45</v>
      </c>
      <c r="CN48" s="128">
        <v>1.45</v>
      </c>
      <c r="CO48" s="128">
        <v>1.45</v>
      </c>
      <c r="CP48" s="128">
        <v>1.45</v>
      </c>
      <c r="CQ48" s="128">
        <v>1.45</v>
      </c>
      <c r="CR48" s="128">
        <v>1.45</v>
      </c>
      <c r="CS48" s="128">
        <v>1.45</v>
      </c>
      <c r="CT48" s="128">
        <v>1.45</v>
      </c>
      <c r="CU48" s="128">
        <v>1.45</v>
      </c>
      <c r="CV48" s="128">
        <v>1.45</v>
      </c>
      <c r="CW48" s="128">
        <v>1.45</v>
      </c>
      <c r="CX48" s="128">
        <v>1.45</v>
      </c>
      <c r="CZ48" s="126">
        <f>SUMIF(MatrixF3[[1]:[2]],MatrixF3[[#This Row],[Столбец1]])/MatrixF3[[#This Row],[Столбец1]]</f>
        <v>108.99999999999996</v>
      </c>
    </row>
    <row r="49" spans="1:104" ht="21" customHeight="1" x14ac:dyDescent="0.25">
      <c r="A49" s="127">
        <v>1.46</v>
      </c>
      <c r="B49" s="128">
        <v>1.46</v>
      </c>
      <c r="C49" s="128">
        <v>1.46</v>
      </c>
      <c r="D49" s="128">
        <v>1.46</v>
      </c>
      <c r="E49" s="128">
        <v>1.46</v>
      </c>
      <c r="F49" s="128">
        <v>1.46</v>
      </c>
      <c r="G49" s="128">
        <v>1.46</v>
      </c>
      <c r="H49" s="128">
        <v>1.46</v>
      </c>
      <c r="I49" s="128">
        <v>1.46</v>
      </c>
      <c r="J49" s="128">
        <v>1.46</v>
      </c>
      <c r="K49" s="128">
        <v>1.46</v>
      </c>
      <c r="L49" s="128">
        <v>1.46</v>
      </c>
      <c r="M49" s="128">
        <v>1.46</v>
      </c>
      <c r="N49" s="128">
        <v>1.46</v>
      </c>
      <c r="O49" s="128">
        <v>1.46</v>
      </c>
      <c r="P49" s="128">
        <v>1.46</v>
      </c>
      <c r="Q49" s="128">
        <v>1.46</v>
      </c>
      <c r="R49" s="128">
        <v>1.46</v>
      </c>
      <c r="S49" s="128">
        <v>1.46</v>
      </c>
      <c r="T49" s="128">
        <v>1.46</v>
      </c>
      <c r="U49" s="128">
        <v>1.46</v>
      </c>
      <c r="V49" s="128">
        <v>1.46</v>
      </c>
      <c r="W49" s="128">
        <v>1.46</v>
      </c>
      <c r="X49" s="128">
        <v>1.46</v>
      </c>
      <c r="Y49" s="128">
        <v>1.46</v>
      </c>
      <c r="Z49" s="128">
        <v>1.46</v>
      </c>
      <c r="AA49" s="128">
        <v>1.46</v>
      </c>
      <c r="AB49" s="128">
        <v>1.46</v>
      </c>
      <c r="AC49" s="128">
        <v>1.46</v>
      </c>
      <c r="AD49" s="128">
        <v>1.46</v>
      </c>
      <c r="AE49" s="128">
        <v>1.46</v>
      </c>
      <c r="AF49" s="128">
        <v>1.46</v>
      </c>
      <c r="AG49" s="128">
        <v>1.46</v>
      </c>
      <c r="AH49" s="128">
        <v>1.46</v>
      </c>
      <c r="AI49" s="128">
        <v>1.46</v>
      </c>
      <c r="AJ49" s="128">
        <v>1.46</v>
      </c>
      <c r="AK49" s="128">
        <v>1.46</v>
      </c>
      <c r="AL49" s="128">
        <v>1.46</v>
      </c>
      <c r="AM49" s="128">
        <v>1.46</v>
      </c>
      <c r="AN49" s="128">
        <v>1.46</v>
      </c>
      <c r="AO49" s="128">
        <v>1.46</v>
      </c>
      <c r="AP49" s="128">
        <v>1.46</v>
      </c>
      <c r="AQ49" s="128">
        <v>1.46</v>
      </c>
      <c r="AR49" s="128">
        <v>1.46</v>
      </c>
      <c r="AS49" s="128">
        <v>1.46</v>
      </c>
      <c r="AT49" s="128">
        <v>1.46</v>
      </c>
      <c r="AU49" s="128">
        <v>1.46</v>
      </c>
      <c r="AV49" s="128">
        <v>1.46</v>
      </c>
      <c r="AW49" s="128">
        <v>1.46</v>
      </c>
      <c r="AX49" s="128">
        <v>1.47</v>
      </c>
      <c r="AY49" s="128">
        <v>1.47</v>
      </c>
      <c r="AZ49" s="128">
        <v>1.48</v>
      </c>
      <c r="BA49" s="128">
        <v>1.47</v>
      </c>
      <c r="BB49" s="128">
        <v>1.47</v>
      </c>
      <c r="BC49" s="128">
        <v>1.46</v>
      </c>
      <c r="BD49" s="128">
        <v>1.46</v>
      </c>
      <c r="BE49" s="128">
        <v>1.46</v>
      </c>
      <c r="BF49" s="128">
        <v>1.46</v>
      </c>
      <c r="BG49" s="128">
        <v>1.46</v>
      </c>
      <c r="BH49" s="128">
        <v>1.46</v>
      </c>
      <c r="BI49" s="128">
        <v>1.46</v>
      </c>
      <c r="BJ49" s="128">
        <v>1.46</v>
      </c>
      <c r="BK49" s="128">
        <v>1.46</v>
      </c>
      <c r="BL49" s="128">
        <v>1.46</v>
      </c>
      <c r="BM49" s="128">
        <v>1.46</v>
      </c>
      <c r="BN49" s="128">
        <v>1.46</v>
      </c>
      <c r="BO49" s="128">
        <v>1.46</v>
      </c>
      <c r="BP49" s="128">
        <v>1.46</v>
      </c>
      <c r="BQ49" s="128">
        <v>1.46</v>
      </c>
      <c r="BR49" s="128">
        <v>1.46</v>
      </c>
      <c r="BS49" s="128">
        <v>1.46</v>
      </c>
      <c r="BT49" s="128">
        <v>1.46</v>
      </c>
      <c r="BU49" s="128">
        <v>1.46</v>
      </c>
      <c r="BV49" s="128">
        <v>1.46</v>
      </c>
      <c r="BW49" s="128">
        <v>1.46</v>
      </c>
      <c r="BX49" s="128">
        <v>1.46</v>
      </c>
      <c r="BY49" s="128">
        <v>1.46</v>
      </c>
      <c r="BZ49" s="128">
        <v>1.46</v>
      </c>
      <c r="CA49" s="128">
        <v>1.46</v>
      </c>
      <c r="CB49" s="128">
        <v>1.46</v>
      </c>
      <c r="CC49" s="128">
        <v>1.46</v>
      </c>
      <c r="CD49" s="128">
        <v>1.46</v>
      </c>
      <c r="CE49" s="128">
        <v>1.46</v>
      </c>
      <c r="CF49" s="128">
        <v>1.46</v>
      </c>
      <c r="CG49" s="128">
        <v>1.46</v>
      </c>
      <c r="CH49" s="128">
        <v>1.46</v>
      </c>
      <c r="CI49" s="128">
        <v>1.46</v>
      </c>
      <c r="CJ49" s="128">
        <v>1.46</v>
      </c>
      <c r="CK49" s="128">
        <v>1.46</v>
      </c>
      <c r="CL49" s="128">
        <v>1.46</v>
      </c>
      <c r="CM49" s="128">
        <v>1.46</v>
      </c>
      <c r="CN49" s="128">
        <v>1.46</v>
      </c>
      <c r="CO49" s="128">
        <v>1.46</v>
      </c>
      <c r="CP49" s="128">
        <v>1.46</v>
      </c>
      <c r="CQ49" s="128">
        <v>1.46</v>
      </c>
      <c r="CR49" s="128">
        <v>1.46</v>
      </c>
      <c r="CS49" s="128">
        <v>1.46</v>
      </c>
      <c r="CT49" s="128">
        <v>1.46</v>
      </c>
      <c r="CU49" s="128">
        <v>1.46</v>
      </c>
      <c r="CV49" s="128">
        <v>1.46</v>
      </c>
      <c r="CW49" s="128">
        <v>1.46</v>
      </c>
      <c r="CX49" s="128">
        <v>1.46</v>
      </c>
      <c r="CZ49" s="126">
        <f>SUMIF(MatrixF3[[1]:[2]],MatrixF3[[#This Row],[Столбец1]])/MatrixF3[[#This Row],[Столбец1]]</f>
        <v>107.99999999999994</v>
      </c>
    </row>
    <row r="50" spans="1:104" ht="21" customHeight="1" x14ac:dyDescent="0.25">
      <c r="A50" s="127">
        <v>1.47</v>
      </c>
      <c r="B50" s="128">
        <v>1.47</v>
      </c>
      <c r="C50" s="128">
        <v>1.47</v>
      </c>
      <c r="D50" s="128">
        <v>1.47</v>
      </c>
      <c r="E50" s="128">
        <v>1.47</v>
      </c>
      <c r="F50" s="128">
        <v>1.47</v>
      </c>
      <c r="G50" s="128">
        <v>1.47</v>
      </c>
      <c r="H50" s="128">
        <v>1.47</v>
      </c>
      <c r="I50" s="128">
        <v>1.47</v>
      </c>
      <c r="J50" s="128">
        <v>1.47</v>
      </c>
      <c r="K50" s="128">
        <v>1.47</v>
      </c>
      <c r="L50" s="128">
        <v>1.47</v>
      </c>
      <c r="M50" s="128">
        <v>1.47</v>
      </c>
      <c r="N50" s="128">
        <v>1.47</v>
      </c>
      <c r="O50" s="128">
        <v>1.47</v>
      </c>
      <c r="P50" s="128">
        <v>1.47</v>
      </c>
      <c r="Q50" s="128">
        <v>1.47</v>
      </c>
      <c r="R50" s="128">
        <v>1.47</v>
      </c>
      <c r="S50" s="128">
        <v>1.47</v>
      </c>
      <c r="T50" s="128">
        <v>1.47</v>
      </c>
      <c r="U50" s="128">
        <v>1.47</v>
      </c>
      <c r="V50" s="128">
        <v>1.47</v>
      </c>
      <c r="W50" s="128">
        <v>1.47</v>
      </c>
      <c r="X50" s="128">
        <v>1.47</v>
      </c>
      <c r="Y50" s="128">
        <v>1.47</v>
      </c>
      <c r="Z50" s="128">
        <v>1.47</v>
      </c>
      <c r="AA50" s="128">
        <v>1.47</v>
      </c>
      <c r="AB50" s="128">
        <v>1.47</v>
      </c>
      <c r="AC50" s="128">
        <v>1.47</v>
      </c>
      <c r="AD50" s="128">
        <v>1.47</v>
      </c>
      <c r="AE50" s="128">
        <v>1.47</v>
      </c>
      <c r="AF50" s="128">
        <v>1.47</v>
      </c>
      <c r="AG50" s="128">
        <v>1.47</v>
      </c>
      <c r="AH50" s="128">
        <v>1.47</v>
      </c>
      <c r="AI50" s="128">
        <v>1.47</v>
      </c>
      <c r="AJ50" s="128">
        <v>1.47</v>
      </c>
      <c r="AK50" s="128">
        <v>1.47</v>
      </c>
      <c r="AL50" s="128">
        <v>1.47</v>
      </c>
      <c r="AM50" s="128">
        <v>1.47</v>
      </c>
      <c r="AN50" s="128">
        <v>1.47</v>
      </c>
      <c r="AO50" s="128">
        <v>1.47</v>
      </c>
      <c r="AP50" s="128">
        <v>1.47</v>
      </c>
      <c r="AQ50" s="128">
        <v>1.47</v>
      </c>
      <c r="AR50" s="128">
        <v>1.47</v>
      </c>
      <c r="AS50" s="128">
        <v>1.47</v>
      </c>
      <c r="AT50" s="128">
        <v>1.47</v>
      </c>
      <c r="AU50" s="128">
        <v>1.47</v>
      </c>
      <c r="AV50" s="128">
        <v>1.47</v>
      </c>
      <c r="AW50" s="128">
        <v>1.47</v>
      </c>
      <c r="AX50" s="128">
        <v>1.47</v>
      </c>
      <c r="AY50" s="128">
        <v>1.48</v>
      </c>
      <c r="AZ50" s="128">
        <v>1.48</v>
      </c>
      <c r="BA50" s="128">
        <v>1.48</v>
      </c>
      <c r="BB50" s="128">
        <v>1.47</v>
      </c>
      <c r="BC50" s="128">
        <v>1.47</v>
      </c>
      <c r="BD50" s="128">
        <v>1.47</v>
      </c>
      <c r="BE50" s="128">
        <v>1.47</v>
      </c>
      <c r="BF50" s="128">
        <v>1.47</v>
      </c>
      <c r="BG50" s="128">
        <v>1.47</v>
      </c>
      <c r="BH50" s="128">
        <v>1.47</v>
      </c>
      <c r="BI50" s="128">
        <v>1.47</v>
      </c>
      <c r="BJ50" s="128">
        <v>1.47</v>
      </c>
      <c r="BK50" s="128">
        <v>1.47</v>
      </c>
      <c r="BL50" s="128">
        <v>1.47</v>
      </c>
      <c r="BM50" s="128">
        <v>1.47</v>
      </c>
      <c r="BN50" s="128">
        <v>1.47</v>
      </c>
      <c r="BO50" s="128">
        <v>1.47</v>
      </c>
      <c r="BP50" s="128">
        <v>1.47</v>
      </c>
      <c r="BQ50" s="128">
        <v>1.47</v>
      </c>
      <c r="BR50" s="128">
        <v>1.47</v>
      </c>
      <c r="BS50" s="128">
        <v>1.47</v>
      </c>
      <c r="BT50" s="128">
        <v>1.47</v>
      </c>
      <c r="BU50" s="128">
        <v>1.47</v>
      </c>
      <c r="BV50" s="128">
        <v>1.47</v>
      </c>
      <c r="BW50" s="128">
        <v>1.47</v>
      </c>
      <c r="BX50" s="128">
        <v>1.47</v>
      </c>
      <c r="BY50" s="128">
        <v>1.47</v>
      </c>
      <c r="BZ50" s="128">
        <v>1.47</v>
      </c>
      <c r="CA50" s="128">
        <v>1.47</v>
      </c>
      <c r="CB50" s="128">
        <v>1.47</v>
      </c>
      <c r="CC50" s="128">
        <v>1.47</v>
      </c>
      <c r="CD50" s="128">
        <v>1.47</v>
      </c>
      <c r="CE50" s="128">
        <v>1.47</v>
      </c>
      <c r="CF50" s="128">
        <v>1.47</v>
      </c>
      <c r="CG50" s="128">
        <v>1.47</v>
      </c>
      <c r="CH50" s="128">
        <v>1.47</v>
      </c>
      <c r="CI50" s="128">
        <v>1.47</v>
      </c>
      <c r="CJ50" s="128">
        <v>1.47</v>
      </c>
      <c r="CK50" s="128">
        <v>1.47</v>
      </c>
      <c r="CL50" s="128">
        <v>1.47</v>
      </c>
      <c r="CM50" s="128">
        <v>1.47</v>
      </c>
      <c r="CN50" s="128">
        <v>1.47</v>
      </c>
      <c r="CO50" s="128">
        <v>1.47</v>
      </c>
      <c r="CP50" s="128">
        <v>1.47</v>
      </c>
      <c r="CQ50" s="128">
        <v>1.47</v>
      </c>
      <c r="CR50" s="128">
        <v>1.47</v>
      </c>
      <c r="CS50" s="128">
        <v>1.47</v>
      </c>
      <c r="CT50" s="128">
        <v>1.47</v>
      </c>
      <c r="CU50" s="128">
        <v>1.47</v>
      </c>
      <c r="CV50" s="128">
        <v>1.47</v>
      </c>
      <c r="CW50" s="128">
        <v>1.47</v>
      </c>
      <c r="CX50" s="128">
        <v>1.47</v>
      </c>
      <c r="CZ50" s="126">
        <f>SUMIF(MatrixF3[[1]:[2]],MatrixF3[[#This Row],[Столбец1]])/MatrixF3[[#This Row],[Столбец1]]</f>
        <v>105.99999999999994</v>
      </c>
    </row>
    <row r="51" spans="1:104" ht="21" customHeight="1" x14ac:dyDescent="0.25">
      <c r="A51" s="127">
        <v>1.48</v>
      </c>
      <c r="B51" s="128">
        <v>1.48</v>
      </c>
      <c r="C51" s="128">
        <v>1.48</v>
      </c>
      <c r="D51" s="128">
        <v>1.48</v>
      </c>
      <c r="E51" s="128">
        <v>1.48</v>
      </c>
      <c r="F51" s="128">
        <v>1.48</v>
      </c>
      <c r="G51" s="128">
        <v>1.48</v>
      </c>
      <c r="H51" s="128">
        <v>1.48</v>
      </c>
      <c r="I51" s="128">
        <v>1.48</v>
      </c>
      <c r="J51" s="128">
        <v>1.48</v>
      </c>
      <c r="K51" s="128">
        <v>1.48</v>
      </c>
      <c r="L51" s="128">
        <v>1.48</v>
      </c>
      <c r="M51" s="128">
        <v>1.48</v>
      </c>
      <c r="N51" s="128">
        <v>1.48</v>
      </c>
      <c r="O51" s="128">
        <v>1.48</v>
      </c>
      <c r="P51" s="128">
        <v>1.48</v>
      </c>
      <c r="Q51" s="128">
        <v>1.48</v>
      </c>
      <c r="R51" s="128">
        <v>1.48</v>
      </c>
      <c r="S51" s="128">
        <v>1.48</v>
      </c>
      <c r="T51" s="128">
        <v>1.48</v>
      </c>
      <c r="U51" s="128">
        <v>1.48</v>
      </c>
      <c r="V51" s="128">
        <v>1.48</v>
      </c>
      <c r="W51" s="128">
        <v>1.48</v>
      </c>
      <c r="X51" s="128">
        <v>1.48</v>
      </c>
      <c r="Y51" s="128">
        <v>1.48</v>
      </c>
      <c r="Z51" s="128">
        <v>1.48</v>
      </c>
      <c r="AA51" s="128">
        <v>1.48</v>
      </c>
      <c r="AB51" s="128">
        <v>1.48</v>
      </c>
      <c r="AC51" s="128">
        <v>1.48</v>
      </c>
      <c r="AD51" s="128">
        <v>1.48</v>
      </c>
      <c r="AE51" s="128">
        <v>1.48</v>
      </c>
      <c r="AF51" s="128">
        <v>1.48</v>
      </c>
      <c r="AG51" s="128">
        <v>1.48</v>
      </c>
      <c r="AH51" s="128">
        <v>1.48</v>
      </c>
      <c r="AI51" s="128">
        <v>1.48</v>
      </c>
      <c r="AJ51" s="128">
        <v>1.48</v>
      </c>
      <c r="AK51" s="128">
        <v>1.48</v>
      </c>
      <c r="AL51" s="128">
        <v>1.48</v>
      </c>
      <c r="AM51" s="128">
        <v>1.48</v>
      </c>
      <c r="AN51" s="128">
        <v>1.48</v>
      </c>
      <c r="AO51" s="128">
        <v>1.48</v>
      </c>
      <c r="AP51" s="128">
        <v>1.48</v>
      </c>
      <c r="AQ51" s="128">
        <v>1.48</v>
      </c>
      <c r="AR51" s="128">
        <v>1.48</v>
      </c>
      <c r="AS51" s="128">
        <v>1.48</v>
      </c>
      <c r="AT51" s="128">
        <v>1.48</v>
      </c>
      <c r="AU51" s="128">
        <v>1.48</v>
      </c>
      <c r="AV51" s="128">
        <v>1.48</v>
      </c>
      <c r="AW51" s="128">
        <v>1.48</v>
      </c>
      <c r="AX51" s="128">
        <v>1.48</v>
      </c>
      <c r="AY51" s="128">
        <v>1.48</v>
      </c>
      <c r="AZ51" s="128">
        <v>1.49</v>
      </c>
      <c r="BA51" s="128">
        <v>1.48</v>
      </c>
      <c r="BB51" s="128">
        <v>1.48</v>
      </c>
      <c r="BC51" s="128">
        <v>1.48</v>
      </c>
      <c r="BD51" s="128">
        <v>1.48</v>
      </c>
      <c r="BE51" s="128">
        <v>1.48</v>
      </c>
      <c r="BF51" s="128">
        <v>1.48</v>
      </c>
      <c r="BG51" s="128">
        <v>1.48</v>
      </c>
      <c r="BH51" s="128">
        <v>1.48</v>
      </c>
      <c r="BI51" s="128">
        <v>1.48</v>
      </c>
      <c r="BJ51" s="128">
        <v>1.48</v>
      </c>
      <c r="BK51" s="128">
        <v>1.48</v>
      </c>
      <c r="BL51" s="128">
        <v>1.48</v>
      </c>
      <c r="BM51" s="128">
        <v>1.48</v>
      </c>
      <c r="BN51" s="128">
        <v>1.48</v>
      </c>
      <c r="BO51" s="128">
        <v>1.48</v>
      </c>
      <c r="BP51" s="128">
        <v>1.48</v>
      </c>
      <c r="BQ51" s="128">
        <v>1.48</v>
      </c>
      <c r="BR51" s="128">
        <v>1.48</v>
      </c>
      <c r="BS51" s="128">
        <v>1.48</v>
      </c>
      <c r="BT51" s="128">
        <v>1.48</v>
      </c>
      <c r="BU51" s="128">
        <v>1.48</v>
      </c>
      <c r="BV51" s="128">
        <v>1.48</v>
      </c>
      <c r="BW51" s="128">
        <v>1.48</v>
      </c>
      <c r="BX51" s="128">
        <v>1.48</v>
      </c>
      <c r="BY51" s="128">
        <v>1.48</v>
      </c>
      <c r="BZ51" s="128">
        <v>1.48</v>
      </c>
      <c r="CA51" s="128">
        <v>1.48</v>
      </c>
      <c r="CB51" s="128">
        <v>1.48</v>
      </c>
      <c r="CC51" s="128">
        <v>1.48</v>
      </c>
      <c r="CD51" s="128">
        <v>1.48</v>
      </c>
      <c r="CE51" s="128">
        <v>1.48</v>
      </c>
      <c r="CF51" s="128">
        <v>1.48</v>
      </c>
      <c r="CG51" s="128">
        <v>1.48</v>
      </c>
      <c r="CH51" s="128">
        <v>1.48</v>
      </c>
      <c r="CI51" s="128">
        <v>1.48</v>
      </c>
      <c r="CJ51" s="128">
        <v>1.48</v>
      </c>
      <c r="CK51" s="128">
        <v>1.48</v>
      </c>
      <c r="CL51" s="128">
        <v>1.48</v>
      </c>
      <c r="CM51" s="128">
        <v>1.48</v>
      </c>
      <c r="CN51" s="128">
        <v>1.48</v>
      </c>
      <c r="CO51" s="128">
        <v>1.48</v>
      </c>
      <c r="CP51" s="128">
        <v>1.48</v>
      </c>
      <c r="CQ51" s="128">
        <v>1.48</v>
      </c>
      <c r="CR51" s="128">
        <v>1.48</v>
      </c>
      <c r="CS51" s="128">
        <v>1.48</v>
      </c>
      <c r="CT51" s="128">
        <v>1.48</v>
      </c>
      <c r="CU51" s="128">
        <v>1.48</v>
      </c>
      <c r="CV51" s="128">
        <v>1.48</v>
      </c>
      <c r="CW51" s="128">
        <v>1.48</v>
      </c>
      <c r="CX51" s="128">
        <v>1.48</v>
      </c>
      <c r="CZ51" s="126">
        <f>SUMIF(MatrixF3[[1]:[2]],MatrixF3[[#This Row],[Столбец1]])/MatrixF3[[#This Row],[Столбец1]]</f>
        <v>103.99999999999996</v>
      </c>
    </row>
    <row r="52" spans="1:104" ht="21" customHeight="1" x14ac:dyDescent="0.25">
      <c r="A52" s="127">
        <v>1.49</v>
      </c>
      <c r="B52" s="128">
        <v>1.49</v>
      </c>
      <c r="C52" s="128">
        <v>1.49</v>
      </c>
      <c r="D52" s="128">
        <v>1.49</v>
      </c>
      <c r="E52" s="128">
        <v>1.49</v>
      </c>
      <c r="F52" s="128">
        <v>1.49</v>
      </c>
      <c r="G52" s="128">
        <v>1.49</v>
      </c>
      <c r="H52" s="128">
        <v>1.49</v>
      </c>
      <c r="I52" s="128">
        <v>1.49</v>
      </c>
      <c r="J52" s="128">
        <v>1.49</v>
      </c>
      <c r="K52" s="128">
        <v>1.49</v>
      </c>
      <c r="L52" s="128">
        <v>1.49</v>
      </c>
      <c r="M52" s="128">
        <v>1.49</v>
      </c>
      <c r="N52" s="128">
        <v>1.49</v>
      </c>
      <c r="O52" s="128">
        <v>1.49</v>
      </c>
      <c r="P52" s="128">
        <v>1.49</v>
      </c>
      <c r="Q52" s="128">
        <v>1.49</v>
      </c>
      <c r="R52" s="128">
        <v>1.49</v>
      </c>
      <c r="S52" s="128">
        <v>1.49</v>
      </c>
      <c r="T52" s="128">
        <v>1.49</v>
      </c>
      <c r="U52" s="128">
        <v>1.49</v>
      </c>
      <c r="V52" s="128">
        <v>1.49</v>
      </c>
      <c r="W52" s="128">
        <v>1.49</v>
      </c>
      <c r="X52" s="128">
        <v>1.49</v>
      </c>
      <c r="Y52" s="128">
        <v>1.49</v>
      </c>
      <c r="Z52" s="128">
        <v>1.49</v>
      </c>
      <c r="AA52" s="128">
        <v>1.49</v>
      </c>
      <c r="AB52" s="128">
        <v>1.49</v>
      </c>
      <c r="AC52" s="128">
        <v>1.49</v>
      </c>
      <c r="AD52" s="128">
        <v>1.49</v>
      </c>
      <c r="AE52" s="128">
        <v>1.49</v>
      </c>
      <c r="AF52" s="128">
        <v>1.49</v>
      </c>
      <c r="AG52" s="128">
        <v>1.49</v>
      </c>
      <c r="AH52" s="128">
        <v>1.49</v>
      </c>
      <c r="AI52" s="128">
        <v>1.49</v>
      </c>
      <c r="AJ52" s="128">
        <v>1.49</v>
      </c>
      <c r="AK52" s="128">
        <v>1.49</v>
      </c>
      <c r="AL52" s="128">
        <v>1.49</v>
      </c>
      <c r="AM52" s="128">
        <v>1.49</v>
      </c>
      <c r="AN52" s="128">
        <v>1.49</v>
      </c>
      <c r="AO52" s="128">
        <v>1.49</v>
      </c>
      <c r="AP52" s="128">
        <v>1.49</v>
      </c>
      <c r="AQ52" s="128">
        <v>1.49</v>
      </c>
      <c r="AR52" s="128">
        <v>1.49</v>
      </c>
      <c r="AS52" s="128">
        <v>1.49</v>
      </c>
      <c r="AT52" s="128">
        <v>1.49</v>
      </c>
      <c r="AU52" s="128">
        <v>1.49</v>
      </c>
      <c r="AV52" s="128">
        <v>1.49</v>
      </c>
      <c r="AW52" s="128">
        <v>1.49</v>
      </c>
      <c r="AX52" s="128">
        <v>1.49</v>
      </c>
      <c r="AY52" s="128">
        <v>1.49</v>
      </c>
      <c r="AZ52" s="128">
        <v>1.49</v>
      </c>
      <c r="BA52" s="128">
        <v>1.49</v>
      </c>
      <c r="BB52" s="128">
        <v>1.49</v>
      </c>
      <c r="BC52" s="128">
        <v>1.49</v>
      </c>
      <c r="BD52" s="128">
        <v>1.49</v>
      </c>
      <c r="BE52" s="128">
        <v>1.49</v>
      </c>
      <c r="BF52" s="128">
        <v>1.49</v>
      </c>
      <c r="BG52" s="128">
        <v>1.49</v>
      </c>
      <c r="BH52" s="128">
        <v>1.49</v>
      </c>
      <c r="BI52" s="128">
        <v>1.49</v>
      </c>
      <c r="BJ52" s="128">
        <v>1.49</v>
      </c>
      <c r="BK52" s="128">
        <v>1.49</v>
      </c>
      <c r="BL52" s="128">
        <v>1.49</v>
      </c>
      <c r="BM52" s="128">
        <v>1.49</v>
      </c>
      <c r="BN52" s="128">
        <v>1.49</v>
      </c>
      <c r="BO52" s="128">
        <v>1.49</v>
      </c>
      <c r="BP52" s="128">
        <v>1.49</v>
      </c>
      <c r="BQ52" s="128">
        <v>1.49</v>
      </c>
      <c r="BR52" s="128">
        <v>1.49</v>
      </c>
      <c r="BS52" s="128">
        <v>1.49</v>
      </c>
      <c r="BT52" s="128">
        <v>1.49</v>
      </c>
      <c r="BU52" s="128">
        <v>1.49</v>
      </c>
      <c r="BV52" s="128">
        <v>1.49</v>
      </c>
      <c r="BW52" s="128">
        <v>1.49</v>
      </c>
      <c r="BX52" s="128">
        <v>1.49</v>
      </c>
      <c r="BY52" s="128">
        <v>1.49</v>
      </c>
      <c r="BZ52" s="128">
        <v>1.49</v>
      </c>
      <c r="CA52" s="128">
        <v>1.49</v>
      </c>
      <c r="CB52" s="128">
        <v>1.49</v>
      </c>
      <c r="CC52" s="128">
        <v>1.49</v>
      </c>
      <c r="CD52" s="128">
        <v>1.49</v>
      </c>
      <c r="CE52" s="128">
        <v>1.49</v>
      </c>
      <c r="CF52" s="128">
        <v>1.49</v>
      </c>
      <c r="CG52" s="128">
        <v>1.49</v>
      </c>
      <c r="CH52" s="128">
        <v>1.49</v>
      </c>
      <c r="CI52" s="128">
        <v>1.49</v>
      </c>
      <c r="CJ52" s="128">
        <v>1.49</v>
      </c>
      <c r="CK52" s="128">
        <v>1.49</v>
      </c>
      <c r="CL52" s="128">
        <v>1.49</v>
      </c>
      <c r="CM52" s="128">
        <v>1.49</v>
      </c>
      <c r="CN52" s="128">
        <v>1.49</v>
      </c>
      <c r="CO52" s="128">
        <v>1.49</v>
      </c>
      <c r="CP52" s="128">
        <v>1.49</v>
      </c>
      <c r="CQ52" s="128">
        <v>1.49</v>
      </c>
      <c r="CR52" s="128">
        <v>1.49</v>
      </c>
      <c r="CS52" s="128">
        <v>1.49</v>
      </c>
      <c r="CT52" s="128">
        <v>1.49</v>
      </c>
      <c r="CU52" s="128">
        <v>1.49</v>
      </c>
      <c r="CV52" s="128">
        <v>1.49</v>
      </c>
      <c r="CW52" s="128">
        <v>1.49</v>
      </c>
      <c r="CX52" s="128">
        <v>1.49</v>
      </c>
      <c r="CZ52" s="126">
        <f>SUMIF(MatrixF3[[1]:[2]],MatrixF3[[#This Row],[Столбец1]])/MatrixF3[[#This Row],[Столбец1]]</f>
        <v>101.99999999999997</v>
      </c>
    </row>
    <row r="53" spans="1:104" ht="21" customHeight="1" x14ac:dyDescent="0.25">
      <c r="A53" s="127">
        <v>1.5</v>
      </c>
      <c r="B53" s="128">
        <v>1.5</v>
      </c>
      <c r="C53" s="128">
        <v>1.5</v>
      </c>
      <c r="D53" s="128">
        <v>1.5</v>
      </c>
      <c r="E53" s="128">
        <v>1.5</v>
      </c>
      <c r="F53" s="128">
        <v>1.5</v>
      </c>
      <c r="G53" s="128">
        <v>1.5</v>
      </c>
      <c r="H53" s="128">
        <v>1.5</v>
      </c>
      <c r="I53" s="128">
        <v>1.5</v>
      </c>
      <c r="J53" s="128">
        <v>1.5</v>
      </c>
      <c r="K53" s="128">
        <v>1.5</v>
      </c>
      <c r="L53" s="128">
        <v>1.5</v>
      </c>
      <c r="M53" s="128">
        <v>1.5</v>
      </c>
      <c r="N53" s="128">
        <v>1.5</v>
      </c>
      <c r="O53" s="128">
        <v>1.5</v>
      </c>
      <c r="P53" s="128">
        <v>1.5</v>
      </c>
      <c r="Q53" s="128">
        <v>1.5</v>
      </c>
      <c r="R53" s="128">
        <v>1.5</v>
      </c>
      <c r="S53" s="128">
        <v>1.5</v>
      </c>
      <c r="T53" s="128">
        <v>1.5</v>
      </c>
      <c r="U53" s="128">
        <v>1.5</v>
      </c>
      <c r="V53" s="128">
        <v>1.5</v>
      </c>
      <c r="W53" s="128">
        <v>1.5</v>
      </c>
      <c r="X53" s="128">
        <v>1.5</v>
      </c>
      <c r="Y53" s="128">
        <v>1.5</v>
      </c>
      <c r="Z53" s="128">
        <v>1.5</v>
      </c>
      <c r="AA53" s="128">
        <v>1.5</v>
      </c>
      <c r="AB53" s="128">
        <v>1.5</v>
      </c>
      <c r="AC53" s="128">
        <v>1.5</v>
      </c>
      <c r="AD53" s="128">
        <v>1.5</v>
      </c>
      <c r="AE53" s="128">
        <v>1.5</v>
      </c>
      <c r="AF53" s="128">
        <v>1.5</v>
      </c>
      <c r="AG53" s="128">
        <v>1.5</v>
      </c>
      <c r="AH53" s="128">
        <v>1.5</v>
      </c>
      <c r="AI53" s="128">
        <v>1.5</v>
      </c>
      <c r="AJ53" s="128">
        <v>1.5</v>
      </c>
      <c r="AK53" s="128">
        <v>1.5</v>
      </c>
      <c r="AL53" s="128">
        <v>1.5</v>
      </c>
      <c r="AM53" s="128">
        <v>1.5</v>
      </c>
      <c r="AN53" s="128">
        <v>1.5</v>
      </c>
      <c r="AO53" s="128">
        <v>1.5</v>
      </c>
      <c r="AP53" s="128">
        <v>1.5</v>
      </c>
      <c r="AQ53" s="128">
        <v>1.5</v>
      </c>
      <c r="AR53" s="128">
        <v>1.5</v>
      </c>
      <c r="AS53" s="128">
        <v>1.5</v>
      </c>
      <c r="AT53" s="128">
        <v>1.5</v>
      </c>
      <c r="AU53" s="128">
        <v>1.5</v>
      </c>
      <c r="AV53" s="128">
        <v>1.5</v>
      </c>
      <c r="AW53" s="128">
        <v>1.5</v>
      </c>
      <c r="AX53" s="128">
        <v>1.5</v>
      </c>
      <c r="AY53" s="128">
        <v>1.5</v>
      </c>
      <c r="AZ53" s="128">
        <v>1.5</v>
      </c>
      <c r="BA53" s="128">
        <v>1.5</v>
      </c>
      <c r="BB53" s="128">
        <v>1.5</v>
      </c>
      <c r="BC53" s="128">
        <v>1.5</v>
      </c>
      <c r="BD53" s="128">
        <v>1.5</v>
      </c>
      <c r="BE53" s="128">
        <v>1.5</v>
      </c>
      <c r="BF53" s="128">
        <v>1.5</v>
      </c>
      <c r="BG53" s="128">
        <v>1.5</v>
      </c>
      <c r="BH53" s="128">
        <v>1.5</v>
      </c>
      <c r="BI53" s="128">
        <v>1.5</v>
      </c>
      <c r="BJ53" s="128">
        <v>1.5</v>
      </c>
      <c r="BK53" s="128">
        <v>1.5</v>
      </c>
      <c r="BL53" s="128">
        <v>1.5</v>
      </c>
      <c r="BM53" s="128">
        <v>1.5</v>
      </c>
      <c r="BN53" s="128">
        <v>1.5</v>
      </c>
      <c r="BO53" s="128">
        <v>1.5</v>
      </c>
      <c r="BP53" s="128">
        <v>1.5</v>
      </c>
      <c r="BQ53" s="128">
        <v>1.5</v>
      </c>
      <c r="BR53" s="128">
        <v>1.5</v>
      </c>
      <c r="BS53" s="128">
        <v>1.5</v>
      </c>
      <c r="BT53" s="128">
        <v>1.5</v>
      </c>
      <c r="BU53" s="128">
        <v>1.5</v>
      </c>
      <c r="BV53" s="128">
        <v>1.5</v>
      </c>
      <c r="BW53" s="128">
        <v>1.5</v>
      </c>
      <c r="BX53" s="128">
        <v>1.5</v>
      </c>
      <c r="BY53" s="128">
        <v>1.5</v>
      </c>
      <c r="BZ53" s="128">
        <v>1.5</v>
      </c>
      <c r="CA53" s="128">
        <v>1.5</v>
      </c>
      <c r="CB53" s="128">
        <v>1.5</v>
      </c>
      <c r="CC53" s="128">
        <v>1.5</v>
      </c>
      <c r="CD53" s="128">
        <v>1.5</v>
      </c>
      <c r="CE53" s="128">
        <v>1.5</v>
      </c>
      <c r="CF53" s="128">
        <v>1.5</v>
      </c>
      <c r="CG53" s="128">
        <v>1.5</v>
      </c>
      <c r="CH53" s="128">
        <v>1.5</v>
      </c>
      <c r="CI53" s="128">
        <v>1.5</v>
      </c>
      <c r="CJ53" s="128">
        <v>1.5</v>
      </c>
      <c r="CK53" s="128">
        <v>1.5</v>
      </c>
      <c r="CL53" s="128">
        <v>1.5</v>
      </c>
      <c r="CM53" s="128">
        <v>1.5</v>
      </c>
      <c r="CN53" s="128">
        <v>1.5</v>
      </c>
      <c r="CO53" s="128">
        <v>1.5</v>
      </c>
      <c r="CP53" s="128">
        <v>1.5</v>
      </c>
      <c r="CQ53" s="128">
        <v>1.5</v>
      </c>
      <c r="CR53" s="128">
        <v>1.5</v>
      </c>
      <c r="CS53" s="128">
        <v>1.5</v>
      </c>
      <c r="CT53" s="128">
        <v>1.5</v>
      </c>
      <c r="CU53" s="128">
        <v>1.5</v>
      </c>
      <c r="CV53" s="128">
        <v>1.5</v>
      </c>
      <c r="CW53" s="128">
        <v>1.5</v>
      </c>
      <c r="CX53" s="128">
        <v>1.5</v>
      </c>
      <c r="CZ53" s="126">
        <f>SUMIF(MatrixF3[[1]:[2]],MatrixF3[[#This Row],[Столбец1]])/MatrixF3[[#This Row],[Столбец1]]</f>
        <v>101</v>
      </c>
    </row>
    <row r="54" spans="1:104" ht="21" customHeight="1" x14ac:dyDescent="0.25">
      <c r="A54" s="127">
        <v>1.51</v>
      </c>
      <c r="B54" s="128">
        <v>1.51</v>
      </c>
      <c r="C54" s="128">
        <v>1.51</v>
      </c>
      <c r="D54" s="128">
        <v>1.51</v>
      </c>
      <c r="E54" s="128">
        <v>1.51</v>
      </c>
      <c r="F54" s="128">
        <v>1.51</v>
      </c>
      <c r="G54" s="128">
        <v>1.51</v>
      </c>
      <c r="H54" s="128">
        <v>1.51</v>
      </c>
      <c r="I54" s="128">
        <v>1.51</v>
      </c>
      <c r="J54" s="128">
        <v>1.51</v>
      </c>
      <c r="K54" s="128">
        <v>1.51</v>
      </c>
      <c r="L54" s="128">
        <v>1.51</v>
      </c>
      <c r="M54" s="128">
        <v>1.51</v>
      </c>
      <c r="N54" s="128">
        <v>1.51</v>
      </c>
      <c r="O54" s="128">
        <v>1.51</v>
      </c>
      <c r="P54" s="128">
        <v>1.51</v>
      </c>
      <c r="Q54" s="128">
        <v>1.51</v>
      </c>
      <c r="R54" s="128">
        <v>1.51</v>
      </c>
      <c r="S54" s="128">
        <v>1.51</v>
      </c>
      <c r="T54" s="128">
        <v>1.51</v>
      </c>
      <c r="U54" s="128">
        <v>1.51</v>
      </c>
      <c r="V54" s="128">
        <v>1.51</v>
      </c>
      <c r="W54" s="128">
        <v>1.51</v>
      </c>
      <c r="X54" s="128">
        <v>1.51</v>
      </c>
      <c r="Y54" s="128">
        <v>1.51</v>
      </c>
      <c r="Z54" s="128">
        <v>1.51</v>
      </c>
      <c r="AA54" s="128">
        <v>1.51</v>
      </c>
      <c r="AB54" s="128">
        <v>1.51</v>
      </c>
      <c r="AC54" s="128">
        <v>1.51</v>
      </c>
      <c r="AD54" s="128">
        <v>1.51</v>
      </c>
      <c r="AE54" s="128">
        <v>1.51</v>
      </c>
      <c r="AF54" s="128">
        <v>1.51</v>
      </c>
      <c r="AG54" s="128">
        <v>1.51</v>
      </c>
      <c r="AH54" s="128">
        <v>1.51</v>
      </c>
      <c r="AI54" s="128">
        <v>1.51</v>
      </c>
      <c r="AJ54" s="128">
        <v>1.51</v>
      </c>
      <c r="AK54" s="128">
        <v>1.51</v>
      </c>
      <c r="AL54" s="128">
        <v>1.51</v>
      </c>
      <c r="AM54" s="128">
        <v>1.51</v>
      </c>
      <c r="AN54" s="128">
        <v>1.51</v>
      </c>
      <c r="AO54" s="128">
        <v>1.51</v>
      </c>
      <c r="AP54" s="128">
        <v>1.51</v>
      </c>
      <c r="AQ54" s="128">
        <v>1.51</v>
      </c>
      <c r="AR54" s="128">
        <v>1.51</v>
      </c>
      <c r="AS54" s="128">
        <v>1.51</v>
      </c>
      <c r="AT54" s="128">
        <v>1.51</v>
      </c>
      <c r="AU54" s="128">
        <v>1.51</v>
      </c>
      <c r="AV54" s="128">
        <v>1.51</v>
      </c>
      <c r="AW54" s="128">
        <v>1.51</v>
      </c>
      <c r="AX54" s="128">
        <v>1.51</v>
      </c>
      <c r="AY54" s="128">
        <v>1.51</v>
      </c>
      <c r="AZ54" s="128">
        <v>1.51</v>
      </c>
      <c r="BA54" s="128">
        <v>1.51</v>
      </c>
      <c r="BB54" s="128">
        <v>1.51</v>
      </c>
      <c r="BC54" s="128">
        <v>1.51</v>
      </c>
      <c r="BD54" s="128">
        <v>1.51</v>
      </c>
      <c r="BE54" s="128">
        <v>1.51</v>
      </c>
      <c r="BF54" s="128">
        <v>1.51</v>
      </c>
      <c r="BG54" s="128">
        <v>1.51</v>
      </c>
      <c r="BH54" s="128">
        <v>1.51</v>
      </c>
      <c r="BI54" s="128">
        <v>1.51</v>
      </c>
      <c r="BJ54" s="128">
        <v>1.51</v>
      </c>
      <c r="BK54" s="128">
        <v>1.51</v>
      </c>
      <c r="BL54" s="128">
        <v>1.51</v>
      </c>
      <c r="BM54" s="128">
        <v>1.51</v>
      </c>
      <c r="BN54" s="128">
        <v>1.51</v>
      </c>
      <c r="BO54" s="128">
        <v>1.51</v>
      </c>
      <c r="BP54" s="128">
        <v>1.51</v>
      </c>
      <c r="BQ54" s="128">
        <v>1.51</v>
      </c>
      <c r="BR54" s="128">
        <v>1.51</v>
      </c>
      <c r="BS54" s="128">
        <v>1.51</v>
      </c>
      <c r="BT54" s="128">
        <v>1.51</v>
      </c>
      <c r="BU54" s="128">
        <v>1.51</v>
      </c>
      <c r="BV54" s="128">
        <v>1.51</v>
      </c>
      <c r="BW54" s="128">
        <v>1.51</v>
      </c>
      <c r="BX54" s="128">
        <v>1.51</v>
      </c>
      <c r="BY54" s="128">
        <v>1.51</v>
      </c>
      <c r="BZ54" s="128">
        <v>1.51</v>
      </c>
      <c r="CA54" s="128">
        <v>1.51</v>
      </c>
      <c r="CB54" s="128">
        <v>1.51</v>
      </c>
      <c r="CC54" s="128">
        <v>1.51</v>
      </c>
      <c r="CD54" s="128">
        <v>1.51</v>
      </c>
      <c r="CE54" s="128">
        <v>1.51</v>
      </c>
      <c r="CF54" s="128">
        <v>1.51</v>
      </c>
      <c r="CG54" s="128">
        <v>1.51</v>
      </c>
      <c r="CH54" s="128">
        <v>1.51</v>
      </c>
      <c r="CI54" s="128">
        <v>1.51</v>
      </c>
      <c r="CJ54" s="128">
        <v>1.51</v>
      </c>
      <c r="CK54" s="128">
        <v>1.51</v>
      </c>
      <c r="CL54" s="128">
        <v>1.51</v>
      </c>
      <c r="CM54" s="128">
        <v>1.51</v>
      </c>
      <c r="CN54" s="128">
        <v>1.51</v>
      </c>
      <c r="CO54" s="128">
        <v>1.51</v>
      </c>
      <c r="CP54" s="128">
        <v>1.51</v>
      </c>
      <c r="CQ54" s="128">
        <v>1.51</v>
      </c>
      <c r="CR54" s="128">
        <v>1.51</v>
      </c>
      <c r="CS54" s="128">
        <v>1.51</v>
      </c>
      <c r="CT54" s="128">
        <v>1.51</v>
      </c>
      <c r="CU54" s="128">
        <v>1.51</v>
      </c>
      <c r="CV54" s="128">
        <v>1.51</v>
      </c>
      <c r="CW54" s="128">
        <v>1.51</v>
      </c>
      <c r="CX54" s="128">
        <v>1.51</v>
      </c>
      <c r="CZ54" s="126">
        <f>SUMIF(MatrixF3[[1]:[2]],MatrixF3[[#This Row],[Столбец1]])/MatrixF3[[#This Row],[Столбец1]]</f>
        <v>102.00000000000003</v>
      </c>
    </row>
    <row r="55" spans="1:104" ht="21" customHeight="1" x14ac:dyDescent="0.25">
      <c r="A55" s="127">
        <v>1.52</v>
      </c>
      <c r="B55" s="128">
        <v>1.52</v>
      </c>
      <c r="C55" s="128">
        <v>1.52</v>
      </c>
      <c r="D55" s="128">
        <v>1.52</v>
      </c>
      <c r="E55" s="128">
        <v>1.52</v>
      </c>
      <c r="F55" s="128">
        <v>1.52</v>
      </c>
      <c r="G55" s="128">
        <v>1.52</v>
      </c>
      <c r="H55" s="128">
        <v>1.52</v>
      </c>
      <c r="I55" s="128">
        <v>1.52</v>
      </c>
      <c r="J55" s="128">
        <v>1.52</v>
      </c>
      <c r="K55" s="128">
        <v>1.52</v>
      </c>
      <c r="L55" s="128">
        <v>1.52</v>
      </c>
      <c r="M55" s="128">
        <v>1.52</v>
      </c>
      <c r="N55" s="128">
        <v>1.52</v>
      </c>
      <c r="O55" s="128">
        <v>1.52</v>
      </c>
      <c r="P55" s="128">
        <v>1.52</v>
      </c>
      <c r="Q55" s="128">
        <v>1.52</v>
      </c>
      <c r="R55" s="128">
        <v>1.52</v>
      </c>
      <c r="S55" s="128">
        <v>1.52</v>
      </c>
      <c r="T55" s="128">
        <v>1.52</v>
      </c>
      <c r="U55" s="128">
        <v>1.52</v>
      </c>
      <c r="V55" s="128">
        <v>1.52</v>
      </c>
      <c r="W55" s="128">
        <v>1.52</v>
      </c>
      <c r="X55" s="128">
        <v>1.52</v>
      </c>
      <c r="Y55" s="128">
        <v>1.52</v>
      </c>
      <c r="Z55" s="128">
        <v>1.52</v>
      </c>
      <c r="AA55" s="128">
        <v>1.52</v>
      </c>
      <c r="AB55" s="128">
        <v>1.52</v>
      </c>
      <c r="AC55" s="128">
        <v>1.52</v>
      </c>
      <c r="AD55" s="128">
        <v>1.52</v>
      </c>
      <c r="AE55" s="128">
        <v>1.52</v>
      </c>
      <c r="AF55" s="128">
        <v>1.52</v>
      </c>
      <c r="AG55" s="128">
        <v>1.52</v>
      </c>
      <c r="AH55" s="128">
        <v>1.52</v>
      </c>
      <c r="AI55" s="128">
        <v>1.52</v>
      </c>
      <c r="AJ55" s="128">
        <v>1.52</v>
      </c>
      <c r="AK55" s="128">
        <v>1.52</v>
      </c>
      <c r="AL55" s="128">
        <v>1.52</v>
      </c>
      <c r="AM55" s="128">
        <v>1.52</v>
      </c>
      <c r="AN55" s="128">
        <v>1.52</v>
      </c>
      <c r="AO55" s="128">
        <v>1.52</v>
      </c>
      <c r="AP55" s="128">
        <v>1.52</v>
      </c>
      <c r="AQ55" s="128">
        <v>1.52</v>
      </c>
      <c r="AR55" s="128">
        <v>1.52</v>
      </c>
      <c r="AS55" s="128">
        <v>1.52</v>
      </c>
      <c r="AT55" s="128">
        <v>1.52</v>
      </c>
      <c r="AU55" s="128">
        <v>1.52</v>
      </c>
      <c r="AV55" s="128">
        <v>1.52</v>
      </c>
      <c r="AW55" s="128">
        <v>1.52</v>
      </c>
      <c r="AX55" s="128">
        <v>1.52</v>
      </c>
      <c r="AY55" s="128">
        <v>1.52</v>
      </c>
      <c r="AZ55" s="128">
        <v>1.51</v>
      </c>
      <c r="BA55" s="128">
        <v>1.52</v>
      </c>
      <c r="BB55" s="128">
        <v>1.52</v>
      </c>
      <c r="BC55" s="128">
        <v>1.52</v>
      </c>
      <c r="BD55" s="128">
        <v>1.52</v>
      </c>
      <c r="BE55" s="128">
        <v>1.52</v>
      </c>
      <c r="BF55" s="128">
        <v>1.52</v>
      </c>
      <c r="BG55" s="128">
        <v>1.52</v>
      </c>
      <c r="BH55" s="128">
        <v>1.52</v>
      </c>
      <c r="BI55" s="128">
        <v>1.52</v>
      </c>
      <c r="BJ55" s="128">
        <v>1.52</v>
      </c>
      <c r="BK55" s="128">
        <v>1.52</v>
      </c>
      <c r="BL55" s="128">
        <v>1.52</v>
      </c>
      <c r="BM55" s="128">
        <v>1.52</v>
      </c>
      <c r="BN55" s="128">
        <v>1.52</v>
      </c>
      <c r="BO55" s="128">
        <v>1.52</v>
      </c>
      <c r="BP55" s="128">
        <v>1.52</v>
      </c>
      <c r="BQ55" s="128">
        <v>1.52</v>
      </c>
      <c r="BR55" s="128">
        <v>1.52</v>
      </c>
      <c r="BS55" s="128">
        <v>1.52</v>
      </c>
      <c r="BT55" s="128">
        <v>1.52</v>
      </c>
      <c r="BU55" s="128">
        <v>1.52</v>
      </c>
      <c r="BV55" s="128">
        <v>1.52</v>
      </c>
      <c r="BW55" s="128">
        <v>1.52</v>
      </c>
      <c r="BX55" s="128">
        <v>1.52</v>
      </c>
      <c r="BY55" s="128">
        <v>1.52</v>
      </c>
      <c r="BZ55" s="128">
        <v>1.52</v>
      </c>
      <c r="CA55" s="128">
        <v>1.52</v>
      </c>
      <c r="CB55" s="128">
        <v>1.52</v>
      </c>
      <c r="CC55" s="128">
        <v>1.52</v>
      </c>
      <c r="CD55" s="128">
        <v>1.52</v>
      </c>
      <c r="CE55" s="128">
        <v>1.52</v>
      </c>
      <c r="CF55" s="128">
        <v>1.52</v>
      </c>
      <c r="CG55" s="128">
        <v>1.52</v>
      </c>
      <c r="CH55" s="128">
        <v>1.52</v>
      </c>
      <c r="CI55" s="128">
        <v>1.52</v>
      </c>
      <c r="CJ55" s="128">
        <v>1.52</v>
      </c>
      <c r="CK55" s="128">
        <v>1.52</v>
      </c>
      <c r="CL55" s="128">
        <v>1.52</v>
      </c>
      <c r="CM55" s="128">
        <v>1.52</v>
      </c>
      <c r="CN55" s="128">
        <v>1.52</v>
      </c>
      <c r="CO55" s="128">
        <v>1.52</v>
      </c>
      <c r="CP55" s="128">
        <v>1.52</v>
      </c>
      <c r="CQ55" s="128">
        <v>1.52</v>
      </c>
      <c r="CR55" s="128">
        <v>1.52</v>
      </c>
      <c r="CS55" s="128">
        <v>1.52</v>
      </c>
      <c r="CT55" s="128">
        <v>1.52</v>
      </c>
      <c r="CU55" s="128">
        <v>1.52</v>
      </c>
      <c r="CV55" s="128">
        <v>1.52</v>
      </c>
      <c r="CW55" s="128">
        <v>1.52</v>
      </c>
      <c r="CX55" s="128">
        <v>1.52</v>
      </c>
      <c r="CZ55" s="126">
        <f>SUMIF(MatrixF3[[1]:[2]],MatrixF3[[#This Row],[Столбец1]])/MatrixF3[[#This Row],[Столбец1]]</f>
        <v>104.00000000000006</v>
      </c>
    </row>
    <row r="56" spans="1:104" ht="21" customHeight="1" x14ac:dyDescent="0.25">
      <c r="A56" s="127">
        <v>1.53</v>
      </c>
      <c r="B56" s="128">
        <v>1.53</v>
      </c>
      <c r="C56" s="128">
        <v>1.53</v>
      </c>
      <c r="D56" s="128">
        <v>1.53</v>
      </c>
      <c r="E56" s="128">
        <v>1.53</v>
      </c>
      <c r="F56" s="128">
        <v>1.53</v>
      </c>
      <c r="G56" s="128">
        <v>1.53</v>
      </c>
      <c r="H56" s="128">
        <v>1.53</v>
      </c>
      <c r="I56" s="128">
        <v>1.53</v>
      </c>
      <c r="J56" s="128">
        <v>1.53</v>
      </c>
      <c r="K56" s="128">
        <v>1.53</v>
      </c>
      <c r="L56" s="128">
        <v>1.53</v>
      </c>
      <c r="M56" s="128">
        <v>1.53</v>
      </c>
      <c r="N56" s="128">
        <v>1.53</v>
      </c>
      <c r="O56" s="128">
        <v>1.53</v>
      </c>
      <c r="P56" s="128">
        <v>1.53</v>
      </c>
      <c r="Q56" s="128">
        <v>1.53</v>
      </c>
      <c r="R56" s="128">
        <v>1.53</v>
      </c>
      <c r="S56" s="128">
        <v>1.53</v>
      </c>
      <c r="T56" s="128">
        <v>1.53</v>
      </c>
      <c r="U56" s="128">
        <v>1.53</v>
      </c>
      <c r="V56" s="128">
        <v>1.53</v>
      </c>
      <c r="W56" s="128">
        <v>1.53</v>
      </c>
      <c r="X56" s="128">
        <v>1.53</v>
      </c>
      <c r="Y56" s="128">
        <v>1.53</v>
      </c>
      <c r="Z56" s="128">
        <v>1.53</v>
      </c>
      <c r="AA56" s="128">
        <v>1.53</v>
      </c>
      <c r="AB56" s="128">
        <v>1.53</v>
      </c>
      <c r="AC56" s="128">
        <v>1.53</v>
      </c>
      <c r="AD56" s="128">
        <v>1.53</v>
      </c>
      <c r="AE56" s="128">
        <v>1.53</v>
      </c>
      <c r="AF56" s="128">
        <v>1.53</v>
      </c>
      <c r="AG56" s="128">
        <v>1.53</v>
      </c>
      <c r="AH56" s="128">
        <v>1.53</v>
      </c>
      <c r="AI56" s="128">
        <v>1.53</v>
      </c>
      <c r="AJ56" s="128">
        <v>1.53</v>
      </c>
      <c r="AK56" s="128">
        <v>1.53</v>
      </c>
      <c r="AL56" s="128">
        <v>1.53</v>
      </c>
      <c r="AM56" s="128">
        <v>1.53</v>
      </c>
      <c r="AN56" s="128">
        <v>1.53</v>
      </c>
      <c r="AO56" s="128">
        <v>1.53</v>
      </c>
      <c r="AP56" s="128">
        <v>1.53</v>
      </c>
      <c r="AQ56" s="128">
        <v>1.53</v>
      </c>
      <c r="AR56" s="128">
        <v>1.53</v>
      </c>
      <c r="AS56" s="128">
        <v>1.53</v>
      </c>
      <c r="AT56" s="128">
        <v>1.53</v>
      </c>
      <c r="AU56" s="128">
        <v>1.53</v>
      </c>
      <c r="AV56" s="128">
        <v>1.53</v>
      </c>
      <c r="AW56" s="128">
        <v>1.53</v>
      </c>
      <c r="AX56" s="128">
        <v>1.53</v>
      </c>
      <c r="AY56" s="128">
        <v>1.52</v>
      </c>
      <c r="AZ56" s="128">
        <v>1.52</v>
      </c>
      <c r="BA56" s="128">
        <v>1.52</v>
      </c>
      <c r="BB56" s="128">
        <v>1.53</v>
      </c>
      <c r="BC56" s="128">
        <v>1.53</v>
      </c>
      <c r="BD56" s="128">
        <v>1.53</v>
      </c>
      <c r="BE56" s="128">
        <v>1.53</v>
      </c>
      <c r="BF56" s="128">
        <v>1.53</v>
      </c>
      <c r="BG56" s="128">
        <v>1.53</v>
      </c>
      <c r="BH56" s="128">
        <v>1.53</v>
      </c>
      <c r="BI56" s="128">
        <v>1.53</v>
      </c>
      <c r="BJ56" s="128">
        <v>1.53</v>
      </c>
      <c r="BK56" s="128">
        <v>1.53</v>
      </c>
      <c r="BL56" s="128">
        <v>1.53</v>
      </c>
      <c r="BM56" s="128">
        <v>1.53</v>
      </c>
      <c r="BN56" s="128">
        <v>1.53</v>
      </c>
      <c r="BO56" s="128">
        <v>1.53</v>
      </c>
      <c r="BP56" s="128">
        <v>1.53</v>
      </c>
      <c r="BQ56" s="128">
        <v>1.53</v>
      </c>
      <c r="BR56" s="128">
        <v>1.53</v>
      </c>
      <c r="BS56" s="128">
        <v>1.53</v>
      </c>
      <c r="BT56" s="128">
        <v>1.53</v>
      </c>
      <c r="BU56" s="128">
        <v>1.53</v>
      </c>
      <c r="BV56" s="128">
        <v>1.53</v>
      </c>
      <c r="BW56" s="128">
        <v>1.53</v>
      </c>
      <c r="BX56" s="128">
        <v>1.53</v>
      </c>
      <c r="BY56" s="128">
        <v>1.53</v>
      </c>
      <c r="BZ56" s="128">
        <v>1.53</v>
      </c>
      <c r="CA56" s="128">
        <v>1.53</v>
      </c>
      <c r="CB56" s="128">
        <v>1.53</v>
      </c>
      <c r="CC56" s="128">
        <v>1.53</v>
      </c>
      <c r="CD56" s="128">
        <v>1.53</v>
      </c>
      <c r="CE56" s="128">
        <v>1.53</v>
      </c>
      <c r="CF56" s="128">
        <v>1.53</v>
      </c>
      <c r="CG56" s="128">
        <v>1.53</v>
      </c>
      <c r="CH56" s="128">
        <v>1.53</v>
      </c>
      <c r="CI56" s="128">
        <v>1.53</v>
      </c>
      <c r="CJ56" s="128">
        <v>1.53</v>
      </c>
      <c r="CK56" s="128">
        <v>1.53</v>
      </c>
      <c r="CL56" s="128">
        <v>1.53</v>
      </c>
      <c r="CM56" s="128">
        <v>1.53</v>
      </c>
      <c r="CN56" s="128">
        <v>1.53</v>
      </c>
      <c r="CO56" s="128">
        <v>1.53</v>
      </c>
      <c r="CP56" s="128">
        <v>1.53</v>
      </c>
      <c r="CQ56" s="128">
        <v>1.53</v>
      </c>
      <c r="CR56" s="128">
        <v>1.53</v>
      </c>
      <c r="CS56" s="128">
        <v>1.53</v>
      </c>
      <c r="CT56" s="128">
        <v>1.53</v>
      </c>
      <c r="CU56" s="128">
        <v>1.53</v>
      </c>
      <c r="CV56" s="128">
        <v>1.53</v>
      </c>
      <c r="CW56" s="128">
        <v>1.53</v>
      </c>
      <c r="CX56" s="128">
        <v>1.53</v>
      </c>
      <c r="CZ56" s="126">
        <f>SUMIF(MatrixF3[[1]:[2]],MatrixF3[[#This Row],[Столбец1]])/MatrixF3[[#This Row],[Столбец1]]</f>
        <v>106.00000000000006</v>
      </c>
    </row>
    <row r="57" spans="1:104" ht="21" customHeight="1" x14ac:dyDescent="0.25">
      <c r="A57" s="127">
        <v>1.54</v>
      </c>
      <c r="B57" s="128">
        <v>1.54</v>
      </c>
      <c r="C57" s="128">
        <v>1.54</v>
      </c>
      <c r="D57" s="128">
        <v>1.54</v>
      </c>
      <c r="E57" s="128">
        <v>1.54</v>
      </c>
      <c r="F57" s="128">
        <v>1.54</v>
      </c>
      <c r="G57" s="128">
        <v>1.54</v>
      </c>
      <c r="H57" s="128">
        <v>1.54</v>
      </c>
      <c r="I57" s="128">
        <v>1.54</v>
      </c>
      <c r="J57" s="128">
        <v>1.54</v>
      </c>
      <c r="K57" s="128">
        <v>1.54</v>
      </c>
      <c r="L57" s="128">
        <v>1.54</v>
      </c>
      <c r="M57" s="128">
        <v>1.54</v>
      </c>
      <c r="N57" s="128">
        <v>1.54</v>
      </c>
      <c r="O57" s="128">
        <v>1.54</v>
      </c>
      <c r="P57" s="128">
        <v>1.54</v>
      </c>
      <c r="Q57" s="128">
        <v>1.54</v>
      </c>
      <c r="R57" s="128">
        <v>1.54</v>
      </c>
      <c r="S57" s="128">
        <v>1.54</v>
      </c>
      <c r="T57" s="128">
        <v>1.54</v>
      </c>
      <c r="U57" s="128">
        <v>1.54</v>
      </c>
      <c r="V57" s="128">
        <v>1.54</v>
      </c>
      <c r="W57" s="128">
        <v>1.54</v>
      </c>
      <c r="X57" s="128">
        <v>1.54</v>
      </c>
      <c r="Y57" s="128">
        <v>1.54</v>
      </c>
      <c r="Z57" s="128">
        <v>1.54</v>
      </c>
      <c r="AA57" s="128">
        <v>1.54</v>
      </c>
      <c r="AB57" s="128">
        <v>1.54</v>
      </c>
      <c r="AC57" s="128">
        <v>1.54</v>
      </c>
      <c r="AD57" s="128">
        <v>1.54</v>
      </c>
      <c r="AE57" s="128">
        <v>1.54</v>
      </c>
      <c r="AF57" s="128">
        <v>1.54</v>
      </c>
      <c r="AG57" s="128">
        <v>1.54</v>
      </c>
      <c r="AH57" s="128">
        <v>1.54</v>
      </c>
      <c r="AI57" s="128">
        <v>1.54</v>
      </c>
      <c r="AJ57" s="128">
        <v>1.54</v>
      </c>
      <c r="AK57" s="128">
        <v>1.54</v>
      </c>
      <c r="AL57" s="128">
        <v>1.54</v>
      </c>
      <c r="AM57" s="128">
        <v>1.54</v>
      </c>
      <c r="AN57" s="128">
        <v>1.54</v>
      </c>
      <c r="AO57" s="128">
        <v>1.54</v>
      </c>
      <c r="AP57" s="128">
        <v>1.54</v>
      </c>
      <c r="AQ57" s="128">
        <v>1.54</v>
      </c>
      <c r="AR57" s="128">
        <v>1.54</v>
      </c>
      <c r="AS57" s="128">
        <v>1.54</v>
      </c>
      <c r="AT57" s="128">
        <v>1.54</v>
      </c>
      <c r="AU57" s="128">
        <v>1.54</v>
      </c>
      <c r="AV57" s="128">
        <v>1.54</v>
      </c>
      <c r="AW57" s="128">
        <v>1.54</v>
      </c>
      <c r="AX57" s="128">
        <v>1.53</v>
      </c>
      <c r="AY57" s="128">
        <v>1.53</v>
      </c>
      <c r="AZ57" s="128">
        <v>1.52</v>
      </c>
      <c r="BA57" s="128">
        <v>1.53</v>
      </c>
      <c r="BB57" s="128">
        <v>1.53</v>
      </c>
      <c r="BC57" s="128">
        <v>1.54</v>
      </c>
      <c r="BD57" s="128">
        <v>1.54</v>
      </c>
      <c r="BE57" s="128">
        <v>1.54</v>
      </c>
      <c r="BF57" s="128">
        <v>1.54</v>
      </c>
      <c r="BG57" s="128">
        <v>1.54</v>
      </c>
      <c r="BH57" s="128">
        <v>1.54</v>
      </c>
      <c r="BI57" s="128">
        <v>1.54</v>
      </c>
      <c r="BJ57" s="128">
        <v>1.54</v>
      </c>
      <c r="BK57" s="128">
        <v>1.54</v>
      </c>
      <c r="BL57" s="128">
        <v>1.54</v>
      </c>
      <c r="BM57" s="128">
        <v>1.54</v>
      </c>
      <c r="BN57" s="128">
        <v>1.54</v>
      </c>
      <c r="BO57" s="128">
        <v>1.54</v>
      </c>
      <c r="BP57" s="128">
        <v>1.54</v>
      </c>
      <c r="BQ57" s="128">
        <v>1.54</v>
      </c>
      <c r="BR57" s="128">
        <v>1.54</v>
      </c>
      <c r="BS57" s="128">
        <v>1.54</v>
      </c>
      <c r="BT57" s="128">
        <v>1.54</v>
      </c>
      <c r="BU57" s="128">
        <v>1.54</v>
      </c>
      <c r="BV57" s="128">
        <v>1.54</v>
      </c>
      <c r="BW57" s="128">
        <v>1.54</v>
      </c>
      <c r="BX57" s="128">
        <v>1.54</v>
      </c>
      <c r="BY57" s="128">
        <v>1.54</v>
      </c>
      <c r="BZ57" s="128">
        <v>1.54</v>
      </c>
      <c r="CA57" s="128">
        <v>1.54</v>
      </c>
      <c r="CB57" s="128">
        <v>1.54</v>
      </c>
      <c r="CC57" s="128">
        <v>1.54</v>
      </c>
      <c r="CD57" s="128">
        <v>1.54</v>
      </c>
      <c r="CE57" s="128">
        <v>1.54</v>
      </c>
      <c r="CF57" s="128">
        <v>1.54</v>
      </c>
      <c r="CG57" s="128">
        <v>1.54</v>
      </c>
      <c r="CH57" s="128">
        <v>1.54</v>
      </c>
      <c r="CI57" s="128">
        <v>1.54</v>
      </c>
      <c r="CJ57" s="128">
        <v>1.54</v>
      </c>
      <c r="CK57" s="128">
        <v>1.54</v>
      </c>
      <c r="CL57" s="128">
        <v>1.54</v>
      </c>
      <c r="CM57" s="128">
        <v>1.54</v>
      </c>
      <c r="CN57" s="128">
        <v>1.54</v>
      </c>
      <c r="CO57" s="128">
        <v>1.54</v>
      </c>
      <c r="CP57" s="128">
        <v>1.54</v>
      </c>
      <c r="CQ57" s="128">
        <v>1.54</v>
      </c>
      <c r="CR57" s="128">
        <v>1.54</v>
      </c>
      <c r="CS57" s="128">
        <v>1.54</v>
      </c>
      <c r="CT57" s="128">
        <v>1.54</v>
      </c>
      <c r="CU57" s="128">
        <v>1.54</v>
      </c>
      <c r="CV57" s="128">
        <v>1.54</v>
      </c>
      <c r="CW57" s="128">
        <v>1.54</v>
      </c>
      <c r="CX57" s="128">
        <v>1.54</v>
      </c>
      <c r="CZ57" s="126">
        <f>SUMIF(MatrixF3[[1]:[2]],MatrixF3[[#This Row],[Столбец1]])/MatrixF3[[#This Row],[Столбец1]]</f>
        <v>108.00000000000003</v>
      </c>
    </row>
    <row r="58" spans="1:104" ht="21" customHeight="1" x14ac:dyDescent="0.25">
      <c r="A58" s="127">
        <v>1.55</v>
      </c>
      <c r="B58" s="128">
        <v>1.55</v>
      </c>
      <c r="C58" s="128">
        <v>1.55</v>
      </c>
      <c r="D58" s="128">
        <v>1.55</v>
      </c>
      <c r="E58" s="128">
        <v>1.55</v>
      </c>
      <c r="F58" s="128">
        <v>1.55</v>
      </c>
      <c r="G58" s="128">
        <v>1.55</v>
      </c>
      <c r="H58" s="128">
        <v>1.55</v>
      </c>
      <c r="I58" s="128">
        <v>1.55</v>
      </c>
      <c r="J58" s="128">
        <v>1.55</v>
      </c>
      <c r="K58" s="128">
        <v>1.55</v>
      </c>
      <c r="L58" s="128">
        <v>1.55</v>
      </c>
      <c r="M58" s="128">
        <v>1.55</v>
      </c>
      <c r="N58" s="128">
        <v>1.55</v>
      </c>
      <c r="O58" s="128">
        <v>1.55</v>
      </c>
      <c r="P58" s="128">
        <v>1.55</v>
      </c>
      <c r="Q58" s="128">
        <v>1.55</v>
      </c>
      <c r="R58" s="128">
        <v>1.55</v>
      </c>
      <c r="S58" s="128">
        <v>1.55</v>
      </c>
      <c r="T58" s="128">
        <v>1.55</v>
      </c>
      <c r="U58" s="128">
        <v>1.55</v>
      </c>
      <c r="V58" s="128">
        <v>1.55</v>
      </c>
      <c r="W58" s="128">
        <v>1.55</v>
      </c>
      <c r="X58" s="128">
        <v>1.55</v>
      </c>
      <c r="Y58" s="128">
        <v>1.55</v>
      </c>
      <c r="Z58" s="128">
        <v>1.55</v>
      </c>
      <c r="AA58" s="128">
        <v>1.55</v>
      </c>
      <c r="AB58" s="128">
        <v>1.55</v>
      </c>
      <c r="AC58" s="128">
        <v>1.55</v>
      </c>
      <c r="AD58" s="128">
        <v>1.55</v>
      </c>
      <c r="AE58" s="128">
        <v>1.55</v>
      </c>
      <c r="AF58" s="128">
        <v>1.55</v>
      </c>
      <c r="AG58" s="128">
        <v>1.55</v>
      </c>
      <c r="AH58" s="128">
        <v>1.55</v>
      </c>
      <c r="AI58" s="128">
        <v>1.55</v>
      </c>
      <c r="AJ58" s="128">
        <v>1.55</v>
      </c>
      <c r="AK58" s="128">
        <v>1.55</v>
      </c>
      <c r="AL58" s="128">
        <v>1.55</v>
      </c>
      <c r="AM58" s="128">
        <v>1.55</v>
      </c>
      <c r="AN58" s="128">
        <v>1.55</v>
      </c>
      <c r="AO58" s="128">
        <v>1.55</v>
      </c>
      <c r="AP58" s="128">
        <v>1.55</v>
      </c>
      <c r="AQ58" s="128">
        <v>1.55</v>
      </c>
      <c r="AR58" s="128">
        <v>1.55</v>
      </c>
      <c r="AS58" s="128">
        <v>1.55</v>
      </c>
      <c r="AT58" s="128">
        <v>1.55</v>
      </c>
      <c r="AU58" s="128">
        <v>1.55</v>
      </c>
      <c r="AV58" s="128">
        <v>1.55</v>
      </c>
      <c r="AW58" s="128">
        <v>1.54</v>
      </c>
      <c r="AX58" s="128">
        <v>1.54</v>
      </c>
      <c r="AY58" s="128">
        <v>1.53</v>
      </c>
      <c r="AZ58" s="128">
        <v>1.53</v>
      </c>
      <c r="BA58" s="128">
        <v>1.53</v>
      </c>
      <c r="BB58" s="128">
        <v>1.54</v>
      </c>
      <c r="BC58" s="128">
        <v>1.54</v>
      </c>
      <c r="BD58" s="128">
        <v>1.55</v>
      </c>
      <c r="BE58" s="128">
        <v>1.55</v>
      </c>
      <c r="BF58" s="128">
        <v>1.55</v>
      </c>
      <c r="BG58" s="128">
        <v>1.55</v>
      </c>
      <c r="BH58" s="128">
        <v>1.55</v>
      </c>
      <c r="BI58" s="128">
        <v>1.55</v>
      </c>
      <c r="BJ58" s="128">
        <v>1.55</v>
      </c>
      <c r="BK58" s="128">
        <v>1.55</v>
      </c>
      <c r="BL58" s="128">
        <v>1.55</v>
      </c>
      <c r="BM58" s="128">
        <v>1.55</v>
      </c>
      <c r="BN58" s="128">
        <v>1.55</v>
      </c>
      <c r="BO58" s="128">
        <v>1.55</v>
      </c>
      <c r="BP58" s="128">
        <v>1.55</v>
      </c>
      <c r="BQ58" s="128">
        <v>1.55</v>
      </c>
      <c r="BR58" s="128">
        <v>1.55</v>
      </c>
      <c r="BS58" s="128">
        <v>1.55</v>
      </c>
      <c r="BT58" s="128">
        <v>1.55</v>
      </c>
      <c r="BU58" s="128">
        <v>1.55</v>
      </c>
      <c r="BV58" s="128">
        <v>1.55</v>
      </c>
      <c r="BW58" s="128">
        <v>1.55</v>
      </c>
      <c r="BX58" s="128">
        <v>1.55</v>
      </c>
      <c r="BY58" s="128">
        <v>1.55</v>
      </c>
      <c r="BZ58" s="128">
        <v>1.55</v>
      </c>
      <c r="CA58" s="128">
        <v>1.55</v>
      </c>
      <c r="CB58" s="128">
        <v>1.55</v>
      </c>
      <c r="CC58" s="128">
        <v>1.55</v>
      </c>
      <c r="CD58" s="128">
        <v>1.55</v>
      </c>
      <c r="CE58" s="128">
        <v>1.55</v>
      </c>
      <c r="CF58" s="128">
        <v>1.55</v>
      </c>
      <c r="CG58" s="128">
        <v>1.55</v>
      </c>
      <c r="CH58" s="128">
        <v>1.55</v>
      </c>
      <c r="CI58" s="128">
        <v>1.55</v>
      </c>
      <c r="CJ58" s="128">
        <v>1.55</v>
      </c>
      <c r="CK58" s="128">
        <v>1.55</v>
      </c>
      <c r="CL58" s="128">
        <v>1.55</v>
      </c>
      <c r="CM58" s="128">
        <v>1.55</v>
      </c>
      <c r="CN58" s="128">
        <v>1.55</v>
      </c>
      <c r="CO58" s="128">
        <v>1.55</v>
      </c>
      <c r="CP58" s="128">
        <v>1.55</v>
      </c>
      <c r="CQ58" s="128">
        <v>1.55</v>
      </c>
      <c r="CR58" s="128">
        <v>1.55</v>
      </c>
      <c r="CS58" s="128">
        <v>1.55</v>
      </c>
      <c r="CT58" s="128">
        <v>1.55</v>
      </c>
      <c r="CU58" s="128">
        <v>1.55</v>
      </c>
      <c r="CV58" s="128">
        <v>1.55</v>
      </c>
      <c r="CW58" s="128">
        <v>1.55</v>
      </c>
      <c r="CX58" s="128">
        <v>1.55</v>
      </c>
      <c r="CZ58" s="126">
        <f>SUMIF(MatrixF3[[1]:[2]],MatrixF3[[#This Row],[Столбец1]])/MatrixF3[[#This Row],[Столбец1]]</f>
        <v>109.00000000000009</v>
      </c>
    </row>
    <row r="59" spans="1:104" ht="21" customHeight="1" x14ac:dyDescent="0.25">
      <c r="A59" s="127">
        <v>1.56</v>
      </c>
      <c r="B59" s="128">
        <v>1.56</v>
      </c>
      <c r="C59" s="128">
        <v>1.56</v>
      </c>
      <c r="D59" s="128">
        <v>1.56</v>
      </c>
      <c r="E59" s="128">
        <v>1.56</v>
      </c>
      <c r="F59" s="128">
        <v>1.56</v>
      </c>
      <c r="G59" s="128">
        <v>1.56</v>
      </c>
      <c r="H59" s="128">
        <v>1.56</v>
      </c>
      <c r="I59" s="128">
        <v>1.56</v>
      </c>
      <c r="J59" s="128">
        <v>1.56</v>
      </c>
      <c r="K59" s="128">
        <v>1.56</v>
      </c>
      <c r="L59" s="128">
        <v>1.56</v>
      </c>
      <c r="M59" s="128">
        <v>1.56</v>
      </c>
      <c r="N59" s="128">
        <v>1.56</v>
      </c>
      <c r="O59" s="128">
        <v>1.56</v>
      </c>
      <c r="P59" s="128">
        <v>1.56</v>
      </c>
      <c r="Q59" s="128">
        <v>1.56</v>
      </c>
      <c r="R59" s="128">
        <v>1.56</v>
      </c>
      <c r="S59" s="128">
        <v>1.56</v>
      </c>
      <c r="T59" s="128">
        <v>1.56</v>
      </c>
      <c r="U59" s="128">
        <v>1.56</v>
      </c>
      <c r="V59" s="128">
        <v>1.56</v>
      </c>
      <c r="W59" s="128">
        <v>1.56</v>
      </c>
      <c r="X59" s="128">
        <v>1.56</v>
      </c>
      <c r="Y59" s="128">
        <v>1.56</v>
      </c>
      <c r="Z59" s="128">
        <v>1.56</v>
      </c>
      <c r="AA59" s="128">
        <v>1.56</v>
      </c>
      <c r="AB59" s="128">
        <v>1.56</v>
      </c>
      <c r="AC59" s="128">
        <v>1.56</v>
      </c>
      <c r="AD59" s="128">
        <v>1.56</v>
      </c>
      <c r="AE59" s="128">
        <v>1.56</v>
      </c>
      <c r="AF59" s="128">
        <v>1.56</v>
      </c>
      <c r="AG59" s="128">
        <v>1.56</v>
      </c>
      <c r="AH59" s="128">
        <v>1.56</v>
      </c>
      <c r="AI59" s="128">
        <v>1.56</v>
      </c>
      <c r="AJ59" s="128">
        <v>1.56</v>
      </c>
      <c r="AK59" s="128">
        <v>1.56</v>
      </c>
      <c r="AL59" s="128">
        <v>1.56</v>
      </c>
      <c r="AM59" s="128">
        <v>1.56</v>
      </c>
      <c r="AN59" s="128">
        <v>1.56</v>
      </c>
      <c r="AO59" s="128">
        <v>1.56</v>
      </c>
      <c r="AP59" s="128">
        <v>1.56</v>
      </c>
      <c r="AQ59" s="128">
        <v>1.56</v>
      </c>
      <c r="AR59" s="128">
        <v>1.56</v>
      </c>
      <c r="AS59" s="128">
        <v>1.56</v>
      </c>
      <c r="AT59" s="128">
        <v>1.56</v>
      </c>
      <c r="AU59" s="128">
        <v>1.56</v>
      </c>
      <c r="AV59" s="128">
        <v>1.55</v>
      </c>
      <c r="AW59" s="128">
        <v>1.55</v>
      </c>
      <c r="AX59" s="128">
        <v>1.54</v>
      </c>
      <c r="AY59" s="128">
        <v>1.54</v>
      </c>
      <c r="AZ59" s="128">
        <v>1.53</v>
      </c>
      <c r="BA59" s="128">
        <v>1.54</v>
      </c>
      <c r="BB59" s="128">
        <v>1.54</v>
      </c>
      <c r="BC59" s="128">
        <v>1.55</v>
      </c>
      <c r="BD59" s="128">
        <v>1.55</v>
      </c>
      <c r="BE59" s="128">
        <v>1.56</v>
      </c>
      <c r="BF59" s="128">
        <v>1.56</v>
      </c>
      <c r="BG59" s="128">
        <v>1.56</v>
      </c>
      <c r="BH59" s="128">
        <v>1.56</v>
      </c>
      <c r="BI59" s="128">
        <v>1.56</v>
      </c>
      <c r="BJ59" s="128">
        <v>1.56</v>
      </c>
      <c r="BK59" s="128">
        <v>1.56</v>
      </c>
      <c r="BL59" s="128">
        <v>1.56</v>
      </c>
      <c r="BM59" s="128">
        <v>1.56</v>
      </c>
      <c r="BN59" s="128">
        <v>1.56</v>
      </c>
      <c r="BO59" s="128">
        <v>1.56</v>
      </c>
      <c r="BP59" s="128">
        <v>1.56</v>
      </c>
      <c r="BQ59" s="128">
        <v>1.56</v>
      </c>
      <c r="BR59" s="128">
        <v>1.56</v>
      </c>
      <c r="BS59" s="128">
        <v>1.56</v>
      </c>
      <c r="BT59" s="128">
        <v>1.56</v>
      </c>
      <c r="BU59" s="128">
        <v>1.56</v>
      </c>
      <c r="BV59" s="128">
        <v>1.56</v>
      </c>
      <c r="BW59" s="128">
        <v>1.56</v>
      </c>
      <c r="BX59" s="128">
        <v>1.56</v>
      </c>
      <c r="BY59" s="128">
        <v>1.56</v>
      </c>
      <c r="BZ59" s="128">
        <v>1.56</v>
      </c>
      <c r="CA59" s="128">
        <v>1.56</v>
      </c>
      <c r="CB59" s="128">
        <v>1.56</v>
      </c>
      <c r="CC59" s="128">
        <v>1.56</v>
      </c>
      <c r="CD59" s="128">
        <v>1.56</v>
      </c>
      <c r="CE59" s="128">
        <v>1.56</v>
      </c>
      <c r="CF59" s="128">
        <v>1.56</v>
      </c>
      <c r="CG59" s="128">
        <v>1.56</v>
      </c>
      <c r="CH59" s="128">
        <v>1.56</v>
      </c>
      <c r="CI59" s="128">
        <v>1.56</v>
      </c>
      <c r="CJ59" s="128">
        <v>1.56</v>
      </c>
      <c r="CK59" s="128">
        <v>1.56</v>
      </c>
      <c r="CL59" s="128">
        <v>1.56</v>
      </c>
      <c r="CM59" s="128">
        <v>1.56</v>
      </c>
      <c r="CN59" s="128">
        <v>1.56</v>
      </c>
      <c r="CO59" s="128">
        <v>1.56</v>
      </c>
      <c r="CP59" s="128">
        <v>1.56</v>
      </c>
      <c r="CQ59" s="128">
        <v>1.56</v>
      </c>
      <c r="CR59" s="128">
        <v>1.56</v>
      </c>
      <c r="CS59" s="128">
        <v>1.56</v>
      </c>
      <c r="CT59" s="128">
        <v>1.56</v>
      </c>
      <c r="CU59" s="128">
        <v>1.56</v>
      </c>
      <c r="CV59" s="128">
        <v>1.56</v>
      </c>
      <c r="CW59" s="128">
        <v>1.56</v>
      </c>
      <c r="CX59" s="128">
        <v>1.56</v>
      </c>
      <c r="CZ59" s="126">
        <f>SUMIF(MatrixF3[[1]:[2]],MatrixF3[[#This Row],[Столбец1]])/MatrixF3[[#This Row],[Столбец1]]</f>
        <v>108.00000000000011</v>
      </c>
    </row>
    <row r="60" spans="1:104" ht="21" customHeight="1" x14ac:dyDescent="0.25">
      <c r="A60" s="127">
        <v>1.57</v>
      </c>
      <c r="B60" s="128">
        <v>1.57</v>
      </c>
      <c r="C60" s="128">
        <v>1.57</v>
      </c>
      <c r="D60" s="128">
        <v>1.57</v>
      </c>
      <c r="E60" s="128">
        <v>1.57</v>
      </c>
      <c r="F60" s="128">
        <v>1.57</v>
      </c>
      <c r="G60" s="128">
        <v>1.57</v>
      </c>
      <c r="H60" s="128">
        <v>1.57</v>
      </c>
      <c r="I60" s="128">
        <v>1.57</v>
      </c>
      <c r="J60" s="128">
        <v>1.57</v>
      </c>
      <c r="K60" s="128">
        <v>1.57</v>
      </c>
      <c r="L60" s="128">
        <v>1.57</v>
      </c>
      <c r="M60" s="128">
        <v>1.57</v>
      </c>
      <c r="N60" s="128">
        <v>1.57</v>
      </c>
      <c r="O60" s="128">
        <v>1.57</v>
      </c>
      <c r="P60" s="128">
        <v>1.57</v>
      </c>
      <c r="Q60" s="128">
        <v>1.57</v>
      </c>
      <c r="R60" s="128">
        <v>1.57</v>
      </c>
      <c r="S60" s="128">
        <v>1.57</v>
      </c>
      <c r="T60" s="128">
        <v>1.57</v>
      </c>
      <c r="U60" s="128">
        <v>1.57</v>
      </c>
      <c r="V60" s="128">
        <v>1.57</v>
      </c>
      <c r="W60" s="128">
        <v>1.57</v>
      </c>
      <c r="X60" s="128">
        <v>1.57</v>
      </c>
      <c r="Y60" s="128">
        <v>1.57</v>
      </c>
      <c r="Z60" s="128">
        <v>1.57</v>
      </c>
      <c r="AA60" s="128">
        <v>1.57</v>
      </c>
      <c r="AB60" s="128">
        <v>1.57</v>
      </c>
      <c r="AC60" s="128">
        <v>1.57</v>
      </c>
      <c r="AD60" s="128">
        <v>1.57</v>
      </c>
      <c r="AE60" s="128">
        <v>1.57</v>
      </c>
      <c r="AF60" s="128">
        <v>1.57</v>
      </c>
      <c r="AG60" s="128">
        <v>1.57</v>
      </c>
      <c r="AH60" s="128">
        <v>1.57</v>
      </c>
      <c r="AI60" s="128">
        <v>1.57</v>
      </c>
      <c r="AJ60" s="128">
        <v>1.57</v>
      </c>
      <c r="AK60" s="128">
        <v>1.57</v>
      </c>
      <c r="AL60" s="128">
        <v>1.57</v>
      </c>
      <c r="AM60" s="128">
        <v>1.57</v>
      </c>
      <c r="AN60" s="128">
        <v>1.57</v>
      </c>
      <c r="AO60" s="128">
        <v>1.57</v>
      </c>
      <c r="AP60" s="128">
        <v>1.57</v>
      </c>
      <c r="AQ60" s="128">
        <v>1.57</v>
      </c>
      <c r="AR60" s="128">
        <v>1.57</v>
      </c>
      <c r="AS60" s="128">
        <v>1.57</v>
      </c>
      <c r="AT60" s="128">
        <v>1.57</v>
      </c>
      <c r="AU60" s="128">
        <v>1.56</v>
      </c>
      <c r="AV60" s="128">
        <v>1.56</v>
      </c>
      <c r="AW60" s="128">
        <v>1.55</v>
      </c>
      <c r="AX60" s="128">
        <v>1.55</v>
      </c>
      <c r="AY60" s="128">
        <v>1.54</v>
      </c>
      <c r="AZ60" s="128">
        <v>1.54</v>
      </c>
      <c r="BA60" s="128">
        <v>1.54</v>
      </c>
      <c r="BB60" s="128">
        <v>1.55</v>
      </c>
      <c r="BC60" s="128">
        <v>1.55</v>
      </c>
      <c r="BD60" s="128">
        <v>1.56</v>
      </c>
      <c r="BE60" s="128">
        <v>1.56</v>
      </c>
      <c r="BF60" s="128">
        <v>1.57</v>
      </c>
      <c r="BG60" s="128">
        <v>1.57</v>
      </c>
      <c r="BH60" s="128">
        <v>1.57</v>
      </c>
      <c r="BI60" s="128">
        <v>1.57</v>
      </c>
      <c r="BJ60" s="128">
        <v>1.57</v>
      </c>
      <c r="BK60" s="128">
        <v>1.57</v>
      </c>
      <c r="BL60" s="128">
        <v>1.57</v>
      </c>
      <c r="BM60" s="128">
        <v>1.57</v>
      </c>
      <c r="BN60" s="128">
        <v>1.57</v>
      </c>
      <c r="BO60" s="128">
        <v>1.57</v>
      </c>
      <c r="BP60" s="128">
        <v>1.57</v>
      </c>
      <c r="BQ60" s="128">
        <v>1.57</v>
      </c>
      <c r="BR60" s="128">
        <v>1.57</v>
      </c>
      <c r="BS60" s="128">
        <v>1.57</v>
      </c>
      <c r="BT60" s="128">
        <v>1.57</v>
      </c>
      <c r="BU60" s="128">
        <v>1.57</v>
      </c>
      <c r="BV60" s="128">
        <v>1.57</v>
      </c>
      <c r="BW60" s="128">
        <v>1.57</v>
      </c>
      <c r="BX60" s="128">
        <v>1.57</v>
      </c>
      <c r="BY60" s="128">
        <v>1.57</v>
      </c>
      <c r="BZ60" s="128">
        <v>1.57</v>
      </c>
      <c r="CA60" s="128">
        <v>1.57</v>
      </c>
      <c r="CB60" s="128">
        <v>1.57</v>
      </c>
      <c r="CC60" s="128">
        <v>1.57</v>
      </c>
      <c r="CD60" s="128">
        <v>1.57</v>
      </c>
      <c r="CE60" s="128">
        <v>1.57</v>
      </c>
      <c r="CF60" s="128">
        <v>1.57</v>
      </c>
      <c r="CG60" s="128">
        <v>1.57</v>
      </c>
      <c r="CH60" s="128">
        <v>1.57</v>
      </c>
      <c r="CI60" s="128">
        <v>1.57</v>
      </c>
      <c r="CJ60" s="128">
        <v>1.57</v>
      </c>
      <c r="CK60" s="128">
        <v>1.57</v>
      </c>
      <c r="CL60" s="128">
        <v>1.57</v>
      </c>
      <c r="CM60" s="128">
        <v>1.57</v>
      </c>
      <c r="CN60" s="128">
        <v>1.57</v>
      </c>
      <c r="CO60" s="128">
        <v>1.57</v>
      </c>
      <c r="CP60" s="128">
        <v>1.57</v>
      </c>
      <c r="CQ60" s="128">
        <v>1.57</v>
      </c>
      <c r="CR60" s="128">
        <v>1.57</v>
      </c>
      <c r="CS60" s="128">
        <v>1.57</v>
      </c>
      <c r="CT60" s="128">
        <v>1.57</v>
      </c>
      <c r="CU60" s="128">
        <v>1.57</v>
      </c>
      <c r="CV60" s="128">
        <v>1.57</v>
      </c>
      <c r="CW60" s="128">
        <v>1.57</v>
      </c>
      <c r="CX60" s="128">
        <v>1.57</v>
      </c>
      <c r="CZ60" s="126">
        <f>SUMIF(MatrixF3[[1]:[2]],MatrixF3[[#This Row],[Столбец1]])/MatrixF3[[#This Row],[Столбец1]]</f>
        <v>111.99999999999969</v>
      </c>
    </row>
    <row r="61" spans="1:104" ht="21" customHeight="1" x14ac:dyDescent="0.25">
      <c r="A61" s="127">
        <v>1.58</v>
      </c>
      <c r="B61" s="128">
        <v>1.58</v>
      </c>
      <c r="C61" s="128">
        <v>1.58</v>
      </c>
      <c r="D61" s="128">
        <v>1.58</v>
      </c>
      <c r="E61" s="128">
        <v>1.58</v>
      </c>
      <c r="F61" s="128">
        <v>1.58</v>
      </c>
      <c r="G61" s="128">
        <v>1.58</v>
      </c>
      <c r="H61" s="128">
        <v>1.58</v>
      </c>
      <c r="I61" s="128">
        <v>1.58</v>
      </c>
      <c r="J61" s="128">
        <v>1.58</v>
      </c>
      <c r="K61" s="128">
        <v>1.58</v>
      </c>
      <c r="L61" s="128">
        <v>1.58</v>
      </c>
      <c r="M61" s="128">
        <v>1.58</v>
      </c>
      <c r="N61" s="128">
        <v>1.58</v>
      </c>
      <c r="O61" s="128">
        <v>1.58</v>
      </c>
      <c r="P61" s="128">
        <v>1.58</v>
      </c>
      <c r="Q61" s="128">
        <v>1.58</v>
      </c>
      <c r="R61" s="128">
        <v>1.58</v>
      </c>
      <c r="S61" s="128">
        <v>1.58</v>
      </c>
      <c r="T61" s="128">
        <v>1.58</v>
      </c>
      <c r="U61" s="128">
        <v>1.58</v>
      </c>
      <c r="V61" s="128">
        <v>1.58</v>
      </c>
      <c r="W61" s="128">
        <v>1.58</v>
      </c>
      <c r="X61" s="128">
        <v>1.58</v>
      </c>
      <c r="Y61" s="128">
        <v>1.58</v>
      </c>
      <c r="Z61" s="128">
        <v>1.58</v>
      </c>
      <c r="AA61" s="128">
        <v>1.58</v>
      </c>
      <c r="AB61" s="128">
        <v>1.58</v>
      </c>
      <c r="AC61" s="128">
        <v>1.58</v>
      </c>
      <c r="AD61" s="128">
        <v>1.58</v>
      </c>
      <c r="AE61" s="128">
        <v>1.58</v>
      </c>
      <c r="AF61" s="128">
        <v>1.58</v>
      </c>
      <c r="AG61" s="128">
        <v>1.58</v>
      </c>
      <c r="AH61" s="128">
        <v>1.58</v>
      </c>
      <c r="AI61" s="128">
        <v>1.58</v>
      </c>
      <c r="AJ61" s="128">
        <v>1.58</v>
      </c>
      <c r="AK61" s="128">
        <v>1.58</v>
      </c>
      <c r="AL61" s="128">
        <v>1.58</v>
      </c>
      <c r="AM61" s="128">
        <v>1.58</v>
      </c>
      <c r="AN61" s="128">
        <v>1.58</v>
      </c>
      <c r="AO61" s="128">
        <v>1.58</v>
      </c>
      <c r="AP61" s="128">
        <v>1.58</v>
      </c>
      <c r="AQ61" s="128">
        <v>1.58</v>
      </c>
      <c r="AR61" s="128">
        <v>1.58</v>
      </c>
      <c r="AS61" s="128">
        <v>1.58</v>
      </c>
      <c r="AT61" s="128">
        <v>1.57</v>
      </c>
      <c r="AU61" s="128">
        <v>1.57</v>
      </c>
      <c r="AV61" s="128">
        <v>1.56</v>
      </c>
      <c r="AW61" s="128">
        <v>1.56</v>
      </c>
      <c r="AX61" s="128">
        <v>1.55</v>
      </c>
      <c r="AY61" s="128">
        <v>1.55</v>
      </c>
      <c r="AZ61" s="128">
        <v>1.54</v>
      </c>
      <c r="BA61" s="128">
        <v>1.55</v>
      </c>
      <c r="BB61" s="128">
        <v>1.55</v>
      </c>
      <c r="BC61" s="128">
        <v>1.56</v>
      </c>
      <c r="BD61" s="128">
        <v>1.56</v>
      </c>
      <c r="BE61" s="128">
        <v>1.57</v>
      </c>
      <c r="BF61" s="128">
        <v>1.57</v>
      </c>
      <c r="BG61" s="128">
        <v>1.58</v>
      </c>
      <c r="BH61" s="128">
        <v>1.58</v>
      </c>
      <c r="BI61" s="128">
        <v>1.58</v>
      </c>
      <c r="BJ61" s="128">
        <v>1.58</v>
      </c>
      <c r="BK61" s="128">
        <v>1.58</v>
      </c>
      <c r="BL61" s="128">
        <v>1.58</v>
      </c>
      <c r="BM61" s="128">
        <v>1.58</v>
      </c>
      <c r="BN61" s="128">
        <v>1.58</v>
      </c>
      <c r="BO61" s="128">
        <v>1.58</v>
      </c>
      <c r="BP61" s="128">
        <v>1.58</v>
      </c>
      <c r="BQ61" s="128">
        <v>1.58</v>
      </c>
      <c r="BR61" s="128">
        <v>1.58</v>
      </c>
      <c r="BS61" s="128">
        <v>1.58</v>
      </c>
      <c r="BT61" s="128">
        <v>1.58</v>
      </c>
      <c r="BU61" s="128">
        <v>1.58</v>
      </c>
      <c r="BV61" s="128">
        <v>1.58</v>
      </c>
      <c r="BW61" s="128">
        <v>1.58</v>
      </c>
      <c r="BX61" s="128">
        <v>1.58</v>
      </c>
      <c r="BY61" s="128">
        <v>1.58</v>
      </c>
      <c r="BZ61" s="128">
        <v>1.58</v>
      </c>
      <c r="CA61" s="128">
        <v>1.58</v>
      </c>
      <c r="CB61" s="128">
        <v>1.58</v>
      </c>
      <c r="CC61" s="128">
        <v>1.58</v>
      </c>
      <c r="CD61" s="128">
        <v>1.58</v>
      </c>
      <c r="CE61" s="128">
        <v>1.58</v>
      </c>
      <c r="CF61" s="128">
        <v>1.58</v>
      </c>
      <c r="CG61" s="128">
        <v>1.58</v>
      </c>
      <c r="CH61" s="128">
        <v>1.58</v>
      </c>
      <c r="CI61" s="128">
        <v>1.58</v>
      </c>
      <c r="CJ61" s="128">
        <v>1.58</v>
      </c>
      <c r="CK61" s="128">
        <v>1.58</v>
      </c>
      <c r="CL61" s="128">
        <v>1.58</v>
      </c>
      <c r="CM61" s="128">
        <v>1.58</v>
      </c>
      <c r="CN61" s="128">
        <v>1.58</v>
      </c>
      <c r="CO61" s="128">
        <v>1.58</v>
      </c>
      <c r="CP61" s="128">
        <v>1.58</v>
      </c>
      <c r="CQ61" s="128">
        <v>1.58</v>
      </c>
      <c r="CR61" s="128">
        <v>1.58</v>
      </c>
      <c r="CS61" s="128">
        <v>1.58</v>
      </c>
      <c r="CT61" s="128">
        <v>1.58</v>
      </c>
      <c r="CU61" s="128">
        <v>1.58</v>
      </c>
      <c r="CV61" s="128">
        <v>1.58</v>
      </c>
      <c r="CW61" s="128">
        <v>1.58</v>
      </c>
      <c r="CX61" s="128">
        <v>1.58</v>
      </c>
      <c r="CZ61" s="126">
        <f>SUMIF(MatrixF3[[1]:[2]],MatrixF3[[#This Row],[Столбец1]])/MatrixF3[[#This Row],[Столбец1]]</f>
        <v>109.00000000000014</v>
      </c>
    </row>
    <row r="62" spans="1:104" ht="21" customHeight="1" x14ac:dyDescent="0.25">
      <c r="A62" s="127">
        <v>1.59</v>
      </c>
      <c r="B62" s="128">
        <v>1.59</v>
      </c>
      <c r="C62" s="128">
        <v>1.59</v>
      </c>
      <c r="D62" s="128">
        <v>1.59</v>
      </c>
      <c r="E62" s="128">
        <v>1.59</v>
      </c>
      <c r="F62" s="128">
        <v>1.59</v>
      </c>
      <c r="G62" s="128">
        <v>1.59</v>
      </c>
      <c r="H62" s="128">
        <v>1.59</v>
      </c>
      <c r="I62" s="128">
        <v>1.59</v>
      </c>
      <c r="J62" s="128">
        <v>1.59</v>
      </c>
      <c r="K62" s="128">
        <v>1.59</v>
      </c>
      <c r="L62" s="128">
        <v>1.59</v>
      </c>
      <c r="M62" s="128">
        <v>1.59</v>
      </c>
      <c r="N62" s="128">
        <v>1.59</v>
      </c>
      <c r="O62" s="128">
        <v>1.59</v>
      </c>
      <c r="P62" s="128">
        <v>1.59</v>
      </c>
      <c r="Q62" s="128">
        <v>1.59</v>
      </c>
      <c r="R62" s="128">
        <v>1.59</v>
      </c>
      <c r="S62" s="128">
        <v>1.59</v>
      </c>
      <c r="T62" s="128">
        <v>1.59</v>
      </c>
      <c r="U62" s="128">
        <v>1.59</v>
      </c>
      <c r="V62" s="128">
        <v>1.59</v>
      </c>
      <c r="W62" s="128">
        <v>1.59</v>
      </c>
      <c r="X62" s="128">
        <v>1.59</v>
      </c>
      <c r="Y62" s="128">
        <v>1.59</v>
      </c>
      <c r="Z62" s="128">
        <v>1.59</v>
      </c>
      <c r="AA62" s="128">
        <v>1.59</v>
      </c>
      <c r="AB62" s="128">
        <v>1.59</v>
      </c>
      <c r="AC62" s="128">
        <v>1.59</v>
      </c>
      <c r="AD62" s="128">
        <v>1.59</v>
      </c>
      <c r="AE62" s="128">
        <v>1.59</v>
      </c>
      <c r="AF62" s="128">
        <v>1.59</v>
      </c>
      <c r="AG62" s="128">
        <v>1.59</v>
      </c>
      <c r="AH62" s="128">
        <v>1.59</v>
      </c>
      <c r="AI62" s="128">
        <v>1.59</v>
      </c>
      <c r="AJ62" s="128">
        <v>1.59</v>
      </c>
      <c r="AK62" s="128">
        <v>1.59</v>
      </c>
      <c r="AL62" s="128">
        <v>1.59</v>
      </c>
      <c r="AM62" s="128">
        <v>1.59</v>
      </c>
      <c r="AN62" s="128">
        <v>1.59</v>
      </c>
      <c r="AO62" s="128">
        <v>1.59</v>
      </c>
      <c r="AP62" s="128">
        <v>1.59</v>
      </c>
      <c r="AQ62" s="128">
        <v>1.59</v>
      </c>
      <c r="AR62" s="128">
        <v>1.59</v>
      </c>
      <c r="AS62" s="128">
        <v>1.58</v>
      </c>
      <c r="AT62" s="128">
        <v>1.58</v>
      </c>
      <c r="AU62" s="128">
        <v>1.57</v>
      </c>
      <c r="AV62" s="128">
        <v>1.57</v>
      </c>
      <c r="AW62" s="128">
        <v>1.56</v>
      </c>
      <c r="AX62" s="128">
        <v>1.56</v>
      </c>
      <c r="AY62" s="128">
        <v>1.55</v>
      </c>
      <c r="AZ62" s="128">
        <v>1.55</v>
      </c>
      <c r="BA62" s="128">
        <v>1.55</v>
      </c>
      <c r="BB62" s="128">
        <v>1.56</v>
      </c>
      <c r="BC62" s="128">
        <v>1.56</v>
      </c>
      <c r="BD62" s="128">
        <v>1.57</v>
      </c>
      <c r="BE62" s="128">
        <v>1.57</v>
      </c>
      <c r="BF62" s="128">
        <v>1.58</v>
      </c>
      <c r="BG62" s="128">
        <v>1.58</v>
      </c>
      <c r="BH62" s="128">
        <v>1.59</v>
      </c>
      <c r="BI62" s="128">
        <v>1.59</v>
      </c>
      <c r="BJ62" s="128">
        <v>1.59</v>
      </c>
      <c r="BK62" s="128">
        <v>1.59</v>
      </c>
      <c r="BL62" s="128">
        <v>1.59</v>
      </c>
      <c r="BM62" s="128">
        <v>1.59</v>
      </c>
      <c r="BN62" s="128">
        <v>1.59</v>
      </c>
      <c r="BO62" s="128">
        <v>1.59</v>
      </c>
      <c r="BP62" s="128">
        <v>1.59</v>
      </c>
      <c r="BQ62" s="128">
        <v>1.59</v>
      </c>
      <c r="BR62" s="128">
        <v>1.59</v>
      </c>
      <c r="BS62" s="128">
        <v>1.59</v>
      </c>
      <c r="BT62" s="128">
        <v>1.59</v>
      </c>
      <c r="BU62" s="128">
        <v>1.59</v>
      </c>
      <c r="BV62" s="128">
        <v>1.59</v>
      </c>
      <c r="BW62" s="128">
        <v>1.59</v>
      </c>
      <c r="BX62" s="128">
        <v>1.59</v>
      </c>
      <c r="BY62" s="128">
        <v>1.59</v>
      </c>
      <c r="BZ62" s="128">
        <v>1.59</v>
      </c>
      <c r="CA62" s="128">
        <v>1.59</v>
      </c>
      <c r="CB62" s="128">
        <v>1.59</v>
      </c>
      <c r="CC62" s="128">
        <v>1.59</v>
      </c>
      <c r="CD62" s="128">
        <v>1.59</v>
      </c>
      <c r="CE62" s="128">
        <v>1.59</v>
      </c>
      <c r="CF62" s="128">
        <v>1.59</v>
      </c>
      <c r="CG62" s="128">
        <v>1.59</v>
      </c>
      <c r="CH62" s="128">
        <v>1.59</v>
      </c>
      <c r="CI62" s="128">
        <v>1.59</v>
      </c>
      <c r="CJ62" s="128">
        <v>1.59</v>
      </c>
      <c r="CK62" s="128">
        <v>1.59</v>
      </c>
      <c r="CL62" s="128">
        <v>1.59</v>
      </c>
      <c r="CM62" s="128">
        <v>1.59</v>
      </c>
      <c r="CN62" s="128">
        <v>1.59</v>
      </c>
      <c r="CO62" s="128">
        <v>1.59</v>
      </c>
      <c r="CP62" s="128">
        <v>1.59</v>
      </c>
      <c r="CQ62" s="128">
        <v>1.59</v>
      </c>
      <c r="CR62" s="128">
        <v>1.59</v>
      </c>
      <c r="CS62" s="128">
        <v>1.59</v>
      </c>
      <c r="CT62" s="128">
        <v>1.59</v>
      </c>
      <c r="CU62" s="128">
        <v>1.59</v>
      </c>
      <c r="CV62" s="128">
        <v>1.59</v>
      </c>
      <c r="CW62" s="128">
        <v>1.59</v>
      </c>
      <c r="CX62" s="128">
        <v>1.59</v>
      </c>
      <c r="CZ62" s="126">
        <f>SUMIF(MatrixF3[[1]:[2]],MatrixF3[[#This Row],[Столбец1]])/MatrixF3[[#This Row],[Столбец1]]</f>
        <v>111.00000000000018</v>
      </c>
    </row>
    <row r="63" spans="1:104" ht="21" customHeight="1" x14ac:dyDescent="0.25">
      <c r="A63" s="127">
        <v>1.6</v>
      </c>
      <c r="B63" s="128">
        <v>1.6</v>
      </c>
      <c r="C63" s="128">
        <v>1.6</v>
      </c>
      <c r="D63" s="128">
        <v>1.6</v>
      </c>
      <c r="E63" s="128">
        <v>1.6</v>
      </c>
      <c r="F63" s="128">
        <v>1.6</v>
      </c>
      <c r="G63" s="128">
        <v>1.6</v>
      </c>
      <c r="H63" s="128">
        <v>1.6</v>
      </c>
      <c r="I63" s="128">
        <v>1.6</v>
      </c>
      <c r="J63" s="128">
        <v>1.6</v>
      </c>
      <c r="K63" s="128">
        <v>1.6</v>
      </c>
      <c r="L63" s="128">
        <v>1.6</v>
      </c>
      <c r="M63" s="128">
        <v>1.6</v>
      </c>
      <c r="N63" s="128">
        <v>1.6</v>
      </c>
      <c r="O63" s="128">
        <v>1.6</v>
      </c>
      <c r="P63" s="128">
        <v>1.6</v>
      </c>
      <c r="Q63" s="128">
        <v>1.6</v>
      </c>
      <c r="R63" s="128">
        <v>1.6</v>
      </c>
      <c r="S63" s="128">
        <v>1.6</v>
      </c>
      <c r="T63" s="128">
        <v>1.6</v>
      </c>
      <c r="U63" s="128">
        <v>1.6</v>
      </c>
      <c r="V63" s="128">
        <v>1.6</v>
      </c>
      <c r="W63" s="128">
        <v>1.6</v>
      </c>
      <c r="X63" s="128">
        <v>1.6</v>
      </c>
      <c r="Y63" s="128">
        <v>1.6</v>
      </c>
      <c r="Z63" s="128">
        <v>1.6</v>
      </c>
      <c r="AA63" s="128">
        <v>1.6</v>
      </c>
      <c r="AB63" s="128">
        <v>1.6</v>
      </c>
      <c r="AC63" s="128">
        <v>1.6</v>
      </c>
      <c r="AD63" s="128">
        <v>1.6</v>
      </c>
      <c r="AE63" s="128">
        <v>1.6</v>
      </c>
      <c r="AF63" s="128">
        <v>1.6</v>
      </c>
      <c r="AG63" s="128">
        <v>1.6</v>
      </c>
      <c r="AH63" s="128">
        <v>1.6</v>
      </c>
      <c r="AI63" s="128">
        <v>1.6</v>
      </c>
      <c r="AJ63" s="128">
        <v>1.6</v>
      </c>
      <c r="AK63" s="128">
        <v>1.6</v>
      </c>
      <c r="AL63" s="128">
        <v>1.6</v>
      </c>
      <c r="AM63" s="128">
        <v>1.6</v>
      </c>
      <c r="AN63" s="128">
        <v>1.6</v>
      </c>
      <c r="AO63" s="128">
        <v>1.6</v>
      </c>
      <c r="AP63" s="128">
        <v>1.6</v>
      </c>
      <c r="AQ63" s="128">
        <v>1.6</v>
      </c>
      <c r="AR63" s="128">
        <v>1.59</v>
      </c>
      <c r="AS63" s="128">
        <v>1.59</v>
      </c>
      <c r="AT63" s="128">
        <v>1.58</v>
      </c>
      <c r="AU63" s="128">
        <v>1.58</v>
      </c>
      <c r="AV63" s="128">
        <v>1.57</v>
      </c>
      <c r="AW63" s="128">
        <v>1.57</v>
      </c>
      <c r="AX63" s="128">
        <v>1.57</v>
      </c>
      <c r="AY63" s="128">
        <v>1.56</v>
      </c>
      <c r="AZ63" s="128">
        <v>1.56</v>
      </c>
      <c r="BA63" s="128">
        <v>1.56</v>
      </c>
      <c r="BB63" s="128">
        <v>1.57</v>
      </c>
      <c r="BC63" s="128">
        <v>1.57</v>
      </c>
      <c r="BD63" s="128">
        <v>1.57</v>
      </c>
      <c r="BE63" s="128">
        <v>1.58</v>
      </c>
      <c r="BF63" s="128">
        <v>1.58</v>
      </c>
      <c r="BG63" s="128">
        <v>1.59</v>
      </c>
      <c r="BH63" s="128">
        <v>1.59</v>
      </c>
      <c r="BI63" s="128">
        <v>1.6</v>
      </c>
      <c r="BJ63" s="128">
        <v>1.6</v>
      </c>
      <c r="BK63" s="128">
        <v>1.6</v>
      </c>
      <c r="BL63" s="128">
        <v>1.6</v>
      </c>
      <c r="BM63" s="128">
        <v>1.6</v>
      </c>
      <c r="BN63" s="128">
        <v>1.6</v>
      </c>
      <c r="BO63" s="128">
        <v>1.6</v>
      </c>
      <c r="BP63" s="128">
        <v>1.6</v>
      </c>
      <c r="BQ63" s="128">
        <v>1.6</v>
      </c>
      <c r="BR63" s="128">
        <v>1.6</v>
      </c>
      <c r="BS63" s="128">
        <v>1.6</v>
      </c>
      <c r="BT63" s="128">
        <v>1.6</v>
      </c>
      <c r="BU63" s="128">
        <v>1.6</v>
      </c>
      <c r="BV63" s="128">
        <v>1.6</v>
      </c>
      <c r="BW63" s="128">
        <v>1.6</v>
      </c>
      <c r="BX63" s="128">
        <v>1.6</v>
      </c>
      <c r="BY63" s="128">
        <v>1.6</v>
      </c>
      <c r="BZ63" s="128">
        <v>1.6</v>
      </c>
      <c r="CA63" s="128">
        <v>1.6</v>
      </c>
      <c r="CB63" s="128">
        <v>1.6</v>
      </c>
      <c r="CC63" s="128">
        <v>1.6</v>
      </c>
      <c r="CD63" s="128">
        <v>1.6</v>
      </c>
      <c r="CE63" s="128">
        <v>1.6</v>
      </c>
      <c r="CF63" s="128">
        <v>1.6</v>
      </c>
      <c r="CG63" s="128">
        <v>1.6</v>
      </c>
      <c r="CH63" s="128">
        <v>1.6</v>
      </c>
      <c r="CI63" s="128">
        <v>1.6</v>
      </c>
      <c r="CJ63" s="128">
        <v>1.6</v>
      </c>
      <c r="CK63" s="128">
        <v>1.6</v>
      </c>
      <c r="CL63" s="128">
        <v>1.6</v>
      </c>
      <c r="CM63" s="128">
        <v>1.6</v>
      </c>
      <c r="CN63" s="128">
        <v>1.6</v>
      </c>
      <c r="CO63" s="128">
        <v>1.6</v>
      </c>
      <c r="CP63" s="128">
        <v>1.6</v>
      </c>
      <c r="CQ63" s="128">
        <v>1.6</v>
      </c>
      <c r="CR63" s="128">
        <v>1.6</v>
      </c>
      <c r="CS63" s="128">
        <v>1.6</v>
      </c>
      <c r="CT63" s="128">
        <v>1.6</v>
      </c>
      <c r="CU63" s="128">
        <v>1.6</v>
      </c>
      <c r="CV63" s="128">
        <v>1.6</v>
      </c>
      <c r="CW63" s="128">
        <v>1.6</v>
      </c>
      <c r="CX63" s="128">
        <v>1.6</v>
      </c>
      <c r="CZ63" s="126">
        <f>SUMIF(MatrixF3[[1]:[2]],MatrixF3[[#This Row],[Столбец1]])/MatrixF3[[#This Row],[Столбец1]]</f>
        <v>113.99999999999974</v>
      </c>
    </row>
    <row r="64" spans="1:104" ht="21" customHeight="1" x14ac:dyDescent="0.25">
      <c r="A64" s="127">
        <v>1.61</v>
      </c>
      <c r="B64" s="128">
        <v>1.61</v>
      </c>
      <c r="C64" s="128">
        <v>1.61</v>
      </c>
      <c r="D64" s="128">
        <v>1.61</v>
      </c>
      <c r="E64" s="128">
        <v>1.61</v>
      </c>
      <c r="F64" s="128">
        <v>1.61</v>
      </c>
      <c r="G64" s="128">
        <v>1.61</v>
      </c>
      <c r="H64" s="128">
        <v>1.61</v>
      </c>
      <c r="I64" s="128">
        <v>1.61</v>
      </c>
      <c r="J64" s="128">
        <v>1.61</v>
      </c>
      <c r="K64" s="128">
        <v>1.61</v>
      </c>
      <c r="L64" s="128">
        <v>1.61</v>
      </c>
      <c r="M64" s="128">
        <v>1.61</v>
      </c>
      <c r="N64" s="128">
        <v>1.61</v>
      </c>
      <c r="O64" s="128">
        <v>1.61</v>
      </c>
      <c r="P64" s="128">
        <v>1.61</v>
      </c>
      <c r="Q64" s="128">
        <v>1.61</v>
      </c>
      <c r="R64" s="128">
        <v>1.61</v>
      </c>
      <c r="S64" s="128">
        <v>1.61</v>
      </c>
      <c r="T64" s="128">
        <v>1.61</v>
      </c>
      <c r="U64" s="128">
        <v>1.61</v>
      </c>
      <c r="V64" s="128">
        <v>1.61</v>
      </c>
      <c r="W64" s="128">
        <v>1.61</v>
      </c>
      <c r="X64" s="128">
        <v>1.61</v>
      </c>
      <c r="Y64" s="128">
        <v>1.61</v>
      </c>
      <c r="Z64" s="128">
        <v>1.61</v>
      </c>
      <c r="AA64" s="128">
        <v>1.61</v>
      </c>
      <c r="AB64" s="128">
        <v>1.61</v>
      </c>
      <c r="AC64" s="128">
        <v>1.61</v>
      </c>
      <c r="AD64" s="128">
        <v>1.61</v>
      </c>
      <c r="AE64" s="128">
        <v>1.61</v>
      </c>
      <c r="AF64" s="128">
        <v>1.61</v>
      </c>
      <c r="AG64" s="128">
        <v>1.61</v>
      </c>
      <c r="AH64" s="128">
        <v>1.61</v>
      </c>
      <c r="AI64" s="128">
        <v>1.61</v>
      </c>
      <c r="AJ64" s="128">
        <v>1.61</v>
      </c>
      <c r="AK64" s="128">
        <v>1.61</v>
      </c>
      <c r="AL64" s="128">
        <v>1.61</v>
      </c>
      <c r="AM64" s="128">
        <v>1.61</v>
      </c>
      <c r="AN64" s="128">
        <v>1.61</v>
      </c>
      <c r="AO64" s="128">
        <v>1.61</v>
      </c>
      <c r="AP64" s="128">
        <v>1.61</v>
      </c>
      <c r="AQ64" s="128">
        <v>1.6</v>
      </c>
      <c r="AR64" s="128">
        <v>1.6</v>
      </c>
      <c r="AS64" s="128">
        <v>1.59</v>
      </c>
      <c r="AT64" s="128">
        <v>1.59</v>
      </c>
      <c r="AU64" s="128">
        <v>1.59</v>
      </c>
      <c r="AV64" s="128">
        <v>1.58</v>
      </c>
      <c r="AW64" s="128">
        <v>1.58</v>
      </c>
      <c r="AX64" s="128">
        <v>1.57</v>
      </c>
      <c r="AY64" s="128">
        <v>1.57</v>
      </c>
      <c r="AZ64" s="128">
        <v>1.56</v>
      </c>
      <c r="BA64" s="128">
        <v>1.57</v>
      </c>
      <c r="BB64" s="128">
        <v>1.57</v>
      </c>
      <c r="BC64" s="128">
        <v>1.58</v>
      </c>
      <c r="BD64" s="128">
        <v>1.58</v>
      </c>
      <c r="BE64" s="128">
        <v>1.59</v>
      </c>
      <c r="BF64" s="128">
        <v>1.59</v>
      </c>
      <c r="BG64" s="128">
        <v>1.59</v>
      </c>
      <c r="BH64" s="128">
        <v>1.6</v>
      </c>
      <c r="BI64" s="128">
        <v>1.6</v>
      </c>
      <c r="BJ64" s="128">
        <v>1.61</v>
      </c>
      <c r="BK64" s="128">
        <v>1.61</v>
      </c>
      <c r="BL64" s="128">
        <v>1.61</v>
      </c>
      <c r="BM64" s="128">
        <v>1.61</v>
      </c>
      <c r="BN64" s="128">
        <v>1.61</v>
      </c>
      <c r="BO64" s="128">
        <v>1.61</v>
      </c>
      <c r="BP64" s="128">
        <v>1.61</v>
      </c>
      <c r="BQ64" s="128">
        <v>1.61</v>
      </c>
      <c r="BR64" s="128">
        <v>1.61</v>
      </c>
      <c r="BS64" s="128">
        <v>1.61</v>
      </c>
      <c r="BT64" s="128">
        <v>1.61</v>
      </c>
      <c r="BU64" s="128">
        <v>1.61</v>
      </c>
      <c r="BV64" s="128">
        <v>1.61</v>
      </c>
      <c r="BW64" s="128">
        <v>1.61</v>
      </c>
      <c r="BX64" s="128">
        <v>1.61</v>
      </c>
      <c r="BY64" s="128">
        <v>1.61</v>
      </c>
      <c r="BZ64" s="128">
        <v>1.61</v>
      </c>
      <c r="CA64" s="128">
        <v>1.61</v>
      </c>
      <c r="CB64" s="128">
        <v>1.61</v>
      </c>
      <c r="CC64" s="128">
        <v>1.61</v>
      </c>
      <c r="CD64" s="128">
        <v>1.61</v>
      </c>
      <c r="CE64" s="128">
        <v>1.61</v>
      </c>
      <c r="CF64" s="128">
        <v>1.61</v>
      </c>
      <c r="CG64" s="128">
        <v>1.61</v>
      </c>
      <c r="CH64" s="128">
        <v>1.61</v>
      </c>
      <c r="CI64" s="128">
        <v>1.61</v>
      </c>
      <c r="CJ64" s="128">
        <v>1.61</v>
      </c>
      <c r="CK64" s="128">
        <v>1.61</v>
      </c>
      <c r="CL64" s="128">
        <v>1.61</v>
      </c>
      <c r="CM64" s="128">
        <v>1.61</v>
      </c>
      <c r="CN64" s="128">
        <v>1.61</v>
      </c>
      <c r="CO64" s="128">
        <v>1.61</v>
      </c>
      <c r="CP64" s="128">
        <v>1.61</v>
      </c>
      <c r="CQ64" s="128">
        <v>1.61</v>
      </c>
      <c r="CR64" s="128">
        <v>1.61</v>
      </c>
      <c r="CS64" s="128">
        <v>1.61</v>
      </c>
      <c r="CT64" s="128">
        <v>1.61</v>
      </c>
      <c r="CU64" s="128">
        <v>1.61</v>
      </c>
      <c r="CV64" s="128">
        <v>1.61</v>
      </c>
      <c r="CW64" s="128">
        <v>1.61</v>
      </c>
      <c r="CX64" s="128">
        <v>1.61</v>
      </c>
      <c r="CZ64" s="126">
        <f>SUMIF(MatrixF3[[1]:[2]],MatrixF3[[#This Row],[Столбец1]])/MatrixF3[[#This Row],[Столбец1]]</f>
        <v>111.00000000000024</v>
      </c>
    </row>
    <row r="65" spans="1:104" ht="21" customHeight="1" x14ac:dyDescent="0.25">
      <c r="A65" s="127">
        <v>1.62</v>
      </c>
      <c r="B65" s="128">
        <v>1.62</v>
      </c>
      <c r="C65" s="128">
        <v>1.62</v>
      </c>
      <c r="D65" s="128">
        <v>1.62</v>
      </c>
      <c r="E65" s="128">
        <v>1.62</v>
      </c>
      <c r="F65" s="128">
        <v>1.62</v>
      </c>
      <c r="G65" s="128">
        <v>1.62</v>
      </c>
      <c r="H65" s="128">
        <v>1.62</v>
      </c>
      <c r="I65" s="128">
        <v>1.62</v>
      </c>
      <c r="J65" s="128">
        <v>1.62</v>
      </c>
      <c r="K65" s="128">
        <v>1.62</v>
      </c>
      <c r="L65" s="128">
        <v>1.62</v>
      </c>
      <c r="M65" s="128">
        <v>1.62</v>
      </c>
      <c r="N65" s="128">
        <v>1.62</v>
      </c>
      <c r="O65" s="128">
        <v>1.62</v>
      </c>
      <c r="P65" s="128">
        <v>1.62</v>
      </c>
      <c r="Q65" s="128">
        <v>1.62</v>
      </c>
      <c r="R65" s="128">
        <v>1.62</v>
      </c>
      <c r="S65" s="128">
        <v>1.62</v>
      </c>
      <c r="T65" s="128">
        <v>1.62</v>
      </c>
      <c r="U65" s="128">
        <v>1.62</v>
      </c>
      <c r="V65" s="128">
        <v>1.62</v>
      </c>
      <c r="W65" s="128">
        <v>1.62</v>
      </c>
      <c r="X65" s="128">
        <v>1.62</v>
      </c>
      <c r="Y65" s="128">
        <v>1.62</v>
      </c>
      <c r="Z65" s="128">
        <v>1.62</v>
      </c>
      <c r="AA65" s="128">
        <v>1.62</v>
      </c>
      <c r="AB65" s="128">
        <v>1.62</v>
      </c>
      <c r="AC65" s="128">
        <v>1.62</v>
      </c>
      <c r="AD65" s="128">
        <v>1.62</v>
      </c>
      <c r="AE65" s="128">
        <v>1.62</v>
      </c>
      <c r="AF65" s="128">
        <v>1.62</v>
      </c>
      <c r="AG65" s="128">
        <v>1.62</v>
      </c>
      <c r="AH65" s="128">
        <v>1.62</v>
      </c>
      <c r="AI65" s="128">
        <v>1.62</v>
      </c>
      <c r="AJ65" s="128">
        <v>1.62</v>
      </c>
      <c r="AK65" s="128">
        <v>1.62</v>
      </c>
      <c r="AL65" s="128">
        <v>1.62</v>
      </c>
      <c r="AM65" s="128">
        <v>1.62</v>
      </c>
      <c r="AN65" s="128">
        <v>1.62</v>
      </c>
      <c r="AO65" s="128">
        <v>1.62</v>
      </c>
      <c r="AP65" s="128">
        <v>1.61</v>
      </c>
      <c r="AQ65" s="128">
        <v>1.61</v>
      </c>
      <c r="AR65" s="128">
        <v>1.6</v>
      </c>
      <c r="AS65" s="128">
        <v>1.6</v>
      </c>
      <c r="AT65" s="128">
        <v>1.6</v>
      </c>
      <c r="AU65" s="128">
        <v>1.59</v>
      </c>
      <c r="AV65" s="128">
        <v>1.59</v>
      </c>
      <c r="AW65" s="128">
        <v>1.58</v>
      </c>
      <c r="AX65" s="128">
        <v>1.58</v>
      </c>
      <c r="AY65" s="128">
        <v>1.57</v>
      </c>
      <c r="AZ65" s="128">
        <v>1.57</v>
      </c>
      <c r="BA65" s="128">
        <v>1.57</v>
      </c>
      <c r="BB65" s="128">
        <v>1.58</v>
      </c>
      <c r="BC65" s="128">
        <v>1.58</v>
      </c>
      <c r="BD65" s="128">
        <v>1.59</v>
      </c>
      <c r="BE65" s="128">
        <v>1.59</v>
      </c>
      <c r="BF65" s="128">
        <v>1.6</v>
      </c>
      <c r="BG65" s="128">
        <v>1.6</v>
      </c>
      <c r="BH65" s="128">
        <v>1.6</v>
      </c>
      <c r="BI65" s="128">
        <v>1.61</v>
      </c>
      <c r="BJ65" s="128">
        <v>1.61</v>
      </c>
      <c r="BK65" s="128">
        <v>1.62</v>
      </c>
      <c r="BL65" s="128">
        <v>1.62</v>
      </c>
      <c r="BM65" s="128">
        <v>1.62</v>
      </c>
      <c r="BN65" s="128">
        <v>1.62</v>
      </c>
      <c r="BO65" s="128">
        <v>1.62</v>
      </c>
      <c r="BP65" s="128">
        <v>1.62</v>
      </c>
      <c r="BQ65" s="128">
        <v>1.62</v>
      </c>
      <c r="BR65" s="128">
        <v>1.62</v>
      </c>
      <c r="BS65" s="128">
        <v>1.62</v>
      </c>
      <c r="BT65" s="128">
        <v>1.62</v>
      </c>
      <c r="BU65" s="128">
        <v>1.62</v>
      </c>
      <c r="BV65" s="128">
        <v>1.62</v>
      </c>
      <c r="BW65" s="128">
        <v>1.62</v>
      </c>
      <c r="BX65" s="128">
        <v>1.62</v>
      </c>
      <c r="BY65" s="128">
        <v>1.62</v>
      </c>
      <c r="BZ65" s="128">
        <v>1.62</v>
      </c>
      <c r="CA65" s="128">
        <v>1.62</v>
      </c>
      <c r="CB65" s="128">
        <v>1.62</v>
      </c>
      <c r="CC65" s="128">
        <v>1.62</v>
      </c>
      <c r="CD65" s="128">
        <v>1.62</v>
      </c>
      <c r="CE65" s="128">
        <v>1.62</v>
      </c>
      <c r="CF65" s="128">
        <v>1.62</v>
      </c>
      <c r="CG65" s="128">
        <v>1.62</v>
      </c>
      <c r="CH65" s="128">
        <v>1.62</v>
      </c>
      <c r="CI65" s="128">
        <v>1.62</v>
      </c>
      <c r="CJ65" s="128">
        <v>1.62</v>
      </c>
      <c r="CK65" s="128">
        <v>1.62</v>
      </c>
      <c r="CL65" s="128">
        <v>1.62</v>
      </c>
      <c r="CM65" s="128">
        <v>1.62</v>
      </c>
      <c r="CN65" s="128">
        <v>1.62</v>
      </c>
      <c r="CO65" s="128">
        <v>1.62</v>
      </c>
      <c r="CP65" s="128">
        <v>1.62</v>
      </c>
      <c r="CQ65" s="128">
        <v>1.62</v>
      </c>
      <c r="CR65" s="128">
        <v>1.62</v>
      </c>
      <c r="CS65" s="128">
        <v>1.62</v>
      </c>
      <c r="CT65" s="128">
        <v>1.62</v>
      </c>
      <c r="CU65" s="128">
        <v>1.62</v>
      </c>
      <c r="CV65" s="128">
        <v>1.62</v>
      </c>
      <c r="CW65" s="128">
        <v>1.62</v>
      </c>
      <c r="CX65" s="128">
        <v>1.62</v>
      </c>
      <c r="CZ65" s="126">
        <f>SUMIF(MatrixF3[[1]:[2]],MatrixF3[[#This Row],[Столбец1]])/MatrixF3[[#This Row],[Столбец1]]</f>
        <v>112.00000000000017</v>
      </c>
    </row>
    <row r="66" spans="1:104" ht="21" customHeight="1" x14ac:dyDescent="0.25">
      <c r="A66" s="127">
        <v>1.63</v>
      </c>
      <c r="B66" s="128">
        <v>1.63</v>
      </c>
      <c r="C66" s="128">
        <v>1.63</v>
      </c>
      <c r="D66" s="128">
        <v>1.63</v>
      </c>
      <c r="E66" s="128">
        <v>1.63</v>
      </c>
      <c r="F66" s="128">
        <v>1.63</v>
      </c>
      <c r="G66" s="128">
        <v>1.63</v>
      </c>
      <c r="H66" s="128">
        <v>1.63</v>
      </c>
      <c r="I66" s="128">
        <v>1.63</v>
      </c>
      <c r="J66" s="128">
        <v>1.63</v>
      </c>
      <c r="K66" s="128">
        <v>1.63</v>
      </c>
      <c r="L66" s="128">
        <v>1.63</v>
      </c>
      <c r="M66" s="128">
        <v>1.63</v>
      </c>
      <c r="N66" s="128">
        <v>1.63</v>
      </c>
      <c r="O66" s="128">
        <v>1.63</v>
      </c>
      <c r="P66" s="128">
        <v>1.63</v>
      </c>
      <c r="Q66" s="128">
        <v>1.63</v>
      </c>
      <c r="R66" s="128">
        <v>1.63</v>
      </c>
      <c r="S66" s="128">
        <v>1.63</v>
      </c>
      <c r="T66" s="128">
        <v>1.63</v>
      </c>
      <c r="U66" s="128">
        <v>1.63</v>
      </c>
      <c r="V66" s="128">
        <v>1.63</v>
      </c>
      <c r="W66" s="128">
        <v>1.63</v>
      </c>
      <c r="X66" s="128">
        <v>1.63</v>
      </c>
      <c r="Y66" s="128">
        <v>1.63</v>
      </c>
      <c r="Z66" s="128">
        <v>1.63</v>
      </c>
      <c r="AA66" s="128">
        <v>1.63</v>
      </c>
      <c r="AB66" s="128">
        <v>1.63</v>
      </c>
      <c r="AC66" s="128">
        <v>1.63</v>
      </c>
      <c r="AD66" s="128">
        <v>1.63</v>
      </c>
      <c r="AE66" s="128">
        <v>1.63</v>
      </c>
      <c r="AF66" s="128">
        <v>1.63</v>
      </c>
      <c r="AG66" s="128">
        <v>1.63</v>
      </c>
      <c r="AH66" s="128">
        <v>1.63</v>
      </c>
      <c r="AI66" s="128">
        <v>1.63</v>
      </c>
      <c r="AJ66" s="128">
        <v>1.63</v>
      </c>
      <c r="AK66" s="128">
        <v>1.63</v>
      </c>
      <c r="AL66" s="128">
        <v>1.63</v>
      </c>
      <c r="AM66" s="128">
        <v>1.63</v>
      </c>
      <c r="AN66" s="128">
        <v>1.63</v>
      </c>
      <c r="AO66" s="128">
        <v>1.62</v>
      </c>
      <c r="AP66" s="128">
        <v>1.62</v>
      </c>
      <c r="AQ66" s="128">
        <v>1.61</v>
      </c>
      <c r="AR66" s="128">
        <v>1.61</v>
      </c>
      <c r="AS66" s="128">
        <v>1.61</v>
      </c>
      <c r="AT66" s="128">
        <v>1.6</v>
      </c>
      <c r="AU66" s="128">
        <v>1.6</v>
      </c>
      <c r="AV66" s="128">
        <v>1.59</v>
      </c>
      <c r="AW66" s="128">
        <v>1.59</v>
      </c>
      <c r="AX66" s="128">
        <v>1.58</v>
      </c>
      <c r="AY66" s="128">
        <v>1.58</v>
      </c>
      <c r="AZ66" s="128">
        <v>1.57</v>
      </c>
      <c r="BA66" s="128">
        <v>1.58</v>
      </c>
      <c r="BB66" s="128">
        <v>1.58</v>
      </c>
      <c r="BC66" s="128">
        <v>1.59</v>
      </c>
      <c r="BD66" s="128">
        <v>1.59</v>
      </c>
      <c r="BE66" s="128">
        <v>1.6</v>
      </c>
      <c r="BF66" s="128">
        <v>1.6</v>
      </c>
      <c r="BG66" s="128">
        <v>1.61</v>
      </c>
      <c r="BH66" s="128">
        <v>1.61</v>
      </c>
      <c r="BI66" s="128">
        <v>1.61</v>
      </c>
      <c r="BJ66" s="128">
        <v>1.62</v>
      </c>
      <c r="BK66" s="128">
        <v>1.62</v>
      </c>
      <c r="BL66" s="128">
        <v>1.63</v>
      </c>
      <c r="BM66" s="128">
        <v>1.63</v>
      </c>
      <c r="BN66" s="128">
        <v>1.63</v>
      </c>
      <c r="BO66" s="128">
        <v>1.63</v>
      </c>
      <c r="BP66" s="128">
        <v>1.63</v>
      </c>
      <c r="BQ66" s="128">
        <v>1.63</v>
      </c>
      <c r="BR66" s="128">
        <v>1.63</v>
      </c>
      <c r="BS66" s="128">
        <v>1.63</v>
      </c>
      <c r="BT66" s="128">
        <v>1.63</v>
      </c>
      <c r="BU66" s="128">
        <v>1.63</v>
      </c>
      <c r="BV66" s="128">
        <v>1.63</v>
      </c>
      <c r="BW66" s="128">
        <v>1.63</v>
      </c>
      <c r="BX66" s="128">
        <v>1.63</v>
      </c>
      <c r="BY66" s="128">
        <v>1.63</v>
      </c>
      <c r="BZ66" s="128">
        <v>1.63</v>
      </c>
      <c r="CA66" s="128">
        <v>1.63</v>
      </c>
      <c r="CB66" s="128">
        <v>1.63</v>
      </c>
      <c r="CC66" s="128">
        <v>1.63</v>
      </c>
      <c r="CD66" s="128">
        <v>1.63</v>
      </c>
      <c r="CE66" s="128">
        <v>1.63</v>
      </c>
      <c r="CF66" s="128">
        <v>1.63</v>
      </c>
      <c r="CG66" s="128">
        <v>1.63</v>
      </c>
      <c r="CH66" s="128">
        <v>1.63</v>
      </c>
      <c r="CI66" s="128">
        <v>1.63</v>
      </c>
      <c r="CJ66" s="128">
        <v>1.63</v>
      </c>
      <c r="CK66" s="128">
        <v>1.63</v>
      </c>
      <c r="CL66" s="128">
        <v>1.63</v>
      </c>
      <c r="CM66" s="128">
        <v>1.63</v>
      </c>
      <c r="CN66" s="128">
        <v>1.63</v>
      </c>
      <c r="CO66" s="128">
        <v>1.63</v>
      </c>
      <c r="CP66" s="128">
        <v>1.63</v>
      </c>
      <c r="CQ66" s="128">
        <v>1.63</v>
      </c>
      <c r="CR66" s="128">
        <v>1.63</v>
      </c>
      <c r="CS66" s="128">
        <v>1.63</v>
      </c>
      <c r="CT66" s="128">
        <v>1.63</v>
      </c>
      <c r="CU66" s="128">
        <v>1.63</v>
      </c>
      <c r="CV66" s="128">
        <v>1.63</v>
      </c>
      <c r="CW66" s="128">
        <v>1.63</v>
      </c>
      <c r="CX66" s="128">
        <v>1.63</v>
      </c>
      <c r="CZ66" s="126">
        <f>SUMIF(MatrixF3[[1]:[2]],MatrixF3[[#This Row],[Столбец1]])/MatrixF3[[#This Row],[Столбец1]]</f>
        <v>110.99999999999984</v>
      </c>
    </row>
    <row r="67" spans="1:104" ht="21" customHeight="1" x14ac:dyDescent="0.25">
      <c r="A67" s="127">
        <v>1.64</v>
      </c>
      <c r="B67" s="128">
        <v>1.64</v>
      </c>
      <c r="C67" s="128">
        <v>1.64</v>
      </c>
      <c r="D67" s="128">
        <v>1.64</v>
      </c>
      <c r="E67" s="128">
        <v>1.64</v>
      </c>
      <c r="F67" s="128">
        <v>1.64</v>
      </c>
      <c r="G67" s="128">
        <v>1.64</v>
      </c>
      <c r="H67" s="128">
        <v>1.64</v>
      </c>
      <c r="I67" s="128">
        <v>1.64</v>
      </c>
      <c r="J67" s="128">
        <v>1.64</v>
      </c>
      <c r="K67" s="128">
        <v>1.64</v>
      </c>
      <c r="L67" s="128">
        <v>1.64</v>
      </c>
      <c r="M67" s="128">
        <v>1.64</v>
      </c>
      <c r="N67" s="128">
        <v>1.64</v>
      </c>
      <c r="O67" s="128">
        <v>1.64</v>
      </c>
      <c r="P67" s="128">
        <v>1.64</v>
      </c>
      <c r="Q67" s="128">
        <v>1.64</v>
      </c>
      <c r="R67" s="128">
        <v>1.64</v>
      </c>
      <c r="S67" s="128">
        <v>1.64</v>
      </c>
      <c r="T67" s="128">
        <v>1.64</v>
      </c>
      <c r="U67" s="128">
        <v>1.64</v>
      </c>
      <c r="V67" s="128">
        <v>1.64</v>
      </c>
      <c r="W67" s="128">
        <v>1.64</v>
      </c>
      <c r="X67" s="128">
        <v>1.64</v>
      </c>
      <c r="Y67" s="128">
        <v>1.64</v>
      </c>
      <c r="Z67" s="128">
        <v>1.64</v>
      </c>
      <c r="AA67" s="128">
        <v>1.64</v>
      </c>
      <c r="AB67" s="128">
        <v>1.64</v>
      </c>
      <c r="AC67" s="128">
        <v>1.64</v>
      </c>
      <c r="AD67" s="128">
        <v>1.64</v>
      </c>
      <c r="AE67" s="128">
        <v>1.64</v>
      </c>
      <c r="AF67" s="128">
        <v>1.64</v>
      </c>
      <c r="AG67" s="128">
        <v>1.64</v>
      </c>
      <c r="AH67" s="128">
        <v>1.64</v>
      </c>
      <c r="AI67" s="128">
        <v>1.64</v>
      </c>
      <c r="AJ67" s="128">
        <v>1.64</v>
      </c>
      <c r="AK67" s="128">
        <v>1.64</v>
      </c>
      <c r="AL67" s="128">
        <v>1.64</v>
      </c>
      <c r="AM67" s="128">
        <v>1.64</v>
      </c>
      <c r="AN67" s="128">
        <v>1.63</v>
      </c>
      <c r="AO67" s="128">
        <v>1.63</v>
      </c>
      <c r="AP67" s="128">
        <v>1.62</v>
      </c>
      <c r="AQ67" s="128">
        <v>1.62</v>
      </c>
      <c r="AR67" s="128">
        <v>1.62</v>
      </c>
      <c r="AS67" s="128">
        <v>1.61</v>
      </c>
      <c r="AT67" s="128">
        <v>1.61</v>
      </c>
      <c r="AU67" s="128">
        <v>1.6</v>
      </c>
      <c r="AV67" s="128">
        <v>1.6</v>
      </c>
      <c r="AW67" s="128">
        <v>1.6</v>
      </c>
      <c r="AX67" s="128">
        <v>1.59</v>
      </c>
      <c r="AY67" s="128">
        <v>1.59</v>
      </c>
      <c r="AZ67" s="128">
        <v>1.58</v>
      </c>
      <c r="BA67" s="128">
        <v>1.59</v>
      </c>
      <c r="BB67" s="128">
        <v>1.59</v>
      </c>
      <c r="BC67" s="128">
        <v>1.6</v>
      </c>
      <c r="BD67" s="128">
        <v>1.6</v>
      </c>
      <c r="BE67" s="128">
        <v>1.6</v>
      </c>
      <c r="BF67" s="128">
        <v>1.61</v>
      </c>
      <c r="BG67" s="128">
        <v>1.61</v>
      </c>
      <c r="BH67" s="128">
        <v>1.62</v>
      </c>
      <c r="BI67" s="128">
        <v>1.62</v>
      </c>
      <c r="BJ67" s="128">
        <v>1.62</v>
      </c>
      <c r="BK67" s="128">
        <v>1.63</v>
      </c>
      <c r="BL67" s="128">
        <v>1.63</v>
      </c>
      <c r="BM67" s="128">
        <v>1.64</v>
      </c>
      <c r="BN67" s="128">
        <v>1.64</v>
      </c>
      <c r="BO67" s="128">
        <v>1.64</v>
      </c>
      <c r="BP67" s="128">
        <v>1.64</v>
      </c>
      <c r="BQ67" s="128">
        <v>1.64</v>
      </c>
      <c r="BR67" s="128">
        <v>1.64</v>
      </c>
      <c r="BS67" s="128">
        <v>1.64</v>
      </c>
      <c r="BT67" s="128">
        <v>1.64</v>
      </c>
      <c r="BU67" s="128">
        <v>1.64</v>
      </c>
      <c r="BV67" s="128">
        <v>1.64</v>
      </c>
      <c r="BW67" s="128">
        <v>1.64</v>
      </c>
      <c r="BX67" s="128">
        <v>1.64</v>
      </c>
      <c r="BY67" s="128">
        <v>1.64</v>
      </c>
      <c r="BZ67" s="128">
        <v>1.64</v>
      </c>
      <c r="CA67" s="128">
        <v>1.64</v>
      </c>
      <c r="CB67" s="128">
        <v>1.64</v>
      </c>
      <c r="CC67" s="128">
        <v>1.64</v>
      </c>
      <c r="CD67" s="128">
        <v>1.64</v>
      </c>
      <c r="CE67" s="128">
        <v>1.64</v>
      </c>
      <c r="CF67" s="128">
        <v>1.64</v>
      </c>
      <c r="CG67" s="128">
        <v>1.64</v>
      </c>
      <c r="CH67" s="128">
        <v>1.64</v>
      </c>
      <c r="CI67" s="128">
        <v>1.64</v>
      </c>
      <c r="CJ67" s="128">
        <v>1.64</v>
      </c>
      <c r="CK67" s="128">
        <v>1.64</v>
      </c>
      <c r="CL67" s="128">
        <v>1.64</v>
      </c>
      <c r="CM67" s="128">
        <v>1.64</v>
      </c>
      <c r="CN67" s="128">
        <v>1.64</v>
      </c>
      <c r="CO67" s="128">
        <v>1.64</v>
      </c>
      <c r="CP67" s="128">
        <v>1.64</v>
      </c>
      <c r="CQ67" s="128">
        <v>1.64</v>
      </c>
      <c r="CR67" s="128">
        <v>1.64</v>
      </c>
      <c r="CS67" s="128">
        <v>1.64</v>
      </c>
      <c r="CT67" s="128">
        <v>1.64</v>
      </c>
      <c r="CU67" s="128">
        <v>1.64</v>
      </c>
      <c r="CV67" s="128">
        <v>1.64</v>
      </c>
      <c r="CW67" s="128">
        <v>1.64</v>
      </c>
      <c r="CX67" s="128">
        <v>1.64</v>
      </c>
      <c r="CZ67" s="126">
        <f>SUMIF(MatrixF3[[1]:[2]],MatrixF3[[#This Row],[Столбец1]])/MatrixF3[[#This Row],[Столбец1]]</f>
        <v>110.99999999999976</v>
      </c>
    </row>
    <row r="68" spans="1:104" ht="21" customHeight="1" x14ac:dyDescent="0.25">
      <c r="A68" s="127">
        <v>1.65</v>
      </c>
      <c r="B68" s="128">
        <v>1.65</v>
      </c>
      <c r="C68" s="128">
        <v>1.65</v>
      </c>
      <c r="D68" s="128">
        <v>1.65</v>
      </c>
      <c r="E68" s="128">
        <v>1.65</v>
      </c>
      <c r="F68" s="128">
        <v>1.65</v>
      </c>
      <c r="G68" s="128">
        <v>1.65</v>
      </c>
      <c r="H68" s="128">
        <v>1.65</v>
      </c>
      <c r="I68" s="128">
        <v>1.65</v>
      </c>
      <c r="J68" s="128">
        <v>1.65</v>
      </c>
      <c r="K68" s="128">
        <v>1.65</v>
      </c>
      <c r="L68" s="128">
        <v>1.65</v>
      </c>
      <c r="M68" s="128">
        <v>1.65</v>
      </c>
      <c r="N68" s="128">
        <v>1.65</v>
      </c>
      <c r="O68" s="128">
        <v>1.65</v>
      </c>
      <c r="P68" s="128">
        <v>1.65</v>
      </c>
      <c r="Q68" s="128">
        <v>1.65</v>
      </c>
      <c r="R68" s="128">
        <v>1.65</v>
      </c>
      <c r="S68" s="128">
        <v>1.65</v>
      </c>
      <c r="T68" s="128">
        <v>1.65</v>
      </c>
      <c r="U68" s="128">
        <v>1.65</v>
      </c>
      <c r="V68" s="128">
        <v>1.65</v>
      </c>
      <c r="W68" s="128">
        <v>1.65</v>
      </c>
      <c r="X68" s="128">
        <v>1.65</v>
      </c>
      <c r="Y68" s="128">
        <v>1.65</v>
      </c>
      <c r="Z68" s="128">
        <v>1.65</v>
      </c>
      <c r="AA68" s="128">
        <v>1.65</v>
      </c>
      <c r="AB68" s="128">
        <v>1.65</v>
      </c>
      <c r="AC68" s="128">
        <v>1.65</v>
      </c>
      <c r="AD68" s="128">
        <v>1.65</v>
      </c>
      <c r="AE68" s="128">
        <v>1.65</v>
      </c>
      <c r="AF68" s="128">
        <v>1.65</v>
      </c>
      <c r="AG68" s="128">
        <v>1.65</v>
      </c>
      <c r="AH68" s="128">
        <v>1.65</v>
      </c>
      <c r="AI68" s="128">
        <v>1.65</v>
      </c>
      <c r="AJ68" s="128">
        <v>1.65</v>
      </c>
      <c r="AK68" s="128">
        <v>1.65</v>
      </c>
      <c r="AL68" s="128">
        <v>1.65</v>
      </c>
      <c r="AM68" s="128">
        <v>1.64</v>
      </c>
      <c r="AN68" s="128">
        <v>1.64</v>
      </c>
      <c r="AO68" s="128">
        <v>1.64</v>
      </c>
      <c r="AP68" s="128">
        <v>1.63</v>
      </c>
      <c r="AQ68" s="128">
        <v>1.63</v>
      </c>
      <c r="AR68" s="128">
        <v>1.62</v>
      </c>
      <c r="AS68" s="128">
        <v>1.62</v>
      </c>
      <c r="AT68" s="128">
        <v>1.62</v>
      </c>
      <c r="AU68" s="128">
        <v>1.61</v>
      </c>
      <c r="AV68" s="128">
        <v>1.61</v>
      </c>
      <c r="AW68" s="128">
        <v>1.6</v>
      </c>
      <c r="AX68" s="128">
        <v>1.6</v>
      </c>
      <c r="AY68" s="128">
        <v>1.59</v>
      </c>
      <c r="AZ68" s="128">
        <v>1.59</v>
      </c>
      <c r="BA68" s="128">
        <v>1.59</v>
      </c>
      <c r="BB68" s="128">
        <v>1.6</v>
      </c>
      <c r="BC68" s="128">
        <v>1.6</v>
      </c>
      <c r="BD68" s="128">
        <v>1.61</v>
      </c>
      <c r="BE68" s="128">
        <v>1.61</v>
      </c>
      <c r="BF68" s="128">
        <v>1.62</v>
      </c>
      <c r="BG68" s="128">
        <v>1.62</v>
      </c>
      <c r="BH68" s="128">
        <v>1.62</v>
      </c>
      <c r="BI68" s="128">
        <v>1.63</v>
      </c>
      <c r="BJ68" s="128">
        <v>1.63</v>
      </c>
      <c r="BK68" s="128">
        <v>1.64</v>
      </c>
      <c r="BL68" s="128">
        <v>1.64</v>
      </c>
      <c r="BM68" s="128">
        <v>1.64</v>
      </c>
      <c r="BN68" s="128">
        <v>1.65</v>
      </c>
      <c r="BO68" s="128">
        <v>1.65</v>
      </c>
      <c r="BP68" s="128">
        <v>1.65</v>
      </c>
      <c r="BQ68" s="128">
        <v>1.65</v>
      </c>
      <c r="BR68" s="128">
        <v>1.65</v>
      </c>
      <c r="BS68" s="128">
        <v>1.65</v>
      </c>
      <c r="BT68" s="128">
        <v>1.65</v>
      </c>
      <c r="BU68" s="128">
        <v>1.65</v>
      </c>
      <c r="BV68" s="128">
        <v>1.65</v>
      </c>
      <c r="BW68" s="128">
        <v>1.65</v>
      </c>
      <c r="BX68" s="128">
        <v>1.65</v>
      </c>
      <c r="BY68" s="128">
        <v>1.65</v>
      </c>
      <c r="BZ68" s="128">
        <v>1.65</v>
      </c>
      <c r="CA68" s="128">
        <v>1.65</v>
      </c>
      <c r="CB68" s="128">
        <v>1.65</v>
      </c>
      <c r="CC68" s="128">
        <v>1.65</v>
      </c>
      <c r="CD68" s="128">
        <v>1.65</v>
      </c>
      <c r="CE68" s="128">
        <v>1.65</v>
      </c>
      <c r="CF68" s="128">
        <v>1.65</v>
      </c>
      <c r="CG68" s="128">
        <v>1.65</v>
      </c>
      <c r="CH68" s="128">
        <v>1.65</v>
      </c>
      <c r="CI68" s="128">
        <v>1.65</v>
      </c>
      <c r="CJ68" s="128">
        <v>1.65</v>
      </c>
      <c r="CK68" s="128">
        <v>1.65</v>
      </c>
      <c r="CL68" s="128">
        <v>1.65</v>
      </c>
      <c r="CM68" s="128">
        <v>1.65</v>
      </c>
      <c r="CN68" s="128">
        <v>1.65</v>
      </c>
      <c r="CO68" s="128">
        <v>1.65</v>
      </c>
      <c r="CP68" s="128">
        <v>1.65</v>
      </c>
      <c r="CQ68" s="128">
        <v>1.65</v>
      </c>
      <c r="CR68" s="128">
        <v>1.65</v>
      </c>
      <c r="CS68" s="128">
        <v>1.65</v>
      </c>
      <c r="CT68" s="128">
        <v>1.65</v>
      </c>
      <c r="CU68" s="128">
        <v>1.65</v>
      </c>
      <c r="CV68" s="128">
        <v>1.65</v>
      </c>
      <c r="CW68" s="128">
        <v>1.65</v>
      </c>
      <c r="CX68" s="128">
        <v>1.65</v>
      </c>
      <c r="CZ68" s="126">
        <f>SUMIF(MatrixF3[[1]:[2]],MatrixF3[[#This Row],[Столбец1]])/MatrixF3[[#This Row],[Столбец1]]</f>
        <v>113.00000000000024</v>
      </c>
    </row>
    <row r="69" spans="1:104" ht="21" customHeight="1" x14ac:dyDescent="0.25">
      <c r="A69" s="127">
        <v>1.66</v>
      </c>
      <c r="B69" s="128">
        <v>1.66</v>
      </c>
      <c r="C69" s="128">
        <v>1.66</v>
      </c>
      <c r="D69" s="128">
        <v>1.66</v>
      </c>
      <c r="E69" s="128">
        <v>1.66</v>
      </c>
      <c r="F69" s="128">
        <v>1.66</v>
      </c>
      <c r="G69" s="128">
        <v>1.66</v>
      </c>
      <c r="H69" s="128">
        <v>1.66</v>
      </c>
      <c r="I69" s="128">
        <v>1.66</v>
      </c>
      <c r="J69" s="128">
        <v>1.66</v>
      </c>
      <c r="K69" s="128">
        <v>1.66</v>
      </c>
      <c r="L69" s="128">
        <v>1.66</v>
      </c>
      <c r="M69" s="128">
        <v>1.66</v>
      </c>
      <c r="N69" s="128">
        <v>1.66</v>
      </c>
      <c r="O69" s="128">
        <v>1.66</v>
      </c>
      <c r="P69" s="128">
        <v>1.66</v>
      </c>
      <c r="Q69" s="128">
        <v>1.66</v>
      </c>
      <c r="R69" s="128">
        <v>1.66</v>
      </c>
      <c r="S69" s="128">
        <v>1.66</v>
      </c>
      <c r="T69" s="128">
        <v>1.66</v>
      </c>
      <c r="U69" s="128">
        <v>1.66</v>
      </c>
      <c r="V69" s="128">
        <v>1.66</v>
      </c>
      <c r="W69" s="128">
        <v>1.66</v>
      </c>
      <c r="X69" s="128">
        <v>1.66</v>
      </c>
      <c r="Y69" s="128">
        <v>1.66</v>
      </c>
      <c r="Z69" s="128">
        <v>1.66</v>
      </c>
      <c r="AA69" s="128">
        <v>1.66</v>
      </c>
      <c r="AB69" s="128">
        <v>1.66</v>
      </c>
      <c r="AC69" s="128">
        <v>1.66</v>
      </c>
      <c r="AD69" s="128">
        <v>1.66</v>
      </c>
      <c r="AE69" s="128">
        <v>1.66</v>
      </c>
      <c r="AF69" s="128">
        <v>1.66</v>
      </c>
      <c r="AG69" s="128">
        <v>1.66</v>
      </c>
      <c r="AH69" s="128">
        <v>1.66</v>
      </c>
      <c r="AI69" s="128">
        <v>1.66</v>
      </c>
      <c r="AJ69" s="128">
        <v>1.66</v>
      </c>
      <c r="AK69" s="128">
        <v>1.66</v>
      </c>
      <c r="AL69" s="128">
        <v>1.65</v>
      </c>
      <c r="AM69" s="128">
        <v>1.65</v>
      </c>
      <c r="AN69" s="128">
        <v>1.65</v>
      </c>
      <c r="AO69" s="128">
        <v>1.64</v>
      </c>
      <c r="AP69" s="128">
        <v>1.64</v>
      </c>
      <c r="AQ69" s="128">
        <v>1.63</v>
      </c>
      <c r="AR69" s="128">
        <v>1.63</v>
      </c>
      <c r="AS69" s="128">
        <v>1.63</v>
      </c>
      <c r="AT69" s="128">
        <v>1.62</v>
      </c>
      <c r="AU69" s="128">
        <v>1.62</v>
      </c>
      <c r="AV69" s="128">
        <v>1.61</v>
      </c>
      <c r="AW69" s="128">
        <v>1.61</v>
      </c>
      <c r="AX69" s="128">
        <v>1.6</v>
      </c>
      <c r="AY69" s="128">
        <v>1.6</v>
      </c>
      <c r="AZ69" s="128">
        <v>1.6</v>
      </c>
      <c r="BA69" s="128">
        <v>1.6</v>
      </c>
      <c r="BB69" s="128">
        <v>1.6</v>
      </c>
      <c r="BC69" s="128">
        <v>1.61</v>
      </c>
      <c r="BD69" s="128">
        <v>1.61</v>
      </c>
      <c r="BE69" s="128">
        <v>1.62</v>
      </c>
      <c r="BF69" s="128">
        <v>1.62</v>
      </c>
      <c r="BG69" s="128">
        <v>1.63</v>
      </c>
      <c r="BH69" s="128">
        <v>1.63</v>
      </c>
      <c r="BI69" s="128">
        <v>1.63</v>
      </c>
      <c r="BJ69" s="128">
        <v>1.64</v>
      </c>
      <c r="BK69" s="128">
        <v>1.64</v>
      </c>
      <c r="BL69" s="128">
        <v>1.65</v>
      </c>
      <c r="BM69" s="128">
        <v>1.65</v>
      </c>
      <c r="BN69" s="128">
        <v>1.65</v>
      </c>
      <c r="BO69" s="128">
        <v>1.66</v>
      </c>
      <c r="BP69" s="128">
        <v>1.66</v>
      </c>
      <c r="BQ69" s="128">
        <v>1.66</v>
      </c>
      <c r="BR69" s="128">
        <v>1.66</v>
      </c>
      <c r="BS69" s="128">
        <v>1.66</v>
      </c>
      <c r="BT69" s="128">
        <v>1.66</v>
      </c>
      <c r="BU69" s="128">
        <v>1.66</v>
      </c>
      <c r="BV69" s="128">
        <v>1.66</v>
      </c>
      <c r="BW69" s="128">
        <v>1.66</v>
      </c>
      <c r="BX69" s="128">
        <v>1.66</v>
      </c>
      <c r="BY69" s="128">
        <v>1.66</v>
      </c>
      <c r="BZ69" s="128">
        <v>1.66</v>
      </c>
      <c r="CA69" s="128">
        <v>1.66</v>
      </c>
      <c r="CB69" s="128">
        <v>1.66</v>
      </c>
      <c r="CC69" s="128">
        <v>1.66</v>
      </c>
      <c r="CD69" s="128">
        <v>1.66</v>
      </c>
      <c r="CE69" s="128">
        <v>1.66</v>
      </c>
      <c r="CF69" s="128">
        <v>1.66</v>
      </c>
      <c r="CG69" s="128">
        <v>1.66</v>
      </c>
      <c r="CH69" s="128">
        <v>1.66</v>
      </c>
      <c r="CI69" s="128">
        <v>1.66</v>
      </c>
      <c r="CJ69" s="128">
        <v>1.66</v>
      </c>
      <c r="CK69" s="128">
        <v>1.66</v>
      </c>
      <c r="CL69" s="128">
        <v>1.66</v>
      </c>
      <c r="CM69" s="128">
        <v>1.66</v>
      </c>
      <c r="CN69" s="128">
        <v>1.66</v>
      </c>
      <c r="CO69" s="128">
        <v>1.66</v>
      </c>
      <c r="CP69" s="128">
        <v>1.66</v>
      </c>
      <c r="CQ69" s="128">
        <v>1.66</v>
      </c>
      <c r="CR69" s="128">
        <v>1.66</v>
      </c>
      <c r="CS69" s="128">
        <v>1.66</v>
      </c>
      <c r="CT69" s="128">
        <v>1.66</v>
      </c>
      <c r="CU69" s="128">
        <v>1.66</v>
      </c>
      <c r="CV69" s="128">
        <v>1.66</v>
      </c>
      <c r="CW69" s="128">
        <v>1.66</v>
      </c>
      <c r="CX69" s="128">
        <v>1.66</v>
      </c>
      <c r="CZ69" s="126">
        <f>SUMIF(MatrixF3[[1]:[2]],MatrixF3[[#This Row],[Столбец1]])/MatrixF3[[#This Row],[Столбец1]]</f>
        <v>110.99999999999983</v>
      </c>
    </row>
    <row r="70" spans="1:104" ht="21" customHeight="1" x14ac:dyDescent="0.25">
      <c r="A70" s="127">
        <v>1.67</v>
      </c>
      <c r="B70" s="128">
        <v>1.67</v>
      </c>
      <c r="C70" s="128">
        <v>1.67</v>
      </c>
      <c r="D70" s="128">
        <v>1.67</v>
      </c>
      <c r="E70" s="128">
        <v>1.67</v>
      </c>
      <c r="F70" s="128">
        <v>1.67</v>
      </c>
      <c r="G70" s="128">
        <v>1.67</v>
      </c>
      <c r="H70" s="128">
        <v>1.67</v>
      </c>
      <c r="I70" s="128">
        <v>1.67</v>
      </c>
      <c r="J70" s="128">
        <v>1.67</v>
      </c>
      <c r="K70" s="128">
        <v>1.67</v>
      </c>
      <c r="L70" s="128">
        <v>1.67</v>
      </c>
      <c r="M70" s="128">
        <v>1.67</v>
      </c>
      <c r="N70" s="128">
        <v>1.67</v>
      </c>
      <c r="O70" s="128">
        <v>1.67</v>
      </c>
      <c r="P70" s="128">
        <v>1.67</v>
      </c>
      <c r="Q70" s="128">
        <v>1.67</v>
      </c>
      <c r="R70" s="128">
        <v>1.67</v>
      </c>
      <c r="S70" s="128">
        <v>1.67</v>
      </c>
      <c r="T70" s="128">
        <v>1.67</v>
      </c>
      <c r="U70" s="128">
        <v>1.67</v>
      </c>
      <c r="V70" s="128">
        <v>1.67</v>
      </c>
      <c r="W70" s="128">
        <v>1.67</v>
      </c>
      <c r="X70" s="128">
        <v>1.67</v>
      </c>
      <c r="Y70" s="128">
        <v>1.67</v>
      </c>
      <c r="Z70" s="128">
        <v>1.67</v>
      </c>
      <c r="AA70" s="128">
        <v>1.67</v>
      </c>
      <c r="AB70" s="128">
        <v>1.67</v>
      </c>
      <c r="AC70" s="128">
        <v>1.67</v>
      </c>
      <c r="AD70" s="128">
        <v>1.67</v>
      </c>
      <c r="AE70" s="128">
        <v>1.67</v>
      </c>
      <c r="AF70" s="128">
        <v>1.67</v>
      </c>
      <c r="AG70" s="128">
        <v>1.67</v>
      </c>
      <c r="AH70" s="128">
        <v>1.67</v>
      </c>
      <c r="AI70" s="128">
        <v>1.67</v>
      </c>
      <c r="AJ70" s="128">
        <v>1.67</v>
      </c>
      <c r="AK70" s="128">
        <v>1.66</v>
      </c>
      <c r="AL70" s="128">
        <v>1.66</v>
      </c>
      <c r="AM70" s="128">
        <v>1.66</v>
      </c>
      <c r="AN70" s="128">
        <v>1.65</v>
      </c>
      <c r="AO70" s="128">
        <v>1.65</v>
      </c>
      <c r="AP70" s="128">
        <v>1.65</v>
      </c>
      <c r="AQ70" s="128">
        <v>1.64</v>
      </c>
      <c r="AR70" s="128">
        <v>1.64</v>
      </c>
      <c r="AS70" s="128">
        <v>1.63</v>
      </c>
      <c r="AT70" s="128">
        <v>1.63</v>
      </c>
      <c r="AU70" s="128">
        <v>1.63</v>
      </c>
      <c r="AV70" s="128">
        <v>1.62</v>
      </c>
      <c r="AW70" s="128">
        <v>1.62</v>
      </c>
      <c r="AX70" s="128">
        <v>1.61</v>
      </c>
      <c r="AY70" s="128">
        <v>1.61</v>
      </c>
      <c r="AZ70" s="128">
        <v>1.6</v>
      </c>
      <c r="BA70" s="128">
        <v>1.61</v>
      </c>
      <c r="BB70" s="128">
        <v>1.61</v>
      </c>
      <c r="BC70" s="128">
        <v>1.62</v>
      </c>
      <c r="BD70" s="128">
        <v>1.62</v>
      </c>
      <c r="BE70" s="128">
        <v>1.63</v>
      </c>
      <c r="BF70" s="128">
        <v>1.63</v>
      </c>
      <c r="BG70" s="128">
        <v>1.63</v>
      </c>
      <c r="BH70" s="128">
        <v>1.64</v>
      </c>
      <c r="BI70" s="128">
        <v>1.64</v>
      </c>
      <c r="BJ70" s="128">
        <v>1.65</v>
      </c>
      <c r="BK70" s="128">
        <v>1.65</v>
      </c>
      <c r="BL70" s="128">
        <v>1.65</v>
      </c>
      <c r="BM70" s="128">
        <v>1.66</v>
      </c>
      <c r="BN70" s="128">
        <v>1.66</v>
      </c>
      <c r="BO70" s="128">
        <v>1.66</v>
      </c>
      <c r="BP70" s="128">
        <v>1.67</v>
      </c>
      <c r="BQ70" s="128">
        <v>1.67</v>
      </c>
      <c r="BR70" s="128">
        <v>1.67</v>
      </c>
      <c r="BS70" s="128">
        <v>1.67</v>
      </c>
      <c r="BT70" s="128">
        <v>1.67</v>
      </c>
      <c r="BU70" s="128">
        <v>1.67</v>
      </c>
      <c r="BV70" s="128">
        <v>1.67</v>
      </c>
      <c r="BW70" s="128">
        <v>1.67</v>
      </c>
      <c r="BX70" s="128">
        <v>1.67</v>
      </c>
      <c r="BY70" s="128">
        <v>1.67</v>
      </c>
      <c r="BZ70" s="128">
        <v>1.67</v>
      </c>
      <c r="CA70" s="128">
        <v>1.67</v>
      </c>
      <c r="CB70" s="128">
        <v>1.67</v>
      </c>
      <c r="CC70" s="128">
        <v>1.67</v>
      </c>
      <c r="CD70" s="128">
        <v>1.67</v>
      </c>
      <c r="CE70" s="128">
        <v>1.67</v>
      </c>
      <c r="CF70" s="128">
        <v>1.67</v>
      </c>
      <c r="CG70" s="128">
        <v>1.67</v>
      </c>
      <c r="CH70" s="128">
        <v>1.67</v>
      </c>
      <c r="CI70" s="128">
        <v>1.67</v>
      </c>
      <c r="CJ70" s="128">
        <v>1.67</v>
      </c>
      <c r="CK70" s="128">
        <v>1.67</v>
      </c>
      <c r="CL70" s="128">
        <v>1.67</v>
      </c>
      <c r="CM70" s="128">
        <v>1.67</v>
      </c>
      <c r="CN70" s="128">
        <v>1.67</v>
      </c>
      <c r="CO70" s="128">
        <v>1.67</v>
      </c>
      <c r="CP70" s="128">
        <v>1.67</v>
      </c>
      <c r="CQ70" s="128">
        <v>1.67</v>
      </c>
      <c r="CR70" s="128">
        <v>1.67</v>
      </c>
      <c r="CS70" s="128">
        <v>1.67</v>
      </c>
      <c r="CT70" s="128">
        <v>1.67</v>
      </c>
      <c r="CU70" s="128">
        <v>1.67</v>
      </c>
      <c r="CV70" s="128">
        <v>1.67</v>
      </c>
      <c r="CW70" s="128">
        <v>1.67</v>
      </c>
      <c r="CX70" s="128">
        <v>1.67</v>
      </c>
      <c r="CZ70" s="126">
        <f>SUMIF(MatrixF3[[1]:[2]],MatrixF3[[#This Row],[Столбец1]])/MatrixF3[[#This Row],[Столбец1]]</f>
        <v>112.99999999999979</v>
      </c>
    </row>
    <row r="71" spans="1:104" ht="21" customHeight="1" x14ac:dyDescent="0.25">
      <c r="A71" s="127">
        <v>1.68</v>
      </c>
      <c r="B71" s="128">
        <v>1.68</v>
      </c>
      <c r="C71" s="128">
        <v>1.68</v>
      </c>
      <c r="D71" s="128">
        <v>1.68</v>
      </c>
      <c r="E71" s="128">
        <v>1.68</v>
      </c>
      <c r="F71" s="128">
        <v>1.68</v>
      </c>
      <c r="G71" s="128">
        <v>1.68</v>
      </c>
      <c r="H71" s="128">
        <v>1.68</v>
      </c>
      <c r="I71" s="128">
        <v>1.68</v>
      </c>
      <c r="J71" s="128">
        <v>1.68</v>
      </c>
      <c r="K71" s="128">
        <v>1.68</v>
      </c>
      <c r="L71" s="128">
        <v>1.68</v>
      </c>
      <c r="M71" s="128">
        <v>1.68</v>
      </c>
      <c r="N71" s="128">
        <v>1.68</v>
      </c>
      <c r="O71" s="128">
        <v>1.68</v>
      </c>
      <c r="P71" s="128">
        <v>1.68</v>
      </c>
      <c r="Q71" s="128">
        <v>1.68</v>
      </c>
      <c r="R71" s="128">
        <v>1.68</v>
      </c>
      <c r="S71" s="128">
        <v>1.68</v>
      </c>
      <c r="T71" s="128">
        <v>1.68</v>
      </c>
      <c r="U71" s="128">
        <v>1.68</v>
      </c>
      <c r="V71" s="128">
        <v>1.68</v>
      </c>
      <c r="W71" s="128">
        <v>1.68</v>
      </c>
      <c r="X71" s="128">
        <v>1.68</v>
      </c>
      <c r="Y71" s="128">
        <v>1.68</v>
      </c>
      <c r="Z71" s="128">
        <v>1.68</v>
      </c>
      <c r="AA71" s="128">
        <v>1.68</v>
      </c>
      <c r="AB71" s="128">
        <v>1.68</v>
      </c>
      <c r="AC71" s="128">
        <v>1.68</v>
      </c>
      <c r="AD71" s="128">
        <v>1.68</v>
      </c>
      <c r="AE71" s="128">
        <v>1.68</v>
      </c>
      <c r="AF71" s="128">
        <v>1.68</v>
      </c>
      <c r="AG71" s="128">
        <v>1.68</v>
      </c>
      <c r="AH71" s="128">
        <v>1.68</v>
      </c>
      <c r="AI71" s="128">
        <v>1.68</v>
      </c>
      <c r="AJ71" s="128">
        <v>1.67</v>
      </c>
      <c r="AK71" s="128">
        <v>1.67</v>
      </c>
      <c r="AL71" s="128">
        <v>1.67</v>
      </c>
      <c r="AM71" s="128">
        <v>1.66</v>
      </c>
      <c r="AN71" s="128">
        <v>1.66</v>
      </c>
      <c r="AO71" s="128">
        <v>1.66</v>
      </c>
      <c r="AP71" s="128">
        <v>1.65</v>
      </c>
      <c r="AQ71" s="128">
        <v>1.65</v>
      </c>
      <c r="AR71" s="128">
        <v>1.64</v>
      </c>
      <c r="AS71" s="128">
        <v>1.64</v>
      </c>
      <c r="AT71" s="128">
        <v>1.64</v>
      </c>
      <c r="AU71" s="128">
        <v>1.63</v>
      </c>
      <c r="AV71" s="128">
        <v>1.63</v>
      </c>
      <c r="AW71" s="128">
        <v>1.62</v>
      </c>
      <c r="AX71" s="128">
        <v>1.62</v>
      </c>
      <c r="AY71" s="128">
        <v>1.61</v>
      </c>
      <c r="AZ71" s="128">
        <v>1.61</v>
      </c>
      <c r="BA71" s="128">
        <v>1.61</v>
      </c>
      <c r="BB71" s="128">
        <v>1.62</v>
      </c>
      <c r="BC71" s="128">
        <v>1.62</v>
      </c>
      <c r="BD71" s="128">
        <v>1.63</v>
      </c>
      <c r="BE71" s="128">
        <v>1.63</v>
      </c>
      <c r="BF71" s="128">
        <v>1.64</v>
      </c>
      <c r="BG71" s="128">
        <v>1.64</v>
      </c>
      <c r="BH71" s="128">
        <v>1.64</v>
      </c>
      <c r="BI71" s="128">
        <v>1.65</v>
      </c>
      <c r="BJ71" s="128">
        <v>1.65</v>
      </c>
      <c r="BK71" s="128">
        <v>1.66</v>
      </c>
      <c r="BL71" s="128">
        <v>1.66</v>
      </c>
      <c r="BM71" s="128">
        <v>1.66</v>
      </c>
      <c r="BN71" s="128">
        <v>1.67</v>
      </c>
      <c r="BO71" s="128">
        <v>1.67</v>
      </c>
      <c r="BP71" s="128">
        <v>1.67</v>
      </c>
      <c r="BQ71" s="128">
        <v>1.68</v>
      </c>
      <c r="BR71" s="128">
        <v>1.68</v>
      </c>
      <c r="BS71" s="128">
        <v>1.68</v>
      </c>
      <c r="BT71" s="128">
        <v>1.68</v>
      </c>
      <c r="BU71" s="128">
        <v>1.68</v>
      </c>
      <c r="BV71" s="128">
        <v>1.68</v>
      </c>
      <c r="BW71" s="128">
        <v>1.68</v>
      </c>
      <c r="BX71" s="128">
        <v>1.68</v>
      </c>
      <c r="BY71" s="128">
        <v>1.68</v>
      </c>
      <c r="BZ71" s="128">
        <v>1.68</v>
      </c>
      <c r="CA71" s="128">
        <v>1.68</v>
      </c>
      <c r="CB71" s="128">
        <v>1.68</v>
      </c>
      <c r="CC71" s="128">
        <v>1.68</v>
      </c>
      <c r="CD71" s="128">
        <v>1.68</v>
      </c>
      <c r="CE71" s="128">
        <v>1.68</v>
      </c>
      <c r="CF71" s="128">
        <v>1.68</v>
      </c>
      <c r="CG71" s="128">
        <v>1.68</v>
      </c>
      <c r="CH71" s="128">
        <v>1.68</v>
      </c>
      <c r="CI71" s="128">
        <v>1.68</v>
      </c>
      <c r="CJ71" s="128">
        <v>1.68</v>
      </c>
      <c r="CK71" s="128">
        <v>1.68</v>
      </c>
      <c r="CL71" s="128">
        <v>1.68</v>
      </c>
      <c r="CM71" s="128">
        <v>1.68</v>
      </c>
      <c r="CN71" s="128">
        <v>1.68</v>
      </c>
      <c r="CO71" s="128">
        <v>1.68</v>
      </c>
      <c r="CP71" s="128">
        <v>1.68</v>
      </c>
      <c r="CQ71" s="128">
        <v>1.68</v>
      </c>
      <c r="CR71" s="128">
        <v>1.68</v>
      </c>
      <c r="CS71" s="128">
        <v>1.68</v>
      </c>
      <c r="CT71" s="128">
        <v>1.68</v>
      </c>
      <c r="CU71" s="128">
        <v>1.68</v>
      </c>
      <c r="CV71" s="128">
        <v>1.68</v>
      </c>
      <c r="CW71" s="128">
        <v>1.68</v>
      </c>
      <c r="CX71" s="128">
        <v>1.68</v>
      </c>
      <c r="CZ71" s="126">
        <f>SUMIF(MatrixF3[[1]:[2]],MatrixF3[[#This Row],[Столбец1]])/MatrixF3[[#This Row],[Столбец1]]</f>
        <v>112.00000000000028</v>
      </c>
    </row>
    <row r="72" spans="1:104" ht="21" customHeight="1" x14ac:dyDescent="0.25">
      <c r="A72" s="127">
        <v>1.69</v>
      </c>
      <c r="B72" s="128">
        <v>1.69</v>
      </c>
      <c r="C72" s="128">
        <v>1.69</v>
      </c>
      <c r="D72" s="128">
        <v>1.69</v>
      </c>
      <c r="E72" s="128">
        <v>1.69</v>
      </c>
      <c r="F72" s="128">
        <v>1.69</v>
      </c>
      <c r="G72" s="128">
        <v>1.69</v>
      </c>
      <c r="H72" s="128">
        <v>1.69</v>
      </c>
      <c r="I72" s="128">
        <v>1.69</v>
      </c>
      <c r="J72" s="128">
        <v>1.69</v>
      </c>
      <c r="K72" s="128">
        <v>1.69</v>
      </c>
      <c r="L72" s="128">
        <v>1.69</v>
      </c>
      <c r="M72" s="128">
        <v>1.69</v>
      </c>
      <c r="N72" s="128">
        <v>1.69</v>
      </c>
      <c r="O72" s="128">
        <v>1.69</v>
      </c>
      <c r="P72" s="128">
        <v>1.69</v>
      </c>
      <c r="Q72" s="128">
        <v>1.69</v>
      </c>
      <c r="R72" s="128">
        <v>1.69</v>
      </c>
      <c r="S72" s="128">
        <v>1.69</v>
      </c>
      <c r="T72" s="128">
        <v>1.69</v>
      </c>
      <c r="U72" s="128">
        <v>1.69</v>
      </c>
      <c r="V72" s="128">
        <v>1.69</v>
      </c>
      <c r="W72" s="128">
        <v>1.69</v>
      </c>
      <c r="X72" s="128">
        <v>1.69</v>
      </c>
      <c r="Y72" s="128">
        <v>1.69</v>
      </c>
      <c r="Z72" s="128">
        <v>1.69</v>
      </c>
      <c r="AA72" s="128">
        <v>1.69</v>
      </c>
      <c r="AB72" s="128">
        <v>1.69</v>
      </c>
      <c r="AC72" s="128">
        <v>1.69</v>
      </c>
      <c r="AD72" s="128">
        <v>1.69</v>
      </c>
      <c r="AE72" s="128">
        <v>1.69</v>
      </c>
      <c r="AF72" s="128">
        <v>1.69</v>
      </c>
      <c r="AG72" s="128">
        <v>1.69</v>
      </c>
      <c r="AH72" s="128">
        <v>1.69</v>
      </c>
      <c r="AI72" s="128">
        <v>1.68</v>
      </c>
      <c r="AJ72" s="128">
        <v>1.68</v>
      </c>
      <c r="AK72" s="128">
        <v>1.68</v>
      </c>
      <c r="AL72" s="128">
        <v>1.67</v>
      </c>
      <c r="AM72" s="128">
        <v>1.67</v>
      </c>
      <c r="AN72" s="128">
        <v>1.67</v>
      </c>
      <c r="AO72" s="128">
        <v>1.66</v>
      </c>
      <c r="AP72" s="128">
        <v>1.66</v>
      </c>
      <c r="AQ72" s="128">
        <v>1.66</v>
      </c>
      <c r="AR72" s="128">
        <v>1.65</v>
      </c>
      <c r="AS72" s="128">
        <v>1.65</v>
      </c>
      <c r="AT72" s="128">
        <v>1.64</v>
      </c>
      <c r="AU72" s="128">
        <v>1.64</v>
      </c>
      <c r="AV72" s="128">
        <v>1.64</v>
      </c>
      <c r="AW72" s="128">
        <v>1.63</v>
      </c>
      <c r="AX72" s="128">
        <v>1.63</v>
      </c>
      <c r="AY72" s="128">
        <v>1.62</v>
      </c>
      <c r="AZ72" s="128">
        <v>1.62</v>
      </c>
      <c r="BA72" s="128">
        <v>1.62</v>
      </c>
      <c r="BB72" s="128">
        <v>1.63</v>
      </c>
      <c r="BC72" s="128">
        <v>1.63</v>
      </c>
      <c r="BD72" s="128">
        <v>1.64</v>
      </c>
      <c r="BE72" s="128">
        <v>1.64</v>
      </c>
      <c r="BF72" s="128">
        <v>1.64</v>
      </c>
      <c r="BG72" s="128">
        <v>1.65</v>
      </c>
      <c r="BH72" s="128">
        <v>1.65</v>
      </c>
      <c r="BI72" s="128">
        <v>1.66</v>
      </c>
      <c r="BJ72" s="128">
        <v>1.66</v>
      </c>
      <c r="BK72" s="128">
        <v>1.66</v>
      </c>
      <c r="BL72" s="128">
        <v>1.67</v>
      </c>
      <c r="BM72" s="128">
        <v>1.67</v>
      </c>
      <c r="BN72" s="128">
        <v>1.67</v>
      </c>
      <c r="BO72" s="128">
        <v>1.68</v>
      </c>
      <c r="BP72" s="128">
        <v>1.68</v>
      </c>
      <c r="BQ72" s="128">
        <v>1.68</v>
      </c>
      <c r="BR72" s="128">
        <v>1.69</v>
      </c>
      <c r="BS72" s="128">
        <v>1.69</v>
      </c>
      <c r="BT72" s="128">
        <v>1.69</v>
      </c>
      <c r="BU72" s="128">
        <v>1.69</v>
      </c>
      <c r="BV72" s="128">
        <v>1.69</v>
      </c>
      <c r="BW72" s="128">
        <v>1.69</v>
      </c>
      <c r="BX72" s="128">
        <v>1.69</v>
      </c>
      <c r="BY72" s="128">
        <v>1.69</v>
      </c>
      <c r="BZ72" s="128">
        <v>1.69</v>
      </c>
      <c r="CA72" s="128">
        <v>1.69</v>
      </c>
      <c r="CB72" s="128">
        <v>1.69</v>
      </c>
      <c r="CC72" s="128">
        <v>1.69</v>
      </c>
      <c r="CD72" s="128">
        <v>1.69</v>
      </c>
      <c r="CE72" s="128">
        <v>1.69</v>
      </c>
      <c r="CF72" s="128">
        <v>1.69</v>
      </c>
      <c r="CG72" s="128">
        <v>1.69</v>
      </c>
      <c r="CH72" s="128">
        <v>1.69</v>
      </c>
      <c r="CI72" s="128">
        <v>1.69</v>
      </c>
      <c r="CJ72" s="128">
        <v>1.69</v>
      </c>
      <c r="CK72" s="128">
        <v>1.69</v>
      </c>
      <c r="CL72" s="128">
        <v>1.69</v>
      </c>
      <c r="CM72" s="128">
        <v>1.69</v>
      </c>
      <c r="CN72" s="128">
        <v>1.69</v>
      </c>
      <c r="CO72" s="128">
        <v>1.69</v>
      </c>
      <c r="CP72" s="128">
        <v>1.69</v>
      </c>
      <c r="CQ72" s="128">
        <v>1.69</v>
      </c>
      <c r="CR72" s="128">
        <v>1.69</v>
      </c>
      <c r="CS72" s="128">
        <v>1.69</v>
      </c>
      <c r="CT72" s="128">
        <v>1.69</v>
      </c>
      <c r="CU72" s="128">
        <v>1.69</v>
      </c>
      <c r="CV72" s="128">
        <v>1.69</v>
      </c>
      <c r="CW72" s="128">
        <v>1.69</v>
      </c>
      <c r="CX72" s="128">
        <v>1.69</v>
      </c>
      <c r="CZ72" s="126">
        <f>SUMIF(MatrixF3[[1]:[2]],MatrixF3[[#This Row],[Столбец1]])/MatrixF3[[#This Row],[Столбец1]]</f>
        <v>108.99999999999989</v>
      </c>
    </row>
    <row r="73" spans="1:104" ht="21" customHeight="1" x14ac:dyDescent="0.25">
      <c r="A73" s="127">
        <v>1.7</v>
      </c>
      <c r="B73" s="128">
        <v>1.7</v>
      </c>
      <c r="C73" s="128">
        <v>1.7</v>
      </c>
      <c r="D73" s="128">
        <v>1.7</v>
      </c>
      <c r="E73" s="128">
        <v>1.7</v>
      </c>
      <c r="F73" s="128">
        <v>1.7</v>
      </c>
      <c r="G73" s="128">
        <v>1.7</v>
      </c>
      <c r="H73" s="128">
        <v>1.7</v>
      </c>
      <c r="I73" s="128">
        <v>1.7</v>
      </c>
      <c r="J73" s="128">
        <v>1.7</v>
      </c>
      <c r="K73" s="128">
        <v>1.7</v>
      </c>
      <c r="L73" s="128">
        <v>1.7</v>
      </c>
      <c r="M73" s="128">
        <v>1.7</v>
      </c>
      <c r="N73" s="128">
        <v>1.7</v>
      </c>
      <c r="O73" s="128">
        <v>1.7</v>
      </c>
      <c r="P73" s="128">
        <v>1.7</v>
      </c>
      <c r="Q73" s="128">
        <v>1.7</v>
      </c>
      <c r="R73" s="128">
        <v>1.7</v>
      </c>
      <c r="S73" s="128">
        <v>1.7</v>
      </c>
      <c r="T73" s="128">
        <v>1.7</v>
      </c>
      <c r="U73" s="128">
        <v>1.7</v>
      </c>
      <c r="V73" s="128">
        <v>1.7</v>
      </c>
      <c r="W73" s="128">
        <v>1.7</v>
      </c>
      <c r="X73" s="128">
        <v>1.7</v>
      </c>
      <c r="Y73" s="128">
        <v>1.7</v>
      </c>
      <c r="Z73" s="128">
        <v>1.7</v>
      </c>
      <c r="AA73" s="128">
        <v>1.7</v>
      </c>
      <c r="AB73" s="128">
        <v>1.7</v>
      </c>
      <c r="AC73" s="128">
        <v>1.7</v>
      </c>
      <c r="AD73" s="128">
        <v>1.7</v>
      </c>
      <c r="AE73" s="128">
        <v>1.7</v>
      </c>
      <c r="AF73" s="128">
        <v>1.7</v>
      </c>
      <c r="AG73" s="128">
        <v>1.7</v>
      </c>
      <c r="AH73" s="128">
        <v>1.69</v>
      </c>
      <c r="AI73" s="128">
        <v>1.69</v>
      </c>
      <c r="AJ73" s="128">
        <v>1.69</v>
      </c>
      <c r="AK73" s="128">
        <v>1.68</v>
      </c>
      <c r="AL73" s="128">
        <v>1.68</v>
      </c>
      <c r="AM73" s="128">
        <v>1.68</v>
      </c>
      <c r="AN73" s="128">
        <v>1.67</v>
      </c>
      <c r="AO73" s="128">
        <v>1.67</v>
      </c>
      <c r="AP73" s="128">
        <v>1.67</v>
      </c>
      <c r="AQ73" s="128">
        <v>1.66</v>
      </c>
      <c r="AR73" s="128">
        <v>1.66</v>
      </c>
      <c r="AS73" s="128">
        <v>1.66</v>
      </c>
      <c r="AT73" s="128">
        <v>1.65</v>
      </c>
      <c r="AU73" s="128">
        <v>1.65</v>
      </c>
      <c r="AV73" s="128">
        <v>1.64</v>
      </c>
      <c r="AW73" s="128">
        <v>1.64</v>
      </c>
      <c r="AX73" s="128">
        <v>1.63</v>
      </c>
      <c r="AY73" s="128">
        <v>1.63</v>
      </c>
      <c r="AZ73" s="128">
        <v>1.62</v>
      </c>
      <c r="BA73" s="128">
        <v>1.63</v>
      </c>
      <c r="BB73" s="128">
        <v>1.63</v>
      </c>
      <c r="BC73" s="128">
        <v>1.64</v>
      </c>
      <c r="BD73" s="128">
        <v>1.64</v>
      </c>
      <c r="BE73" s="128">
        <v>1.65</v>
      </c>
      <c r="BF73" s="128">
        <v>1.65</v>
      </c>
      <c r="BG73" s="128">
        <v>1.66</v>
      </c>
      <c r="BH73" s="128">
        <v>1.66</v>
      </c>
      <c r="BI73" s="128">
        <v>1.66</v>
      </c>
      <c r="BJ73" s="128">
        <v>1.67</v>
      </c>
      <c r="BK73" s="128">
        <v>1.67</v>
      </c>
      <c r="BL73" s="128">
        <v>1.67</v>
      </c>
      <c r="BM73" s="128">
        <v>1.68</v>
      </c>
      <c r="BN73" s="128">
        <v>1.68</v>
      </c>
      <c r="BO73" s="128">
        <v>1.68</v>
      </c>
      <c r="BP73" s="128">
        <v>1.69</v>
      </c>
      <c r="BQ73" s="128">
        <v>1.69</v>
      </c>
      <c r="BR73" s="128">
        <v>1.69</v>
      </c>
      <c r="BS73" s="128">
        <v>1.7</v>
      </c>
      <c r="BT73" s="128">
        <v>1.7</v>
      </c>
      <c r="BU73" s="128">
        <v>1.7</v>
      </c>
      <c r="BV73" s="128">
        <v>1.7</v>
      </c>
      <c r="BW73" s="128">
        <v>1.7</v>
      </c>
      <c r="BX73" s="128">
        <v>1.7</v>
      </c>
      <c r="BY73" s="128">
        <v>1.7</v>
      </c>
      <c r="BZ73" s="128">
        <v>1.7</v>
      </c>
      <c r="CA73" s="128">
        <v>1.7</v>
      </c>
      <c r="CB73" s="128">
        <v>1.7</v>
      </c>
      <c r="CC73" s="128">
        <v>1.7</v>
      </c>
      <c r="CD73" s="128">
        <v>1.7</v>
      </c>
      <c r="CE73" s="128">
        <v>1.7</v>
      </c>
      <c r="CF73" s="128">
        <v>1.7</v>
      </c>
      <c r="CG73" s="128">
        <v>1.7</v>
      </c>
      <c r="CH73" s="128">
        <v>1.7</v>
      </c>
      <c r="CI73" s="128">
        <v>1.7</v>
      </c>
      <c r="CJ73" s="128">
        <v>1.7</v>
      </c>
      <c r="CK73" s="128">
        <v>1.7</v>
      </c>
      <c r="CL73" s="128">
        <v>1.7</v>
      </c>
      <c r="CM73" s="128">
        <v>1.7</v>
      </c>
      <c r="CN73" s="128">
        <v>1.7</v>
      </c>
      <c r="CO73" s="128">
        <v>1.7</v>
      </c>
      <c r="CP73" s="128">
        <v>1.7</v>
      </c>
      <c r="CQ73" s="128">
        <v>1.7</v>
      </c>
      <c r="CR73" s="128">
        <v>1.7</v>
      </c>
      <c r="CS73" s="128">
        <v>1.7</v>
      </c>
      <c r="CT73" s="128">
        <v>1.7</v>
      </c>
      <c r="CU73" s="128">
        <v>1.7</v>
      </c>
      <c r="CV73" s="128">
        <v>1.7</v>
      </c>
      <c r="CW73" s="128">
        <v>1.7</v>
      </c>
      <c r="CX73" s="128">
        <v>1.7</v>
      </c>
      <c r="CZ73" s="126">
        <f>SUMIF(MatrixF3[[1]:[2]],MatrixF3[[#This Row],[Столбец1]])/MatrixF3[[#This Row],[Столбец1]]</f>
        <v>108.99999999999986</v>
      </c>
    </row>
    <row r="74" spans="1:104" ht="21" customHeight="1" x14ac:dyDescent="0.25">
      <c r="A74" s="127">
        <v>1.71</v>
      </c>
      <c r="B74" s="128">
        <v>1.71</v>
      </c>
      <c r="C74" s="128">
        <v>1.71</v>
      </c>
      <c r="D74" s="128">
        <v>1.71</v>
      </c>
      <c r="E74" s="128">
        <v>1.71</v>
      </c>
      <c r="F74" s="128">
        <v>1.71</v>
      </c>
      <c r="G74" s="128">
        <v>1.71</v>
      </c>
      <c r="H74" s="128">
        <v>1.71</v>
      </c>
      <c r="I74" s="128">
        <v>1.71</v>
      </c>
      <c r="J74" s="128">
        <v>1.71</v>
      </c>
      <c r="K74" s="128">
        <v>1.71</v>
      </c>
      <c r="L74" s="128">
        <v>1.71</v>
      </c>
      <c r="M74" s="128">
        <v>1.71</v>
      </c>
      <c r="N74" s="128">
        <v>1.71</v>
      </c>
      <c r="O74" s="128">
        <v>1.71</v>
      </c>
      <c r="P74" s="128">
        <v>1.71</v>
      </c>
      <c r="Q74" s="128">
        <v>1.71</v>
      </c>
      <c r="R74" s="128">
        <v>1.71</v>
      </c>
      <c r="S74" s="128">
        <v>1.71</v>
      </c>
      <c r="T74" s="128">
        <v>1.71</v>
      </c>
      <c r="U74" s="128">
        <v>1.71</v>
      </c>
      <c r="V74" s="128">
        <v>1.71</v>
      </c>
      <c r="W74" s="128">
        <v>1.71</v>
      </c>
      <c r="X74" s="128">
        <v>1.71</v>
      </c>
      <c r="Y74" s="128">
        <v>1.71</v>
      </c>
      <c r="Z74" s="128">
        <v>1.71</v>
      </c>
      <c r="AA74" s="128">
        <v>1.71</v>
      </c>
      <c r="AB74" s="128">
        <v>1.71</v>
      </c>
      <c r="AC74" s="128">
        <v>1.71</v>
      </c>
      <c r="AD74" s="128">
        <v>1.71</v>
      </c>
      <c r="AE74" s="128">
        <v>1.71</v>
      </c>
      <c r="AF74" s="128">
        <v>1.71</v>
      </c>
      <c r="AG74" s="128">
        <v>1.7</v>
      </c>
      <c r="AH74" s="128">
        <v>1.7</v>
      </c>
      <c r="AI74" s="128">
        <v>1.7</v>
      </c>
      <c r="AJ74" s="128">
        <v>1.69</v>
      </c>
      <c r="AK74" s="128">
        <v>1.69</v>
      </c>
      <c r="AL74" s="128">
        <v>1.69</v>
      </c>
      <c r="AM74" s="128">
        <v>1.68</v>
      </c>
      <c r="AN74" s="128">
        <v>1.68</v>
      </c>
      <c r="AO74" s="128">
        <v>1.68</v>
      </c>
      <c r="AP74" s="128">
        <v>1.67</v>
      </c>
      <c r="AQ74" s="128">
        <v>1.67</v>
      </c>
      <c r="AR74" s="128">
        <v>1.67</v>
      </c>
      <c r="AS74" s="128">
        <v>1.66</v>
      </c>
      <c r="AT74" s="128">
        <v>1.66</v>
      </c>
      <c r="AU74" s="128">
        <v>1.65</v>
      </c>
      <c r="AV74" s="128">
        <v>1.65</v>
      </c>
      <c r="AW74" s="128">
        <v>1.65</v>
      </c>
      <c r="AX74" s="128">
        <v>1.64</v>
      </c>
      <c r="AY74" s="128">
        <v>1.64</v>
      </c>
      <c r="AZ74" s="128">
        <v>1.63</v>
      </c>
      <c r="BA74" s="128">
        <v>1.64</v>
      </c>
      <c r="BB74" s="128">
        <v>1.64</v>
      </c>
      <c r="BC74" s="128">
        <v>1.65</v>
      </c>
      <c r="BD74" s="128">
        <v>1.65</v>
      </c>
      <c r="BE74" s="128">
        <v>1.65</v>
      </c>
      <c r="BF74" s="128">
        <v>1.66</v>
      </c>
      <c r="BG74" s="128">
        <v>1.66</v>
      </c>
      <c r="BH74" s="128">
        <v>1.67</v>
      </c>
      <c r="BI74" s="128">
        <v>1.67</v>
      </c>
      <c r="BJ74" s="128">
        <v>1.67</v>
      </c>
      <c r="BK74" s="128">
        <v>1.68</v>
      </c>
      <c r="BL74" s="128">
        <v>1.68</v>
      </c>
      <c r="BM74" s="128">
        <v>1.68</v>
      </c>
      <c r="BN74" s="128">
        <v>1.69</v>
      </c>
      <c r="BO74" s="128">
        <v>1.69</v>
      </c>
      <c r="BP74" s="128">
        <v>1.69</v>
      </c>
      <c r="BQ74" s="128">
        <v>1.7</v>
      </c>
      <c r="BR74" s="128">
        <v>1.7</v>
      </c>
      <c r="BS74" s="128">
        <v>1.7</v>
      </c>
      <c r="BT74" s="128">
        <v>1.71</v>
      </c>
      <c r="BU74" s="128">
        <v>1.71</v>
      </c>
      <c r="BV74" s="128">
        <v>1.71</v>
      </c>
      <c r="BW74" s="128">
        <v>1.71</v>
      </c>
      <c r="BX74" s="128">
        <v>1.71</v>
      </c>
      <c r="BY74" s="128">
        <v>1.71</v>
      </c>
      <c r="BZ74" s="128">
        <v>1.71</v>
      </c>
      <c r="CA74" s="128">
        <v>1.71</v>
      </c>
      <c r="CB74" s="128">
        <v>1.71</v>
      </c>
      <c r="CC74" s="128">
        <v>1.71</v>
      </c>
      <c r="CD74" s="128">
        <v>1.71</v>
      </c>
      <c r="CE74" s="128">
        <v>1.71</v>
      </c>
      <c r="CF74" s="128">
        <v>1.71</v>
      </c>
      <c r="CG74" s="128">
        <v>1.71</v>
      </c>
      <c r="CH74" s="128">
        <v>1.71</v>
      </c>
      <c r="CI74" s="128">
        <v>1.71</v>
      </c>
      <c r="CJ74" s="128">
        <v>1.71</v>
      </c>
      <c r="CK74" s="128">
        <v>1.71</v>
      </c>
      <c r="CL74" s="128">
        <v>1.71</v>
      </c>
      <c r="CM74" s="128">
        <v>1.71</v>
      </c>
      <c r="CN74" s="128">
        <v>1.71</v>
      </c>
      <c r="CO74" s="128">
        <v>1.71</v>
      </c>
      <c r="CP74" s="128">
        <v>1.71</v>
      </c>
      <c r="CQ74" s="128">
        <v>1.71</v>
      </c>
      <c r="CR74" s="128">
        <v>1.71</v>
      </c>
      <c r="CS74" s="128">
        <v>1.71</v>
      </c>
      <c r="CT74" s="128">
        <v>1.71</v>
      </c>
      <c r="CU74" s="128">
        <v>1.71</v>
      </c>
      <c r="CV74" s="128">
        <v>1.71</v>
      </c>
      <c r="CW74" s="128">
        <v>1.71</v>
      </c>
      <c r="CX74" s="128">
        <v>1.71</v>
      </c>
      <c r="CZ74" s="126">
        <f>SUMIF(MatrixF3[[1]:[2]],MatrixF3[[#This Row],[Столбец1]])/MatrixF3[[#This Row],[Столбец1]]</f>
        <v>111.00000000000006</v>
      </c>
    </row>
    <row r="75" spans="1:104" ht="21" customHeight="1" x14ac:dyDescent="0.25">
      <c r="A75" s="127">
        <v>1.72</v>
      </c>
      <c r="B75" s="128">
        <v>1.72</v>
      </c>
      <c r="C75" s="128">
        <v>1.72</v>
      </c>
      <c r="D75" s="128">
        <v>1.72</v>
      </c>
      <c r="E75" s="128">
        <v>1.72</v>
      </c>
      <c r="F75" s="128">
        <v>1.72</v>
      </c>
      <c r="G75" s="128">
        <v>1.72</v>
      </c>
      <c r="H75" s="128">
        <v>1.72</v>
      </c>
      <c r="I75" s="128">
        <v>1.72</v>
      </c>
      <c r="J75" s="128">
        <v>1.72</v>
      </c>
      <c r="K75" s="128">
        <v>1.72</v>
      </c>
      <c r="L75" s="128">
        <v>1.72</v>
      </c>
      <c r="M75" s="128">
        <v>1.72</v>
      </c>
      <c r="N75" s="128">
        <v>1.72</v>
      </c>
      <c r="O75" s="128">
        <v>1.72</v>
      </c>
      <c r="P75" s="128">
        <v>1.72</v>
      </c>
      <c r="Q75" s="128">
        <v>1.72</v>
      </c>
      <c r="R75" s="128">
        <v>1.72</v>
      </c>
      <c r="S75" s="128">
        <v>1.72</v>
      </c>
      <c r="T75" s="128">
        <v>1.72</v>
      </c>
      <c r="U75" s="128">
        <v>1.72</v>
      </c>
      <c r="V75" s="128">
        <v>1.72</v>
      </c>
      <c r="W75" s="128">
        <v>1.72</v>
      </c>
      <c r="X75" s="128">
        <v>1.72</v>
      </c>
      <c r="Y75" s="128">
        <v>1.72</v>
      </c>
      <c r="Z75" s="128">
        <v>1.72</v>
      </c>
      <c r="AA75" s="128">
        <v>1.72</v>
      </c>
      <c r="AB75" s="128">
        <v>1.72</v>
      </c>
      <c r="AC75" s="128">
        <v>1.72</v>
      </c>
      <c r="AD75" s="128">
        <v>1.72</v>
      </c>
      <c r="AE75" s="128">
        <v>1.72</v>
      </c>
      <c r="AF75" s="128">
        <v>1.71</v>
      </c>
      <c r="AG75" s="128">
        <v>1.71</v>
      </c>
      <c r="AH75" s="128">
        <v>1.71</v>
      </c>
      <c r="AI75" s="128">
        <v>1.71</v>
      </c>
      <c r="AJ75" s="128">
        <v>1.7</v>
      </c>
      <c r="AK75" s="128">
        <v>1.7</v>
      </c>
      <c r="AL75" s="128">
        <v>1.7</v>
      </c>
      <c r="AM75" s="128">
        <v>1.69</v>
      </c>
      <c r="AN75" s="128">
        <v>1.69</v>
      </c>
      <c r="AO75" s="128">
        <v>1.69</v>
      </c>
      <c r="AP75" s="128">
        <v>1.68</v>
      </c>
      <c r="AQ75" s="128">
        <v>1.68</v>
      </c>
      <c r="AR75" s="128">
        <v>1.67</v>
      </c>
      <c r="AS75" s="128">
        <v>1.67</v>
      </c>
      <c r="AT75" s="128">
        <v>1.67</v>
      </c>
      <c r="AU75" s="128">
        <v>1.66</v>
      </c>
      <c r="AV75" s="128">
        <v>1.66</v>
      </c>
      <c r="AW75" s="128">
        <v>1.65</v>
      </c>
      <c r="AX75" s="128">
        <v>1.65</v>
      </c>
      <c r="AY75" s="128">
        <v>1.65</v>
      </c>
      <c r="AZ75" s="128">
        <v>1.64</v>
      </c>
      <c r="BA75" s="128">
        <v>1.65</v>
      </c>
      <c r="BB75" s="128">
        <v>1.65</v>
      </c>
      <c r="BC75" s="128">
        <v>1.65</v>
      </c>
      <c r="BD75" s="128">
        <v>1.66</v>
      </c>
      <c r="BE75" s="128">
        <v>1.66</v>
      </c>
      <c r="BF75" s="128">
        <v>1.67</v>
      </c>
      <c r="BG75" s="128">
        <v>1.67</v>
      </c>
      <c r="BH75" s="128">
        <v>1.67</v>
      </c>
      <c r="BI75" s="128">
        <v>1.68</v>
      </c>
      <c r="BJ75" s="128">
        <v>1.68</v>
      </c>
      <c r="BK75" s="128">
        <v>1.69</v>
      </c>
      <c r="BL75" s="128">
        <v>1.69</v>
      </c>
      <c r="BM75" s="128">
        <v>1.69</v>
      </c>
      <c r="BN75" s="128">
        <v>1.7</v>
      </c>
      <c r="BO75" s="128">
        <v>1.7</v>
      </c>
      <c r="BP75" s="128">
        <v>1.7</v>
      </c>
      <c r="BQ75" s="128">
        <v>1.71</v>
      </c>
      <c r="BR75" s="128">
        <v>1.71</v>
      </c>
      <c r="BS75" s="128">
        <v>1.71</v>
      </c>
      <c r="BT75" s="128">
        <v>1.71</v>
      </c>
      <c r="BU75" s="128">
        <v>1.72</v>
      </c>
      <c r="BV75" s="128">
        <v>1.72</v>
      </c>
      <c r="BW75" s="128">
        <v>1.72</v>
      </c>
      <c r="BX75" s="128">
        <v>1.72</v>
      </c>
      <c r="BY75" s="128">
        <v>1.72</v>
      </c>
      <c r="BZ75" s="128">
        <v>1.72</v>
      </c>
      <c r="CA75" s="128">
        <v>1.72</v>
      </c>
      <c r="CB75" s="128">
        <v>1.72</v>
      </c>
      <c r="CC75" s="128">
        <v>1.72</v>
      </c>
      <c r="CD75" s="128">
        <v>1.72</v>
      </c>
      <c r="CE75" s="128">
        <v>1.72</v>
      </c>
      <c r="CF75" s="128">
        <v>1.72</v>
      </c>
      <c r="CG75" s="128">
        <v>1.72</v>
      </c>
      <c r="CH75" s="128">
        <v>1.72</v>
      </c>
      <c r="CI75" s="128">
        <v>1.72</v>
      </c>
      <c r="CJ75" s="128">
        <v>1.72</v>
      </c>
      <c r="CK75" s="128">
        <v>1.72</v>
      </c>
      <c r="CL75" s="128">
        <v>1.72</v>
      </c>
      <c r="CM75" s="128">
        <v>1.72</v>
      </c>
      <c r="CN75" s="128">
        <v>1.72</v>
      </c>
      <c r="CO75" s="128">
        <v>1.72</v>
      </c>
      <c r="CP75" s="128">
        <v>1.72</v>
      </c>
      <c r="CQ75" s="128">
        <v>1.72</v>
      </c>
      <c r="CR75" s="128">
        <v>1.72</v>
      </c>
      <c r="CS75" s="128">
        <v>1.72</v>
      </c>
      <c r="CT75" s="128">
        <v>1.72</v>
      </c>
      <c r="CU75" s="128">
        <v>1.72</v>
      </c>
      <c r="CV75" s="128">
        <v>1.72</v>
      </c>
      <c r="CW75" s="128">
        <v>1.72</v>
      </c>
      <c r="CX75" s="128">
        <v>1.72</v>
      </c>
      <c r="CZ75" s="126">
        <f>SUMIF(MatrixF3[[1]:[2]],MatrixF3[[#This Row],[Столбец1]])/MatrixF3[[#This Row],[Столбец1]]</f>
        <v>106.99999999999994</v>
      </c>
    </row>
    <row r="76" spans="1:104" ht="21" customHeight="1" x14ac:dyDescent="0.25">
      <c r="A76" s="127">
        <v>1.73</v>
      </c>
      <c r="B76" s="128">
        <v>1.73</v>
      </c>
      <c r="C76" s="128">
        <v>1.73</v>
      </c>
      <c r="D76" s="128">
        <v>1.73</v>
      </c>
      <c r="E76" s="128">
        <v>1.73</v>
      </c>
      <c r="F76" s="128">
        <v>1.73</v>
      </c>
      <c r="G76" s="128">
        <v>1.73</v>
      </c>
      <c r="H76" s="128">
        <v>1.73</v>
      </c>
      <c r="I76" s="128">
        <v>1.73</v>
      </c>
      <c r="J76" s="128">
        <v>1.73</v>
      </c>
      <c r="K76" s="128">
        <v>1.73</v>
      </c>
      <c r="L76" s="128">
        <v>1.73</v>
      </c>
      <c r="M76" s="128">
        <v>1.73</v>
      </c>
      <c r="N76" s="128">
        <v>1.73</v>
      </c>
      <c r="O76" s="128">
        <v>1.73</v>
      </c>
      <c r="P76" s="128">
        <v>1.73</v>
      </c>
      <c r="Q76" s="128">
        <v>1.73</v>
      </c>
      <c r="R76" s="128">
        <v>1.73</v>
      </c>
      <c r="S76" s="128">
        <v>1.73</v>
      </c>
      <c r="T76" s="128">
        <v>1.73</v>
      </c>
      <c r="U76" s="128">
        <v>1.73</v>
      </c>
      <c r="V76" s="128">
        <v>1.73</v>
      </c>
      <c r="W76" s="128">
        <v>1.73</v>
      </c>
      <c r="X76" s="128">
        <v>1.73</v>
      </c>
      <c r="Y76" s="128">
        <v>1.73</v>
      </c>
      <c r="Z76" s="128">
        <v>1.73</v>
      </c>
      <c r="AA76" s="128">
        <v>1.73</v>
      </c>
      <c r="AB76" s="128">
        <v>1.73</v>
      </c>
      <c r="AC76" s="128">
        <v>1.73</v>
      </c>
      <c r="AD76" s="128">
        <v>1.73</v>
      </c>
      <c r="AE76" s="128">
        <v>1.72</v>
      </c>
      <c r="AF76" s="128">
        <v>1.72</v>
      </c>
      <c r="AG76" s="128">
        <v>1.72</v>
      </c>
      <c r="AH76" s="128">
        <v>1.72</v>
      </c>
      <c r="AI76" s="128">
        <v>1.71</v>
      </c>
      <c r="AJ76" s="128">
        <v>1.71</v>
      </c>
      <c r="AK76" s="128">
        <v>1.71</v>
      </c>
      <c r="AL76" s="128">
        <v>1.7</v>
      </c>
      <c r="AM76" s="128">
        <v>1.7</v>
      </c>
      <c r="AN76" s="128">
        <v>1.7</v>
      </c>
      <c r="AO76" s="128">
        <v>1.69</v>
      </c>
      <c r="AP76" s="128">
        <v>1.69</v>
      </c>
      <c r="AQ76" s="128">
        <v>1.69</v>
      </c>
      <c r="AR76" s="128">
        <v>1.68</v>
      </c>
      <c r="AS76" s="128">
        <v>1.68</v>
      </c>
      <c r="AT76" s="128">
        <v>1.67</v>
      </c>
      <c r="AU76" s="128">
        <v>1.67</v>
      </c>
      <c r="AV76" s="128">
        <v>1.67</v>
      </c>
      <c r="AW76" s="128">
        <v>1.66</v>
      </c>
      <c r="AX76" s="128">
        <v>1.66</v>
      </c>
      <c r="AY76" s="128">
        <v>1.65</v>
      </c>
      <c r="AZ76" s="128">
        <v>1.65</v>
      </c>
      <c r="BA76" s="128">
        <v>1.65</v>
      </c>
      <c r="BB76" s="128">
        <v>1.66</v>
      </c>
      <c r="BC76" s="128">
        <v>1.66</v>
      </c>
      <c r="BD76" s="128">
        <v>1.67</v>
      </c>
      <c r="BE76" s="128">
        <v>1.67</v>
      </c>
      <c r="BF76" s="128">
        <v>1.67</v>
      </c>
      <c r="BG76" s="128">
        <v>1.68</v>
      </c>
      <c r="BH76" s="128">
        <v>1.68</v>
      </c>
      <c r="BI76" s="128">
        <v>1.69</v>
      </c>
      <c r="BJ76" s="128">
        <v>1.69</v>
      </c>
      <c r="BK76" s="128">
        <v>1.69</v>
      </c>
      <c r="BL76" s="128">
        <v>1.7</v>
      </c>
      <c r="BM76" s="128">
        <v>1.7</v>
      </c>
      <c r="BN76" s="128">
        <v>1.7</v>
      </c>
      <c r="BO76" s="128">
        <v>1.71</v>
      </c>
      <c r="BP76" s="128">
        <v>1.71</v>
      </c>
      <c r="BQ76" s="128">
        <v>1.71</v>
      </c>
      <c r="BR76" s="128">
        <v>1.72</v>
      </c>
      <c r="BS76" s="128">
        <v>1.72</v>
      </c>
      <c r="BT76" s="128">
        <v>1.72</v>
      </c>
      <c r="BU76" s="128">
        <v>1.72</v>
      </c>
      <c r="BV76" s="128">
        <v>1.73</v>
      </c>
      <c r="BW76" s="128">
        <v>1.73</v>
      </c>
      <c r="BX76" s="128">
        <v>1.73</v>
      </c>
      <c r="BY76" s="128">
        <v>1.73</v>
      </c>
      <c r="BZ76" s="128">
        <v>1.73</v>
      </c>
      <c r="CA76" s="128">
        <v>1.73</v>
      </c>
      <c r="CB76" s="128">
        <v>1.73</v>
      </c>
      <c r="CC76" s="128">
        <v>1.73</v>
      </c>
      <c r="CD76" s="128">
        <v>1.73</v>
      </c>
      <c r="CE76" s="128">
        <v>1.73</v>
      </c>
      <c r="CF76" s="128">
        <v>1.73</v>
      </c>
      <c r="CG76" s="128">
        <v>1.73</v>
      </c>
      <c r="CH76" s="128">
        <v>1.73</v>
      </c>
      <c r="CI76" s="128">
        <v>1.73</v>
      </c>
      <c r="CJ76" s="128">
        <v>1.73</v>
      </c>
      <c r="CK76" s="128">
        <v>1.73</v>
      </c>
      <c r="CL76" s="128">
        <v>1.73</v>
      </c>
      <c r="CM76" s="128">
        <v>1.73</v>
      </c>
      <c r="CN76" s="128">
        <v>1.73</v>
      </c>
      <c r="CO76" s="128">
        <v>1.73</v>
      </c>
      <c r="CP76" s="128">
        <v>1.73</v>
      </c>
      <c r="CQ76" s="128">
        <v>1.73</v>
      </c>
      <c r="CR76" s="128">
        <v>1.73</v>
      </c>
      <c r="CS76" s="128">
        <v>1.73</v>
      </c>
      <c r="CT76" s="128">
        <v>1.73</v>
      </c>
      <c r="CU76" s="128">
        <v>1.73</v>
      </c>
      <c r="CV76" s="128">
        <v>1.73</v>
      </c>
      <c r="CW76" s="128">
        <v>1.73</v>
      </c>
      <c r="CX76" s="128">
        <v>1.73</v>
      </c>
      <c r="CZ76" s="126">
        <f>SUMIF(MatrixF3[[1]:[2]],MatrixF3[[#This Row],[Столбец1]])/MatrixF3[[#This Row],[Столбец1]]</f>
        <v>109.99999999999984</v>
      </c>
    </row>
    <row r="77" spans="1:104" ht="21" customHeight="1" x14ac:dyDescent="0.25">
      <c r="A77" s="127">
        <v>1.74</v>
      </c>
      <c r="B77" s="128">
        <v>1.74</v>
      </c>
      <c r="C77" s="128">
        <v>1.74</v>
      </c>
      <c r="D77" s="128">
        <v>1.74</v>
      </c>
      <c r="E77" s="128">
        <v>1.74</v>
      </c>
      <c r="F77" s="128">
        <v>1.74</v>
      </c>
      <c r="G77" s="128">
        <v>1.74</v>
      </c>
      <c r="H77" s="128">
        <v>1.74</v>
      </c>
      <c r="I77" s="128">
        <v>1.74</v>
      </c>
      <c r="J77" s="128">
        <v>1.74</v>
      </c>
      <c r="K77" s="128">
        <v>1.74</v>
      </c>
      <c r="L77" s="128">
        <v>1.74</v>
      </c>
      <c r="M77" s="128">
        <v>1.74</v>
      </c>
      <c r="N77" s="128">
        <v>1.74</v>
      </c>
      <c r="O77" s="128">
        <v>1.74</v>
      </c>
      <c r="P77" s="128">
        <v>1.74</v>
      </c>
      <c r="Q77" s="128">
        <v>1.74</v>
      </c>
      <c r="R77" s="128">
        <v>1.74</v>
      </c>
      <c r="S77" s="128">
        <v>1.74</v>
      </c>
      <c r="T77" s="128">
        <v>1.74</v>
      </c>
      <c r="U77" s="128">
        <v>1.74</v>
      </c>
      <c r="V77" s="128">
        <v>1.74</v>
      </c>
      <c r="W77" s="128">
        <v>1.74</v>
      </c>
      <c r="X77" s="128">
        <v>1.74</v>
      </c>
      <c r="Y77" s="128">
        <v>1.74</v>
      </c>
      <c r="Z77" s="128">
        <v>1.74</v>
      </c>
      <c r="AA77" s="128">
        <v>1.74</v>
      </c>
      <c r="AB77" s="128">
        <v>1.74</v>
      </c>
      <c r="AC77" s="128">
        <v>1.74</v>
      </c>
      <c r="AD77" s="128">
        <v>1.73</v>
      </c>
      <c r="AE77" s="128">
        <v>1.73</v>
      </c>
      <c r="AF77" s="128">
        <v>1.73</v>
      </c>
      <c r="AG77" s="128">
        <v>1.73</v>
      </c>
      <c r="AH77" s="128">
        <v>1.72</v>
      </c>
      <c r="AI77" s="128">
        <v>1.72</v>
      </c>
      <c r="AJ77" s="128">
        <v>1.72</v>
      </c>
      <c r="AK77" s="128">
        <v>1.71</v>
      </c>
      <c r="AL77" s="128">
        <v>1.71</v>
      </c>
      <c r="AM77" s="128">
        <v>1.71</v>
      </c>
      <c r="AN77" s="128">
        <v>1.7</v>
      </c>
      <c r="AO77" s="128">
        <v>1.7</v>
      </c>
      <c r="AP77" s="128">
        <v>1.7</v>
      </c>
      <c r="AQ77" s="128">
        <v>1.69</v>
      </c>
      <c r="AR77" s="128">
        <v>1.69</v>
      </c>
      <c r="AS77" s="128">
        <v>1.69</v>
      </c>
      <c r="AT77" s="128">
        <v>1.68</v>
      </c>
      <c r="AU77" s="128">
        <v>1.68</v>
      </c>
      <c r="AV77" s="128">
        <v>1.68</v>
      </c>
      <c r="AW77" s="128">
        <v>1.67</v>
      </c>
      <c r="AX77" s="128">
        <v>1.67</v>
      </c>
      <c r="AY77" s="128">
        <v>1.66</v>
      </c>
      <c r="AZ77" s="128">
        <v>1.66</v>
      </c>
      <c r="BA77" s="128">
        <v>1.66</v>
      </c>
      <c r="BB77" s="128">
        <v>1.67</v>
      </c>
      <c r="BC77" s="128">
        <v>1.67</v>
      </c>
      <c r="BD77" s="128">
        <v>1.68</v>
      </c>
      <c r="BE77" s="128">
        <v>1.68</v>
      </c>
      <c r="BF77" s="128">
        <v>1.68</v>
      </c>
      <c r="BG77" s="128">
        <v>1.69</v>
      </c>
      <c r="BH77" s="128">
        <v>1.69</v>
      </c>
      <c r="BI77" s="128">
        <v>1.69</v>
      </c>
      <c r="BJ77" s="128">
        <v>1.7</v>
      </c>
      <c r="BK77" s="128">
        <v>1.7</v>
      </c>
      <c r="BL77" s="128">
        <v>1.7</v>
      </c>
      <c r="BM77" s="128">
        <v>1.71</v>
      </c>
      <c r="BN77" s="128">
        <v>1.71</v>
      </c>
      <c r="BO77" s="128">
        <v>1.71</v>
      </c>
      <c r="BP77" s="128">
        <v>1.72</v>
      </c>
      <c r="BQ77" s="128">
        <v>1.72</v>
      </c>
      <c r="BR77" s="128">
        <v>1.72</v>
      </c>
      <c r="BS77" s="128">
        <v>1.73</v>
      </c>
      <c r="BT77" s="128">
        <v>1.73</v>
      </c>
      <c r="BU77" s="128">
        <v>1.73</v>
      </c>
      <c r="BV77" s="128">
        <v>1.73</v>
      </c>
      <c r="BW77" s="128">
        <v>1.74</v>
      </c>
      <c r="BX77" s="128">
        <v>1.74</v>
      </c>
      <c r="BY77" s="128">
        <v>1.74</v>
      </c>
      <c r="BZ77" s="128">
        <v>1.74</v>
      </c>
      <c r="CA77" s="128">
        <v>1.74</v>
      </c>
      <c r="CB77" s="128">
        <v>1.74</v>
      </c>
      <c r="CC77" s="128">
        <v>1.74</v>
      </c>
      <c r="CD77" s="128">
        <v>1.74</v>
      </c>
      <c r="CE77" s="128">
        <v>1.74</v>
      </c>
      <c r="CF77" s="128">
        <v>1.74</v>
      </c>
      <c r="CG77" s="128">
        <v>1.74</v>
      </c>
      <c r="CH77" s="128">
        <v>1.74</v>
      </c>
      <c r="CI77" s="128">
        <v>1.74</v>
      </c>
      <c r="CJ77" s="128">
        <v>1.74</v>
      </c>
      <c r="CK77" s="128">
        <v>1.74</v>
      </c>
      <c r="CL77" s="128">
        <v>1.74</v>
      </c>
      <c r="CM77" s="128">
        <v>1.74</v>
      </c>
      <c r="CN77" s="128">
        <v>1.74</v>
      </c>
      <c r="CO77" s="128">
        <v>1.74</v>
      </c>
      <c r="CP77" s="128">
        <v>1.74</v>
      </c>
      <c r="CQ77" s="128">
        <v>1.74</v>
      </c>
      <c r="CR77" s="128">
        <v>1.74</v>
      </c>
      <c r="CS77" s="128">
        <v>1.74</v>
      </c>
      <c r="CT77" s="128">
        <v>1.74</v>
      </c>
      <c r="CU77" s="128">
        <v>1.74</v>
      </c>
      <c r="CV77" s="128">
        <v>1.74</v>
      </c>
      <c r="CW77" s="128">
        <v>1.74</v>
      </c>
      <c r="CX77" s="128">
        <v>1.74</v>
      </c>
      <c r="CZ77" s="126">
        <f>SUMIF(MatrixF3[[1]:[2]],MatrixF3[[#This Row],[Столбец1]])/MatrixF3[[#This Row],[Столбец1]]</f>
        <v>109.0000000000001</v>
      </c>
    </row>
    <row r="78" spans="1:104" ht="21" customHeight="1" x14ac:dyDescent="0.25">
      <c r="A78" s="127">
        <v>1.75</v>
      </c>
      <c r="B78" s="128">
        <v>1.75</v>
      </c>
      <c r="C78" s="128">
        <v>1.75</v>
      </c>
      <c r="D78" s="128">
        <v>1.75</v>
      </c>
      <c r="E78" s="128">
        <v>1.75</v>
      </c>
      <c r="F78" s="128">
        <v>1.75</v>
      </c>
      <c r="G78" s="128">
        <v>1.75</v>
      </c>
      <c r="H78" s="128">
        <v>1.75</v>
      </c>
      <c r="I78" s="128">
        <v>1.75</v>
      </c>
      <c r="J78" s="128">
        <v>1.75</v>
      </c>
      <c r="K78" s="128">
        <v>1.75</v>
      </c>
      <c r="L78" s="128">
        <v>1.75</v>
      </c>
      <c r="M78" s="128">
        <v>1.75</v>
      </c>
      <c r="N78" s="128">
        <v>1.75</v>
      </c>
      <c r="O78" s="128">
        <v>1.75</v>
      </c>
      <c r="P78" s="128">
        <v>1.75</v>
      </c>
      <c r="Q78" s="128">
        <v>1.75</v>
      </c>
      <c r="R78" s="128">
        <v>1.75</v>
      </c>
      <c r="S78" s="128">
        <v>1.75</v>
      </c>
      <c r="T78" s="128">
        <v>1.75</v>
      </c>
      <c r="U78" s="128">
        <v>1.75</v>
      </c>
      <c r="V78" s="128">
        <v>1.75</v>
      </c>
      <c r="W78" s="128">
        <v>1.75</v>
      </c>
      <c r="X78" s="128">
        <v>1.75</v>
      </c>
      <c r="Y78" s="128">
        <v>1.75</v>
      </c>
      <c r="Z78" s="128">
        <v>1.75</v>
      </c>
      <c r="AA78" s="128">
        <v>1.75</v>
      </c>
      <c r="AB78" s="128">
        <v>1.75</v>
      </c>
      <c r="AC78" s="128">
        <v>1.74</v>
      </c>
      <c r="AD78" s="128">
        <v>1.74</v>
      </c>
      <c r="AE78" s="128">
        <v>1.74</v>
      </c>
      <c r="AF78" s="128">
        <v>1.74</v>
      </c>
      <c r="AG78" s="128">
        <v>1.73</v>
      </c>
      <c r="AH78" s="128">
        <v>1.73</v>
      </c>
      <c r="AI78" s="128">
        <v>1.73</v>
      </c>
      <c r="AJ78" s="128">
        <v>1.73</v>
      </c>
      <c r="AK78" s="128">
        <v>1.72</v>
      </c>
      <c r="AL78" s="128">
        <v>1.72</v>
      </c>
      <c r="AM78" s="128">
        <v>1.72</v>
      </c>
      <c r="AN78" s="128">
        <v>1.71</v>
      </c>
      <c r="AO78" s="128">
        <v>1.71</v>
      </c>
      <c r="AP78" s="128">
        <v>1.71</v>
      </c>
      <c r="AQ78" s="128">
        <v>1.7</v>
      </c>
      <c r="AR78" s="128">
        <v>1.7</v>
      </c>
      <c r="AS78" s="128">
        <v>1.7</v>
      </c>
      <c r="AT78" s="128">
        <v>1.69</v>
      </c>
      <c r="AU78" s="128">
        <v>1.69</v>
      </c>
      <c r="AV78" s="128">
        <v>1.68</v>
      </c>
      <c r="AW78" s="128">
        <v>1.68</v>
      </c>
      <c r="AX78" s="128">
        <v>1.68</v>
      </c>
      <c r="AY78" s="128">
        <v>1.67</v>
      </c>
      <c r="AZ78" s="128">
        <v>1.67</v>
      </c>
      <c r="BA78" s="128">
        <v>1.67</v>
      </c>
      <c r="BB78" s="128">
        <v>1.68</v>
      </c>
      <c r="BC78" s="128">
        <v>1.68</v>
      </c>
      <c r="BD78" s="128">
        <v>1.68</v>
      </c>
      <c r="BE78" s="128">
        <v>1.69</v>
      </c>
      <c r="BF78" s="128">
        <v>1.69</v>
      </c>
      <c r="BG78" s="128">
        <v>1.7</v>
      </c>
      <c r="BH78" s="128">
        <v>1.7</v>
      </c>
      <c r="BI78" s="128">
        <v>1.7</v>
      </c>
      <c r="BJ78" s="128">
        <v>1.71</v>
      </c>
      <c r="BK78" s="128">
        <v>1.71</v>
      </c>
      <c r="BL78" s="128">
        <v>1.71</v>
      </c>
      <c r="BM78" s="128">
        <v>1.72</v>
      </c>
      <c r="BN78" s="128">
        <v>1.72</v>
      </c>
      <c r="BO78" s="128">
        <v>1.72</v>
      </c>
      <c r="BP78" s="128">
        <v>1.73</v>
      </c>
      <c r="BQ78" s="128">
        <v>1.73</v>
      </c>
      <c r="BR78" s="128">
        <v>1.73</v>
      </c>
      <c r="BS78" s="128">
        <v>1.73</v>
      </c>
      <c r="BT78" s="128">
        <v>1.74</v>
      </c>
      <c r="BU78" s="128">
        <v>1.74</v>
      </c>
      <c r="BV78" s="128">
        <v>1.74</v>
      </c>
      <c r="BW78" s="128">
        <v>1.74</v>
      </c>
      <c r="BX78" s="128">
        <v>1.75</v>
      </c>
      <c r="BY78" s="128">
        <v>1.75</v>
      </c>
      <c r="BZ78" s="128">
        <v>1.75</v>
      </c>
      <c r="CA78" s="128">
        <v>1.75</v>
      </c>
      <c r="CB78" s="128">
        <v>1.75</v>
      </c>
      <c r="CC78" s="128">
        <v>1.75</v>
      </c>
      <c r="CD78" s="128">
        <v>1.75</v>
      </c>
      <c r="CE78" s="128">
        <v>1.75</v>
      </c>
      <c r="CF78" s="128">
        <v>1.75</v>
      </c>
      <c r="CG78" s="128">
        <v>1.75</v>
      </c>
      <c r="CH78" s="128">
        <v>1.75</v>
      </c>
      <c r="CI78" s="128">
        <v>1.75</v>
      </c>
      <c r="CJ78" s="128">
        <v>1.75</v>
      </c>
      <c r="CK78" s="128">
        <v>1.75</v>
      </c>
      <c r="CL78" s="128">
        <v>1.75</v>
      </c>
      <c r="CM78" s="128">
        <v>1.75</v>
      </c>
      <c r="CN78" s="128">
        <v>1.75</v>
      </c>
      <c r="CO78" s="128">
        <v>1.75</v>
      </c>
      <c r="CP78" s="128">
        <v>1.75</v>
      </c>
      <c r="CQ78" s="128">
        <v>1.75</v>
      </c>
      <c r="CR78" s="128">
        <v>1.75</v>
      </c>
      <c r="CS78" s="128">
        <v>1.75</v>
      </c>
      <c r="CT78" s="128">
        <v>1.75</v>
      </c>
      <c r="CU78" s="128">
        <v>1.75</v>
      </c>
      <c r="CV78" s="128">
        <v>1.75</v>
      </c>
      <c r="CW78" s="128">
        <v>1.75</v>
      </c>
      <c r="CX78" s="128">
        <v>1.75</v>
      </c>
      <c r="CZ78" s="126">
        <f>SUMIF(MatrixF3[[1]:[2]],MatrixF3[[#This Row],[Столбец1]])/MatrixF3[[#This Row],[Столбец1]]</f>
        <v>101</v>
      </c>
    </row>
    <row r="79" spans="1:104" ht="21" customHeight="1" x14ac:dyDescent="0.25">
      <c r="A79" s="127">
        <v>1.76</v>
      </c>
      <c r="B79" s="128">
        <v>1.76</v>
      </c>
      <c r="C79" s="128">
        <v>1.76</v>
      </c>
      <c r="D79" s="128">
        <v>1.76</v>
      </c>
      <c r="E79" s="128">
        <v>1.76</v>
      </c>
      <c r="F79" s="128">
        <v>1.76</v>
      </c>
      <c r="G79" s="128">
        <v>1.76</v>
      </c>
      <c r="H79" s="128">
        <v>1.76</v>
      </c>
      <c r="I79" s="128">
        <v>1.76</v>
      </c>
      <c r="J79" s="128">
        <v>1.76</v>
      </c>
      <c r="K79" s="128">
        <v>1.76</v>
      </c>
      <c r="L79" s="128">
        <v>1.76</v>
      </c>
      <c r="M79" s="128">
        <v>1.76</v>
      </c>
      <c r="N79" s="128">
        <v>1.76</v>
      </c>
      <c r="O79" s="128">
        <v>1.76</v>
      </c>
      <c r="P79" s="128">
        <v>1.76</v>
      </c>
      <c r="Q79" s="128">
        <v>1.76</v>
      </c>
      <c r="R79" s="128">
        <v>1.76</v>
      </c>
      <c r="S79" s="128">
        <v>1.76</v>
      </c>
      <c r="T79" s="128">
        <v>1.76</v>
      </c>
      <c r="U79" s="128">
        <v>1.76</v>
      </c>
      <c r="V79" s="128">
        <v>1.76</v>
      </c>
      <c r="W79" s="128">
        <v>1.76</v>
      </c>
      <c r="X79" s="128">
        <v>1.76</v>
      </c>
      <c r="Y79" s="128">
        <v>1.76</v>
      </c>
      <c r="Z79" s="128">
        <v>1.76</v>
      </c>
      <c r="AA79" s="128">
        <v>1.76</v>
      </c>
      <c r="AB79" s="128">
        <v>1.76</v>
      </c>
      <c r="AC79" s="128">
        <v>1.75</v>
      </c>
      <c r="AD79" s="128">
        <v>1.75</v>
      </c>
      <c r="AE79" s="128">
        <v>1.75</v>
      </c>
      <c r="AF79" s="128">
        <v>1.74</v>
      </c>
      <c r="AG79" s="128">
        <v>1.74</v>
      </c>
      <c r="AH79" s="128">
        <v>1.74</v>
      </c>
      <c r="AI79" s="128">
        <v>1.74</v>
      </c>
      <c r="AJ79" s="128">
        <v>1.73</v>
      </c>
      <c r="AK79" s="128">
        <v>1.73</v>
      </c>
      <c r="AL79" s="128">
        <v>1.73</v>
      </c>
      <c r="AM79" s="128">
        <v>1.72</v>
      </c>
      <c r="AN79" s="128">
        <v>1.72</v>
      </c>
      <c r="AO79" s="128">
        <v>1.72</v>
      </c>
      <c r="AP79" s="128">
        <v>1.71</v>
      </c>
      <c r="AQ79" s="128">
        <v>1.71</v>
      </c>
      <c r="AR79" s="128">
        <v>1.71</v>
      </c>
      <c r="AS79" s="128">
        <v>1.7</v>
      </c>
      <c r="AT79" s="128">
        <v>1.7</v>
      </c>
      <c r="AU79" s="128">
        <v>1.7</v>
      </c>
      <c r="AV79" s="128">
        <v>1.69</v>
      </c>
      <c r="AW79" s="128">
        <v>1.69</v>
      </c>
      <c r="AX79" s="128">
        <v>1.68</v>
      </c>
      <c r="AY79" s="128">
        <v>1.68</v>
      </c>
      <c r="AZ79" s="128">
        <v>1.68</v>
      </c>
      <c r="BA79" s="128">
        <v>1.68</v>
      </c>
      <c r="BB79" s="128">
        <v>1.68</v>
      </c>
      <c r="BC79" s="128">
        <v>1.69</v>
      </c>
      <c r="BD79" s="128">
        <v>1.69</v>
      </c>
      <c r="BE79" s="128">
        <v>1.7</v>
      </c>
      <c r="BF79" s="128">
        <v>1.7</v>
      </c>
      <c r="BG79" s="128">
        <v>1.7</v>
      </c>
      <c r="BH79" s="128">
        <v>1.71</v>
      </c>
      <c r="BI79" s="128">
        <v>1.71</v>
      </c>
      <c r="BJ79" s="128">
        <v>1.71</v>
      </c>
      <c r="BK79" s="128">
        <v>1.72</v>
      </c>
      <c r="BL79" s="128">
        <v>1.72</v>
      </c>
      <c r="BM79" s="128">
        <v>1.72</v>
      </c>
      <c r="BN79" s="128">
        <v>1.73</v>
      </c>
      <c r="BO79" s="128">
        <v>1.73</v>
      </c>
      <c r="BP79" s="128">
        <v>1.73</v>
      </c>
      <c r="BQ79" s="128">
        <v>1.74</v>
      </c>
      <c r="BR79" s="128">
        <v>1.74</v>
      </c>
      <c r="BS79" s="128">
        <v>1.74</v>
      </c>
      <c r="BT79" s="128">
        <v>1.74</v>
      </c>
      <c r="BU79" s="128">
        <v>1.75</v>
      </c>
      <c r="BV79" s="128">
        <v>1.75</v>
      </c>
      <c r="BW79" s="128">
        <v>1.75</v>
      </c>
      <c r="BX79" s="128">
        <v>1.76</v>
      </c>
      <c r="BY79" s="128">
        <v>1.76</v>
      </c>
      <c r="BZ79" s="128">
        <v>1.76</v>
      </c>
      <c r="CA79" s="128">
        <v>1.76</v>
      </c>
      <c r="CB79" s="128">
        <v>1.76</v>
      </c>
      <c r="CC79" s="128">
        <v>1.76</v>
      </c>
      <c r="CD79" s="128">
        <v>1.76</v>
      </c>
      <c r="CE79" s="128">
        <v>1.76</v>
      </c>
      <c r="CF79" s="128">
        <v>1.76</v>
      </c>
      <c r="CG79" s="128">
        <v>1.76</v>
      </c>
      <c r="CH79" s="128">
        <v>1.76</v>
      </c>
      <c r="CI79" s="128">
        <v>1.76</v>
      </c>
      <c r="CJ79" s="128">
        <v>1.76</v>
      </c>
      <c r="CK79" s="128">
        <v>1.76</v>
      </c>
      <c r="CL79" s="128">
        <v>1.76</v>
      </c>
      <c r="CM79" s="128">
        <v>1.76</v>
      </c>
      <c r="CN79" s="128">
        <v>1.76</v>
      </c>
      <c r="CO79" s="128">
        <v>1.76</v>
      </c>
      <c r="CP79" s="128">
        <v>1.76</v>
      </c>
      <c r="CQ79" s="128">
        <v>1.76</v>
      </c>
      <c r="CR79" s="128">
        <v>1.76</v>
      </c>
      <c r="CS79" s="128">
        <v>1.76</v>
      </c>
      <c r="CT79" s="128">
        <v>1.76</v>
      </c>
      <c r="CU79" s="128">
        <v>1.76</v>
      </c>
      <c r="CV79" s="128">
        <v>1.76</v>
      </c>
      <c r="CW79" s="128">
        <v>1.76</v>
      </c>
      <c r="CX79" s="128">
        <v>1.76</v>
      </c>
      <c r="CZ79" s="126">
        <f>SUMIF(MatrixF3[[1]:[2]],MatrixF3[[#This Row],[Столбец1]])/MatrixF3[[#This Row],[Столбец1]]</f>
        <v>108.9999999999999</v>
      </c>
    </row>
    <row r="80" spans="1:104" ht="21" customHeight="1" x14ac:dyDescent="0.25">
      <c r="A80" s="127">
        <v>1.77</v>
      </c>
      <c r="B80" s="128">
        <v>1.77</v>
      </c>
      <c r="C80" s="128">
        <v>1.77</v>
      </c>
      <c r="D80" s="128">
        <v>1.77</v>
      </c>
      <c r="E80" s="128">
        <v>1.77</v>
      </c>
      <c r="F80" s="128">
        <v>1.77</v>
      </c>
      <c r="G80" s="128">
        <v>1.77</v>
      </c>
      <c r="H80" s="128">
        <v>1.77</v>
      </c>
      <c r="I80" s="128">
        <v>1.77</v>
      </c>
      <c r="J80" s="128">
        <v>1.77</v>
      </c>
      <c r="K80" s="128">
        <v>1.77</v>
      </c>
      <c r="L80" s="128">
        <v>1.77</v>
      </c>
      <c r="M80" s="128">
        <v>1.77</v>
      </c>
      <c r="N80" s="128">
        <v>1.77</v>
      </c>
      <c r="O80" s="128">
        <v>1.77</v>
      </c>
      <c r="P80" s="128">
        <v>1.77</v>
      </c>
      <c r="Q80" s="128">
        <v>1.77</v>
      </c>
      <c r="R80" s="128">
        <v>1.77</v>
      </c>
      <c r="S80" s="128">
        <v>1.77</v>
      </c>
      <c r="T80" s="128">
        <v>1.77</v>
      </c>
      <c r="U80" s="128">
        <v>1.77</v>
      </c>
      <c r="V80" s="128">
        <v>1.77</v>
      </c>
      <c r="W80" s="128">
        <v>1.77</v>
      </c>
      <c r="X80" s="128">
        <v>1.77</v>
      </c>
      <c r="Y80" s="128">
        <v>1.77</v>
      </c>
      <c r="Z80" s="128">
        <v>1.77</v>
      </c>
      <c r="AA80" s="128">
        <v>1.77</v>
      </c>
      <c r="AB80" s="128">
        <v>1.76</v>
      </c>
      <c r="AC80" s="128">
        <v>1.76</v>
      </c>
      <c r="AD80" s="128">
        <v>1.76</v>
      </c>
      <c r="AE80" s="128">
        <v>1.76</v>
      </c>
      <c r="AF80" s="128">
        <v>1.75</v>
      </c>
      <c r="AG80" s="128">
        <v>1.75</v>
      </c>
      <c r="AH80" s="128">
        <v>1.75</v>
      </c>
      <c r="AI80" s="128">
        <v>1.74</v>
      </c>
      <c r="AJ80" s="128">
        <v>1.74</v>
      </c>
      <c r="AK80" s="128">
        <v>1.74</v>
      </c>
      <c r="AL80" s="128">
        <v>1.74</v>
      </c>
      <c r="AM80" s="128">
        <v>1.73</v>
      </c>
      <c r="AN80" s="128">
        <v>1.73</v>
      </c>
      <c r="AO80" s="128">
        <v>1.73</v>
      </c>
      <c r="AP80" s="128">
        <v>1.72</v>
      </c>
      <c r="AQ80" s="128">
        <v>1.72</v>
      </c>
      <c r="AR80" s="128">
        <v>1.72</v>
      </c>
      <c r="AS80" s="128">
        <v>1.71</v>
      </c>
      <c r="AT80" s="128">
        <v>1.71</v>
      </c>
      <c r="AU80" s="128">
        <v>1.71</v>
      </c>
      <c r="AV80" s="128">
        <v>1.7</v>
      </c>
      <c r="AW80" s="128">
        <v>1.7</v>
      </c>
      <c r="AX80" s="128">
        <v>1.69</v>
      </c>
      <c r="AY80" s="128">
        <v>1.69</v>
      </c>
      <c r="AZ80" s="128">
        <v>1.68</v>
      </c>
      <c r="BA80" s="128">
        <v>1.69</v>
      </c>
      <c r="BB80" s="128">
        <v>1.69</v>
      </c>
      <c r="BC80" s="128">
        <v>1.7</v>
      </c>
      <c r="BD80" s="128">
        <v>1.7</v>
      </c>
      <c r="BE80" s="128">
        <v>1.71</v>
      </c>
      <c r="BF80" s="128">
        <v>1.71</v>
      </c>
      <c r="BG80" s="128">
        <v>1.71</v>
      </c>
      <c r="BH80" s="128">
        <v>1.72</v>
      </c>
      <c r="BI80" s="128">
        <v>1.72</v>
      </c>
      <c r="BJ80" s="128">
        <v>1.72</v>
      </c>
      <c r="BK80" s="128">
        <v>1.73</v>
      </c>
      <c r="BL80" s="128">
        <v>1.73</v>
      </c>
      <c r="BM80" s="128">
        <v>1.73</v>
      </c>
      <c r="BN80" s="128">
        <v>1.74</v>
      </c>
      <c r="BO80" s="128">
        <v>1.74</v>
      </c>
      <c r="BP80" s="128">
        <v>1.74</v>
      </c>
      <c r="BQ80" s="128">
        <v>1.74</v>
      </c>
      <c r="BR80" s="128">
        <v>1.75</v>
      </c>
      <c r="BS80" s="128">
        <v>1.75</v>
      </c>
      <c r="BT80" s="128">
        <v>1.75</v>
      </c>
      <c r="BU80" s="128">
        <v>1.76</v>
      </c>
      <c r="BV80" s="128">
        <v>1.76</v>
      </c>
      <c r="BW80" s="128">
        <v>1.76</v>
      </c>
      <c r="BX80" s="128">
        <v>1.76</v>
      </c>
      <c r="BY80" s="128">
        <v>1.77</v>
      </c>
      <c r="BZ80" s="128">
        <v>1.77</v>
      </c>
      <c r="CA80" s="128">
        <v>1.77</v>
      </c>
      <c r="CB80" s="128">
        <v>1.77</v>
      </c>
      <c r="CC80" s="128">
        <v>1.77</v>
      </c>
      <c r="CD80" s="128">
        <v>1.77</v>
      </c>
      <c r="CE80" s="128">
        <v>1.77</v>
      </c>
      <c r="CF80" s="128">
        <v>1.77</v>
      </c>
      <c r="CG80" s="128">
        <v>1.77</v>
      </c>
      <c r="CH80" s="128">
        <v>1.77</v>
      </c>
      <c r="CI80" s="128">
        <v>1.77</v>
      </c>
      <c r="CJ80" s="128">
        <v>1.77</v>
      </c>
      <c r="CK80" s="128">
        <v>1.77</v>
      </c>
      <c r="CL80" s="128">
        <v>1.77</v>
      </c>
      <c r="CM80" s="128">
        <v>1.77</v>
      </c>
      <c r="CN80" s="128">
        <v>1.77</v>
      </c>
      <c r="CO80" s="128">
        <v>1.77</v>
      </c>
      <c r="CP80" s="128">
        <v>1.77</v>
      </c>
      <c r="CQ80" s="128">
        <v>1.77</v>
      </c>
      <c r="CR80" s="128">
        <v>1.77</v>
      </c>
      <c r="CS80" s="128">
        <v>1.77</v>
      </c>
      <c r="CT80" s="128">
        <v>1.77</v>
      </c>
      <c r="CU80" s="128">
        <v>1.77</v>
      </c>
      <c r="CV80" s="128">
        <v>1.77</v>
      </c>
      <c r="CW80" s="128">
        <v>1.77</v>
      </c>
      <c r="CX80" s="128">
        <v>1.77</v>
      </c>
      <c r="CZ80" s="126">
        <f>SUMIF(MatrixF3[[1]:[2]],MatrixF3[[#This Row],[Столбец1]])/MatrixF3[[#This Row],[Столбец1]]</f>
        <v>103.00000000000013</v>
      </c>
    </row>
    <row r="81" spans="1:104" ht="21" customHeight="1" x14ac:dyDescent="0.25">
      <c r="A81" s="127">
        <v>1.78</v>
      </c>
      <c r="B81" s="128">
        <v>1.78</v>
      </c>
      <c r="C81" s="128">
        <v>1.78</v>
      </c>
      <c r="D81" s="128">
        <v>1.78</v>
      </c>
      <c r="E81" s="128">
        <v>1.78</v>
      </c>
      <c r="F81" s="128">
        <v>1.78</v>
      </c>
      <c r="G81" s="128">
        <v>1.78</v>
      </c>
      <c r="H81" s="128">
        <v>1.78</v>
      </c>
      <c r="I81" s="128">
        <v>1.78</v>
      </c>
      <c r="J81" s="128">
        <v>1.78</v>
      </c>
      <c r="K81" s="128">
        <v>1.78</v>
      </c>
      <c r="L81" s="128">
        <v>1.78</v>
      </c>
      <c r="M81" s="128">
        <v>1.78</v>
      </c>
      <c r="N81" s="128">
        <v>1.78</v>
      </c>
      <c r="O81" s="128">
        <v>1.78</v>
      </c>
      <c r="P81" s="128">
        <v>1.78</v>
      </c>
      <c r="Q81" s="128">
        <v>1.78</v>
      </c>
      <c r="R81" s="128">
        <v>1.78</v>
      </c>
      <c r="S81" s="128">
        <v>1.78</v>
      </c>
      <c r="T81" s="128">
        <v>1.78</v>
      </c>
      <c r="U81" s="128">
        <v>1.78</v>
      </c>
      <c r="V81" s="128">
        <v>1.78</v>
      </c>
      <c r="W81" s="128">
        <v>1.78</v>
      </c>
      <c r="X81" s="128">
        <v>1.78</v>
      </c>
      <c r="Y81" s="128">
        <v>1.78</v>
      </c>
      <c r="Z81" s="128">
        <v>1.78</v>
      </c>
      <c r="AA81" s="128">
        <v>1.77</v>
      </c>
      <c r="AB81" s="128">
        <v>1.77</v>
      </c>
      <c r="AC81" s="128">
        <v>1.77</v>
      </c>
      <c r="AD81" s="128">
        <v>1.77</v>
      </c>
      <c r="AE81" s="128">
        <v>1.76</v>
      </c>
      <c r="AF81" s="128">
        <v>1.76</v>
      </c>
      <c r="AG81" s="128">
        <v>1.76</v>
      </c>
      <c r="AH81" s="128">
        <v>1.76</v>
      </c>
      <c r="AI81" s="128">
        <v>1.75</v>
      </c>
      <c r="AJ81" s="128">
        <v>1.75</v>
      </c>
      <c r="AK81" s="128">
        <v>1.75</v>
      </c>
      <c r="AL81" s="128">
        <v>1.74</v>
      </c>
      <c r="AM81" s="128">
        <v>1.74</v>
      </c>
      <c r="AN81" s="128">
        <v>1.74</v>
      </c>
      <c r="AO81" s="128">
        <v>1.73</v>
      </c>
      <c r="AP81" s="128">
        <v>1.73</v>
      </c>
      <c r="AQ81" s="128">
        <v>1.73</v>
      </c>
      <c r="AR81" s="128">
        <v>1.73</v>
      </c>
      <c r="AS81" s="128">
        <v>1.72</v>
      </c>
      <c r="AT81" s="128">
        <v>1.72</v>
      </c>
      <c r="AU81" s="128">
        <v>1.71</v>
      </c>
      <c r="AV81" s="128">
        <v>1.71</v>
      </c>
      <c r="AW81" s="128">
        <v>1.71</v>
      </c>
      <c r="AX81" s="128">
        <v>1.7</v>
      </c>
      <c r="AY81" s="128">
        <v>1.7</v>
      </c>
      <c r="AZ81" s="128">
        <v>1.69</v>
      </c>
      <c r="BA81" s="128">
        <v>1.7</v>
      </c>
      <c r="BB81" s="128">
        <v>1.7</v>
      </c>
      <c r="BC81" s="128">
        <v>1.71</v>
      </c>
      <c r="BD81" s="128">
        <v>1.71</v>
      </c>
      <c r="BE81" s="128">
        <v>1.71</v>
      </c>
      <c r="BF81" s="128">
        <v>1.72</v>
      </c>
      <c r="BG81" s="128">
        <v>1.72</v>
      </c>
      <c r="BH81" s="128">
        <v>1.73</v>
      </c>
      <c r="BI81" s="128">
        <v>1.73</v>
      </c>
      <c r="BJ81" s="128">
        <v>1.73</v>
      </c>
      <c r="BK81" s="128">
        <v>1.73</v>
      </c>
      <c r="BL81" s="128">
        <v>1.74</v>
      </c>
      <c r="BM81" s="128">
        <v>1.74</v>
      </c>
      <c r="BN81" s="128">
        <v>1.74</v>
      </c>
      <c r="BO81" s="128">
        <v>1.75</v>
      </c>
      <c r="BP81" s="128">
        <v>1.75</v>
      </c>
      <c r="BQ81" s="128">
        <v>1.75</v>
      </c>
      <c r="BR81" s="128">
        <v>1.76</v>
      </c>
      <c r="BS81" s="128">
        <v>1.76</v>
      </c>
      <c r="BT81" s="128">
        <v>1.76</v>
      </c>
      <c r="BU81" s="128">
        <v>1.76</v>
      </c>
      <c r="BV81" s="128">
        <v>1.77</v>
      </c>
      <c r="BW81" s="128">
        <v>1.77</v>
      </c>
      <c r="BX81" s="128">
        <v>1.77</v>
      </c>
      <c r="BY81" s="128">
        <v>1.77</v>
      </c>
      <c r="BZ81" s="128">
        <v>1.78</v>
      </c>
      <c r="CA81" s="128">
        <v>1.78</v>
      </c>
      <c r="CB81" s="128">
        <v>1.78</v>
      </c>
      <c r="CC81" s="128">
        <v>1.78</v>
      </c>
      <c r="CD81" s="128">
        <v>1.78</v>
      </c>
      <c r="CE81" s="128">
        <v>1.78</v>
      </c>
      <c r="CF81" s="128">
        <v>1.78</v>
      </c>
      <c r="CG81" s="128">
        <v>1.78</v>
      </c>
      <c r="CH81" s="128">
        <v>1.78</v>
      </c>
      <c r="CI81" s="128">
        <v>1.78</v>
      </c>
      <c r="CJ81" s="128">
        <v>1.78</v>
      </c>
      <c r="CK81" s="128">
        <v>1.78</v>
      </c>
      <c r="CL81" s="128">
        <v>1.78</v>
      </c>
      <c r="CM81" s="128">
        <v>1.78</v>
      </c>
      <c r="CN81" s="128">
        <v>1.78</v>
      </c>
      <c r="CO81" s="128">
        <v>1.78</v>
      </c>
      <c r="CP81" s="128">
        <v>1.78</v>
      </c>
      <c r="CQ81" s="128">
        <v>1.78</v>
      </c>
      <c r="CR81" s="128">
        <v>1.78</v>
      </c>
      <c r="CS81" s="128">
        <v>1.78</v>
      </c>
      <c r="CT81" s="128">
        <v>1.78</v>
      </c>
      <c r="CU81" s="128">
        <v>1.78</v>
      </c>
      <c r="CV81" s="128">
        <v>1.78</v>
      </c>
      <c r="CW81" s="128">
        <v>1.78</v>
      </c>
      <c r="CX81" s="128">
        <v>1.78</v>
      </c>
      <c r="CZ81" s="126">
        <f>SUMIF(MatrixF3[[1]:[2]],MatrixF3[[#This Row],[Столбец1]])/MatrixF3[[#This Row],[Столбец1]]</f>
        <v>107.00000000000006</v>
      </c>
    </row>
    <row r="82" spans="1:104" ht="21" customHeight="1" x14ac:dyDescent="0.25">
      <c r="A82" s="127">
        <v>1.79</v>
      </c>
      <c r="B82" s="128">
        <v>1.79</v>
      </c>
      <c r="C82" s="128">
        <v>1.79</v>
      </c>
      <c r="D82" s="128">
        <v>1.79</v>
      </c>
      <c r="E82" s="128">
        <v>1.79</v>
      </c>
      <c r="F82" s="128">
        <v>1.79</v>
      </c>
      <c r="G82" s="128">
        <v>1.79</v>
      </c>
      <c r="H82" s="128">
        <v>1.79</v>
      </c>
      <c r="I82" s="128">
        <v>1.79</v>
      </c>
      <c r="J82" s="128">
        <v>1.79</v>
      </c>
      <c r="K82" s="128">
        <v>1.79</v>
      </c>
      <c r="L82" s="128">
        <v>1.79</v>
      </c>
      <c r="M82" s="128">
        <v>1.79</v>
      </c>
      <c r="N82" s="128">
        <v>1.79</v>
      </c>
      <c r="O82" s="128">
        <v>1.79</v>
      </c>
      <c r="P82" s="128">
        <v>1.79</v>
      </c>
      <c r="Q82" s="128">
        <v>1.79</v>
      </c>
      <c r="R82" s="128">
        <v>1.79</v>
      </c>
      <c r="S82" s="128">
        <v>1.79</v>
      </c>
      <c r="T82" s="128">
        <v>1.79</v>
      </c>
      <c r="U82" s="128">
        <v>1.79</v>
      </c>
      <c r="V82" s="128">
        <v>1.79</v>
      </c>
      <c r="W82" s="128">
        <v>1.79</v>
      </c>
      <c r="X82" s="128">
        <v>1.79</v>
      </c>
      <c r="Y82" s="128">
        <v>1.79</v>
      </c>
      <c r="Z82" s="128">
        <v>1.78</v>
      </c>
      <c r="AA82" s="128">
        <v>1.78</v>
      </c>
      <c r="AB82" s="128">
        <v>1.78</v>
      </c>
      <c r="AC82" s="128">
        <v>1.78</v>
      </c>
      <c r="AD82" s="128">
        <v>1.77</v>
      </c>
      <c r="AE82" s="128">
        <v>1.77</v>
      </c>
      <c r="AF82" s="128">
        <v>1.77</v>
      </c>
      <c r="AG82" s="128">
        <v>1.77</v>
      </c>
      <c r="AH82" s="128">
        <v>1.76</v>
      </c>
      <c r="AI82" s="128">
        <v>1.76</v>
      </c>
      <c r="AJ82" s="128">
        <v>1.76</v>
      </c>
      <c r="AK82" s="128">
        <v>1.76</v>
      </c>
      <c r="AL82" s="128">
        <v>1.75</v>
      </c>
      <c r="AM82" s="128">
        <v>1.75</v>
      </c>
      <c r="AN82" s="128">
        <v>1.75</v>
      </c>
      <c r="AO82" s="128">
        <v>1.74</v>
      </c>
      <c r="AP82" s="128">
        <v>1.74</v>
      </c>
      <c r="AQ82" s="128">
        <v>1.74</v>
      </c>
      <c r="AR82" s="128">
        <v>1.73</v>
      </c>
      <c r="AS82" s="128">
        <v>1.73</v>
      </c>
      <c r="AT82" s="128">
        <v>1.73</v>
      </c>
      <c r="AU82" s="128">
        <v>1.72</v>
      </c>
      <c r="AV82" s="128">
        <v>1.72</v>
      </c>
      <c r="AW82" s="128">
        <v>1.72</v>
      </c>
      <c r="AX82" s="128">
        <v>1.71</v>
      </c>
      <c r="AY82" s="128">
        <v>1.71</v>
      </c>
      <c r="AZ82" s="128">
        <v>1.7</v>
      </c>
      <c r="BA82" s="128">
        <v>1.71</v>
      </c>
      <c r="BB82" s="128">
        <v>1.71</v>
      </c>
      <c r="BC82" s="128">
        <v>1.72</v>
      </c>
      <c r="BD82" s="128">
        <v>1.72</v>
      </c>
      <c r="BE82" s="128">
        <v>1.72</v>
      </c>
      <c r="BF82" s="128">
        <v>1.73</v>
      </c>
      <c r="BG82" s="128">
        <v>1.73</v>
      </c>
      <c r="BH82" s="128">
        <v>1.73</v>
      </c>
      <c r="BI82" s="128">
        <v>1.74</v>
      </c>
      <c r="BJ82" s="128">
        <v>1.74</v>
      </c>
      <c r="BK82" s="128">
        <v>1.74</v>
      </c>
      <c r="BL82" s="128">
        <v>1.75</v>
      </c>
      <c r="BM82" s="128">
        <v>1.75</v>
      </c>
      <c r="BN82" s="128">
        <v>1.75</v>
      </c>
      <c r="BO82" s="128">
        <v>1.76</v>
      </c>
      <c r="BP82" s="128">
        <v>1.76</v>
      </c>
      <c r="BQ82" s="128">
        <v>1.76</v>
      </c>
      <c r="BR82" s="128">
        <v>1.76</v>
      </c>
      <c r="BS82" s="128">
        <v>1.77</v>
      </c>
      <c r="BT82" s="128">
        <v>1.77</v>
      </c>
      <c r="BU82" s="128">
        <v>1.77</v>
      </c>
      <c r="BV82" s="128">
        <v>1.77</v>
      </c>
      <c r="BW82" s="128">
        <v>1.78</v>
      </c>
      <c r="BX82" s="128">
        <v>1.78</v>
      </c>
      <c r="BY82" s="128">
        <v>1.78</v>
      </c>
      <c r="BZ82" s="128">
        <v>1.78</v>
      </c>
      <c r="CA82" s="128">
        <v>1.79</v>
      </c>
      <c r="CB82" s="128">
        <v>1.79</v>
      </c>
      <c r="CC82" s="128">
        <v>1.79</v>
      </c>
      <c r="CD82" s="128">
        <v>1.79</v>
      </c>
      <c r="CE82" s="128">
        <v>1.79</v>
      </c>
      <c r="CF82" s="128">
        <v>1.79</v>
      </c>
      <c r="CG82" s="128">
        <v>1.79</v>
      </c>
      <c r="CH82" s="128">
        <v>1.79</v>
      </c>
      <c r="CI82" s="128">
        <v>1.79</v>
      </c>
      <c r="CJ82" s="128">
        <v>1.79</v>
      </c>
      <c r="CK82" s="128">
        <v>1.79</v>
      </c>
      <c r="CL82" s="128">
        <v>1.79</v>
      </c>
      <c r="CM82" s="128">
        <v>1.79</v>
      </c>
      <c r="CN82" s="128">
        <v>1.79</v>
      </c>
      <c r="CO82" s="128">
        <v>1.79</v>
      </c>
      <c r="CP82" s="128">
        <v>1.79</v>
      </c>
      <c r="CQ82" s="128">
        <v>1.79</v>
      </c>
      <c r="CR82" s="128">
        <v>1.79</v>
      </c>
      <c r="CS82" s="128">
        <v>1.79</v>
      </c>
      <c r="CT82" s="128">
        <v>1.79</v>
      </c>
      <c r="CU82" s="128">
        <v>1.79</v>
      </c>
      <c r="CV82" s="128">
        <v>1.79</v>
      </c>
      <c r="CW82" s="128">
        <v>1.79</v>
      </c>
      <c r="CX82" s="128">
        <v>1.79</v>
      </c>
      <c r="CZ82" s="126">
        <f>SUMIF(MatrixF3[[1]:[2]],MatrixF3[[#This Row],[Столбец1]])/MatrixF3[[#This Row],[Столбец1]]</f>
        <v>100.99999999999997</v>
      </c>
    </row>
    <row r="83" spans="1:104" ht="21" customHeight="1" x14ac:dyDescent="0.25">
      <c r="A83" s="127">
        <v>1.8</v>
      </c>
      <c r="B83" s="128">
        <v>1.8</v>
      </c>
      <c r="C83" s="128">
        <v>1.8</v>
      </c>
      <c r="D83" s="128">
        <v>1.8</v>
      </c>
      <c r="E83" s="128">
        <v>1.8</v>
      </c>
      <c r="F83" s="128">
        <v>1.8</v>
      </c>
      <c r="G83" s="128">
        <v>1.8</v>
      </c>
      <c r="H83" s="128">
        <v>1.8</v>
      </c>
      <c r="I83" s="128">
        <v>1.8</v>
      </c>
      <c r="J83" s="128">
        <v>1.8</v>
      </c>
      <c r="K83" s="128">
        <v>1.8</v>
      </c>
      <c r="L83" s="128">
        <v>1.8</v>
      </c>
      <c r="M83" s="128">
        <v>1.8</v>
      </c>
      <c r="N83" s="128">
        <v>1.8</v>
      </c>
      <c r="O83" s="128">
        <v>1.8</v>
      </c>
      <c r="P83" s="128">
        <v>1.8</v>
      </c>
      <c r="Q83" s="128">
        <v>1.8</v>
      </c>
      <c r="R83" s="128">
        <v>1.8</v>
      </c>
      <c r="S83" s="128">
        <v>1.8</v>
      </c>
      <c r="T83" s="128">
        <v>1.8</v>
      </c>
      <c r="U83" s="128">
        <v>1.8</v>
      </c>
      <c r="V83" s="128">
        <v>1.8</v>
      </c>
      <c r="W83" s="128">
        <v>1.8</v>
      </c>
      <c r="X83" s="128">
        <v>1.8</v>
      </c>
      <c r="Y83" s="128">
        <v>1.79</v>
      </c>
      <c r="Z83" s="128">
        <v>1.79</v>
      </c>
      <c r="AA83" s="128">
        <v>1.79</v>
      </c>
      <c r="AB83" s="128">
        <v>1.79</v>
      </c>
      <c r="AC83" s="128">
        <v>1.78</v>
      </c>
      <c r="AD83" s="128">
        <v>1.78</v>
      </c>
      <c r="AE83" s="128">
        <v>1.78</v>
      </c>
      <c r="AF83" s="128">
        <v>1.78</v>
      </c>
      <c r="AG83" s="128">
        <v>1.78</v>
      </c>
      <c r="AH83" s="128">
        <v>1.77</v>
      </c>
      <c r="AI83" s="128">
        <v>1.77</v>
      </c>
      <c r="AJ83" s="128">
        <v>1.77</v>
      </c>
      <c r="AK83" s="128">
        <v>1.76</v>
      </c>
      <c r="AL83" s="128">
        <v>1.76</v>
      </c>
      <c r="AM83" s="128">
        <v>1.76</v>
      </c>
      <c r="AN83" s="128">
        <v>1.76</v>
      </c>
      <c r="AO83" s="128">
        <v>1.75</v>
      </c>
      <c r="AP83" s="128">
        <v>1.75</v>
      </c>
      <c r="AQ83" s="128">
        <v>1.75</v>
      </c>
      <c r="AR83" s="128">
        <v>1.74</v>
      </c>
      <c r="AS83" s="128">
        <v>1.74</v>
      </c>
      <c r="AT83" s="128">
        <v>1.74</v>
      </c>
      <c r="AU83" s="128">
        <v>1.73</v>
      </c>
      <c r="AV83" s="128">
        <v>1.73</v>
      </c>
      <c r="AW83" s="128">
        <v>1.73</v>
      </c>
      <c r="AX83" s="128">
        <v>1.72</v>
      </c>
      <c r="AY83" s="128">
        <v>1.72</v>
      </c>
      <c r="AZ83" s="128">
        <v>1.71</v>
      </c>
      <c r="BA83" s="128">
        <v>1.72</v>
      </c>
      <c r="BB83" s="128">
        <v>1.72</v>
      </c>
      <c r="BC83" s="128">
        <v>1.73</v>
      </c>
      <c r="BD83" s="128">
        <v>1.73</v>
      </c>
      <c r="BE83" s="128">
        <v>1.73</v>
      </c>
      <c r="BF83" s="128">
        <v>1.74</v>
      </c>
      <c r="BG83" s="128">
        <v>1.74</v>
      </c>
      <c r="BH83" s="128">
        <v>1.74</v>
      </c>
      <c r="BI83" s="128">
        <v>1.75</v>
      </c>
      <c r="BJ83" s="128">
        <v>1.75</v>
      </c>
      <c r="BK83" s="128">
        <v>1.75</v>
      </c>
      <c r="BL83" s="128">
        <v>1.76</v>
      </c>
      <c r="BM83" s="128">
        <v>1.76</v>
      </c>
      <c r="BN83" s="128">
        <v>1.76</v>
      </c>
      <c r="BO83" s="128">
        <v>1.76</v>
      </c>
      <c r="BP83" s="128">
        <v>1.77</v>
      </c>
      <c r="BQ83" s="128">
        <v>1.77</v>
      </c>
      <c r="BR83" s="128">
        <v>1.77</v>
      </c>
      <c r="BS83" s="128">
        <v>1.78</v>
      </c>
      <c r="BT83" s="128">
        <v>1.78</v>
      </c>
      <c r="BU83" s="128">
        <v>1.78</v>
      </c>
      <c r="BV83" s="128">
        <v>1.78</v>
      </c>
      <c r="BW83" s="128">
        <v>1.78</v>
      </c>
      <c r="BX83" s="128">
        <v>1.79</v>
      </c>
      <c r="BY83" s="128">
        <v>1.79</v>
      </c>
      <c r="BZ83" s="128">
        <v>1.79</v>
      </c>
      <c r="CA83" s="128">
        <v>1.79</v>
      </c>
      <c r="CB83" s="128">
        <v>1.8</v>
      </c>
      <c r="CC83" s="128">
        <v>1.8</v>
      </c>
      <c r="CD83" s="128">
        <v>1.8</v>
      </c>
      <c r="CE83" s="128">
        <v>1.8</v>
      </c>
      <c r="CF83" s="128">
        <v>1.8</v>
      </c>
      <c r="CG83" s="128">
        <v>1.8</v>
      </c>
      <c r="CH83" s="128">
        <v>1.8</v>
      </c>
      <c r="CI83" s="128">
        <v>1.8</v>
      </c>
      <c r="CJ83" s="128">
        <v>1.8</v>
      </c>
      <c r="CK83" s="128">
        <v>1.8</v>
      </c>
      <c r="CL83" s="128">
        <v>1.8</v>
      </c>
      <c r="CM83" s="128">
        <v>1.8</v>
      </c>
      <c r="CN83" s="128">
        <v>1.8</v>
      </c>
      <c r="CO83" s="128">
        <v>1.8</v>
      </c>
      <c r="CP83" s="128">
        <v>1.8</v>
      </c>
      <c r="CQ83" s="128">
        <v>1.8</v>
      </c>
      <c r="CR83" s="128">
        <v>1.8</v>
      </c>
      <c r="CS83" s="128">
        <v>1.8</v>
      </c>
      <c r="CT83" s="128">
        <v>1.8</v>
      </c>
      <c r="CU83" s="128">
        <v>1.8</v>
      </c>
      <c r="CV83" s="128">
        <v>1.8</v>
      </c>
      <c r="CW83" s="128">
        <v>1.8</v>
      </c>
      <c r="CX83" s="128">
        <v>1.8</v>
      </c>
      <c r="CZ83" s="126">
        <f>SUMIF(MatrixF3[[1]:[2]],MatrixF3[[#This Row],[Столбец1]])/MatrixF3[[#This Row],[Столбец1]]</f>
        <v>102.0000000000001</v>
      </c>
    </row>
    <row r="84" spans="1:104" ht="21" customHeight="1" x14ac:dyDescent="0.25">
      <c r="A84" s="127">
        <v>1.81</v>
      </c>
      <c r="B84" s="128">
        <v>1.81</v>
      </c>
      <c r="C84" s="128">
        <v>1.81</v>
      </c>
      <c r="D84" s="128">
        <v>1.81</v>
      </c>
      <c r="E84" s="128">
        <v>1.81</v>
      </c>
      <c r="F84" s="128">
        <v>1.81</v>
      </c>
      <c r="G84" s="128">
        <v>1.81</v>
      </c>
      <c r="H84" s="128">
        <v>1.81</v>
      </c>
      <c r="I84" s="128">
        <v>1.81</v>
      </c>
      <c r="J84" s="128">
        <v>1.81</v>
      </c>
      <c r="K84" s="128">
        <v>1.81</v>
      </c>
      <c r="L84" s="128">
        <v>1.81</v>
      </c>
      <c r="M84" s="128">
        <v>1.81</v>
      </c>
      <c r="N84" s="128">
        <v>1.81</v>
      </c>
      <c r="O84" s="128">
        <v>1.81</v>
      </c>
      <c r="P84" s="128">
        <v>1.81</v>
      </c>
      <c r="Q84" s="128">
        <v>1.81</v>
      </c>
      <c r="R84" s="128">
        <v>1.81</v>
      </c>
      <c r="S84" s="128">
        <v>1.81</v>
      </c>
      <c r="T84" s="128">
        <v>1.81</v>
      </c>
      <c r="U84" s="128">
        <v>1.81</v>
      </c>
      <c r="V84" s="128">
        <v>1.81</v>
      </c>
      <c r="W84" s="128">
        <v>1.81</v>
      </c>
      <c r="X84" s="128">
        <v>1.8</v>
      </c>
      <c r="Y84" s="128">
        <v>1.8</v>
      </c>
      <c r="Z84" s="128">
        <v>1.8</v>
      </c>
      <c r="AA84" s="128">
        <v>1.8</v>
      </c>
      <c r="AB84" s="128">
        <v>1.8</v>
      </c>
      <c r="AC84" s="128">
        <v>1.79</v>
      </c>
      <c r="AD84" s="128">
        <v>1.79</v>
      </c>
      <c r="AE84" s="128">
        <v>1.79</v>
      </c>
      <c r="AF84" s="128">
        <v>1.79</v>
      </c>
      <c r="AG84" s="128">
        <v>1.78</v>
      </c>
      <c r="AH84" s="128">
        <v>1.78</v>
      </c>
      <c r="AI84" s="128">
        <v>1.78</v>
      </c>
      <c r="AJ84" s="128">
        <v>1.78</v>
      </c>
      <c r="AK84" s="128">
        <v>1.77</v>
      </c>
      <c r="AL84" s="128">
        <v>1.77</v>
      </c>
      <c r="AM84" s="128">
        <v>1.77</v>
      </c>
      <c r="AN84" s="128">
        <v>1.77</v>
      </c>
      <c r="AO84" s="128">
        <v>1.76</v>
      </c>
      <c r="AP84" s="128">
        <v>1.76</v>
      </c>
      <c r="AQ84" s="128">
        <v>1.76</v>
      </c>
      <c r="AR84" s="128">
        <v>1.75</v>
      </c>
      <c r="AS84" s="128">
        <v>1.75</v>
      </c>
      <c r="AT84" s="128">
        <v>1.75</v>
      </c>
      <c r="AU84" s="128">
        <v>1.74</v>
      </c>
      <c r="AV84" s="128">
        <v>1.74</v>
      </c>
      <c r="AW84" s="128">
        <v>1.74</v>
      </c>
      <c r="AX84" s="128">
        <v>1.73</v>
      </c>
      <c r="AY84" s="128">
        <v>1.73</v>
      </c>
      <c r="AZ84" s="128">
        <v>1.72</v>
      </c>
      <c r="BA84" s="128">
        <v>1.73</v>
      </c>
      <c r="BB84" s="128">
        <v>1.73</v>
      </c>
      <c r="BC84" s="128">
        <v>1.74</v>
      </c>
      <c r="BD84" s="128">
        <v>1.74</v>
      </c>
      <c r="BE84" s="128">
        <v>1.74</v>
      </c>
      <c r="BF84" s="128">
        <v>1.75</v>
      </c>
      <c r="BG84" s="128">
        <v>1.75</v>
      </c>
      <c r="BH84" s="128">
        <v>1.75</v>
      </c>
      <c r="BI84" s="128">
        <v>1.76</v>
      </c>
      <c r="BJ84" s="128">
        <v>1.76</v>
      </c>
      <c r="BK84" s="128">
        <v>1.76</v>
      </c>
      <c r="BL84" s="128">
        <v>1.77</v>
      </c>
      <c r="BM84" s="128">
        <v>1.77</v>
      </c>
      <c r="BN84" s="128">
        <v>1.77</v>
      </c>
      <c r="BO84" s="128">
        <v>1.77</v>
      </c>
      <c r="BP84" s="128">
        <v>1.78</v>
      </c>
      <c r="BQ84" s="128">
        <v>1.78</v>
      </c>
      <c r="BR84" s="128">
        <v>1.78</v>
      </c>
      <c r="BS84" s="128">
        <v>1.78</v>
      </c>
      <c r="BT84" s="128">
        <v>1.79</v>
      </c>
      <c r="BU84" s="128">
        <v>1.79</v>
      </c>
      <c r="BV84" s="128">
        <v>1.79</v>
      </c>
      <c r="BW84" s="128">
        <v>1.79</v>
      </c>
      <c r="BX84" s="128">
        <v>1.8</v>
      </c>
      <c r="BY84" s="128">
        <v>1.8</v>
      </c>
      <c r="BZ84" s="128">
        <v>1.8</v>
      </c>
      <c r="CA84" s="128">
        <v>1.8</v>
      </c>
      <c r="CB84" s="128">
        <v>1.8</v>
      </c>
      <c r="CC84" s="128">
        <v>1.81</v>
      </c>
      <c r="CD84" s="128">
        <v>1.81</v>
      </c>
      <c r="CE84" s="128">
        <v>1.81</v>
      </c>
      <c r="CF84" s="128">
        <v>1.81</v>
      </c>
      <c r="CG84" s="128">
        <v>1.81</v>
      </c>
      <c r="CH84" s="128">
        <v>1.81</v>
      </c>
      <c r="CI84" s="128">
        <v>1.81</v>
      </c>
      <c r="CJ84" s="128">
        <v>1.81</v>
      </c>
      <c r="CK84" s="128">
        <v>1.81</v>
      </c>
      <c r="CL84" s="128">
        <v>1.81</v>
      </c>
      <c r="CM84" s="128">
        <v>1.81</v>
      </c>
      <c r="CN84" s="128">
        <v>1.81</v>
      </c>
      <c r="CO84" s="128">
        <v>1.81</v>
      </c>
      <c r="CP84" s="128">
        <v>1.81</v>
      </c>
      <c r="CQ84" s="128">
        <v>1.81</v>
      </c>
      <c r="CR84" s="128">
        <v>1.81</v>
      </c>
      <c r="CS84" s="128">
        <v>1.81</v>
      </c>
      <c r="CT84" s="128">
        <v>1.81</v>
      </c>
      <c r="CU84" s="128">
        <v>1.81</v>
      </c>
      <c r="CV84" s="128">
        <v>1.81</v>
      </c>
      <c r="CW84" s="128">
        <v>1.81</v>
      </c>
      <c r="CX84" s="128">
        <v>1.81</v>
      </c>
      <c r="CZ84" s="126">
        <f>SUMIF(MatrixF3[[1]:[2]],MatrixF3[[#This Row],[Столбец1]])/MatrixF3[[#This Row],[Столбец1]]</f>
        <v>101.0000000000001</v>
      </c>
    </row>
    <row r="85" spans="1:104" ht="21" customHeight="1" x14ac:dyDescent="0.25">
      <c r="A85" s="127">
        <v>1.82</v>
      </c>
      <c r="B85" s="128">
        <v>1.82</v>
      </c>
      <c r="C85" s="128">
        <v>1.82</v>
      </c>
      <c r="D85" s="128">
        <v>1.82</v>
      </c>
      <c r="E85" s="128">
        <v>1.82</v>
      </c>
      <c r="F85" s="128">
        <v>1.82</v>
      </c>
      <c r="G85" s="128">
        <v>1.82</v>
      </c>
      <c r="H85" s="128">
        <v>1.82</v>
      </c>
      <c r="I85" s="128">
        <v>1.82</v>
      </c>
      <c r="J85" s="128">
        <v>1.82</v>
      </c>
      <c r="K85" s="128">
        <v>1.82</v>
      </c>
      <c r="L85" s="128">
        <v>1.82</v>
      </c>
      <c r="M85" s="128">
        <v>1.82</v>
      </c>
      <c r="N85" s="128">
        <v>1.82</v>
      </c>
      <c r="O85" s="128">
        <v>1.82</v>
      </c>
      <c r="P85" s="128">
        <v>1.82</v>
      </c>
      <c r="Q85" s="128">
        <v>1.82</v>
      </c>
      <c r="R85" s="128">
        <v>1.82</v>
      </c>
      <c r="S85" s="128">
        <v>1.82</v>
      </c>
      <c r="T85" s="128">
        <v>1.82</v>
      </c>
      <c r="U85" s="128">
        <v>1.82</v>
      </c>
      <c r="V85" s="128">
        <v>1.82</v>
      </c>
      <c r="W85" s="128">
        <v>1.81</v>
      </c>
      <c r="X85" s="128">
        <v>1.81</v>
      </c>
      <c r="Y85" s="128">
        <v>1.81</v>
      </c>
      <c r="Z85" s="128">
        <v>1.81</v>
      </c>
      <c r="AA85" s="128">
        <v>1.81</v>
      </c>
      <c r="AB85" s="128">
        <v>1.8</v>
      </c>
      <c r="AC85" s="128">
        <v>1.8</v>
      </c>
      <c r="AD85" s="128">
        <v>1.8</v>
      </c>
      <c r="AE85" s="128">
        <v>1.8</v>
      </c>
      <c r="AF85" s="128">
        <v>1.8</v>
      </c>
      <c r="AG85" s="128">
        <v>1.79</v>
      </c>
      <c r="AH85" s="128">
        <v>1.79</v>
      </c>
      <c r="AI85" s="128">
        <v>1.79</v>
      </c>
      <c r="AJ85" s="128">
        <v>1.79</v>
      </c>
      <c r="AK85" s="128">
        <v>1.78</v>
      </c>
      <c r="AL85" s="128">
        <v>1.78</v>
      </c>
      <c r="AM85" s="128">
        <v>1.78</v>
      </c>
      <c r="AN85" s="128">
        <v>1.78</v>
      </c>
      <c r="AO85" s="128">
        <v>1.77</v>
      </c>
      <c r="AP85" s="128">
        <v>1.77</v>
      </c>
      <c r="AQ85" s="128">
        <v>1.77</v>
      </c>
      <c r="AR85" s="128">
        <v>1.76</v>
      </c>
      <c r="AS85" s="128">
        <v>1.76</v>
      </c>
      <c r="AT85" s="128">
        <v>1.76</v>
      </c>
      <c r="AU85" s="128">
        <v>1.75</v>
      </c>
      <c r="AV85" s="128">
        <v>1.75</v>
      </c>
      <c r="AW85" s="128">
        <v>1.75</v>
      </c>
      <c r="AX85" s="128">
        <v>1.74</v>
      </c>
      <c r="AY85" s="128">
        <v>1.74</v>
      </c>
      <c r="AZ85" s="128">
        <v>1.74</v>
      </c>
      <c r="BA85" s="128">
        <v>1.74</v>
      </c>
      <c r="BB85" s="128">
        <v>1.74</v>
      </c>
      <c r="BC85" s="128">
        <v>1.75</v>
      </c>
      <c r="BD85" s="128">
        <v>1.75</v>
      </c>
      <c r="BE85" s="128">
        <v>1.75</v>
      </c>
      <c r="BF85" s="128">
        <v>1.76</v>
      </c>
      <c r="BG85" s="128">
        <v>1.76</v>
      </c>
      <c r="BH85" s="128">
        <v>1.76</v>
      </c>
      <c r="BI85" s="128">
        <v>1.77</v>
      </c>
      <c r="BJ85" s="128">
        <v>1.77</v>
      </c>
      <c r="BK85" s="128">
        <v>1.77</v>
      </c>
      <c r="BL85" s="128">
        <v>1.78</v>
      </c>
      <c r="BM85" s="128">
        <v>1.78</v>
      </c>
      <c r="BN85" s="128">
        <v>1.78</v>
      </c>
      <c r="BO85" s="128">
        <v>1.78</v>
      </c>
      <c r="BP85" s="128">
        <v>1.79</v>
      </c>
      <c r="BQ85" s="128">
        <v>1.79</v>
      </c>
      <c r="BR85" s="128">
        <v>1.79</v>
      </c>
      <c r="BS85" s="128">
        <v>1.79</v>
      </c>
      <c r="BT85" s="128">
        <v>1.8</v>
      </c>
      <c r="BU85" s="128">
        <v>1.8</v>
      </c>
      <c r="BV85" s="128">
        <v>1.8</v>
      </c>
      <c r="BW85" s="128">
        <v>1.8</v>
      </c>
      <c r="BX85" s="128">
        <v>1.8</v>
      </c>
      <c r="BY85" s="128">
        <v>1.81</v>
      </c>
      <c r="BZ85" s="128">
        <v>1.81</v>
      </c>
      <c r="CA85" s="128">
        <v>1.81</v>
      </c>
      <c r="CB85" s="128">
        <v>1.81</v>
      </c>
      <c r="CC85" s="128">
        <v>1.81</v>
      </c>
      <c r="CD85" s="128">
        <v>1.82</v>
      </c>
      <c r="CE85" s="128">
        <v>1.82</v>
      </c>
      <c r="CF85" s="128">
        <v>1.82</v>
      </c>
      <c r="CG85" s="128">
        <v>1.82</v>
      </c>
      <c r="CH85" s="128">
        <v>1.82</v>
      </c>
      <c r="CI85" s="128">
        <v>1.82</v>
      </c>
      <c r="CJ85" s="128">
        <v>1.82</v>
      </c>
      <c r="CK85" s="128">
        <v>1.82</v>
      </c>
      <c r="CL85" s="128">
        <v>1.82</v>
      </c>
      <c r="CM85" s="128">
        <v>1.82</v>
      </c>
      <c r="CN85" s="128">
        <v>1.82</v>
      </c>
      <c r="CO85" s="128">
        <v>1.82</v>
      </c>
      <c r="CP85" s="128">
        <v>1.82</v>
      </c>
      <c r="CQ85" s="128">
        <v>1.82</v>
      </c>
      <c r="CR85" s="128">
        <v>1.82</v>
      </c>
      <c r="CS85" s="128">
        <v>1.82</v>
      </c>
      <c r="CT85" s="128">
        <v>1.82</v>
      </c>
      <c r="CU85" s="128">
        <v>1.82</v>
      </c>
      <c r="CV85" s="128">
        <v>1.82</v>
      </c>
      <c r="CW85" s="128">
        <v>1.82</v>
      </c>
      <c r="CX85" s="128">
        <v>1.82</v>
      </c>
      <c r="CZ85" s="126">
        <f>SUMIF(MatrixF3[[1]:[2]],MatrixF3[[#This Row],[Столбец1]])/MatrixF3[[#This Row],[Столбец1]]</f>
        <v>100.99999999999976</v>
      </c>
    </row>
    <row r="86" spans="1:104" ht="21" customHeight="1" x14ac:dyDescent="0.25">
      <c r="A86" s="127">
        <v>1.83</v>
      </c>
      <c r="B86" s="128">
        <v>1.83</v>
      </c>
      <c r="C86" s="128">
        <v>1.83</v>
      </c>
      <c r="D86" s="128">
        <v>1.83</v>
      </c>
      <c r="E86" s="128">
        <v>1.83</v>
      </c>
      <c r="F86" s="128">
        <v>1.83</v>
      </c>
      <c r="G86" s="128">
        <v>1.83</v>
      </c>
      <c r="H86" s="128">
        <v>1.83</v>
      </c>
      <c r="I86" s="128">
        <v>1.83</v>
      </c>
      <c r="J86" s="128">
        <v>1.83</v>
      </c>
      <c r="K86" s="128">
        <v>1.83</v>
      </c>
      <c r="L86" s="128">
        <v>1.83</v>
      </c>
      <c r="M86" s="128">
        <v>1.83</v>
      </c>
      <c r="N86" s="128">
        <v>1.83</v>
      </c>
      <c r="O86" s="128">
        <v>1.83</v>
      </c>
      <c r="P86" s="128">
        <v>1.83</v>
      </c>
      <c r="Q86" s="128">
        <v>1.83</v>
      </c>
      <c r="R86" s="128">
        <v>1.83</v>
      </c>
      <c r="S86" s="128">
        <v>1.83</v>
      </c>
      <c r="T86" s="128">
        <v>1.83</v>
      </c>
      <c r="U86" s="128">
        <v>1.83</v>
      </c>
      <c r="V86" s="128">
        <v>1.82</v>
      </c>
      <c r="W86" s="128">
        <v>1.82</v>
      </c>
      <c r="X86" s="128">
        <v>1.82</v>
      </c>
      <c r="Y86" s="128">
        <v>1.82</v>
      </c>
      <c r="Z86" s="128">
        <v>1.82</v>
      </c>
      <c r="AA86" s="128">
        <v>1.82</v>
      </c>
      <c r="AB86" s="128">
        <v>1.81</v>
      </c>
      <c r="AC86" s="128">
        <v>1.81</v>
      </c>
      <c r="AD86" s="128">
        <v>1.81</v>
      </c>
      <c r="AE86" s="128">
        <v>1.81</v>
      </c>
      <c r="AF86" s="128">
        <v>1.8</v>
      </c>
      <c r="AG86" s="128">
        <v>1.8</v>
      </c>
      <c r="AH86" s="128">
        <v>1.8</v>
      </c>
      <c r="AI86" s="128">
        <v>1.8</v>
      </c>
      <c r="AJ86" s="128">
        <v>1.8</v>
      </c>
      <c r="AK86" s="128">
        <v>1.79</v>
      </c>
      <c r="AL86" s="128">
        <v>1.79</v>
      </c>
      <c r="AM86" s="128">
        <v>1.79</v>
      </c>
      <c r="AN86" s="128">
        <v>1.78</v>
      </c>
      <c r="AO86" s="128">
        <v>1.78</v>
      </c>
      <c r="AP86" s="128">
        <v>1.78</v>
      </c>
      <c r="AQ86" s="128">
        <v>1.78</v>
      </c>
      <c r="AR86" s="128">
        <v>1.77</v>
      </c>
      <c r="AS86" s="128">
        <v>1.77</v>
      </c>
      <c r="AT86" s="128">
        <v>1.77</v>
      </c>
      <c r="AU86" s="128">
        <v>1.76</v>
      </c>
      <c r="AV86" s="128">
        <v>1.76</v>
      </c>
      <c r="AW86" s="128">
        <v>1.76</v>
      </c>
      <c r="AX86" s="128">
        <v>1.75</v>
      </c>
      <c r="AY86" s="128">
        <v>1.75</v>
      </c>
      <c r="AZ86" s="128">
        <v>1.75</v>
      </c>
      <c r="BA86" s="128">
        <v>1.75</v>
      </c>
      <c r="BB86" s="128">
        <v>1.75</v>
      </c>
      <c r="BC86" s="128">
        <v>1.76</v>
      </c>
      <c r="BD86" s="128">
        <v>1.76</v>
      </c>
      <c r="BE86" s="128">
        <v>1.76</v>
      </c>
      <c r="BF86" s="128">
        <v>1.77</v>
      </c>
      <c r="BG86" s="128">
        <v>1.77</v>
      </c>
      <c r="BH86" s="128">
        <v>1.77</v>
      </c>
      <c r="BI86" s="128">
        <v>1.78</v>
      </c>
      <c r="BJ86" s="128">
        <v>1.78</v>
      </c>
      <c r="BK86" s="128">
        <v>1.78</v>
      </c>
      <c r="BL86" s="128">
        <v>1.78</v>
      </c>
      <c r="BM86" s="128">
        <v>1.79</v>
      </c>
      <c r="BN86" s="128">
        <v>1.79</v>
      </c>
      <c r="BO86" s="128">
        <v>1.79</v>
      </c>
      <c r="BP86" s="128">
        <v>1.8</v>
      </c>
      <c r="BQ86" s="128">
        <v>1.8</v>
      </c>
      <c r="BR86" s="128">
        <v>1.8</v>
      </c>
      <c r="BS86" s="128">
        <v>1.8</v>
      </c>
      <c r="BT86" s="128">
        <v>1.8</v>
      </c>
      <c r="BU86" s="128">
        <v>1.81</v>
      </c>
      <c r="BV86" s="128">
        <v>1.81</v>
      </c>
      <c r="BW86" s="128">
        <v>1.81</v>
      </c>
      <c r="BX86" s="128">
        <v>1.81</v>
      </c>
      <c r="BY86" s="128">
        <v>1.82</v>
      </c>
      <c r="BZ86" s="128">
        <v>1.82</v>
      </c>
      <c r="CA86" s="128">
        <v>1.82</v>
      </c>
      <c r="CB86" s="128">
        <v>1.82</v>
      </c>
      <c r="CC86" s="128">
        <v>1.82</v>
      </c>
      <c r="CD86" s="128">
        <v>1.82</v>
      </c>
      <c r="CE86" s="128">
        <v>1.83</v>
      </c>
      <c r="CF86" s="128">
        <v>1.83</v>
      </c>
      <c r="CG86" s="128">
        <v>1.83</v>
      </c>
      <c r="CH86" s="128">
        <v>1.83</v>
      </c>
      <c r="CI86" s="128">
        <v>1.83</v>
      </c>
      <c r="CJ86" s="128">
        <v>1.83</v>
      </c>
      <c r="CK86" s="128">
        <v>1.83</v>
      </c>
      <c r="CL86" s="128">
        <v>1.83</v>
      </c>
      <c r="CM86" s="128">
        <v>1.83</v>
      </c>
      <c r="CN86" s="128">
        <v>1.83</v>
      </c>
      <c r="CO86" s="128">
        <v>1.83</v>
      </c>
      <c r="CP86" s="128">
        <v>1.83</v>
      </c>
      <c r="CQ86" s="128">
        <v>1.83</v>
      </c>
      <c r="CR86" s="128">
        <v>1.83</v>
      </c>
      <c r="CS86" s="128">
        <v>1.83</v>
      </c>
      <c r="CT86" s="128">
        <v>1.83</v>
      </c>
      <c r="CU86" s="128">
        <v>1.83</v>
      </c>
      <c r="CV86" s="128">
        <v>1.83</v>
      </c>
      <c r="CW86" s="128">
        <v>1.83</v>
      </c>
      <c r="CX86" s="128">
        <v>1.83</v>
      </c>
      <c r="CZ86" s="126">
        <f>SUMIF(MatrixF3[[1]:[2]],MatrixF3[[#This Row],[Столбец1]])/MatrixF3[[#This Row],[Столбец1]]</f>
        <v>93.000000000000099</v>
      </c>
    </row>
    <row r="87" spans="1:104" ht="21" customHeight="1" x14ac:dyDescent="0.25">
      <c r="A87" s="127">
        <v>1.84</v>
      </c>
      <c r="B87" s="128">
        <v>1.84</v>
      </c>
      <c r="C87" s="128">
        <v>1.84</v>
      </c>
      <c r="D87" s="128">
        <v>1.84</v>
      </c>
      <c r="E87" s="128">
        <v>1.84</v>
      </c>
      <c r="F87" s="128">
        <v>1.84</v>
      </c>
      <c r="G87" s="128">
        <v>1.84</v>
      </c>
      <c r="H87" s="128">
        <v>1.84</v>
      </c>
      <c r="I87" s="128">
        <v>1.84</v>
      </c>
      <c r="J87" s="128">
        <v>1.84</v>
      </c>
      <c r="K87" s="128">
        <v>1.84</v>
      </c>
      <c r="L87" s="128">
        <v>1.84</v>
      </c>
      <c r="M87" s="128">
        <v>1.84</v>
      </c>
      <c r="N87" s="128">
        <v>1.84</v>
      </c>
      <c r="O87" s="128">
        <v>1.84</v>
      </c>
      <c r="P87" s="128">
        <v>1.84</v>
      </c>
      <c r="Q87" s="128">
        <v>1.84</v>
      </c>
      <c r="R87" s="128">
        <v>1.84</v>
      </c>
      <c r="S87" s="128">
        <v>1.84</v>
      </c>
      <c r="T87" s="128">
        <v>1.84</v>
      </c>
      <c r="U87" s="128">
        <v>1.84</v>
      </c>
      <c r="V87" s="128">
        <v>1.83</v>
      </c>
      <c r="W87" s="128">
        <v>1.83</v>
      </c>
      <c r="X87" s="128">
        <v>1.83</v>
      </c>
      <c r="Y87" s="128">
        <v>1.83</v>
      </c>
      <c r="Z87" s="128">
        <v>1.83</v>
      </c>
      <c r="AA87" s="128">
        <v>1.82</v>
      </c>
      <c r="AB87" s="128">
        <v>1.82</v>
      </c>
      <c r="AC87" s="128">
        <v>1.82</v>
      </c>
      <c r="AD87" s="128">
        <v>1.82</v>
      </c>
      <c r="AE87" s="128">
        <v>1.82</v>
      </c>
      <c r="AF87" s="128">
        <v>1.81</v>
      </c>
      <c r="AG87" s="128">
        <v>1.81</v>
      </c>
      <c r="AH87" s="128">
        <v>1.81</v>
      </c>
      <c r="AI87" s="128">
        <v>1.81</v>
      </c>
      <c r="AJ87" s="128">
        <v>1.8</v>
      </c>
      <c r="AK87" s="128">
        <v>1.8</v>
      </c>
      <c r="AL87" s="128">
        <v>1.8</v>
      </c>
      <c r="AM87" s="128">
        <v>1.8</v>
      </c>
      <c r="AN87" s="128">
        <v>1.79</v>
      </c>
      <c r="AO87" s="128">
        <v>1.79</v>
      </c>
      <c r="AP87" s="128">
        <v>1.79</v>
      </c>
      <c r="AQ87" s="128">
        <v>1.79</v>
      </c>
      <c r="AR87" s="128">
        <v>1.78</v>
      </c>
      <c r="AS87" s="128">
        <v>1.78</v>
      </c>
      <c r="AT87" s="128">
        <v>1.78</v>
      </c>
      <c r="AU87" s="128">
        <v>1.77</v>
      </c>
      <c r="AV87" s="128">
        <v>1.77</v>
      </c>
      <c r="AW87" s="128">
        <v>1.77</v>
      </c>
      <c r="AX87" s="128">
        <v>1.76</v>
      </c>
      <c r="AY87" s="128">
        <v>1.76</v>
      </c>
      <c r="AZ87" s="128">
        <v>1.76</v>
      </c>
      <c r="BA87" s="128">
        <v>1.76</v>
      </c>
      <c r="BB87" s="128">
        <v>1.76</v>
      </c>
      <c r="BC87" s="128">
        <v>1.77</v>
      </c>
      <c r="BD87" s="128">
        <v>1.77</v>
      </c>
      <c r="BE87" s="128">
        <v>1.77</v>
      </c>
      <c r="BF87" s="128">
        <v>1.78</v>
      </c>
      <c r="BG87" s="128">
        <v>1.78</v>
      </c>
      <c r="BH87" s="128">
        <v>1.78</v>
      </c>
      <c r="BI87" s="128">
        <v>1.79</v>
      </c>
      <c r="BJ87" s="128">
        <v>1.79</v>
      </c>
      <c r="BK87" s="128">
        <v>1.79</v>
      </c>
      <c r="BL87" s="128">
        <v>1.79</v>
      </c>
      <c r="BM87" s="128">
        <v>1.8</v>
      </c>
      <c r="BN87" s="128">
        <v>1.8</v>
      </c>
      <c r="BO87" s="128">
        <v>1.8</v>
      </c>
      <c r="BP87" s="128">
        <v>1.8</v>
      </c>
      <c r="BQ87" s="128">
        <v>1.81</v>
      </c>
      <c r="BR87" s="128">
        <v>1.81</v>
      </c>
      <c r="BS87" s="128">
        <v>1.81</v>
      </c>
      <c r="BT87" s="128">
        <v>1.81</v>
      </c>
      <c r="BU87" s="128">
        <v>1.82</v>
      </c>
      <c r="BV87" s="128">
        <v>1.82</v>
      </c>
      <c r="BW87" s="128">
        <v>1.82</v>
      </c>
      <c r="BX87" s="128">
        <v>1.82</v>
      </c>
      <c r="BY87" s="128">
        <v>1.82</v>
      </c>
      <c r="BZ87" s="128">
        <v>1.83</v>
      </c>
      <c r="CA87" s="128">
        <v>1.83</v>
      </c>
      <c r="CB87" s="128">
        <v>1.83</v>
      </c>
      <c r="CC87" s="128">
        <v>1.83</v>
      </c>
      <c r="CD87" s="128">
        <v>1.83</v>
      </c>
      <c r="CE87" s="128">
        <v>1.84</v>
      </c>
      <c r="CF87" s="128">
        <v>1.84</v>
      </c>
      <c r="CG87" s="128">
        <v>1.84</v>
      </c>
      <c r="CH87" s="128">
        <v>1.84</v>
      </c>
      <c r="CI87" s="128">
        <v>1.84</v>
      </c>
      <c r="CJ87" s="128">
        <v>1.84</v>
      </c>
      <c r="CK87" s="128">
        <v>1.84</v>
      </c>
      <c r="CL87" s="128">
        <v>1.84</v>
      </c>
      <c r="CM87" s="128">
        <v>1.84</v>
      </c>
      <c r="CN87" s="128">
        <v>1.84</v>
      </c>
      <c r="CO87" s="128">
        <v>1.84</v>
      </c>
      <c r="CP87" s="128">
        <v>1.84</v>
      </c>
      <c r="CQ87" s="128">
        <v>1.84</v>
      </c>
      <c r="CR87" s="128">
        <v>1.84</v>
      </c>
      <c r="CS87" s="128">
        <v>1.84</v>
      </c>
      <c r="CT87" s="128">
        <v>1.84</v>
      </c>
      <c r="CU87" s="128">
        <v>1.84</v>
      </c>
      <c r="CV87" s="128">
        <v>1.84</v>
      </c>
      <c r="CW87" s="128">
        <v>1.84</v>
      </c>
      <c r="CX87" s="128">
        <v>1.84</v>
      </c>
      <c r="CZ87" s="126">
        <f>SUMIF(MatrixF3[[1]:[2]],MatrixF3[[#This Row],[Столбец1]])/MatrixF3[[#This Row],[Столбец1]]</f>
        <v>100.00000000000016</v>
      </c>
    </row>
    <row r="88" spans="1:104" ht="21" customHeight="1" x14ac:dyDescent="0.25">
      <c r="A88" s="127">
        <v>1.85</v>
      </c>
      <c r="B88" s="128">
        <v>1.85</v>
      </c>
      <c r="C88" s="128">
        <v>1.85</v>
      </c>
      <c r="D88" s="128">
        <v>1.85</v>
      </c>
      <c r="E88" s="128">
        <v>1.85</v>
      </c>
      <c r="F88" s="128">
        <v>1.85</v>
      </c>
      <c r="G88" s="128">
        <v>1.85</v>
      </c>
      <c r="H88" s="128">
        <v>1.85</v>
      </c>
      <c r="I88" s="128">
        <v>1.85</v>
      </c>
      <c r="J88" s="128">
        <v>1.85</v>
      </c>
      <c r="K88" s="128">
        <v>1.85</v>
      </c>
      <c r="L88" s="128">
        <v>1.85</v>
      </c>
      <c r="M88" s="128">
        <v>1.85</v>
      </c>
      <c r="N88" s="128">
        <v>1.85</v>
      </c>
      <c r="O88" s="128">
        <v>1.85</v>
      </c>
      <c r="P88" s="128">
        <v>1.85</v>
      </c>
      <c r="Q88" s="128">
        <v>1.85</v>
      </c>
      <c r="R88" s="128">
        <v>1.85</v>
      </c>
      <c r="S88" s="128">
        <v>1.85</v>
      </c>
      <c r="T88" s="128">
        <v>1.85</v>
      </c>
      <c r="U88" s="128">
        <v>1.84</v>
      </c>
      <c r="V88" s="128">
        <v>1.84</v>
      </c>
      <c r="W88" s="128">
        <v>1.84</v>
      </c>
      <c r="X88" s="128">
        <v>1.84</v>
      </c>
      <c r="Y88" s="128">
        <v>1.84</v>
      </c>
      <c r="Z88" s="128">
        <v>1.84</v>
      </c>
      <c r="AA88" s="128">
        <v>1.83</v>
      </c>
      <c r="AB88" s="128">
        <v>1.83</v>
      </c>
      <c r="AC88" s="128">
        <v>1.83</v>
      </c>
      <c r="AD88" s="128">
        <v>1.83</v>
      </c>
      <c r="AE88" s="128">
        <v>1.83</v>
      </c>
      <c r="AF88" s="128">
        <v>1.82</v>
      </c>
      <c r="AG88" s="128">
        <v>1.82</v>
      </c>
      <c r="AH88" s="128">
        <v>1.82</v>
      </c>
      <c r="AI88" s="128">
        <v>1.82</v>
      </c>
      <c r="AJ88" s="128">
        <v>1.81</v>
      </c>
      <c r="AK88" s="128">
        <v>1.81</v>
      </c>
      <c r="AL88" s="128">
        <v>1.81</v>
      </c>
      <c r="AM88" s="128">
        <v>1.81</v>
      </c>
      <c r="AN88" s="128">
        <v>1.81</v>
      </c>
      <c r="AO88" s="128">
        <v>1.8</v>
      </c>
      <c r="AP88" s="128">
        <v>1.8</v>
      </c>
      <c r="AQ88" s="128">
        <v>1.8</v>
      </c>
      <c r="AR88" s="128">
        <v>1.79</v>
      </c>
      <c r="AS88" s="128">
        <v>1.79</v>
      </c>
      <c r="AT88" s="128">
        <v>1.79</v>
      </c>
      <c r="AU88" s="128">
        <v>1.79</v>
      </c>
      <c r="AV88" s="128">
        <v>1.78</v>
      </c>
      <c r="AW88" s="128">
        <v>1.78</v>
      </c>
      <c r="AX88" s="128">
        <v>1.78</v>
      </c>
      <c r="AY88" s="128">
        <v>1.77</v>
      </c>
      <c r="AZ88" s="128">
        <v>1.77</v>
      </c>
      <c r="BA88" s="128">
        <v>1.77</v>
      </c>
      <c r="BB88" s="128">
        <v>1.78</v>
      </c>
      <c r="BC88" s="128">
        <v>1.78</v>
      </c>
      <c r="BD88" s="128">
        <v>1.78</v>
      </c>
      <c r="BE88" s="128">
        <v>1.79</v>
      </c>
      <c r="BF88" s="128">
        <v>1.79</v>
      </c>
      <c r="BG88" s="128">
        <v>1.79</v>
      </c>
      <c r="BH88" s="128">
        <v>1.79</v>
      </c>
      <c r="BI88" s="128">
        <v>1.8</v>
      </c>
      <c r="BJ88" s="128">
        <v>1.8</v>
      </c>
      <c r="BK88" s="128">
        <v>1.8</v>
      </c>
      <c r="BL88" s="128">
        <v>1.81</v>
      </c>
      <c r="BM88" s="128">
        <v>1.81</v>
      </c>
      <c r="BN88" s="128">
        <v>1.81</v>
      </c>
      <c r="BO88" s="128">
        <v>1.81</v>
      </c>
      <c r="BP88" s="128">
        <v>1.81</v>
      </c>
      <c r="BQ88" s="128">
        <v>1.82</v>
      </c>
      <c r="BR88" s="128">
        <v>1.82</v>
      </c>
      <c r="BS88" s="128">
        <v>1.82</v>
      </c>
      <c r="BT88" s="128">
        <v>1.82</v>
      </c>
      <c r="BU88" s="128">
        <v>1.83</v>
      </c>
      <c r="BV88" s="128">
        <v>1.83</v>
      </c>
      <c r="BW88" s="128">
        <v>1.83</v>
      </c>
      <c r="BX88" s="128">
        <v>1.83</v>
      </c>
      <c r="BY88" s="128">
        <v>1.83</v>
      </c>
      <c r="BZ88" s="128">
        <v>1.84</v>
      </c>
      <c r="CA88" s="128">
        <v>1.84</v>
      </c>
      <c r="CB88" s="128">
        <v>1.84</v>
      </c>
      <c r="CC88" s="128">
        <v>1.84</v>
      </c>
      <c r="CD88" s="128">
        <v>1.84</v>
      </c>
      <c r="CE88" s="128">
        <v>1.84</v>
      </c>
      <c r="CF88" s="128">
        <v>1.85</v>
      </c>
      <c r="CG88" s="128">
        <v>1.85</v>
      </c>
      <c r="CH88" s="128">
        <v>1.85</v>
      </c>
      <c r="CI88" s="128">
        <v>1.85</v>
      </c>
      <c r="CJ88" s="128">
        <v>1.85</v>
      </c>
      <c r="CK88" s="128">
        <v>1.85</v>
      </c>
      <c r="CL88" s="128">
        <v>1.85</v>
      </c>
      <c r="CM88" s="128">
        <v>1.85</v>
      </c>
      <c r="CN88" s="128">
        <v>1.85</v>
      </c>
      <c r="CO88" s="128">
        <v>1.85</v>
      </c>
      <c r="CP88" s="128">
        <v>1.85</v>
      </c>
      <c r="CQ88" s="128">
        <v>1.85</v>
      </c>
      <c r="CR88" s="128">
        <v>1.85</v>
      </c>
      <c r="CS88" s="128">
        <v>1.85</v>
      </c>
      <c r="CT88" s="128">
        <v>1.85</v>
      </c>
      <c r="CU88" s="128">
        <v>1.85</v>
      </c>
      <c r="CV88" s="128">
        <v>1.85</v>
      </c>
      <c r="CW88" s="128">
        <v>1.85</v>
      </c>
      <c r="CX88" s="128">
        <v>1.85</v>
      </c>
      <c r="CZ88" s="126">
        <f>SUMIF(MatrixF3[[1]:[2]],MatrixF3[[#This Row],[Столбец1]])/MatrixF3[[#This Row],[Столбец1]]</f>
        <v>96.999999999999815</v>
      </c>
    </row>
    <row r="89" spans="1:104" ht="21" customHeight="1" x14ac:dyDescent="0.25">
      <c r="A89" s="127">
        <v>1.86</v>
      </c>
      <c r="B89" s="128">
        <v>1.86</v>
      </c>
      <c r="C89" s="128">
        <v>1.86</v>
      </c>
      <c r="D89" s="128">
        <v>1.86</v>
      </c>
      <c r="E89" s="128">
        <v>1.86</v>
      </c>
      <c r="F89" s="128">
        <v>1.86</v>
      </c>
      <c r="G89" s="128">
        <v>1.86</v>
      </c>
      <c r="H89" s="128">
        <v>1.86</v>
      </c>
      <c r="I89" s="128">
        <v>1.86</v>
      </c>
      <c r="J89" s="128">
        <v>1.86</v>
      </c>
      <c r="K89" s="128">
        <v>1.86</v>
      </c>
      <c r="L89" s="128">
        <v>1.86</v>
      </c>
      <c r="M89" s="128">
        <v>1.86</v>
      </c>
      <c r="N89" s="128">
        <v>1.86</v>
      </c>
      <c r="O89" s="128">
        <v>1.86</v>
      </c>
      <c r="P89" s="128">
        <v>1.86</v>
      </c>
      <c r="Q89" s="128">
        <v>1.86</v>
      </c>
      <c r="R89" s="128">
        <v>1.86</v>
      </c>
      <c r="S89" s="128">
        <v>1.86</v>
      </c>
      <c r="T89" s="128">
        <v>1.85</v>
      </c>
      <c r="U89" s="128">
        <v>1.85</v>
      </c>
      <c r="V89" s="128">
        <v>1.85</v>
      </c>
      <c r="W89" s="128">
        <v>1.85</v>
      </c>
      <c r="X89" s="128">
        <v>1.85</v>
      </c>
      <c r="Y89" s="128">
        <v>1.85</v>
      </c>
      <c r="Z89" s="128">
        <v>1.84</v>
      </c>
      <c r="AA89" s="128">
        <v>1.84</v>
      </c>
      <c r="AB89" s="128">
        <v>1.84</v>
      </c>
      <c r="AC89" s="128">
        <v>1.84</v>
      </c>
      <c r="AD89" s="128">
        <v>1.84</v>
      </c>
      <c r="AE89" s="128">
        <v>1.84</v>
      </c>
      <c r="AF89" s="128">
        <v>1.83</v>
      </c>
      <c r="AG89" s="128">
        <v>1.83</v>
      </c>
      <c r="AH89" s="128">
        <v>1.83</v>
      </c>
      <c r="AI89" s="128">
        <v>1.83</v>
      </c>
      <c r="AJ89" s="128">
        <v>1.82</v>
      </c>
      <c r="AK89" s="128">
        <v>1.82</v>
      </c>
      <c r="AL89" s="128">
        <v>1.82</v>
      </c>
      <c r="AM89" s="128">
        <v>1.82</v>
      </c>
      <c r="AN89" s="128">
        <v>1.82</v>
      </c>
      <c r="AO89" s="128">
        <v>1.81</v>
      </c>
      <c r="AP89" s="128">
        <v>1.81</v>
      </c>
      <c r="AQ89" s="128">
        <v>1.81</v>
      </c>
      <c r="AR89" s="128">
        <v>1.81</v>
      </c>
      <c r="AS89" s="128">
        <v>1.8</v>
      </c>
      <c r="AT89" s="128">
        <v>1.8</v>
      </c>
      <c r="AU89" s="128">
        <v>1.8</v>
      </c>
      <c r="AV89" s="128">
        <v>1.79</v>
      </c>
      <c r="AW89" s="128">
        <v>1.79</v>
      </c>
      <c r="AX89" s="128">
        <v>1.79</v>
      </c>
      <c r="AY89" s="128">
        <v>1.78</v>
      </c>
      <c r="AZ89" s="128">
        <v>1.78</v>
      </c>
      <c r="BA89" s="128">
        <v>1.78</v>
      </c>
      <c r="BB89" s="128">
        <v>1.79</v>
      </c>
      <c r="BC89" s="128">
        <v>1.79</v>
      </c>
      <c r="BD89" s="128">
        <v>1.79</v>
      </c>
      <c r="BE89" s="128">
        <v>1.8</v>
      </c>
      <c r="BF89" s="128">
        <v>1.8</v>
      </c>
      <c r="BG89" s="128">
        <v>1.8</v>
      </c>
      <c r="BH89" s="128">
        <v>1.81</v>
      </c>
      <c r="BI89" s="128">
        <v>1.81</v>
      </c>
      <c r="BJ89" s="128">
        <v>1.81</v>
      </c>
      <c r="BK89" s="128">
        <v>1.81</v>
      </c>
      <c r="BL89" s="128">
        <v>1.82</v>
      </c>
      <c r="BM89" s="128">
        <v>1.82</v>
      </c>
      <c r="BN89" s="128">
        <v>1.82</v>
      </c>
      <c r="BO89" s="128">
        <v>1.82</v>
      </c>
      <c r="BP89" s="128">
        <v>1.82</v>
      </c>
      <c r="BQ89" s="128">
        <v>1.83</v>
      </c>
      <c r="BR89" s="128">
        <v>1.83</v>
      </c>
      <c r="BS89" s="128">
        <v>1.83</v>
      </c>
      <c r="BT89" s="128">
        <v>1.83</v>
      </c>
      <c r="BU89" s="128">
        <v>1.84</v>
      </c>
      <c r="BV89" s="128">
        <v>1.84</v>
      </c>
      <c r="BW89" s="128">
        <v>1.84</v>
      </c>
      <c r="BX89" s="128">
        <v>1.84</v>
      </c>
      <c r="BY89" s="128">
        <v>1.84</v>
      </c>
      <c r="BZ89" s="128">
        <v>1.84</v>
      </c>
      <c r="CA89" s="128">
        <v>1.85</v>
      </c>
      <c r="CB89" s="128">
        <v>1.85</v>
      </c>
      <c r="CC89" s="128">
        <v>1.85</v>
      </c>
      <c r="CD89" s="128">
        <v>1.85</v>
      </c>
      <c r="CE89" s="128">
        <v>1.85</v>
      </c>
      <c r="CF89" s="128">
        <v>1.85</v>
      </c>
      <c r="CG89" s="128">
        <v>1.86</v>
      </c>
      <c r="CH89" s="128">
        <v>1.86</v>
      </c>
      <c r="CI89" s="128">
        <v>1.86</v>
      </c>
      <c r="CJ89" s="128">
        <v>1.86</v>
      </c>
      <c r="CK89" s="128">
        <v>1.86</v>
      </c>
      <c r="CL89" s="128">
        <v>1.86</v>
      </c>
      <c r="CM89" s="128">
        <v>1.86</v>
      </c>
      <c r="CN89" s="128">
        <v>1.86</v>
      </c>
      <c r="CO89" s="128">
        <v>1.86</v>
      </c>
      <c r="CP89" s="128">
        <v>1.86</v>
      </c>
      <c r="CQ89" s="128">
        <v>1.86</v>
      </c>
      <c r="CR89" s="128">
        <v>1.86</v>
      </c>
      <c r="CS89" s="128">
        <v>1.86</v>
      </c>
      <c r="CT89" s="128">
        <v>1.86</v>
      </c>
      <c r="CU89" s="128">
        <v>1.86</v>
      </c>
      <c r="CV89" s="128">
        <v>1.86</v>
      </c>
      <c r="CW89" s="128">
        <v>1.86</v>
      </c>
      <c r="CX89" s="128">
        <v>1.86</v>
      </c>
      <c r="CZ89" s="126">
        <f>SUMIF(MatrixF3[[1]:[2]],MatrixF3[[#This Row],[Столбец1]])/MatrixF3[[#This Row],[Столбец1]]</f>
        <v>97.000000000000185</v>
      </c>
    </row>
    <row r="90" spans="1:104" ht="21" customHeight="1" x14ac:dyDescent="0.25">
      <c r="A90" s="127">
        <v>1.87</v>
      </c>
      <c r="B90" s="128">
        <v>1.87</v>
      </c>
      <c r="C90" s="128">
        <v>1.87</v>
      </c>
      <c r="D90" s="128">
        <v>1.87</v>
      </c>
      <c r="E90" s="128">
        <v>1.87</v>
      </c>
      <c r="F90" s="128">
        <v>1.87</v>
      </c>
      <c r="G90" s="128">
        <v>1.87</v>
      </c>
      <c r="H90" s="128">
        <v>1.87</v>
      </c>
      <c r="I90" s="128">
        <v>1.87</v>
      </c>
      <c r="J90" s="128">
        <v>1.87</v>
      </c>
      <c r="K90" s="128">
        <v>1.87</v>
      </c>
      <c r="L90" s="128">
        <v>1.87</v>
      </c>
      <c r="M90" s="128">
        <v>1.87</v>
      </c>
      <c r="N90" s="128">
        <v>1.87</v>
      </c>
      <c r="O90" s="128">
        <v>1.87</v>
      </c>
      <c r="P90" s="128">
        <v>1.87</v>
      </c>
      <c r="Q90" s="128">
        <v>1.87</v>
      </c>
      <c r="R90" s="128">
        <v>1.87</v>
      </c>
      <c r="S90" s="128">
        <v>1.86</v>
      </c>
      <c r="T90" s="128">
        <v>1.86</v>
      </c>
      <c r="U90" s="128">
        <v>1.86</v>
      </c>
      <c r="V90" s="128">
        <v>1.86</v>
      </c>
      <c r="W90" s="128">
        <v>1.86</v>
      </c>
      <c r="X90" s="128">
        <v>1.86</v>
      </c>
      <c r="Y90" s="128">
        <v>1.86</v>
      </c>
      <c r="Z90" s="128">
        <v>1.85</v>
      </c>
      <c r="AA90" s="128">
        <v>1.85</v>
      </c>
      <c r="AB90" s="128">
        <v>1.85</v>
      </c>
      <c r="AC90" s="128">
        <v>1.85</v>
      </c>
      <c r="AD90" s="128">
        <v>1.85</v>
      </c>
      <c r="AE90" s="128">
        <v>1.85</v>
      </c>
      <c r="AF90" s="128">
        <v>1.84</v>
      </c>
      <c r="AG90" s="128">
        <v>1.84</v>
      </c>
      <c r="AH90" s="128">
        <v>1.84</v>
      </c>
      <c r="AI90" s="128">
        <v>1.84</v>
      </c>
      <c r="AJ90" s="128">
        <v>1.84</v>
      </c>
      <c r="AK90" s="128">
        <v>1.83</v>
      </c>
      <c r="AL90" s="128">
        <v>1.83</v>
      </c>
      <c r="AM90" s="128">
        <v>1.83</v>
      </c>
      <c r="AN90" s="128">
        <v>1.83</v>
      </c>
      <c r="AO90" s="128">
        <v>1.82</v>
      </c>
      <c r="AP90" s="128">
        <v>1.82</v>
      </c>
      <c r="AQ90" s="128">
        <v>1.82</v>
      </c>
      <c r="AR90" s="128">
        <v>1.82</v>
      </c>
      <c r="AS90" s="128">
        <v>1.81</v>
      </c>
      <c r="AT90" s="128">
        <v>1.81</v>
      </c>
      <c r="AU90" s="128">
        <v>1.81</v>
      </c>
      <c r="AV90" s="128">
        <v>1.81</v>
      </c>
      <c r="AW90" s="128">
        <v>1.8</v>
      </c>
      <c r="AX90" s="128">
        <v>1.8</v>
      </c>
      <c r="AY90" s="128">
        <v>1.8</v>
      </c>
      <c r="AZ90" s="128">
        <v>1.79</v>
      </c>
      <c r="BA90" s="128">
        <v>1.8</v>
      </c>
      <c r="BB90" s="128">
        <v>1.8</v>
      </c>
      <c r="BC90" s="128">
        <v>1.8</v>
      </c>
      <c r="BD90" s="128">
        <v>1.81</v>
      </c>
      <c r="BE90" s="128">
        <v>1.81</v>
      </c>
      <c r="BF90" s="128">
        <v>1.81</v>
      </c>
      <c r="BG90" s="128">
        <v>1.81</v>
      </c>
      <c r="BH90" s="128">
        <v>1.82</v>
      </c>
      <c r="BI90" s="128">
        <v>1.82</v>
      </c>
      <c r="BJ90" s="128">
        <v>1.82</v>
      </c>
      <c r="BK90" s="128">
        <v>1.82</v>
      </c>
      <c r="BL90" s="128">
        <v>1.83</v>
      </c>
      <c r="BM90" s="128">
        <v>1.83</v>
      </c>
      <c r="BN90" s="128">
        <v>1.83</v>
      </c>
      <c r="BO90" s="128">
        <v>1.83</v>
      </c>
      <c r="BP90" s="128">
        <v>1.84</v>
      </c>
      <c r="BQ90" s="128">
        <v>1.84</v>
      </c>
      <c r="BR90" s="128">
        <v>1.84</v>
      </c>
      <c r="BS90" s="128">
        <v>1.84</v>
      </c>
      <c r="BT90" s="128">
        <v>1.84</v>
      </c>
      <c r="BU90" s="128">
        <v>1.85</v>
      </c>
      <c r="BV90" s="128">
        <v>1.85</v>
      </c>
      <c r="BW90" s="128">
        <v>1.85</v>
      </c>
      <c r="BX90" s="128">
        <v>1.85</v>
      </c>
      <c r="BY90" s="128">
        <v>1.85</v>
      </c>
      <c r="BZ90" s="128">
        <v>1.85</v>
      </c>
      <c r="CA90" s="128">
        <v>1.86</v>
      </c>
      <c r="CB90" s="128">
        <v>1.86</v>
      </c>
      <c r="CC90" s="128">
        <v>1.86</v>
      </c>
      <c r="CD90" s="128">
        <v>1.86</v>
      </c>
      <c r="CE90" s="128">
        <v>1.86</v>
      </c>
      <c r="CF90" s="128">
        <v>1.86</v>
      </c>
      <c r="CG90" s="128">
        <v>1.86</v>
      </c>
      <c r="CH90" s="128">
        <v>1.87</v>
      </c>
      <c r="CI90" s="128">
        <v>1.87</v>
      </c>
      <c r="CJ90" s="128">
        <v>1.87</v>
      </c>
      <c r="CK90" s="128">
        <v>1.87</v>
      </c>
      <c r="CL90" s="128">
        <v>1.87</v>
      </c>
      <c r="CM90" s="128">
        <v>1.87</v>
      </c>
      <c r="CN90" s="128">
        <v>1.87</v>
      </c>
      <c r="CO90" s="128">
        <v>1.87</v>
      </c>
      <c r="CP90" s="128">
        <v>1.87</v>
      </c>
      <c r="CQ90" s="128">
        <v>1.87</v>
      </c>
      <c r="CR90" s="128">
        <v>1.87</v>
      </c>
      <c r="CS90" s="128">
        <v>1.87</v>
      </c>
      <c r="CT90" s="128">
        <v>1.87</v>
      </c>
      <c r="CU90" s="128">
        <v>1.87</v>
      </c>
      <c r="CV90" s="128">
        <v>1.87</v>
      </c>
      <c r="CW90" s="128">
        <v>1.87</v>
      </c>
      <c r="CX90" s="128">
        <v>1.87</v>
      </c>
      <c r="CZ90" s="126">
        <f>SUMIF(MatrixF3[[1]:[2]],MatrixF3[[#This Row],[Столбец1]])/MatrixF3[[#This Row],[Столбец1]]</f>
        <v>88.000000000000099</v>
      </c>
    </row>
    <row r="91" spans="1:104" ht="21" customHeight="1" x14ac:dyDescent="0.25">
      <c r="A91" s="127">
        <v>1.88</v>
      </c>
      <c r="B91" s="128">
        <v>1.88</v>
      </c>
      <c r="C91" s="128">
        <v>1.88</v>
      </c>
      <c r="D91" s="128">
        <v>1.88</v>
      </c>
      <c r="E91" s="128">
        <v>1.88</v>
      </c>
      <c r="F91" s="128">
        <v>1.88</v>
      </c>
      <c r="G91" s="128">
        <v>1.88</v>
      </c>
      <c r="H91" s="128">
        <v>1.88</v>
      </c>
      <c r="I91" s="128">
        <v>1.88</v>
      </c>
      <c r="J91" s="128">
        <v>1.88</v>
      </c>
      <c r="K91" s="128">
        <v>1.88</v>
      </c>
      <c r="L91" s="128">
        <v>1.88</v>
      </c>
      <c r="M91" s="128">
        <v>1.88</v>
      </c>
      <c r="N91" s="128">
        <v>1.88</v>
      </c>
      <c r="O91" s="128">
        <v>1.88</v>
      </c>
      <c r="P91" s="128">
        <v>1.88</v>
      </c>
      <c r="Q91" s="128">
        <v>1.88</v>
      </c>
      <c r="R91" s="128">
        <v>1.88</v>
      </c>
      <c r="S91" s="128">
        <v>1.87</v>
      </c>
      <c r="T91" s="128">
        <v>1.87</v>
      </c>
      <c r="U91" s="128">
        <v>1.87</v>
      </c>
      <c r="V91" s="128">
        <v>1.87</v>
      </c>
      <c r="W91" s="128">
        <v>1.87</v>
      </c>
      <c r="X91" s="128">
        <v>1.87</v>
      </c>
      <c r="Y91" s="128">
        <v>1.87</v>
      </c>
      <c r="Z91" s="128">
        <v>1.86</v>
      </c>
      <c r="AA91" s="128">
        <v>1.86</v>
      </c>
      <c r="AB91" s="128">
        <v>1.86</v>
      </c>
      <c r="AC91" s="128">
        <v>1.86</v>
      </c>
      <c r="AD91" s="128">
        <v>1.86</v>
      </c>
      <c r="AE91" s="128">
        <v>1.86</v>
      </c>
      <c r="AF91" s="128">
        <v>1.85</v>
      </c>
      <c r="AG91" s="128">
        <v>1.85</v>
      </c>
      <c r="AH91" s="128">
        <v>1.85</v>
      </c>
      <c r="AI91" s="128">
        <v>1.85</v>
      </c>
      <c r="AJ91" s="128">
        <v>1.85</v>
      </c>
      <c r="AK91" s="128">
        <v>1.84</v>
      </c>
      <c r="AL91" s="128">
        <v>1.84</v>
      </c>
      <c r="AM91" s="128">
        <v>1.84</v>
      </c>
      <c r="AN91" s="128">
        <v>1.84</v>
      </c>
      <c r="AO91" s="128">
        <v>1.84</v>
      </c>
      <c r="AP91" s="128">
        <v>1.83</v>
      </c>
      <c r="AQ91" s="128">
        <v>1.83</v>
      </c>
      <c r="AR91" s="128">
        <v>1.83</v>
      </c>
      <c r="AS91" s="128">
        <v>1.83</v>
      </c>
      <c r="AT91" s="128">
        <v>1.82</v>
      </c>
      <c r="AU91" s="128">
        <v>1.82</v>
      </c>
      <c r="AV91" s="128">
        <v>1.82</v>
      </c>
      <c r="AW91" s="128">
        <v>1.82</v>
      </c>
      <c r="AX91" s="128">
        <v>1.81</v>
      </c>
      <c r="AY91" s="128">
        <v>1.81</v>
      </c>
      <c r="AZ91" s="128">
        <v>1.81</v>
      </c>
      <c r="BA91" s="128">
        <v>1.81</v>
      </c>
      <c r="BB91" s="128">
        <v>1.81</v>
      </c>
      <c r="BC91" s="128">
        <v>1.82</v>
      </c>
      <c r="BD91" s="128">
        <v>1.82</v>
      </c>
      <c r="BE91" s="128">
        <v>1.82</v>
      </c>
      <c r="BF91" s="128">
        <v>1.82</v>
      </c>
      <c r="BG91" s="128">
        <v>1.83</v>
      </c>
      <c r="BH91" s="128">
        <v>1.83</v>
      </c>
      <c r="BI91" s="128">
        <v>1.83</v>
      </c>
      <c r="BJ91" s="128">
        <v>1.83</v>
      </c>
      <c r="BK91" s="128">
        <v>1.84</v>
      </c>
      <c r="BL91" s="128">
        <v>1.84</v>
      </c>
      <c r="BM91" s="128">
        <v>1.84</v>
      </c>
      <c r="BN91" s="128">
        <v>1.84</v>
      </c>
      <c r="BO91" s="128">
        <v>1.84</v>
      </c>
      <c r="BP91" s="128">
        <v>1.85</v>
      </c>
      <c r="BQ91" s="128">
        <v>1.85</v>
      </c>
      <c r="BR91" s="128">
        <v>1.85</v>
      </c>
      <c r="BS91" s="128">
        <v>1.85</v>
      </c>
      <c r="BT91" s="128">
        <v>1.85</v>
      </c>
      <c r="BU91" s="128">
        <v>1.86</v>
      </c>
      <c r="BV91" s="128">
        <v>1.86</v>
      </c>
      <c r="BW91" s="128">
        <v>1.86</v>
      </c>
      <c r="BX91" s="128">
        <v>1.86</v>
      </c>
      <c r="BY91" s="128">
        <v>1.86</v>
      </c>
      <c r="BZ91" s="128">
        <v>1.86</v>
      </c>
      <c r="CA91" s="128">
        <v>1.87</v>
      </c>
      <c r="CB91" s="128">
        <v>1.87</v>
      </c>
      <c r="CC91" s="128">
        <v>1.87</v>
      </c>
      <c r="CD91" s="128">
        <v>1.87</v>
      </c>
      <c r="CE91" s="128">
        <v>1.87</v>
      </c>
      <c r="CF91" s="128">
        <v>1.87</v>
      </c>
      <c r="CG91" s="128">
        <v>1.87</v>
      </c>
      <c r="CH91" s="128">
        <v>1.88</v>
      </c>
      <c r="CI91" s="128">
        <v>1.88</v>
      </c>
      <c r="CJ91" s="128">
        <v>1.88</v>
      </c>
      <c r="CK91" s="128">
        <v>1.88</v>
      </c>
      <c r="CL91" s="128">
        <v>1.88</v>
      </c>
      <c r="CM91" s="128">
        <v>1.88</v>
      </c>
      <c r="CN91" s="128">
        <v>1.88</v>
      </c>
      <c r="CO91" s="128">
        <v>1.88</v>
      </c>
      <c r="CP91" s="128">
        <v>1.88</v>
      </c>
      <c r="CQ91" s="128">
        <v>1.88</v>
      </c>
      <c r="CR91" s="128">
        <v>1.88</v>
      </c>
      <c r="CS91" s="128">
        <v>1.88</v>
      </c>
      <c r="CT91" s="128">
        <v>1.88</v>
      </c>
      <c r="CU91" s="128">
        <v>1.88</v>
      </c>
      <c r="CV91" s="128">
        <v>1.88</v>
      </c>
      <c r="CW91" s="128">
        <v>1.88</v>
      </c>
      <c r="CX91" s="128">
        <v>1.88</v>
      </c>
      <c r="CZ91" s="126">
        <f>SUMIF(MatrixF3[[1]:[2]],MatrixF3[[#This Row],[Столбец1]])/MatrixF3[[#This Row],[Столбец1]]</f>
        <v>96.999999999999872</v>
      </c>
    </row>
    <row r="92" spans="1:104" ht="21" customHeight="1" x14ac:dyDescent="0.25">
      <c r="A92" s="127">
        <v>1.89</v>
      </c>
      <c r="B92" s="128">
        <v>1.89</v>
      </c>
      <c r="C92" s="128">
        <v>1.89</v>
      </c>
      <c r="D92" s="128">
        <v>1.89</v>
      </c>
      <c r="E92" s="128">
        <v>1.89</v>
      </c>
      <c r="F92" s="128">
        <v>1.89</v>
      </c>
      <c r="G92" s="128">
        <v>1.89</v>
      </c>
      <c r="H92" s="128">
        <v>1.89</v>
      </c>
      <c r="I92" s="128">
        <v>1.89</v>
      </c>
      <c r="J92" s="128">
        <v>1.89</v>
      </c>
      <c r="K92" s="128">
        <v>1.89</v>
      </c>
      <c r="L92" s="128">
        <v>1.89</v>
      </c>
      <c r="M92" s="128">
        <v>1.89</v>
      </c>
      <c r="N92" s="128">
        <v>1.89</v>
      </c>
      <c r="O92" s="128">
        <v>1.89</v>
      </c>
      <c r="P92" s="128">
        <v>1.89</v>
      </c>
      <c r="Q92" s="128">
        <v>1.89</v>
      </c>
      <c r="R92" s="128">
        <v>1.88</v>
      </c>
      <c r="S92" s="128">
        <v>1.88</v>
      </c>
      <c r="T92" s="128">
        <v>1.88</v>
      </c>
      <c r="U92" s="128">
        <v>1.88</v>
      </c>
      <c r="V92" s="128">
        <v>1.88</v>
      </c>
      <c r="W92" s="128">
        <v>1.88</v>
      </c>
      <c r="X92" s="128">
        <v>1.88</v>
      </c>
      <c r="Y92" s="128">
        <v>1.88</v>
      </c>
      <c r="Z92" s="128">
        <v>1.87</v>
      </c>
      <c r="AA92" s="128">
        <v>1.87</v>
      </c>
      <c r="AB92" s="128">
        <v>1.87</v>
      </c>
      <c r="AC92" s="128">
        <v>1.87</v>
      </c>
      <c r="AD92" s="128">
        <v>1.87</v>
      </c>
      <c r="AE92" s="128">
        <v>1.87</v>
      </c>
      <c r="AF92" s="128">
        <v>1.86</v>
      </c>
      <c r="AG92" s="128">
        <v>1.86</v>
      </c>
      <c r="AH92" s="128">
        <v>1.86</v>
      </c>
      <c r="AI92" s="128">
        <v>1.86</v>
      </c>
      <c r="AJ92" s="128">
        <v>1.86</v>
      </c>
      <c r="AK92" s="128">
        <v>1.86</v>
      </c>
      <c r="AL92" s="128">
        <v>1.85</v>
      </c>
      <c r="AM92" s="128">
        <v>1.85</v>
      </c>
      <c r="AN92" s="128">
        <v>1.85</v>
      </c>
      <c r="AO92" s="128">
        <v>1.85</v>
      </c>
      <c r="AP92" s="128">
        <v>1.85</v>
      </c>
      <c r="AQ92" s="128">
        <v>1.84</v>
      </c>
      <c r="AR92" s="128">
        <v>1.84</v>
      </c>
      <c r="AS92" s="128">
        <v>1.84</v>
      </c>
      <c r="AT92" s="128">
        <v>1.84</v>
      </c>
      <c r="AU92" s="128">
        <v>1.83</v>
      </c>
      <c r="AV92" s="128">
        <v>1.83</v>
      </c>
      <c r="AW92" s="128">
        <v>1.83</v>
      </c>
      <c r="AX92" s="128">
        <v>1.83</v>
      </c>
      <c r="AY92" s="128">
        <v>1.82</v>
      </c>
      <c r="AZ92" s="128">
        <v>1.82</v>
      </c>
      <c r="BA92" s="128">
        <v>1.82</v>
      </c>
      <c r="BB92" s="128">
        <v>1.83</v>
      </c>
      <c r="BC92" s="128">
        <v>1.83</v>
      </c>
      <c r="BD92" s="128">
        <v>1.83</v>
      </c>
      <c r="BE92" s="128">
        <v>1.83</v>
      </c>
      <c r="BF92" s="128">
        <v>1.84</v>
      </c>
      <c r="BG92" s="128">
        <v>1.84</v>
      </c>
      <c r="BH92" s="128">
        <v>1.84</v>
      </c>
      <c r="BI92" s="128">
        <v>1.84</v>
      </c>
      <c r="BJ92" s="128">
        <v>1.85</v>
      </c>
      <c r="BK92" s="128">
        <v>1.85</v>
      </c>
      <c r="BL92" s="128">
        <v>1.85</v>
      </c>
      <c r="BM92" s="128">
        <v>1.85</v>
      </c>
      <c r="BN92" s="128">
        <v>1.85</v>
      </c>
      <c r="BO92" s="128">
        <v>1.86</v>
      </c>
      <c r="BP92" s="128">
        <v>1.86</v>
      </c>
      <c r="BQ92" s="128">
        <v>1.86</v>
      </c>
      <c r="BR92" s="128">
        <v>1.86</v>
      </c>
      <c r="BS92" s="128">
        <v>1.86</v>
      </c>
      <c r="BT92" s="128">
        <v>1.86</v>
      </c>
      <c r="BU92" s="128">
        <v>1.87</v>
      </c>
      <c r="BV92" s="128">
        <v>1.87</v>
      </c>
      <c r="BW92" s="128">
        <v>1.87</v>
      </c>
      <c r="BX92" s="128">
        <v>1.87</v>
      </c>
      <c r="BY92" s="128">
        <v>1.87</v>
      </c>
      <c r="BZ92" s="128">
        <v>1.87</v>
      </c>
      <c r="CA92" s="128">
        <v>1.88</v>
      </c>
      <c r="CB92" s="128">
        <v>1.88</v>
      </c>
      <c r="CC92" s="128">
        <v>1.88</v>
      </c>
      <c r="CD92" s="128">
        <v>1.88</v>
      </c>
      <c r="CE92" s="128">
        <v>1.88</v>
      </c>
      <c r="CF92" s="128">
        <v>1.88</v>
      </c>
      <c r="CG92" s="128">
        <v>1.88</v>
      </c>
      <c r="CH92" s="128">
        <v>1.88</v>
      </c>
      <c r="CI92" s="128">
        <v>1.89</v>
      </c>
      <c r="CJ92" s="128">
        <v>1.89</v>
      </c>
      <c r="CK92" s="128">
        <v>1.89</v>
      </c>
      <c r="CL92" s="128">
        <v>1.89</v>
      </c>
      <c r="CM92" s="128">
        <v>1.89</v>
      </c>
      <c r="CN92" s="128">
        <v>1.89</v>
      </c>
      <c r="CO92" s="128">
        <v>1.89</v>
      </c>
      <c r="CP92" s="128">
        <v>1.89</v>
      </c>
      <c r="CQ92" s="128">
        <v>1.89</v>
      </c>
      <c r="CR92" s="128">
        <v>1.89</v>
      </c>
      <c r="CS92" s="128">
        <v>1.89</v>
      </c>
      <c r="CT92" s="128">
        <v>1.89</v>
      </c>
      <c r="CU92" s="128">
        <v>1.89</v>
      </c>
      <c r="CV92" s="128">
        <v>1.89</v>
      </c>
      <c r="CW92" s="128">
        <v>1.89</v>
      </c>
      <c r="CX92" s="128">
        <v>1.89</v>
      </c>
      <c r="CZ92" s="126">
        <f>SUMIF(MatrixF3[[1]:[2]],MatrixF3[[#This Row],[Столбец1]])/MatrixF3[[#This Row],[Столбец1]]</f>
        <v>92.999999999999829</v>
      </c>
    </row>
    <row r="93" spans="1:104" ht="21" customHeight="1" x14ac:dyDescent="0.25">
      <c r="A93" s="127">
        <v>1.9</v>
      </c>
      <c r="B93" s="128">
        <v>1.9</v>
      </c>
      <c r="C93" s="128">
        <v>1.9</v>
      </c>
      <c r="D93" s="128">
        <v>1.9</v>
      </c>
      <c r="E93" s="128">
        <v>1.9</v>
      </c>
      <c r="F93" s="128">
        <v>1.9</v>
      </c>
      <c r="G93" s="128">
        <v>1.9</v>
      </c>
      <c r="H93" s="128">
        <v>1.9</v>
      </c>
      <c r="I93" s="128">
        <v>1.9</v>
      </c>
      <c r="J93" s="128">
        <v>1.9</v>
      </c>
      <c r="K93" s="128">
        <v>1.9</v>
      </c>
      <c r="L93" s="128">
        <v>1.9</v>
      </c>
      <c r="M93" s="128">
        <v>1.9</v>
      </c>
      <c r="N93" s="128">
        <v>1.9</v>
      </c>
      <c r="O93" s="128">
        <v>1.9</v>
      </c>
      <c r="P93" s="128">
        <v>1.9</v>
      </c>
      <c r="Q93" s="128">
        <v>1.89</v>
      </c>
      <c r="R93" s="128">
        <v>1.89</v>
      </c>
      <c r="S93" s="128">
        <v>1.89</v>
      </c>
      <c r="T93" s="128">
        <v>1.89</v>
      </c>
      <c r="U93" s="128">
        <v>1.89</v>
      </c>
      <c r="V93" s="128">
        <v>1.89</v>
      </c>
      <c r="W93" s="128">
        <v>1.89</v>
      </c>
      <c r="X93" s="128">
        <v>1.89</v>
      </c>
      <c r="Y93" s="128">
        <v>1.89</v>
      </c>
      <c r="Z93" s="128">
        <v>1.88</v>
      </c>
      <c r="AA93" s="128">
        <v>1.88</v>
      </c>
      <c r="AB93" s="128">
        <v>1.88</v>
      </c>
      <c r="AC93" s="128">
        <v>1.88</v>
      </c>
      <c r="AD93" s="128">
        <v>1.88</v>
      </c>
      <c r="AE93" s="128">
        <v>1.88</v>
      </c>
      <c r="AF93" s="128">
        <v>1.88</v>
      </c>
      <c r="AG93" s="128">
        <v>1.87</v>
      </c>
      <c r="AH93" s="128">
        <v>1.87</v>
      </c>
      <c r="AI93" s="128">
        <v>1.87</v>
      </c>
      <c r="AJ93" s="128">
        <v>1.87</v>
      </c>
      <c r="AK93" s="128">
        <v>1.87</v>
      </c>
      <c r="AL93" s="128">
        <v>1.86</v>
      </c>
      <c r="AM93" s="128">
        <v>1.86</v>
      </c>
      <c r="AN93" s="128">
        <v>1.86</v>
      </c>
      <c r="AO93" s="128">
        <v>1.86</v>
      </c>
      <c r="AP93" s="128">
        <v>1.86</v>
      </c>
      <c r="AQ93" s="128">
        <v>1.86</v>
      </c>
      <c r="AR93" s="128">
        <v>1.85</v>
      </c>
      <c r="AS93" s="128">
        <v>1.85</v>
      </c>
      <c r="AT93" s="128">
        <v>1.85</v>
      </c>
      <c r="AU93" s="128">
        <v>1.85</v>
      </c>
      <c r="AV93" s="128">
        <v>1.84</v>
      </c>
      <c r="AW93" s="128">
        <v>1.84</v>
      </c>
      <c r="AX93" s="128">
        <v>1.84</v>
      </c>
      <c r="AY93" s="128">
        <v>1.84</v>
      </c>
      <c r="AZ93" s="128">
        <v>1.83</v>
      </c>
      <c r="BA93" s="128">
        <v>1.84</v>
      </c>
      <c r="BB93" s="128">
        <v>1.84</v>
      </c>
      <c r="BC93" s="128">
        <v>1.84</v>
      </c>
      <c r="BD93" s="128">
        <v>1.84</v>
      </c>
      <c r="BE93" s="128">
        <v>1.85</v>
      </c>
      <c r="BF93" s="128">
        <v>1.85</v>
      </c>
      <c r="BG93" s="128">
        <v>1.85</v>
      </c>
      <c r="BH93" s="128">
        <v>1.85</v>
      </c>
      <c r="BI93" s="128">
        <v>1.86</v>
      </c>
      <c r="BJ93" s="128">
        <v>1.86</v>
      </c>
      <c r="BK93" s="128">
        <v>1.86</v>
      </c>
      <c r="BL93" s="128">
        <v>1.86</v>
      </c>
      <c r="BM93" s="128">
        <v>1.86</v>
      </c>
      <c r="BN93" s="128">
        <v>1.86</v>
      </c>
      <c r="BO93" s="128">
        <v>1.87</v>
      </c>
      <c r="BP93" s="128">
        <v>1.87</v>
      </c>
      <c r="BQ93" s="128">
        <v>1.87</v>
      </c>
      <c r="BR93" s="128">
        <v>1.87</v>
      </c>
      <c r="BS93" s="128">
        <v>1.87</v>
      </c>
      <c r="BT93" s="128">
        <v>1.88</v>
      </c>
      <c r="BU93" s="128">
        <v>1.88</v>
      </c>
      <c r="BV93" s="128">
        <v>1.88</v>
      </c>
      <c r="BW93" s="128">
        <v>1.88</v>
      </c>
      <c r="BX93" s="128">
        <v>1.88</v>
      </c>
      <c r="BY93" s="128">
        <v>1.88</v>
      </c>
      <c r="BZ93" s="128">
        <v>1.88</v>
      </c>
      <c r="CA93" s="128">
        <v>1.89</v>
      </c>
      <c r="CB93" s="128">
        <v>1.89</v>
      </c>
      <c r="CC93" s="128">
        <v>1.89</v>
      </c>
      <c r="CD93" s="128">
        <v>1.89</v>
      </c>
      <c r="CE93" s="128">
        <v>1.89</v>
      </c>
      <c r="CF93" s="128">
        <v>1.89</v>
      </c>
      <c r="CG93" s="128">
        <v>1.89</v>
      </c>
      <c r="CH93" s="128">
        <v>1.89</v>
      </c>
      <c r="CI93" s="128">
        <v>1.89</v>
      </c>
      <c r="CJ93" s="128">
        <v>1.9</v>
      </c>
      <c r="CK93" s="128">
        <v>1.9</v>
      </c>
      <c r="CL93" s="128">
        <v>1.9</v>
      </c>
      <c r="CM93" s="128">
        <v>1.9</v>
      </c>
      <c r="CN93" s="128">
        <v>1.9</v>
      </c>
      <c r="CO93" s="128">
        <v>1.9</v>
      </c>
      <c r="CP93" s="128">
        <v>1.9</v>
      </c>
      <c r="CQ93" s="128">
        <v>1.9</v>
      </c>
      <c r="CR93" s="128">
        <v>1.9</v>
      </c>
      <c r="CS93" s="128">
        <v>1.9</v>
      </c>
      <c r="CT93" s="128">
        <v>1.9</v>
      </c>
      <c r="CU93" s="128">
        <v>1.9</v>
      </c>
      <c r="CV93" s="128">
        <v>1.9</v>
      </c>
      <c r="CW93" s="128">
        <v>1.9</v>
      </c>
      <c r="CX93" s="128">
        <v>1.9</v>
      </c>
      <c r="CZ93" s="126">
        <f>SUMIF(MatrixF3[[1]:[2]],MatrixF3[[#This Row],[Столбец1]])/MatrixF3[[#This Row],[Столбец1]]</f>
        <v>90.000000000000156</v>
      </c>
    </row>
    <row r="94" spans="1:104" ht="21" customHeight="1" x14ac:dyDescent="0.25">
      <c r="A94" s="127">
        <v>1.91</v>
      </c>
      <c r="B94" s="128">
        <v>1.91</v>
      </c>
      <c r="C94" s="128">
        <v>1.91</v>
      </c>
      <c r="D94" s="128">
        <v>1.91</v>
      </c>
      <c r="E94" s="128">
        <v>1.91</v>
      </c>
      <c r="F94" s="128">
        <v>1.91</v>
      </c>
      <c r="G94" s="128">
        <v>1.91</v>
      </c>
      <c r="H94" s="128">
        <v>1.91</v>
      </c>
      <c r="I94" s="128">
        <v>1.91</v>
      </c>
      <c r="J94" s="128">
        <v>1.91</v>
      </c>
      <c r="K94" s="128">
        <v>1.91</v>
      </c>
      <c r="L94" s="128">
        <v>1.91</v>
      </c>
      <c r="M94" s="128">
        <v>1.91</v>
      </c>
      <c r="N94" s="128">
        <v>1.91</v>
      </c>
      <c r="O94" s="128">
        <v>1.91</v>
      </c>
      <c r="P94" s="128">
        <v>1.91</v>
      </c>
      <c r="Q94" s="128">
        <v>1.9</v>
      </c>
      <c r="R94" s="128">
        <v>1.9</v>
      </c>
      <c r="S94" s="128">
        <v>1.9</v>
      </c>
      <c r="T94" s="128">
        <v>1.9</v>
      </c>
      <c r="U94" s="128">
        <v>1.9</v>
      </c>
      <c r="V94" s="128">
        <v>1.9</v>
      </c>
      <c r="W94" s="128">
        <v>1.9</v>
      </c>
      <c r="X94" s="128">
        <v>1.9</v>
      </c>
      <c r="Y94" s="128">
        <v>1.9</v>
      </c>
      <c r="Z94" s="128">
        <v>1.89</v>
      </c>
      <c r="AA94" s="128">
        <v>1.89</v>
      </c>
      <c r="AB94" s="128">
        <v>1.89</v>
      </c>
      <c r="AC94" s="128">
        <v>1.89</v>
      </c>
      <c r="AD94" s="128">
        <v>1.89</v>
      </c>
      <c r="AE94" s="128">
        <v>1.89</v>
      </c>
      <c r="AF94" s="128">
        <v>1.89</v>
      </c>
      <c r="AG94" s="128">
        <v>1.88</v>
      </c>
      <c r="AH94" s="128">
        <v>1.88</v>
      </c>
      <c r="AI94" s="128">
        <v>1.88</v>
      </c>
      <c r="AJ94" s="128">
        <v>1.88</v>
      </c>
      <c r="AK94" s="128">
        <v>1.88</v>
      </c>
      <c r="AL94" s="128">
        <v>1.88</v>
      </c>
      <c r="AM94" s="128">
        <v>1.88</v>
      </c>
      <c r="AN94" s="128">
        <v>1.87</v>
      </c>
      <c r="AO94" s="128">
        <v>1.87</v>
      </c>
      <c r="AP94" s="128">
        <v>1.87</v>
      </c>
      <c r="AQ94" s="128">
        <v>1.87</v>
      </c>
      <c r="AR94" s="128">
        <v>1.87</v>
      </c>
      <c r="AS94" s="128">
        <v>1.86</v>
      </c>
      <c r="AT94" s="128">
        <v>1.86</v>
      </c>
      <c r="AU94" s="128">
        <v>1.86</v>
      </c>
      <c r="AV94" s="128">
        <v>1.86</v>
      </c>
      <c r="AW94" s="128">
        <v>1.85</v>
      </c>
      <c r="AX94" s="128">
        <v>1.85</v>
      </c>
      <c r="AY94" s="128">
        <v>1.85</v>
      </c>
      <c r="AZ94" s="128">
        <v>1.85</v>
      </c>
      <c r="BA94" s="128">
        <v>1.85</v>
      </c>
      <c r="BB94" s="128">
        <v>1.85</v>
      </c>
      <c r="BC94" s="128">
        <v>1.85</v>
      </c>
      <c r="BD94" s="128">
        <v>1.86</v>
      </c>
      <c r="BE94" s="128">
        <v>1.86</v>
      </c>
      <c r="BF94" s="128">
        <v>1.86</v>
      </c>
      <c r="BG94" s="128">
        <v>1.86</v>
      </c>
      <c r="BH94" s="128">
        <v>1.87</v>
      </c>
      <c r="BI94" s="128">
        <v>1.87</v>
      </c>
      <c r="BJ94" s="128">
        <v>1.87</v>
      </c>
      <c r="BK94" s="128">
        <v>1.87</v>
      </c>
      <c r="BL94" s="128">
        <v>1.87</v>
      </c>
      <c r="BM94" s="128">
        <v>1.88</v>
      </c>
      <c r="BN94" s="128">
        <v>1.88</v>
      </c>
      <c r="BO94" s="128">
        <v>1.88</v>
      </c>
      <c r="BP94" s="128">
        <v>1.88</v>
      </c>
      <c r="BQ94" s="128">
        <v>1.88</v>
      </c>
      <c r="BR94" s="128">
        <v>1.88</v>
      </c>
      <c r="BS94" s="128">
        <v>1.88</v>
      </c>
      <c r="BT94" s="128">
        <v>1.89</v>
      </c>
      <c r="BU94" s="128">
        <v>1.89</v>
      </c>
      <c r="BV94" s="128">
        <v>1.89</v>
      </c>
      <c r="BW94" s="128">
        <v>1.89</v>
      </c>
      <c r="BX94" s="128">
        <v>1.89</v>
      </c>
      <c r="BY94" s="128">
        <v>1.89</v>
      </c>
      <c r="BZ94" s="128">
        <v>1.89</v>
      </c>
      <c r="CA94" s="128">
        <v>1.9</v>
      </c>
      <c r="CB94" s="128">
        <v>1.9</v>
      </c>
      <c r="CC94" s="128">
        <v>1.9</v>
      </c>
      <c r="CD94" s="128">
        <v>1.9</v>
      </c>
      <c r="CE94" s="128">
        <v>1.9</v>
      </c>
      <c r="CF94" s="128">
        <v>1.9</v>
      </c>
      <c r="CG94" s="128">
        <v>1.9</v>
      </c>
      <c r="CH94" s="128">
        <v>1.9</v>
      </c>
      <c r="CI94" s="128">
        <v>1.9</v>
      </c>
      <c r="CJ94" s="128">
        <v>1.91</v>
      </c>
      <c r="CK94" s="128">
        <v>1.91</v>
      </c>
      <c r="CL94" s="128">
        <v>1.91</v>
      </c>
      <c r="CM94" s="128">
        <v>1.91</v>
      </c>
      <c r="CN94" s="128">
        <v>1.91</v>
      </c>
      <c r="CO94" s="128">
        <v>1.91</v>
      </c>
      <c r="CP94" s="128">
        <v>1.91</v>
      </c>
      <c r="CQ94" s="128">
        <v>1.91</v>
      </c>
      <c r="CR94" s="128">
        <v>1.91</v>
      </c>
      <c r="CS94" s="128">
        <v>1.91</v>
      </c>
      <c r="CT94" s="128">
        <v>1.91</v>
      </c>
      <c r="CU94" s="128">
        <v>1.91</v>
      </c>
      <c r="CV94" s="128">
        <v>1.91</v>
      </c>
      <c r="CW94" s="128">
        <v>1.91</v>
      </c>
      <c r="CX94" s="128">
        <v>1.91</v>
      </c>
      <c r="CZ94" s="126">
        <f>SUMIF(MatrixF3[[1]:[2]],MatrixF3[[#This Row],[Столбец1]])/MatrixF3[[#This Row],[Столбец1]]</f>
        <v>88.999999999999872</v>
      </c>
    </row>
    <row r="95" spans="1:104" ht="21" customHeight="1" x14ac:dyDescent="0.25">
      <c r="A95" s="127">
        <v>1.92</v>
      </c>
      <c r="B95" s="128">
        <v>1.92</v>
      </c>
      <c r="C95" s="128">
        <v>1.92</v>
      </c>
      <c r="D95" s="128">
        <v>1.92</v>
      </c>
      <c r="E95" s="128">
        <v>1.92</v>
      </c>
      <c r="F95" s="128">
        <v>1.92</v>
      </c>
      <c r="G95" s="128">
        <v>1.92</v>
      </c>
      <c r="H95" s="128">
        <v>1.92</v>
      </c>
      <c r="I95" s="128">
        <v>1.92</v>
      </c>
      <c r="J95" s="128">
        <v>1.92</v>
      </c>
      <c r="K95" s="128">
        <v>1.92</v>
      </c>
      <c r="L95" s="128">
        <v>1.92</v>
      </c>
      <c r="M95" s="128">
        <v>1.92</v>
      </c>
      <c r="N95" s="128">
        <v>1.92</v>
      </c>
      <c r="O95" s="128">
        <v>1.92</v>
      </c>
      <c r="P95" s="128">
        <v>1.91</v>
      </c>
      <c r="Q95" s="128">
        <v>1.91</v>
      </c>
      <c r="R95" s="128">
        <v>1.91</v>
      </c>
      <c r="S95" s="128">
        <v>1.91</v>
      </c>
      <c r="T95" s="128">
        <v>1.91</v>
      </c>
      <c r="U95" s="128">
        <v>1.91</v>
      </c>
      <c r="V95" s="128">
        <v>1.91</v>
      </c>
      <c r="W95" s="128">
        <v>1.91</v>
      </c>
      <c r="X95" s="128">
        <v>1.91</v>
      </c>
      <c r="Y95" s="128">
        <v>1.91</v>
      </c>
      <c r="Z95" s="128">
        <v>1.9</v>
      </c>
      <c r="AA95" s="128">
        <v>1.9</v>
      </c>
      <c r="AB95" s="128">
        <v>1.9</v>
      </c>
      <c r="AC95" s="128">
        <v>1.9</v>
      </c>
      <c r="AD95" s="128">
        <v>1.9</v>
      </c>
      <c r="AE95" s="128">
        <v>1.9</v>
      </c>
      <c r="AF95" s="128">
        <v>1.9</v>
      </c>
      <c r="AG95" s="128">
        <v>1.9</v>
      </c>
      <c r="AH95" s="128">
        <v>1.89</v>
      </c>
      <c r="AI95" s="128">
        <v>1.89</v>
      </c>
      <c r="AJ95" s="128">
        <v>1.89</v>
      </c>
      <c r="AK95" s="128">
        <v>1.89</v>
      </c>
      <c r="AL95" s="128">
        <v>1.89</v>
      </c>
      <c r="AM95" s="128">
        <v>1.89</v>
      </c>
      <c r="AN95" s="128">
        <v>1.89</v>
      </c>
      <c r="AO95" s="128">
        <v>1.88</v>
      </c>
      <c r="AP95" s="128">
        <v>1.88</v>
      </c>
      <c r="AQ95" s="128">
        <v>1.88</v>
      </c>
      <c r="AR95" s="128">
        <v>1.88</v>
      </c>
      <c r="AS95" s="128">
        <v>1.88</v>
      </c>
      <c r="AT95" s="128">
        <v>1.88</v>
      </c>
      <c r="AU95" s="128">
        <v>1.87</v>
      </c>
      <c r="AV95" s="128">
        <v>1.87</v>
      </c>
      <c r="AW95" s="128">
        <v>1.87</v>
      </c>
      <c r="AX95" s="128">
        <v>1.87</v>
      </c>
      <c r="AY95" s="128">
        <v>1.86</v>
      </c>
      <c r="AZ95" s="128">
        <v>1.86</v>
      </c>
      <c r="BA95" s="128">
        <v>1.86</v>
      </c>
      <c r="BB95" s="128">
        <v>1.87</v>
      </c>
      <c r="BC95" s="128">
        <v>1.87</v>
      </c>
      <c r="BD95" s="128">
        <v>1.87</v>
      </c>
      <c r="BE95" s="128">
        <v>1.87</v>
      </c>
      <c r="BF95" s="128">
        <v>1.88</v>
      </c>
      <c r="BG95" s="128">
        <v>1.88</v>
      </c>
      <c r="BH95" s="128">
        <v>1.88</v>
      </c>
      <c r="BI95" s="128">
        <v>1.88</v>
      </c>
      <c r="BJ95" s="128">
        <v>1.88</v>
      </c>
      <c r="BK95" s="128">
        <v>1.88</v>
      </c>
      <c r="BL95" s="128">
        <v>1.89</v>
      </c>
      <c r="BM95" s="128">
        <v>1.89</v>
      </c>
      <c r="BN95" s="128">
        <v>1.89</v>
      </c>
      <c r="BO95" s="128">
        <v>1.89</v>
      </c>
      <c r="BP95" s="128">
        <v>1.89</v>
      </c>
      <c r="BQ95" s="128">
        <v>1.89</v>
      </c>
      <c r="BR95" s="128">
        <v>1.89</v>
      </c>
      <c r="BS95" s="128">
        <v>1.9</v>
      </c>
      <c r="BT95" s="128">
        <v>1.9</v>
      </c>
      <c r="BU95" s="128">
        <v>1.9</v>
      </c>
      <c r="BV95" s="128">
        <v>1.9</v>
      </c>
      <c r="BW95" s="128">
        <v>1.9</v>
      </c>
      <c r="BX95" s="128">
        <v>1.9</v>
      </c>
      <c r="BY95" s="128">
        <v>1.9</v>
      </c>
      <c r="BZ95" s="128">
        <v>1.9</v>
      </c>
      <c r="CA95" s="128">
        <v>1.91</v>
      </c>
      <c r="CB95" s="128">
        <v>1.91</v>
      </c>
      <c r="CC95" s="128">
        <v>1.91</v>
      </c>
      <c r="CD95" s="128">
        <v>1.91</v>
      </c>
      <c r="CE95" s="128">
        <v>1.91</v>
      </c>
      <c r="CF95" s="128">
        <v>1.91</v>
      </c>
      <c r="CG95" s="128">
        <v>1.91</v>
      </c>
      <c r="CH95" s="128">
        <v>1.91</v>
      </c>
      <c r="CI95" s="128">
        <v>1.91</v>
      </c>
      <c r="CJ95" s="128">
        <v>1.91</v>
      </c>
      <c r="CK95" s="128">
        <v>1.92</v>
      </c>
      <c r="CL95" s="128">
        <v>1.92</v>
      </c>
      <c r="CM95" s="128">
        <v>1.92</v>
      </c>
      <c r="CN95" s="128">
        <v>1.92</v>
      </c>
      <c r="CO95" s="128">
        <v>1.92</v>
      </c>
      <c r="CP95" s="128">
        <v>1.92</v>
      </c>
      <c r="CQ95" s="128">
        <v>1.92</v>
      </c>
      <c r="CR95" s="128">
        <v>1.92</v>
      </c>
      <c r="CS95" s="128">
        <v>1.92</v>
      </c>
      <c r="CT95" s="128">
        <v>1.92</v>
      </c>
      <c r="CU95" s="128">
        <v>1.92</v>
      </c>
      <c r="CV95" s="128">
        <v>1.92</v>
      </c>
      <c r="CW95" s="128">
        <v>1.92</v>
      </c>
      <c r="CX95" s="128">
        <v>1.92</v>
      </c>
      <c r="CZ95" s="126">
        <f>SUMIF(MatrixF3[[1]:[2]],MatrixF3[[#This Row],[Столбец1]])/MatrixF3[[#This Row],[Столбец1]]</f>
        <v>85.999999999999929</v>
      </c>
    </row>
    <row r="96" spans="1:104" ht="21" customHeight="1" x14ac:dyDescent="0.25">
      <c r="A96" s="127">
        <v>1.93</v>
      </c>
      <c r="B96" s="128">
        <v>1.93</v>
      </c>
      <c r="C96" s="128">
        <v>1.93</v>
      </c>
      <c r="D96" s="128">
        <v>1.93</v>
      </c>
      <c r="E96" s="128">
        <v>1.93</v>
      </c>
      <c r="F96" s="128">
        <v>1.93</v>
      </c>
      <c r="G96" s="128">
        <v>1.93</v>
      </c>
      <c r="H96" s="128">
        <v>1.93</v>
      </c>
      <c r="I96" s="128">
        <v>1.93</v>
      </c>
      <c r="J96" s="128">
        <v>1.93</v>
      </c>
      <c r="K96" s="128">
        <v>1.93</v>
      </c>
      <c r="L96" s="128">
        <v>1.93</v>
      </c>
      <c r="M96" s="128">
        <v>1.93</v>
      </c>
      <c r="N96" s="128">
        <v>1.93</v>
      </c>
      <c r="O96" s="128">
        <v>1.93</v>
      </c>
      <c r="P96" s="128">
        <v>1.92</v>
      </c>
      <c r="Q96" s="128">
        <v>1.92</v>
      </c>
      <c r="R96" s="128">
        <v>1.92</v>
      </c>
      <c r="S96" s="128">
        <v>1.92</v>
      </c>
      <c r="T96" s="128">
        <v>1.92</v>
      </c>
      <c r="U96" s="128">
        <v>1.92</v>
      </c>
      <c r="V96" s="128">
        <v>1.92</v>
      </c>
      <c r="W96" s="128">
        <v>1.92</v>
      </c>
      <c r="X96" s="128">
        <v>1.92</v>
      </c>
      <c r="Y96" s="128">
        <v>1.92</v>
      </c>
      <c r="Z96" s="128">
        <v>1.92</v>
      </c>
      <c r="AA96" s="128">
        <v>1.91</v>
      </c>
      <c r="AB96" s="128">
        <v>1.91</v>
      </c>
      <c r="AC96" s="128">
        <v>1.91</v>
      </c>
      <c r="AD96" s="128">
        <v>1.91</v>
      </c>
      <c r="AE96" s="128">
        <v>1.91</v>
      </c>
      <c r="AF96" s="128">
        <v>1.91</v>
      </c>
      <c r="AG96" s="128">
        <v>1.91</v>
      </c>
      <c r="AH96" s="128">
        <v>1.91</v>
      </c>
      <c r="AI96" s="128">
        <v>1.91</v>
      </c>
      <c r="AJ96" s="128">
        <v>1.9</v>
      </c>
      <c r="AK96" s="128">
        <v>1.9</v>
      </c>
      <c r="AL96" s="128">
        <v>1.9</v>
      </c>
      <c r="AM96" s="128">
        <v>1.9</v>
      </c>
      <c r="AN96" s="128">
        <v>1.9</v>
      </c>
      <c r="AO96" s="128">
        <v>1.9</v>
      </c>
      <c r="AP96" s="128">
        <v>1.9</v>
      </c>
      <c r="AQ96" s="128">
        <v>1.89</v>
      </c>
      <c r="AR96" s="128">
        <v>1.89</v>
      </c>
      <c r="AS96" s="128">
        <v>1.89</v>
      </c>
      <c r="AT96" s="128">
        <v>1.89</v>
      </c>
      <c r="AU96" s="128">
        <v>1.89</v>
      </c>
      <c r="AV96" s="128">
        <v>1.89</v>
      </c>
      <c r="AW96" s="128">
        <v>1.88</v>
      </c>
      <c r="AX96" s="128">
        <v>1.88</v>
      </c>
      <c r="AY96" s="128">
        <v>1.88</v>
      </c>
      <c r="AZ96" s="128">
        <v>1.88</v>
      </c>
      <c r="BA96" s="128">
        <v>1.88</v>
      </c>
      <c r="BB96" s="128">
        <v>1.88</v>
      </c>
      <c r="BC96" s="128">
        <v>1.88</v>
      </c>
      <c r="BD96" s="128">
        <v>1.89</v>
      </c>
      <c r="BE96" s="128">
        <v>1.89</v>
      </c>
      <c r="BF96" s="128">
        <v>1.89</v>
      </c>
      <c r="BG96" s="128">
        <v>1.89</v>
      </c>
      <c r="BH96" s="128">
        <v>1.89</v>
      </c>
      <c r="BI96" s="128">
        <v>1.89</v>
      </c>
      <c r="BJ96" s="128">
        <v>1.9</v>
      </c>
      <c r="BK96" s="128">
        <v>1.9</v>
      </c>
      <c r="BL96" s="128">
        <v>1.9</v>
      </c>
      <c r="BM96" s="128">
        <v>1.9</v>
      </c>
      <c r="BN96" s="128">
        <v>1.9</v>
      </c>
      <c r="BO96" s="128">
        <v>1.9</v>
      </c>
      <c r="BP96" s="128">
        <v>1.9</v>
      </c>
      <c r="BQ96" s="128">
        <v>1.91</v>
      </c>
      <c r="BR96" s="128">
        <v>1.91</v>
      </c>
      <c r="BS96" s="128">
        <v>1.91</v>
      </c>
      <c r="BT96" s="128">
        <v>1.91</v>
      </c>
      <c r="BU96" s="128">
        <v>1.91</v>
      </c>
      <c r="BV96" s="128">
        <v>1.91</v>
      </c>
      <c r="BW96" s="128">
        <v>1.91</v>
      </c>
      <c r="BX96" s="128">
        <v>1.91</v>
      </c>
      <c r="BY96" s="128">
        <v>1.91</v>
      </c>
      <c r="BZ96" s="128">
        <v>1.92</v>
      </c>
      <c r="CA96" s="128">
        <v>1.92</v>
      </c>
      <c r="CB96" s="128">
        <v>1.92</v>
      </c>
      <c r="CC96" s="128">
        <v>1.92</v>
      </c>
      <c r="CD96" s="128">
        <v>1.92</v>
      </c>
      <c r="CE96" s="128">
        <v>1.92</v>
      </c>
      <c r="CF96" s="128">
        <v>1.92</v>
      </c>
      <c r="CG96" s="128">
        <v>1.92</v>
      </c>
      <c r="CH96" s="128">
        <v>1.92</v>
      </c>
      <c r="CI96" s="128">
        <v>1.92</v>
      </c>
      <c r="CJ96" s="128">
        <v>1.92</v>
      </c>
      <c r="CK96" s="128">
        <v>1.93</v>
      </c>
      <c r="CL96" s="128">
        <v>1.93</v>
      </c>
      <c r="CM96" s="128">
        <v>1.93</v>
      </c>
      <c r="CN96" s="128">
        <v>1.93</v>
      </c>
      <c r="CO96" s="128">
        <v>1.93</v>
      </c>
      <c r="CP96" s="128">
        <v>1.93</v>
      </c>
      <c r="CQ96" s="128">
        <v>1.93</v>
      </c>
      <c r="CR96" s="128">
        <v>1.93</v>
      </c>
      <c r="CS96" s="128">
        <v>1.93</v>
      </c>
      <c r="CT96" s="128">
        <v>1.93</v>
      </c>
      <c r="CU96" s="128">
        <v>1.93</v>
      </c>
      <c r="CV96" s="128">
        <v>1.93</v>
      </c>
      <c r="CW96" s="128">
        <v>1.93</v>
      </c>
      <c r="CX96" s="128">
        <v>1.93</v>
      </c>
      <c r="CZ96" s="126">
        <f>SUMIF(MatrixF3[[1]:[2]],MatrixF3[[#This Row],[Столбец1]])/MatrixF3[[#This Row],[Столбец1]]</f>
        <v>87.000000000000199</v>
      </c>
    </row>
    <row r="97" spans="1:104" ht="21" customHeight="1" x14ac:dyDescent="0.25">
      <c r="A97" s="127">
        <v>1.94</v>
      </c>
      <c r="B97" s="128">
        <v>1.94</v>
      </c>
      <c r="C97" s="128">
        <v>1.94</v>
      </c>
      <c r="D97" s="128">
        <v>1.94</v>
      </c>
      <c r="E97" s="128">
        <v>1.94</v>
      </c>
      <c r="F97" s="128">
        <v>1.94</v>
      </c>
      <c r="G97" s="128">
        <v>1.94</v>
      </c>
      <c r="H97" s="128">
        <v>1.94</v>
      </c>
      <c r="I97" s="128">
        <v>1.94</v>
      </c>
      <c r="J97" s="128">
        <v>1.94</v>
      </c>
      <c r="K97" s="128">
        <v>1.94</v>
      </c>
      <c r="L97" s="128">
        <v>1.94</v>
      </c>
      <c r="M97" s="128">
        <v>1.94</v>
      </c>
      <c r="N97" s="128">
        <v>1.94</v>
      </c>
      <c r="O97" s="128">
        <v>1.94</v>
      </c>
      <c r="P97" s="128">
        <v>1.93</v>
      </c>
      <c r="Q97" s="128">
        <v>1.93</v>
      </c>
      <c r="R97" s="128">
        <v>1.93</v>
      </c>
      <c r="S97" s="128">
        <v>1.93</v>
      </c>
      <c r="T97" s="128">
        <v>1.93</v>
      </c>
      <c r="U97" s="128">
        <v>1.93</v>
      </c>
      <c r="V97" s="128">
        <v>1.93</v>
      </c>
      <c r="W97" s="128">
        <v>1.93</v>
      </c>
      <c r="X97" s="128">
        <v>1.93</v>
      </c>
      <c r="Y97" s="128">
        <v>1.93</v>
      </c>
      <c r="Z97" s="128">
        <v>1.93</v>
      </c>
      <c r="AA97" s="128">
        <v>1.93</v>
      </c>
      <c r="AB97" s="128">
        <v>1.92</v>
      </c>
      <c r="AC97" s="128">
        <v>1.92</v>
      </c>
      <c r="AD97" s="128">
        <v>1.92</v>
      </c>
      <c r="AE97" s="128">
        <v>1.92</v>
      </c>
      <c r="AF97" s="128">
        <v>1.92</v>
      </c>
      <c r="AG97" s="128">
        <v>1.92</v>
      </c>
      <c r="AH97" s="128">
        <v>1.92</v>
      </c>
      <c r="AI97" s="128">
        <v>1.92</v>
      </c>
      <c r="AJ97" s="128">
        <v>1.92</v>
      </c>
      <c r="AK97" s="128">
        <v>1.92</v>
      </c>
      <c r="AL97" s="128">
        <v>1.91</v>
      </c>
      <c r="AM97" s="128">
        <v>1.91</v>
      </c>
      <c r="AN97" s="128">
        <v>1.91</v>
      </c>
      <c r="AO97" s="128">
        <v>1.91</v>
      </c>
      <c r="AP97" s="128">
        <v>1.91</v>
      </c>
      <c r="AQ97" s="128">
        <v>1.91</v>
      </c>
      <c r="AR97" s="128">
        <v>1.91</v>
      </c>
      <c r="AS97" s="128">
        <v>1.9</v>
      </c>
      <c r="AT97" s="128">
        <v>1.9</v>
      </c>
      <c r="AU97" s="128">
        <v>1.9</v>
      </c>
      <c r="AV97" s="128">
        <v>1.9</v>
      </c>
      <c r="AW97" s="128">
        <v>1.9</v>
      </c>
      <c r="AX97" s="128">
        <v>1.9</v>
      </c>
      <c r="AY97" s="128">
        <v>1.89</v>
      </c>
      <c r="AZ97" s="128">
        <v>1.89</v>
      </c>
      <c r="BA97" s="128">
        <v>1.89</v>
      </c>
      <c r="BB97" s="128">
        <v>1.9</v>
      </c>
      <c r="BC97" s="128">
        <v>1.9</v>
      </c>
      <c r="BD97" s="128">
        <v>1.9</v>
      </c>
      <c r="BE97" s="128">
        <v>1.9</v>
      </c>
      <c r="BF97" s="128">
        <v>1.9</v>
      </c>
      <c r="BG97" s="128">
        <v>1.9</v>
      </c>
      <c r="BH97" s="128">
        <v>1.91</v>
      </c>
      <c r="BI97" s="128">
        <v>1.91</v>
      </c>
      <c r="BJ97" s="128">
        <v>1.91</v>
      </c>
      <c r="BK97" s="128">
        <v>1.91</v>
      </c>
      <c r="BL97" s="128">
        <v>1.91</v>
      </c>
      <c r="BM97" s="128">
        <v>1.91</v>
      </c>
      <c r="BN97" s="128">
        <v>1.91</v>
      </c>
      <c r="BO97" s="128">
        <v>1.92</v>
      </c>
      <c r="BP97" s="128">
        <v>1.92</v>
      </c>
      <c r="BQ97" s="128">
        <v>1.92</v>
      </c>
      <c r="BR97" s="128">
        <v>1.92</v>
      </c>
      <c r="BS97" s="128">
        <v>1.92</v>
      </c>
      <c r="BT97" s="128">
        <v>1.92</v>
      </c>
      <c r="BU97" s="128">
        <v>1.92</v>
      </c>
      <c r="BV97" s="128">
        <v>1.92</v>
      </c>
      <c r="BW97" s="128">
        <v>1.92</v>
      </c>
      <c r="BX97" s="128">
        <v>1.92</v>
      </c>
      <c r="BY97" s="128">
        <v>1.93</v>
      </c>
      <c r="BZ97" s="128">
        <v>1.93</v>
      </c>
      <c r="CA97" s="128">
        <v>1.93</v>
      </c>
      <c r="CB97" s="128">
        <v>1.93</v>
      </c>
      <c r="CC97" s="128">
        <v>1.93</v>
      </c>
      <c r="CD97" s="128">
        <v>1.93</v>
      </c>
      <c r="CE97" s="128">
        <v>1.93</v>
      </c>
      <c r="CF97" s="128">
        <v>1.93</v>
      </c>
      <c r="CG97" s="128">
        <v>1.93</v>
      </c>
      <c r="CH97" s="128">
        <v>1.93</v>
      </c>
      <c r="CI97" s="128">
        <v>1.93</v>
      </c>
      <c r="CJ97" s="128">
        <v>1.93</v>
      </c>
      <c r="CK97" s="128">
        <v>1.94</v>
      </c>
      <c r="CL97" s="128">
        <v>1.94</v>
      </c>
      <c r="CM97" s="128">
        <v>1.94</v>
      </c>
      <c r="CN97" s="128">
        <v>1.94</v>
      </c>
      <c r="CO97" s="128">
        <v>1.94</v>
      </c>
      <c r="CP97" s="128">
        <v>1.94</v>
      </c>
      <c r="CQ97" s="128">
        <v>1.94</v>
      </c>
      <c r="CR97" s="128">
        <v>1.94</v>
      </c>
      <c r="CS97" s="128">
        <v>1.94</v>
      </c>
      <c r="CT97" s="128">
        <v>1.94</v>
      </c>
      <c r="CU97" s="128">
        <v>1.94</v>
      </c>
      <c r="CV97" s="128">
        <v>1.94</v>
      </c>
      <c r="CW97" s="128">
        <v>1.94</v>
      </c>
      <c r="CX97" s="128">
        <v>1.94</v>
      </c>
      <c r="CZ97" s="126">
        <f>SUMIF(MatrixF3[[1]:[2]],MatrixF3[[#This Row],[Столбец1]])/MatrixF3[[#This Row],[Столбец1]]</f>
        <v>80.999999999999943</v>
      </c>
    </row>
    <row r="98" spans="1:104" ht="21" customHeight="1" x14ac:dyDescent="0.25">
      <c r="A98" s="127">
        <v>1.95</v>
      </c>
      <c r="B98" s="128">
        <v>1.95</v>
      </c>
      <c r="C98" s="128">
        <v>1.95</v>
      </c>
      <c r="D98" s="128">
        <v>1.95</v>
      </c>
      <c r="E98" s="128">
        <v>1.95</v>
      </c>
      <c r="F98" s="128">
        <v>1.95</v>
      </c>
      <c r="G98" s="128">
        <v>1.95</v>
      </c>
      <c r="H98" s="128">
        <v>1.95</v>
      </c>
      <c r="I98" s="128">
        <v>1.95</v>
      </c>
      <c r="J98" s="128">
        <v>1.95</v>
      </c>
      <c r="K98" s="128">
        <v>1.95</v>
      </c>
      <c r="L98" s="128">
        <v>1.95</v>
      </c>
      <c r="M98" s="128">
        <v>1.95</v>
      </c>
      <c r="N98" s="128">
        <v>1.95</v>
      </c>
      <c r="O98" s="128">
        <v>1.95</v>
      </c>
      <c r="P98" s="128">
        <v>1.95</v>
      </c>
      <c r="Q98" s="128">
        <v>1.94</v>
      </c>
      <c r="R98" s="128">
        <v>1.94</v>
      </c>
      <c r="S98" s="128">
        <v>1.94</v>
      </c>
      <c r="T98" s="128">
        <v>1.94</v>
      </c>
      <c r="U98" s="128">
        <v>1.94</v>
      </c>
      <c r="V98" s="128">
        <v>1.94</v>
      </c>
      <c r="W98" s="128">
        <v>1.94</v>
      </c>
      <c r="X98" s="128">
        <v>1.94</v>
      </c>
      <c r="Y98" s="128">
        <v>1.94</v>
      </c>
      <c r="Z98" s="128">
        <v>1.94</v>
      </c>
      <c r="AA98" s="128">
        <v>1.94</v>
      </c>
      <c r="AB98" s="128">
        <v>1.94</v>
      </c>
      <c r="AC98" s="128">
        <v>1.94</v>
      </c>
      <c r="AD98" s="128">
        <v>1.94</v>
      </c>
      <c r="AE98" s="128">
        <v>1.93</v>
      </c>
      <c r="AF98" s="128">
        <v>1.93</v>
      </c>
      <c r="AG98" s="128">
        <v>1.93</v>
      </c>
      <c r="AH98" s="128">
        <v>1.93</v>
      </c>
      <c r="AI98" s="128">
        <v>1.93</v>
      </c>
      <c r="AJ98" s="128">
        <v>1.93</v>
      </c>
      <c r="AK98" s="128">
        <v>1.93</v>
      </c>
      <c r="AL98" s="128">
        <v>1.93</v>
      </c>
      <c r="AM98" s="128">
        <v>1.93</v>
      </c>
      <c r="AN98" s="128">
        <v>1.93</v>
      </c>
      <c r="AO98" s="128">
        <v>1.92</v>
      </c>
      <c r="AP98" s="128">
        <v>1.92</v>
      </c>
      <c r="AQ98" s="128">
        <v>1.92</v>
      </c>
      <c r="AR98" s="128">
        <v>1.92</v>
      </c>
      <c r="AS98" s="128">
        <v>1.92</v>
      </c>
      <c r="AT98" s="128">
        <v>1.92</v>
      </c>
      <c r="AU98" s="128">
        <v>1.92</v>
      </c>
      <c r="AV98" s="128">
        <v>1.92</v>
      </c>
      <c r="AW98" s="128">
        <v>1.91</v>
      </c>
      <c r="AX98" s="128">
        <v>1.91</v>
      </c>
      <c r="AY98" s="128">
        <v>1.91</v>
      </c>
      <c r="AZ98" s="128">
        <v>1.91</v>
      </c>
      <c r="BA98" s="128">
        <v>1.91</v>
      </c>
      <c r="BB98" s="128">
        <v>1.91</v>
      </c>
      <c r="BC98" s="128">
        <v>1.91</v>
      </c>
      <c r="BD98" s="128">
        <v>1.92</v>
      </c>
      <c r="BE98" s="128">
        <v>1.92</v>
      </c>
      <c r="BF98" s="128">
        <v>1.92</v>
      </c>
      <c r="BG98" s="128">
        <v>1.92</v>
      </c>
      <c r="BH98" s="128">
        <v>1.92</v>
      </c>
      <c r="BI98" s="128">
        <v>1.92</v>
      </c>
      <c r="BJ98" s="128">
        <v>1.92</v>
      </c>
      <c r="BK98" s="128">
        <v>1.92</v>
      </c>
      <c r="BL98" s="128">
        <v>1.93</v>
      </c>
      <c r="BM98" s="128">
        <v>1.93</v>
      </c>
      <c r="BN98" s="128">
        <v>1.93</v>
      </c>
      <c r="BO98" s="128">
        <v>1.93</v>
      </c>
      <c r="BP98" s="128">
        <v>1.93</v>
      </c>
      <c r="BQ98" s="128">
        <v>1.93</v>
      </c>
      <c r="BR98" s="128">
        <v>1.93</v>
      </c>
      <c r="BS98" s="128">
        <v>1.93</v>
      </c>
      <c r="BT98" s="128">
        <v>1.93</v>
      </c>
      <c r="BU98" s="128">
        <v>1.93</v>
      </c>
      <c r="BV98" s="128">
        <v>1.94</v>
      </c>
      <c r="BW98" s="128">
        <v>1.94</v>
      </c>
      <c r="BX98" s="128">
        <v>1.94</v>
      </c>
      <c r="BY98" s="128">
        <v>1.94</v>
      </c>
      <c r="BZ98" s="128">
        <v>1.94</v>
      </c>
      <c r="CA98" s="128">
        <v>1.94</v>
      </c>
      <c r="CB98" s="128">
        <v>1.94</v>
      </c>
      <c r="CC98" s="128">
        <v>1.94</v>
      </c>
      <c r="CD98" s="128">
        <v>1.94</v>
      </c>
      <c r="CE98" s="128">
        <v>1.94</v>
      </c>
      <c r="CF98" s="128">
        <v>1.94</v>
      </c>
      <c r="CG98" s="128">
        <v>1.94</v>
      </c>
      <c r="CH98" s="128">
        <v>1.94</v>
      </c>
      <c r="CI98" s="128">
        <v>1.94</v>
      </c>
      <c r="CJ98" s="128">
        <v>1.95</v>
      </c>
      <c r="CK98" s="128">
        <v>1.95</v>
      </c>
      <c r="CL98" s="128">
        <v>1.95</v>
      </c>
      <c r="CM98" s="128">
        <v>1.95</v>
      </c>
      <c r="CN98" s="128">
        <v>1.95</v>
      </c>
      <c r="CO98" s="128">
        <v>1.95</v>
      </c>
      <c r="CP98" s="128">
        <v>1.95</v>
      </c>
      <c r="CQ98" s="128">
        <v>1.95</v>
      </c>
      <c r="CR98" s="128">
        <v>1.95</v>
      </c>
      <c r="CS98" s="128">
        <v>1.95</v>
      </c>
      <c r="CT98" s="128">
        <v>1.95</v>
      </c>
      <c r="CU98" s="128">
        <v>1.95</v>
      </c>
      <c r="CV98" s="128">
        <v>1.95</v>
      </c>
      <c r="CW98" s="128">
        <v>1.95</v>
      </c>
      <c r="CX98" s="128">
        <v>1.95</v>
      </c>
      <c r="CZ98" s="126">
        <f>SUMIF(MatrixF3[[1]:[2]],MatrixF3[[#This Row],[Столбец1]])/MatrixF3[[#This Row],[Столбец1]]</f>
        <v>85.999999999999957</v>
      </c>
    </row>
    <row r="99" spans="1:104" ht="21" customHeight="1" x14ac:dyDescent="0.25">
      <c r="A99" s="127">
        <v>1.96</v>
      </c>
      <c r="B99" s="128">
        <v>1.96</v>
      </c>
      <c r="C99" s="128">
        <v>1.96</v>
      </c>
      <c r="D99" s="128">
        <v>1.96</v>
      </c>
      <c r="E99" s="128">
        <v>1.96</v>
      </c>
      <c r="F99" s="128">
        <v>1.96</v>
      </c>
      <c r="G99" s="128">
        <v>1.96</v>
      </c>
      <c r="H99" s="128">
        <v>1.96</v>
      </c>
      <c r="I99" s="128">
        <v>1.96</v>
      </c>
      <c r="J99" s="128">
        <v>1.96</v>
      </c>
      <c r="K99" s="128">
        <v>1.96</v>
      </c>
      <c r="L99" s="128">
        <v>1.96</v>
      </c>
      <c r="M99" s="128">
        <v>1.96</v>
      </c>
      <c r="N99" s="128">
        <v>1.96</v>
      </c>
      <c r="O99" s="128">
        <v>1.96</v>
      </c>
      <c r="P99" s="128">
        <v>1.96</v>
      </c>
      <c r="Q99" s="128">
        <v>1.96</v>
      </c>
      <c r="R99" s="128">
        <v>1.95</v>
      </c>
      <c r="S99" s="128">
        <v>1.95</v>
      </c>
      <c r="T99" s="128">
        <v>1.95</v>
      </c>
      <c r="U99" s="128">
        <v>1.95</v>
      </c>
      <c r="V99" s="128">
        <v>1.95</v>
      </c>
      <c r="W99" s="128">
        <v>1.95</v>
      </c>
      <c r="X99" s="128">
        <v>1.95</v>
      </c>
      <c r="Y99" s="128">
        <v>1.95</v>
      </c>
      <c r="Z99" s="128">
        <v>1.95</v>
      </c>
      <c r="AA99" s="128">
        <v>1.95</v>
      </c>
      <c r="AB99" s="128">
        <v>1.95</v>
      </c>
      <c r="AC99" s="128">
        <v>1.95</v>
      </c>
      <c r="AD99" s="128">
        <v>1.95</v>
      </c>
      <c r="AE99" s="128">
        <v>1.95</v>
      </c>
      <c r="AF99" s="128">
        <v>1.95</v>
      </c>
      <c r="AG99" s="128">
        <v>1.95</v>
      </c>
      <c r="AH99" s="128">
        <v>1.94</v>
      </c>
      <c r="AI99" s="128">
        <v>1.94</v>
      </c>
      <c r="AJ99" s="128">
        <v>1.94</v>
      </c>
      <c r="AK99" s="128">
        <v>1.94</v>
      </c>
      <c r="AL99" s="128">
        <v>1.94</v>
      </c>
      <c r="AM99" s="128">
        <v>1.94</v>
      </c>
      <c r="AN99" s="128">
        <v>1.94</v>
      </c>
      <c r="AO99" s="128">
        <v>1.94</v>
      </c>
      <c r="AP99" s="128">
        <v>1.94</v>
      </c>
      <c r="AQ99" s="128">
        <v>1.94</v>
      </c>
      <c r="AR99" s="128">
        <v>1.94</v>
      </c>
      <c r="AS99" s="128">
        <v>1.93</v>
      </c>
      <c r="AT99" s="128">
        <v>1.93</v>
      </c>
      <c r="AU99" s="128">
        <v>1.93</v>
      </c>
      <c r="AV99" s="128">
        <v>1.93</v>
      </c>
      <c r="AW99" s="128">
        <v>1.93</v>
      </c>
      <c r="AX99" s="128">
        <v>1.93</v>
      </c>
      <c r="AY99" s="128">
        <v>1.93</v>
      </c>
      <c r="AZ99" s="128">
        <v>1.93</v>
      </c>
      <c r="BA99" s="128">
        <v>1.93</v>
      </c>
      <c r="BB99" s="128">
        <v>1.93</v>
      </c>
      <c r="BC99" s="128">
        <v>1.93</v>
      </c>
      <c r="BD99" s="128">
        <v>1.93</v>
      </c>
      <c r="BE99" s="128">
        <v>1.93</v>
      </c>
      <c r="BF99" s="128">
        <v>1.93</v>
      </c>
      <c r="BG99" s="128">
        <v>1.93</v>
      </c>
      <c r="BH99" s="128">
        <v>1.94</v>
      </c>
      <c r="BI99" s="128">
        <v>1.94</v>
      </c>
      <c r="BJ99" s="128">
        <v>1.94</v>
      </c>
      <c r="BK99" s="128">
        <v>1.94</v>
      </c>
      <c r="BL99" s="128">
        <v>1.94</v>
      </c>
      <c r="BM99" s="128">
        <v>1.94</v>
      </c>
      <c r="BN99" s="128">
        <v>1.94</v>
      </c>
      <c r="BO99" s="128">
        <v>1.94</v>
      </c>
      <c r="BP99" s="128">
        <v>1.94</v>
      </c>
      <c r="BQ99" s="128">
        <v>1.94</v>
      </c>
      <c r="BR99" s="128">
        <v>1.94</v>
      </c>
      <c r="BS99" s="128">
        <v>1.95</v>
      </c>
      <c r="BT99" s="128">
        <v>1.95</v>
      </c>
      <c r="BU99" s="128">
        <v>1.95</v>
      </c>
      <c r="BV99" s="128">
        <v>1.95</v>
      </c>
      <c r="BW99" s="128">
        <v>1.95</v>
      </c>
      <c r="BX99" s="128">
        <v>1.95</v>
      </c>
      <c r="BY99" s="128">
        <v>1.95</v>
      </c>
      <c r="BZ99" s="128">
        <v>1.95</v>
      </c>
      <c r="CA99" s="128">
        <v>1.95</v>
      </c>
      <c r="CB99" s="128">
        <v>1.95</v>
      </c>
      <c r="CC99" s="128">
        <v>1.95</v>
      </c>
      <c r="CD99" s="128">
        <v>1.95</v>
      </c>
      <c r="CE99" s="128">
        <v>1.95</v>
      </c>
      <c r="CF99" s="128">
        <v>1.95</v>
      </c>
      <c r="CG99" s="128">
        <v>1.95</v>
      </c>
      <c r="CH99" s="128">
        <v>1.95</v>
      </c>
      <c r="CI99" s="128">
        <v>1.96</v>
      </c>
      <c r="CJ99" s="128">
        <v>1.96</v>
      </c>
      <c r="CK99" s="128">
        <v>1.96</v>
      </c>
      <c r="CL99" s="128">
        <v>1.96</v>
      </c>
      <c r="CM99" s="128">
        <v>1.96</v>
      </c>
      <c r="CN99" s="128">
        <v>1.96</v>
      </c>
      <c r="CO99" s="128">
        <v>1.96</v>
      </c>
      <c r="CP99" s="128">
        <v>1.96</v>
      </c>
      <c r="CQ99" s="128">
        <v>1.96</v>
      </c>
      <c r="CR99" s="128">
        <v>1.96</v>
      </c>
      <c r="CS99" s="128">
        <v>1.96</v>
      </c>
      <c r="CT99" s="128">
        <v>1.96</v>
      </c>
      <c r="CU99" s="128">
        <v>1.96</v>
      </c>
      <c r="CV99" s="128">
        <v>1.96</v>
      </c>
      <c r="CW99" s="128">
        <v>1.96</v>
      </c>
      <c r="CX99" s="128">
        <v>1.96</v>
      </c>
      <c r="CZ99" s="126">
        <f>SUMIF(MatrixF3[[1]:[2]],MatrixF3[[#This Row],[Столбец1]])/MatrixF3[[#This Row],[Столбец1]]</f>
        <v>80.999999999999972</v>
      </c>
    </row>
    <row r="100" spans="1:104" ht="21" customHeight="1" x14ac:dyDescent="0.25">
      <c r="A100" s="127">
        <v>1.97</v>
      </c>
      <c r="B100" s="128">
        <v>1.97</v>
      </c>
      <c r="C100" s="128">
        <v>1.97</v>
      </c>
      <c r="D100" s="128">
        <v>1.97</v>
      </c>
      <c r="E100" s="128">
        <v>1.97</v>
      </c>
      <c r="F100" s="128">
        <v>1.97</v>
      </c>
      <c r="G100" s="128">
        <v>1.97</v>
      </c>
      <c r="H100" s="128">
        <v>1.97</v>
      </c>
      <c r="I100" s="128">
        <v>1.97</v>
      </c>
      <c r="J100" s="128">
        <v>1.97</v>
      </c>
      <c r="K100" s="128">
        <v>1.97</v>
      </c>
      <c r="L100" s="128">
        <v>1.97</v>
      </c>
      <c r="M100" s="128">
        <v>1.97</v>
      </c>
      <c r="N100" s="128">
        <v>1.97</v>
      </c>
      <c r="O100" s="128">
        <v>1.97</v>
      </c>
      <c r="P100" s="128">
        <v>1.97</v>
      </c>
      <c r="Q100" s="128">
        <v>1.97</v>
      </c>
      <c r="R100" s="128">
        <v>1.97</v>
      </c>
      <c r="S100" s="128">
        <v>1.97</v>
      </c>
      <c r="T100" s="128">
        <v>1.96</v>
      </c>
      <c r="U100" s="128">
        <v>1.96</v>
      </c>
      <c r="V100" s="128">
        <v>1.96</v>
      </c>
      <c r="W100" s="128">
        <v>1.96</v>
      </c>
      <c r="X100" s="128">
        <v>1.96</v>
      </c>
      <c r="Y100" s="128">
        <v>1.96</v>
      </c>
      <c r="Z100" s="128">
        <v>1.96</v>
      </c>
      <c r="AA100" s="128">
        <v>1.96</v>
      </c>
      <c r="AB100" s="128">
        <v>1.96</v>
      </c>
      <c r="AC100" s="128">
        <v>1.96</v>
      </c>
      <c r="AD100" s="128">
        <v>1.96</v>
      </c>
      <c r="AE100" s="128">
        <v>1.96</v>
      </c>
      <c r="AF100" s="128">
        <v>1.96</v>
      </c>
      <c r="AG100" s="128">
        <v>1.96</v>
      </c>
      <c r="AH100" s="128">
        <v>1.96</v>
      </c>
      <c r="AI100" s="128">
        <v>1.96</v>
      </c>
      <c r="AJ100" s="128">
        <v>1.96</v>
      </c>
      <c r="AK100" s="128">
        <v>1.96</v>
      </c>
      <c r="AL100" s="128">
        <v>1.96</v>
      </c>
      <c r="AM100" s="128">
        <v>1.95</v>
      </c>
      <c r="AN100" s="128">
        <v>1.95</v>
      </c>
      <c r="AO100" s="128">
        <v>1.95</v>
      </c>
      <c r="AP100" s="128">
        <v>1.95</v>
      </c>
      <c r="AQ100" s="128">
        <v>1.95</v>
      </c>
      <c r="AR100" s="128">
        <v>1.95</v>
      </c>
      <c r="AS100" s="128">
        <v>1.95</v>
      </c>
      <c r="AT100" s="128">
        <v>1.95</v>
      </c>
      <c r="AU100" s="128">
        <v>1.95</v>
      </c>
      <c r="AV100" s="128">
        <v>1.95</v>
      </c>
      <c r="AW100" s="128">
        <v>1.95</v>
      </c>
      <c r="AX100" s="128">
        <v>1.95</v>
      </c>
      <c r="AY100" s="128">
        <v>1.94</v>
      </c>
      <c r="AZ100" s="128">
        <v>1.94</v>
      </c>
      <c r="BA100" s="128">
        <v>1.94</v>
      </c>
      <c r="BB100" s="128">
        <v>1.95</v>
      </c>
      <c r="BC100" s="128">
        <v>1.95</v>
      </c>
      <c r="BD100" s="128">
        <v>1.95</v>
      </c>
      <c r="BE100" s="128">
        <v>1.95</v>
      </c>
      <c r="BF100" s="128">
        <v>1.95</v>
      </c>
      <c r="BG100" s="128">
        <v>1.95</v>
      </c>
      <c r="BH100" s="128">
        <v>1.95</v>
      </c>
      <c r="BI100" s="128">
        <v>1.95</v>
      </c>
      <c r="BJ100" s="128">
        <v>1.95</v>
      </c>
      <c r="BK100" s="128">
        <v>1.95</v>
      </c>
      <c r="BL100" s="128">
        <v>1.95</v>
      </c>
      <c r="BM100" s="128">
        <v>1.95</v>
      </c>
      <c r="BN100" s="128">
        <v>1.96</v>
      </c>
      <c r="BO100" s="128">
        <v>1.96</v>
      </c>
      <c r="BP100" s="128">
        <v>1.96</v>
      </c>
      <c r="BQ100" s="128">
        <v>1.96</v>
      </c>
      <c r="BR100" s="128">
        <v>1.96</v>
      </c>
      <c r="BS100" s="128">
        <v>1.96</v>
      </c>
      <c r="BT100" s="128">
        <v>1.96</v>
      </c>
      <c r="BU100" s="128">
        <v>1.96</v>
      </c>
      <c r="BV100" s="128">
        <v>1.96</v>
      </c>
      <c r="BW100" s="128">
        <v>1.96</v>
      </c>
      <c r="BX100" s="128">
        <v>1.96</v>
      </c>
      <c r="BY100" s="128">
        <v>1.96</v>
      </c>
      <c r="BZ100" s="128">
        <v>1.96</v>
      </c>
      <c r="CA100" s="128">
        <v>1.96</v>
      </c>
      <c r="CB100" s="128">
        <v>1.96</v>
      </c>
      <c r="CC100" s="128">
        <v>1.96</v>
      </c>
      <c r="CD100" s="128">
        <v>1.96</v>
      </c>
      <c r="CE100" s="128">
        <v>1.96</v>
      </c>
      <c r="CF100" s="128">
        <v>1.96</v>
      </c>
      <c r="CG100" s="128">
        <v>1.97</v>
      </c>
      <c r="CH100" s="128">
        <v>1.97</v>
      </c>
      <c r="CI100" s="128">
        <v>1.97</v>
      </c>
      <c r="CJ100" s="128">
        <v>1.97</v>
      </c>
      <c r="CK100" s="128">
        <v>1.97</v>
      </c>
      <c r="CL100" s="128">
        <v>1.97</v>
      </c>
      <c r="CM100" s="128">
        <v>1.97</v>
      </c>
      <c r="CN100" s="128">
        <v>1.97</v>
      </c>
      <c r="CO100" s="128">
        <v>1.97</v>
      </c>
      <c r="CP100" s="128">
        <v>1.97</v>
      </c>
      <c r="CQ100" s="128">
        <v>1.97</v>
      </c>
      <c r="CR100" s="128">
        <v>1.97</v>
      </c>
      <c r="CS100" s="128">
        <v>1.97</v>
      </c>
      <c r="CT100" s="128">
        <v>1.97</v>
      </c>
      <c r="CU100" s="128">
        <v>1.97</v>
      </c>
      <c r="CV100" s="128">
        <v>1.97</v>
      </c>
      <c r="CW100" s="128">
        <v>1.97</v>
      </c>
      <c r="CX100" s="128">
        <v>1.97</v>
      </c>
      <c r="CZ100" s="126">
        <f>SUMIF(MatrixF3[[1]:[2]],MatrixF3[[#This Row],[Столбец1]])/MatrixF3[[#This Row],[Столбец1]]</f>
        <v>79.999999999999972</v>
      </c>
    </row>
    <row r="101" spans="1:104" ht="21" customHeight="1" x14ac:dyDescent="0.25">
      <c r="A101" s="127">
        <v>1.98</v>
      </c>
      <c r="B101" s="128">
        <v>1.98</v>
      </c>
      <c r="C101" s="128">
        <v>1.98</v>
      </c>
      <c r="D101" s="128">
        <v>1.98</v>
      </c>
      <c r="E101" s="128">
        <v>1.98</v>
      </c>
      <c r="F101" s="128">
        <v>1.98</v>
      </c>
      <c r="G101" s="128">
        <v>1.98</v>
      </c>
      <c r="H101" s="128">
        <v>1.98</v>
      </c>
      <c r="I101" s="128">
        <v>1.98</v>
      </c>
      <c r="J101" s="128">
        <v>1.98</v>
      </c>
      <c r="K101" s="128">
        <v>1.98</v>
      </c>
      <c r="L101" s="128">
        <v>1.98</v>
      </c>
      <c r="M101" s="128">
        <v>1.98</v>
      </c>
      <c r="N101" s="128">
        <v>1.98</v>
      </c>
      <c r="O101" s="128">
        <v>1.98</v>
      </c>
      <c r="P101" s="128">
        <v>1.98</v>
      </c>
      <c r="Q101" s="128">
        <v>1.98</v>
      </c>
      <c r="R101" s="128">
        <v>1.98</v>
      </c>
      <c r="S101" s="128">
        <v>1.98</v>
      </c>
      <c r="T101" s="128">
        <v>1.98</v>
      </c>
      <c r="U101" s="128">
        <v>1.98</v>
      </c>
      <c r="V101" s="128">
        <v>1.98</v>
      </c>
      <c r="W101" s="128">
        <v>1.98</v>
      </c>
      <c r="X101" s="128">
        <v>1.98</v>
      </c>
      <c r="Y101" s="128">
        <v>1.97</v>
      </c>
      <c r="Z101" s="128">
        <v>1.97</v>
      </c>
      <c r="AA101" s="128">
        <v>1.97</v>
      </c>
      <c r="AB101" s="128">
        <v>1.97</v>
      </c>
      <c r="AC101" s="128">
        <v>1.97</v>
      </c>
      <c r="AD101" s="128">
        <v>1.97</v>
      </c>
      <c r="AE101" s="128">
        <v>1.97</v>
      </c>
      <c r="AF101" s="128">
        <v>1.97</v>
      </c>
      <c r="AG101" s="128">
        <v>1.97</v>
      </c>
      <c r="AH101" s="128">
        <v>1.97</v>
      </c>
      <c r="AI101" s="128">
        <v>1.97</v>
      </c>
      <c r="AJ101" s="128">
        <v>1.97</v>
      </c>
      <c r="AK101" s="128">
        <v>1.97</v>
      </c>
      <c r="AL101" s="128">
        <v>1.97</v>
      </c>
      <c r="AM101" s="128">
        <v>1.97</v>
      </c>
      <c r="AN101" s="128">
        <v>1.97</v>
      </c>
      <c r="AO101" s="128">
        <v>1.97</v>
      </c>
      <c r="AP101" s="128">
        <v>1.97</v>
      </c>
      <c r="AQ101" s="128">
        <v>1.97</v>
      </c>
      <c r="AR101" s="128">
        <v>1.97</v>
      </c>
      <c r="AS101" s="128">
        <v>1.97</v>
      </c>
      <c r="AT101" s="128">
        <v>1.97</v>
      </c>
      <c r="AU101" s="128">
        <v>1.96</v>
      </c>
      <c r="AV101" s="128">
        <v>1.96</v>
      </c>
      <c r="AW101" s="128">
        <v>1.96</v>
      </c>
      <c r="AX101" s="128">
        <v>1.96</v>
      </c>
      <c r="AY101" s="128">
        <v>1.96</v>
      </c>
      <c r="AZ101" s="128">
        <v>1.96</v>
      </c>
      <c r="BA101" s="128">
        <v>1.96</v>
      </c>
      <c r="BB101" s="128">
        <v>1.96</v>
      </c>
      <c r="BC101" s="128">
        <v>1.96</v>
      </c>
      <c r="BD101" s="128">
        <v>1.96</v>
      </c>
      <c r="BE101" s="128">
        <v>1.96</v>
      </c>
      <c r="BF101" s="128">
        <v>1.97</v>
      </c>
      <c r="BG101" s="128">
        <v>1.97</v>
      </c>
      <c r="BH101" s="128">
        <v>1.97</v>
      </c>
      <c r="BI101" s="128">
        <v>1.97</v>
      </c>
      <c r="BJ101" s="128">
        <v>1.97</v>
      </c>
      <c r="BK101" s="128">
        <v>1.97</v>
      </c>
      <c r="BL101" s="128">
        <v>1.97</v>
      </c>
      <c r="BM101" s="128">
        <v>1.97</v>
      </c>
      <c r="BN101" s="128">
        <v>1.97</v>
      </c>
      <c r="BO101" s="128">
        <v>1.97</v>
      </c>
      <c r="BP101" s="128">
        <v>1.97</v>
      </c>
      <c r="BQ101" s="128">
        <v>1.97</v>
      </c>
      <c r="BR101" s="128">
        <v>1.97</v>
      </c>
      <c r="BS101" s="128">
        <v>1.97</v>
      </c>
      <c r="BT101" s="128">
        <v>1.97</v>
      </c>
      <c r="BU101" s="128">
        <v>1.97</v>
      </c>
      <c r="BV101" s="128">
        <v>1.97</v>
      </c>
      <c r="BW101" s="128">
        <v>1.97</v>
      </c>
      <c r="BX101" s="128">
        <v>1.97</v>
      </c>
      <c r="BY101" s="128">
        <v>1.97</v>
      </c>
      <c r="BZ101" s="128">
        <v>1.97</v>
      </c>
      <c r="CA101" s="128">
        <v>1.97</v>
      </c>
      <c r="CB101" s="128">
        <v>1.98</v>
      </c>
      <c r="CC101" s="128">
        <v>1.98</v>
      </c>
      <c r="CD101" s="128">
        <v>1.98</v>
      </c>
      <c r="CE101" s="128">
        <v>1.98</v>
      </c>
      <c r="CF101" s="128">
        <v>1.98</v>
      </c>
      <c r="CG101" s="128">
        <v>1.98</v>
      </c>
      <c r="CH101" s="128">
        <v>1.98</v>
      </c>
      <c r="CI101" s="128">
        <v>1.98</v>
      </c>
      <c r="CJ101" s="128">
        <v>1.98</v>
      </c>
      <c r="CK101" s="128">
        <v>1.98</v>
      </c>
      <c r="CL101" s="128">
        <v>1.98</v>
      </c>
      <c r="CM101" s="128">
        <v>1.98</v>
      </c>
      <c r="CN101" s="128">
        <v>1.98</v>
      </c>
      <c r="CO101" s="128">
        <v>1.98</v>
      </c>
      <c r="CP101" s="128">
        <v>1.98</v>
      </c>
      <c r="CQ101" s="128">
        <v>1.98</v>
      </c>
      <c r="CR101" s="128">
        <v>1.98</v>
      </c>
      <c r="CS101" s="128">
        <v>1.98</v>
      </c>
      <c r="CT101" s="128">
        <v>1.98</v>
      </c>
      <c r="CU101" s="128">
        <v>1.98</v>
      </c>
      <c r="CV101" s="128">
        <v>1.98</v>
      </c>
      <c r="CW101" s="128">
        <v>1.98</v>
      </c>
      <c r="CX101" s="128">
        <v>1.98</v>
      </c>
      <c r="CZ101" s="126">
        <f>SUMIF(MatrixF3[[1]:[2]],MatrixF3[[#This Row],[Столбец1]])/MatrixF3[[#This Row],[Столбец1]]</f>
        <v>76.999999999999972</v>
      </c>
    </row>
    <row r="102" spans="1:104" ht="21" customHeight="1" x14ac:dyDescent="0.25">
      <c r="A102" s="127">
        <v>1.99</v>
      </c>
      <c r="B102" s="128">
        <v>1.99</v>
      </c>
      <c r="C102" s="128">
        <v>1.99</v>
      </c>
      <c r="D102" s="128">
        <v>1.99</v>
      </c>
      <c r="E102" s="128">
        <v>1.99</v>
      </c>
      <c r="F102" s="128">
        <v>1.99</v>
      </c>
      <c r="G102" s="128">
        <v>1.99</v>
      </c>
      <c r="H102" s="128">
        <v>1.99</v>
      </c>
      <c r="I102" s="128">
        <v>1.99</v>
      </c>
      <c r="J102" s="128">
        <v>1.99</v>
      </c>
      <c r="K102" s="128">
        <v>1.99</v>
      </c>
      <c r="L102" s="128">
        <v>1.99</v>
      </c>
      <c r="M102" s="128">
        <v>1.99</v>
      </c>
      <c r="N102" s="128">
        <v>1.99</v>
      </c>
      <c r="O102" s="128">
        <v>1.99</v>
      </c>
      <c r="P102" s="128">
        <v>1.99</v>
      </c>
      <c r="Q102" s="128">
        <v>1.99</v>
      </c>
      <c r="R102" s="128">
        <v>1.99</v>
      </c>
      <c r="S102" s="128">
        <v>1.99</v>
      </c>
      <c r="T102" s="128">
        <v>1.99</v>
      </c>
      <c r="U102" s="128">
        <v>1.99</v>
      </c>
      <c r="V102" s="128">
        <v>1.99</v>
      </c>
      <c r="W102" s="128">
        <v>1.99</v>
      </c>
      <c r="X102" s="128">
        <v>1.99</v>
      </c>
      <c r="Y102" s="128">
        <v>1.99</v>
      </c>
      <c r="Z102" s="128">
        <v>1.99</v>
      </c>
      <c r="AA102" s="128">
        <v>1.99</v>
      </c>
      <c r="AB102" s="128">
        <v>1.99</v>
      </c>
      <c r="AC102" s="128">
        <v>1.99</v>
      </c>
      <c r="AD102" s="128">
        <v>1.99</v>
      </c>
      <c r="AE102" s="128">
        <v>1.99</v>
      </c>
      <c r="AF102" s="128">
        <v>1.99</v>
      </c>
      <c r="AG102" s="128">
        <v>1.99</v>
      </c>
      <c r="AH102" s="128">
        <v>1.99</v>
      </c>
      <c r="AI102" s="128">
        <v>1.99</v>
      </c>
      <c r="AJ102" s="128">
        <v>1.99</v>
      </c>
      <c r="AK102" s="128">
        <v>1.98</v>
      </c>
      <c r="AL102" s="128">
        <v>1.98</v>
      </c>
      <c r="AM102" s="128">
        <v>1.98</v>
      </c>
      <c r="AN102" s="128">
        <v>1.98</v>
      </c>
      <c r="AO102" s="128">
        <v>1.98</v>
      </c>
      <c r="AP102" s="128">
        <v>1.98</v>
      </c>
      <c r="AQ102" s="128">
        <v>1.98</v>
      </c>
      <c r="AR102" s="128">
        <v>1.98</v>
      </c>
      <c r="AS102" s="128">
        <v>1.98</v>
      </c>
      <c r="AT102" s="128">
        <v>1.98</v>
      </c>
      <c r="AU102" s="128">
        <v>1.98</v>
      </c>
      <c r="AV102" s="128">
        <v>1.98</v>
      </c>
      <c r="AW102" s="128">
        <v>1.98</v>
      </c>
      <c r="AX102" s="128">
        <v>1.98</v>
      </c>
      <c r="AY102" s="128">
        <v>1.98</v>
      </c>
      <c r="AZ102" s="128">
        <v>1.98</v>
      </c>
      <c r="BA102" s="128">
        <v>1.98</v>
      </c>
      <c r="BB102" s="128">
        <v>1.98</v>
      </c>
      <c r="BC102" s="128">
        <v>1.98</v>
      </c>
      <c r="BD102" s="128">
        <v>1.98</v>
      </c>
      <c r="BE102" s="128">
        <v>1.98</v>
      </c>
      <c r="BF102" s="128">
        <v>1.98</v>
      </c>
      <c r="BG102" s="128">
        <v>1.98</v>
      </c>
      <c r="BH102" s="128">
        <v>1.98</v>
      </c>
      <c r="BI102" s="128">
        <v>1.98</v>
      </c>
      <c r="BJ102" s="128">
        <v>1.98</v>
      </c>
      <c r="BK102" s="128">
        <v>1.98</v>
      </c>
      <c r="BL102" s="128">
        <v>1.98</v>
      </c>
      <c r="BM102" s="128">
        <v>1.98</v>
      </c>
      <c r="BN102" s="128">
        <v>1.98</v>
      </c>
      <c r="BO102" s="128">
        <v>1.98</v>
      </c>
      <c r="BP102" s="128">
        <v>1.99</v>
      </c>
      <c r="BQ102" s="128">
        <v>1.99</v>
      </c>
      <c r="BR102" s="128">
        <v>1.99</v>
      </c>
      <c r="BS102" s="128">
        <v>1.99</v>
      </c>
      <c r="BT102" s="128">
        <v>1.99</v>
      </c>
      <c r="BU102" s="128">
        <v>1.99</v>
      </c>
      <c r="BV102" s="128">
        <v>1.99</v>
      </c>
      <c r="BW102" s="128">
        <v>1.99</v>
      </c>
      <c r="BX102" s="128">
        <v>1.99</v>
      </c>
      <c r="BY102" s="128">
        <v>1.99</v>
      </c>
      <c r="BZ102" s="128">
        <v>1.99</v>
      </c>
      <c r="CA102" s="128">
        <v>1.99</v>
      </c>
      <c r="CB102" s="128">
        <v>1.99</v>
      </c>
      <c r="CC102" s="128">
        <v>1.99</v>
      </c>
      <c r="CD102" s="128">
        <v>1.99</v>
      </c>
      <c r="CE102" s="128">
        <v>1.99</v>
      </c>
      <c r="CF102" s="128">
        <v>1.99</v>
      </c>
      <c r="CG102" s="128">
        <v>1.99</v>
      </c>
      <c r="CH102" s="128">
        <v>1.99</v>
      </c>
      <c r="CI102" s="128">
        <v>1.99</v>
      </c>
      <c r="CJ102" s="128">
        <v>1.99</v>
      </c>
      <c r="CK102" s="128">
        <v>1.99</v>
      </c>
      <c r="CL102" s="128">
        <v>1.99</v>
      </c>
      <c r="CM102" s="128">
        <v>1.99</v>
      </c>
      <c r="CN102" s="128">
        <v>1.99</v>
      </c>
      <c r="CO102" s="128">
        <v>1.99</v>
      </c>
      <c r="CP102" s="128">
        <v>1.99</v>
      </c>
      <c r="CQ102" s="128">
        <v>1.99</v>
      </c>
      <c r="CR102" s="128">
        <v>1.99</v>
      </c>
      <c r="CS102" s="128">
        <v>1.99</v>
      </c>
      <c r="CT102" s="128">
        <v>1.99</v>
      </c>
      <c r="CU102" s="128">
        <v>1.99</v>
      </c>
      <c r="CV102" s="128">
        <v>1.99</v>
      </c>
      <c r="CW102" s="128">
        <v>1.99</v>
      </c>
      <c r="CX102" s="128">
        <v>1.99</v>
      </c>
      <c r="CZ102" s="126">
        <f>SUMIF(MatrixF3[[1]:[2]],MatrixF3[[#This Row],[Столбец1]])/MatrixF3[[#This Row],[Столбец1]]</f>
        <v>69.999999999999943</v>
      </c>
    </row>
    <row r="103" spans="1:104" ht="21" customHeight="1" x14ac:dyDescent="0.25">
      <c r="A103" s="127">
        <v>2</v>
      </c>
      <c r="B103" s="128">
        <v>2</v>
      </c>
      <c r="C103" s="128">
        <v>2</v>
      </c>
      <c r="D103" s="128">
        <v>2</v>
      </c>
      <c r="E103" s="128">
        <v>2</v>
      </c>
      <c r="F103" s="128">
        <v>2</v>
      </c>
      <c r="G103" s="128">
        <v>2</v>
      </c>
      <c r="H103" s="128">
        <v>2</v>
      </c>
      <c r="I103" s="128">
        <v>2</v>
      </c>
      <c r="J103" s="128">
        <v>2</v>
      </c>
      <c r="K103" s="128">
        <v>2</v>
      </c>
      <c r="L103" s="128">
        <v>2</v>
      </c>
      <c r="M103" s="128">
        <v>2</v>
      </c>
      <c r="N103" s="128">
        <v>2</v>
      </c>
      <c r="O103" s="128">
        <v>2</v>
      </c>
      <c r="P103" s="128">
        <v>2</v>
      </c>
      <c r="Q103" s="128">
        <v>2</v>
      </c>
      <c r="R103" s="128">
        <v>2</v>
      </c>
      <c r="S103" s="128">
        <v>2</v>
      </c>
      <c r="T103" s="128">
        <v>2</v>
      </c>
      <c r="U103" s="128">
        <v>2</v>
      </c>
      <c r="V103" s="128">
        <v>2</v>
      </c>
      <c r="W103" s="128">
        <v>2</v>
      </c>
      <c r="X103" s="128">
        <v>2</v>
      </c>
      <c r="Y103" s="128">
        <v>2</v>
      </c>
      <c r="Z103" s="128">
        <v>2</v>
      </c>
      <c r="AA103" s="128">
        <v>2</v>
      </c>
      <c r="AB103" s="128">
        <v>2</v>
      </c>
      <c r="AC103" s="128">
        <v>2</v>
      </c>
      <c r="AD103" s="128">
        <v>2</v>
      </c>
      <c r="AE103" s="128">
        <v>2</v>
      </c>
      <c r="AF103" s="128">
        <v>2</v>
      </c>
      <c r="AG103" s="128">
        <v>2</v>
      </c>
      <c r="AH103" s="128">
        <v>2</v>
      </c>
      <c r="AI103" s="128">
        <v>2</v>
      </c>
      <c r="AJ103" s="128">
        <v>2</v>
      </c>
      <c r="AK103" s="128">
        <v>2</v>
      </c>
      <c r="AL103" s="128">
        <v>2</v>
      </c>
      <c r="AM103" s="128">
        <v>2</v>
      </c>
      <c r="AN103" s="128">
        <v>2</v>
      </c>
      <c r="AO103" s="128">
        <v>2</v>
      </c>
      <c r="AP103" s="128">
        <v>2</v>
      </c>
      <c r="AQ103" s="128">
        <v>2</v>
      </c>
      <c r="AR103" s="128">
        <v>2</v>
      </c>
      <c r="AS103" s="128">
        <v>2</v>
      </c>
      <c r="AT103" s="128">
        <v>2</v>
      </c>
      <c r="AU103" s="128">
        <v>2</v>
      </c>
      <c r="AV103" s="128">
        <v>2</v>
      </c>
      <c r="AW103" s="128">
        <v>2</v>
      </c>
      <c r="AX103" s="128">
        <v>2</v>
      </c>
      <c r="AY103" s="128">
        <v>2</v>
      </c>
      <c r="AZ103" s="128">
        <v>2</v>
      </c>
      <c r="BA103" s="128">
        <v>2</v>
      </c>
      <c r="BB103" s="128">
        <v>2</v>
      </c>
      <c r="BC103" s="128">
        <v>2</v>
      </c>
      <c r="BD103" s="128">
        <v>2</v>
      </c>
      <c r="BE103" s="128">
        <v>2</v>
      </c>
      <c r="BF103" s="128">
        <v>2</v>
      </c>
      <c r="BG103" s="128">
        <v>2</v>
      </c>
      <c r="BH103" s="128">
        <v>2</v>
      </c>
      <c r="BI103" s="128">
        <v>2</v>
      </c>
      <c r="BJ103" s="128">
        <v>2</v>
      </c>
      <c r="BK103" s="128">
        <v>2</v>
      </c>
      <c r="BL103" s="128">
        <v>2</v>
      </c>
      <c r="BM103" s="128">
        <v>2</v>
      </c>
      <c r="BN103" s="128">
        <v>2</v>
      </c>
      <c r="BO103" s="128">
        <v>2</v>
      </c>
      <c r="BP103" s="128">
        <v>2</v>
      </c>
      <c r="BQ103" s="128">
        <v>2</v>
      </c>
      <c r="BR103" s="128">
        <v>2</v>
      </c>
      <c r="BS103" s="128">
        <v>2</v>
      </c>
      <c r="BT103" s="128">
        <v>2</v>
      </c>
      <c r="BU103" s="128">
        <v>2</v>
      </c>
      <c r="BV103" s="128">
        <v>2</v>
      </c>
      <c r="BW103" s="128">
        <v>2</v>
      </c>
      <c r="BX103" s="128">
        <v>2</v>
      </c>
      <c r="BY103" s="128">
        <v>2</v>
      </c>
      <c r="BZ103" s="128">
        <v>2</v>
      </c>
      <c r="CA103" s="128">
        <v>2</v>
      </c>
      <c r="CB103" s="128">
        <v>2</v>
      </c>
      <c r="CC103" s="128">
        <v>2</v>
      </c>
      <c r="CD103" s="128">
        <v>2</v>
      </c>
      <c r="CE103" s="128">
        <v>2</v>
      </c>
      <c r="CF103" s="128">
        <v>2</v>
      </c>
      <c r="CG103" s="128">
        <v>2</v>
      </c>
      <c r="CH103" s="128">
        <v>2</v>
      </c>
      <c r="CI103" s="128">
        <v>2</v>
      </c>
      <c r="CJ103" s="128">
        <v>2</v>
      </c>
      <c r="CK103" s="128">
        <v>2</v>
      </c>
      <c r="CL103" s="128">
        <v>2</v>
      </c>
      <c r="CM103" s="128">
        <v>2</v>
      </c>
      <c r="CN103" s="128">
        <v>2</v>
      </c>
      <c r="CO103" s="128">
        <v>2</v>
      </c>
      <c r="CP103" s="128">
        <v>2</v>
      </c>
      <c r="CQ103" s="128">
        <v>2</v>
      </c>
      <c r="CR103" s="128">
        <v>2</v>
      </c>
      <c r="CS103" s="128">
        <v>2</v>
      </c>
      <c r="CT103" s="128">
        <v>2</v>
      </c>
      <c r="CU103" s="128">
        <v>2</v>
      </c>
      <c r="CV103" s="128">
        <v>2</v>
      </c>
      <c r="CW103" s="128">
        <v>2</v>
      </c>
      <c r="CX103" s="128">
        <v>2</v>
      </c>
      <c r="CZ103" s="126">
        <f>SUMIF(MatrixF3[[1]:[2]],MatrixF3[[#This Row],[Столбец1]])/MatrixF3[[#This Row],[Столбец1]]</f>
        <v>101</v>
      </c>
    </row>
    <row r="105" spans="1:104" s="126" customFormat="1" ht="21" customHeight="1" x14ac:dyDescent="0.25">
      <c r="B105" s="126">
        <f>SUMIF(MatrixF3[[1]:[2]],MatrixF3[[#Headers],[1]])/MatrixF3[[#Headers],[1]]</f>
        <v>101</v>
      </c>
      <c r="C105" s="126">
        <f>SUMIF(MatrixF3[[1]:[2]],MatrixF3[[#Headers],[1,01]])/MatrixF3[[#Headers],[1,01]]</f>
        <v>69.999999999999986</v>
      </c>
      <c r="D105" s="126">
        <f>SUMIF(MatrixF3[[1]:[2]],MatrixF3[[#Headers],[1,02]])/MatrixF3[[#Headers],[1,02]]</f>
        <v>75.000000000000043</v>
      </c>
      <c r="E105" s="126">
        <f>SUMIF(MatrixF3[[1]:[2]],MatrixF3[[#Headers],[1,03]])/MatrixF3[[#Headers],[1,03]]</f>
        <v>82.000000000000057</v>
      </c>
      <c r="F105" s="126">
        <f>SUMIF(MatrixF3[[1]:[2]],MatrixF3[[#Headers],[1,04]])/MatrixF3[[#Headers],[1,04]]</f>
        <v>81.000000000000071</v>
      </c>
      <c r="G105" s="126">
        <f>SUMIF(MatrixF3[[1]:[2]],MatrixF3[[#Headers],[1,05]])/MatrixF3[[#Headers],[1,05]]</f>
        <v>85.999999999999858</v>
      </c>
      <c r="H105" s="126">
        <f>SUMIF(MatrixF3[[1]:[2]],MatrixF3[[#Headers],[1,06]])/MatrixF3[[#Headers],[1,06]]</f>
        <v>81.000000000000085</v>
      </c>
      <c r="I105" s="126">
        <f>SUMIF(MatrixF3[[1]:[2]],MatrixF3[[#Headers],[1,07]])/MatrixF3[[#Headers],[1,07]]</f>
        <v>86.999999999999829</v>
      </c>
      <c r="J105" s="126">
        <f>SUMIF(MatrixF3[[1]:[2]],MatrixF3[[#Headers],[1,08]])/MatrixF3[[#Headers],[1,08]]</f>
        <v>85.999999999999886</v>
      </c>
      <c r="K105" s="126">
        <f>SUMIF(MatrixF3[[1]:[2]],MatrixF3[[#Headers],[1,09]])/MatrixF3[[#Headers],[1,09]]</f>
        <v>89.000000000000185</v>
      </c>
      <c r="L105" s="126">
        <f>SUMIF(MatrixF3[[1]:[2]],MatrixF3[[#Headers],[1,1]])/MatrixF3[[#Headers],[1,1]]</f>
        <v>89.999999999999872</v>
      </c>
      <c r="M105" s="126">
        <f>SUMIF(MatrixF3[[1]:[2]],MatrixF3[[#Headers],[1,11]])/MatrixF3[[#Headers],[1,11]]</f>
        <v>92.999999999999957</v>
      </c>
      <c r="N105" s="126">
        <f>SUMIF(MatrixF3[[1]:[2]],MatrixF3[[#Headers],[1,12]])/MatrixF3[[#Headers],[1,12]]</f>
        <v>95.000000000000099</v>
      </c>
      <c r="O105" s="126">
        <f>SUMIF(MatrixF3[[1]:[2]],MatrixF3[[#Headers],[1,13]])/MatrixF3[[#Headers],[1,13]]</f>
        <v>89.999999999999929</v>
      </c>
      <c r="P105" s="126">
        <f>SUMIF(MatrixF3[[1]:[2]],MatrixF3[[#Headers],[1,14]])/MatrixF3[[#Headers],[1,14]]</f>
        <v>97.000000000000043</v>
      </c>
      <c r="Q105" s="126">
        <f>SUMIF(MatrixF3[[1]:[2]],MatrixF3[[#Headers],[1,15]])/MatrixF3[[#Headers],[1,15]]</f>
        <v>97.000000000000171</v>
      </c>
      <c r="R105" s="126">
        <f>SUMIF(MatrixF3[[1]:[2]],MatrixF3[[#Headers],[1,16]])/MatrixF3[[#Headers],[1,16]]</f>
        <v>99.999999999999801</v>
      </c>
      <c r="S105" s="126">
        <f>SUMIF(MatrixF3[[1]:[2]],MatrixF3[[#Headers],[1,17]])/MatrixF3[[#Headers],[1,17]]</f>
        <v>93.000000000000114</v>
      </c>
      <c r="T105" s="126">
        <f>SUMIF(MatrixF3[[1]:[2]],MatrixF3[[#Headers],[1,18]])/MatrixF3[[#Headers],[1,18]]</f>
        <v>101.00000000000027</v>
      </c>
      <c r="U105" s="126">
        <f>SUMIF(MatrixF3[[1]:[2]],MatrixF3[[#Headers],[1,19]])/MatrixF3[[#Headers],[1,19]]</f>
        <v>100.99999999999987</v>
      </c>
      <c r="V105" s="126">
        <f>SUMIF(MatrixF3[[1]:[2]],MatrixF3[[#Headers],[1,2]])/MatrixF3[[#Headers],[1,2]]</f>
        <v>102.00000000000017</v>
      </c>
      <c r="W105" s="126">
        <f>SUMIF(MatrixF3[[1]:[2]],MatrixF3[[#Headers],[1,21]])/MatrixF3[[#Headers],[1,21]]</f>
        <v>100.99999999999979</v>
      </c>
      <c r="X105" s="126">
        <f>SUMIF(MatrixF3[[1]:[2]],MatrixF3[[#Headers],[1,22]])/MatrixF3[[#Headers],[1,22]]</f>
        <v>106.99999999999993</v>
      </c>
      <c r="Y105" s="126">
        <f>SUMIF(MatrixF3[[1]:[2]],MatrixF3[[#Headers],[1,23]])/MatrixF3[[#Headers],[1,23]]</f>
        <v>103.0000000000001</v>
      </c>
      <c r="Z105" s="126">
        <f>SUMIF(MatrixF3[[1]:[2]],MatrixF3[[#Headers],[1,24]])/MatrixF3[[#Headers],[1,24]]</f>
        <v>108.99999999999986</v>
      </c>
      <c r="AA105" s="126">
        <f>SUMIF(MatrixF3[[1]:[2]],MatrixF3[[#Headers],[1,25]])/MatrixF3[[#Headers],[1,25]]</f>
        <v>101</v>
      </c>
      <c r="AB105" s="126">
        <f>SUMIF(MatrixF3[[1]:[2]],MatrixF3[[#Headers],[1,26]])/MatrixF3[[#Headers],[1,26]]</f>
        <v>109.00000000000014</v>
      </c>
      <c r="AC105" s="126">
        <f>SUMIF(MatrixF3[[1]:[2]],MatrixF3[[#Headers],[1,27]])/MatrixF3[[#Headers],[1,27]]</f>
        <v>107.99999999999996</v>
      </c>
      <c r="AD105" s="126">
        <f>SUMIF(MatrixF3[[1]:[2]],MatrixF3[[#Headers],[1,28]])/MatrixF3[[#Headers],[1,28]]</f>
        <v>109.00000000000007</v>
      </c>
      <c r="AE105" s="126">
        <f>SUMIF(MatrixF3[[1]:[2]],MatrixF3[[#Headers],[1,29]])/MatrixF3[[#Headers],[1,29]]</f>
        <v>111.00000000000016</v>
      </c>
      <c r="AF105" s="126">
        <f>SUMIF(MatrixF3[[1]:[2]],MatrixF3[[#Headers],[1,3]])/MatrixF3[[#Headers],[1,3]]</f>
        <v>108.99999999999994</v>
      </c>
      <c r="AG105" s="126">
        <f>SUMIF(MatrixF3[[1]:[2]],MatrixF3[[#Headers],[1,31]])/MatrixF3[[#Headers],[1,31]]</f>
        <v>109.00000000000011</v>
      </c>
      <c r="AH105" s="126">
        <f>SUMIF(MatrixF3[[1]:[2]],MatrixF3[[#Headers],[1,32]])/MatrixF3[[#Headers],[1,32]]</f>
        <v>111.99999999999967</v>
      </c>
      <c r="AI105" s="126">
        <f>SUMIF(MatrixF3[[1]:[2]],MatrixF3[[#Headers],[1,33]])/MatrixF3[[#Headers],[1,33]]</f>
        <v>113.00000000000006</v>
      </c>
      <c r="AJ105" s="126">
        <f>SUMIF(MatrixF3[[1]:[2]],MatrixF3[[#Headers],[1,34]])/MatrixF3[[#Headers],[1,34]]</f>
        <v>111.00000000000021</v>
      </c>
      <c r="AK105" s="126">
        <f>SUMIF(MatrixF3[[1]:[2]],MatrixF3[[#Headers],[1,35]])/MatrixF3[[#Headers],[1,35]]</f>
        <v>112.99999999999974</v>
      </c>
      <c r="AL105" s="126">
        <f>SUMIF(MatrixF3[[1]:[2]],MatrixF3[[#Headers],[1,36]])/MatrixF3[[#Headers],[1,36]]</f>
        <v>111.00000000000013</v>
      </c>
      <c r="AM105" s="126">
        <f>SUMIF(MatrixF3[[1]:[2]],MatrixF3[[#Headers],[1,37]])/MatrixF3[[#Headers],[1,37]]</f>
        <v>109.00000000000017</v>
      </c>
      <c r="AN105" s="126">
        <f>SUMIF(MatrixF3[[1]:[2]],MatrixF3[[#Headers],[1,38]])/MatrixF3[[#Headers],[1,38]]</f>
        <v>113.99999999999982</v>
      </c>
      <c r="AO105" s="126">
        <f>SUMIF(MatrixF3[[1]:[2]],MatrixF3[[#Headers],[1,39]])/MatrixF3[[#Headers],[1,39]]</f>
        <v>110.99999999999986</v>
      </c>
      <c r="AP105" s="126">
        <f>SUMIF(MatrixF3[[1]:[2]],MatrixF3[[#Headers],[1,4]])/MatrixF3[[#Headers],[1,4]]</f>
        <v>114.00000000000024</v>
      </c>
      <c r="AQ105" s="126">
        <f>SUMIF(MatrixF3[[1]:[2]],MatrixF3[[#Headers],[1,41]])/MatrixF3[[#Headers],[1,41]]</f>
        <v>110.9999999999998</v>
      </c>
      <c r="AR105" s="126">
        <f>SUMIF(MatrixF3[[1]:[2]],MatrixF3[[#Headers],[1,42]])/MatrixF3[[#Headers],[1,42]]</f>
        <v>108.99999999999993</v>
      </c>
      <c r="AS105" s="126">
        <f>SUMIF(MatrixF3[[1]:[2]],MatrixF3[[#Headers],[1,43]])/MatrixF3[[#Headers],[1,43]]</f>
        <v>112.00000000000033</v>
      </c>
      <c r="AT105" s="126">
        <f>SUMIF(MatrixF3[[1]:[2]],MatrixF3[[#Headers],[1,44]])/MatrixF3[[#Headers],[1,44]]</f>
        <v>107.99999999999989</v>
      </c>
      <c r="AU105" s="126">
        <f>SUMIF(MatrixF3[[1]:[2]],MatrixF3[[#Headers],[1,45]])/MatrixF3[[#Headers],[1,45]]</f>
        <v>108.99999999999996</v>
      </c>
      <c r="AV105" s="126">
        <f>SUMIF(MatrixF3[[1]:[2]],MatrixF3[[#Headers],[1,46]])/MatrixF3[[#Headers],[1,46]]</f>
        <v>107.99999999999994</v>
      </c>
      <c r="AW105" s="126">
        <f>SUMIF(MatrixF3[[1]:[2]],MatrixF3[[#Headers],[1,47]])/MatrixF3[[#Headers],[1,47]]</f>
        <v>105.99999999999994</v>
      </c>
      <c r="AX105" s="126">
        <f>SUMIF(MatrixF3[[1]:[2]],MatrixF3[[#Headers],[1,48]])/MatrixF3[[#Headers],[1,48]]</f>
        <v>103.99999999999996</v>
      </c>
      <c r="AY105" s="126">
        <f>SUMIF(MatrixF3[[1]:[2]],MatrixF3[[#Headers],[1,49]])/MatrixF3[[#Headers],[1,49]]</f>
        <v>101.99999999999997</v>
      </c>
      <c r="AZ105" s="126">
        <f>SUMIF(MatrixF3[[1]:[2]],MatrixF3[[#Headers],[1,5]])/MatrixF3[[#Headers],[1,5]]</f>
        <v>101</v>
      </c>
      <c r="BA105" s="126">
        <f>SUMIF(MatrixF3[[1]:[2]],MatrixF3[[#Headers],[1,51]])/MatrixF3[[#Headers],[1,51]]</f>
        <v>102.00000000000003</v>
      </c>
      <c r="BB105" s="126">
        <f>SUMIF(MatrixF3[[1]:[2]],MatrixF3[[#Headers],[1,52]])/MatrixF3[[#Headers],[1,52]]</f>
        <v>104.00000000000006</v>
      </c>
      <c r="BC105" s="126">
        <f>SUMIF(MatrixF3[[1]:[2]],MatrixF3[[#Headers],[1,53]])/MatrixF3[[#Headers],[1,53]]</f>
        <v>106.00000000000006</v>
      </c>
      <c r="BD105" s="126">
        <f>SUMIF(MatrixF3[[1]:[2]],MatrixF3[[#Headers],[1,54]])/MatrixF3[[#Headers],[1,54]]</f>
        <v>108.00000000000003</v>
      </c>
      <c r="BE105" s="126">
        <f>SUMIF(MatrixF3[[1]:[2]],MatrixF3[[#Headers],[1,55]])/MatrixF3[[#Headers],[1,55]]</f>
        <v>109.00000000000009</v>
      </c>
      <c r="BF105" s="126">
        <f>SUMIF(MatrixF3[[1]:[2]],MatrixF3[[#Headers],[1,56]])/MatrixF3[[#Headers],[1,56]]</f>
        <v>108.00000000000011</v>
      </c>
      <c r="BG105" s="126">
        <f>SUMIF(MatrixF3[[1]:[2]],MatrixF3[[#Headers],[1,57]])/MatrixF3[[#Headers],[1,57]]</f>
        <v>111.99999999999969</v>
      </c>
      <c r="BH105" s="126">
        <f>SUMIF(MatrixF3[[1]:[2]],MatrixF3[[#Headers],[1,58]])/MatrixF3[[#Headers],[1,58]]</f>
        <v>109.00000000000014</v>
      </c>
      <c r="BI105" s="126">
        <f>SUMIF(MatrixF3[[1]:[2]],MatrixF3[[#Headers],[1,59]])/MatrixF3[[#Headers],[1,59]]</f>
        <v>111.00000000000018</v>
      </c>
      <c r="BJ105" s="126">
        <f>SUMIF(MatrixF3[[1]:[2]],MatrixF3[[#Headers],[1,6]])/MatrixF3[[#Headers],[1,6]]</f>
        <v>113.99999999999974</v>
      </c>
      <c r="BK105" s="126">
        <f>SUMIF(MatrixF3[[1]:[2]],MatrixF3[[#Headers],[1,61]])/MatrixF3[[#Headers],[1,61]]</f>
        <v>111.00000000000024</v>
      </c>
      <c r="BL105" s="126">
        <f>SUMIF(MatrixF3[[1]:[2]],MatrixF3[[#Headers],[1,62]])/MatrixF3[[#Headers],[1,62]]</f>
        <v>112.00000000000017</v>
      </c>
      <c r="BM105" s="126">
        <f>SUMIF(MatrixF3[[1]:[2]],MatrixF3[[#Headers],[1,63]])/MatrixF3[[#Headers],[1,63]]</f>
        <v>110.99999999999984</v>
      </c>
      <c r="BN105" s="126">
        <f>SUMIF(MatrixF3[[1]:[2]],MatrixF3[[#Headers],[1,64]])/MatrixF3[[#Headers],[1,64]]</f>
        <v>110.99999999999976</v>
      </c>
      <c r="BO105" s="126">
        <f>SUMIF(MatrixF3[[1]:[2]],MatrixF3[[#Headers],[1,65]])/MatrixF3[[#Headers],[1,65]]</f>
        <v>113.00000000000024</v>
      </c>
      <c r="BP105" s="126">
        <f>SUMIF(MatrixF3[[1]:[2]],MatrixF3[[#Headers],[1,66]])/MatrixF3[[#Headers],[1,66]]</f>
        <v>110.99999999999983</v>
      </c>
      <c r="BQ105" s="126">
        <f>SUMIF(MatrixF3[[1]:[2]],MatrixF3[[#Headers],[1,67]])/MatrixF3[[#Headers],[1,67]]</f>
        <v>112.99999999999979</v>
      </c>
      <c r="BR105" s="126">
        <f>SUMIF(MatrixF3[[1]:[2]],MatrixF3[[#Headers],[1,68]])/MatrixF3[[#Headers],[1,68]]</f>
        <v>112.00000000000028</v>
      </c>
      <c r="BS105" s="126">
        <f>SUMIF(MatrixF3[[1]:[2]],MatrixF3[[#Headers],[1,69]])/MatrixF3[[#Headers],[1,69]]</f>
        <v>108.99999999999989</v>
      </c>
      <c r="BT105" s="126">
        <f>SUMIF(MatrixF3[[1]:[2]],MatrixF3[[#Headers],[1,7]])/MatrixF3[[#Headers],[1,7]]</f>
        <v>108.99999999999986</v>
      </c>
      <c r="BU105" s="126">
        <f>SUMIF(MatrixF3[[1]:[2]],MatrixF3[[#Headers],[1,71]])/MatrixF3[[#Headers],[1,71]]</f>
        <v>111.00000000000006</v>
      </c>
      <c r="BV105" s="126">
        <f>SUMIF(MatrixF3[[1]:[2]],MatrixF3[[#Headers],[1,72]])/MatrixF3[[#Headers],[1,72]]</f>
        <v>106.99999999999994</v>
      </c>
      <c r="BW105" s="126">
        <f>SUMIF(MatrixF3[[1]:[2]],MatrixF3[[#Headers],[1,73]])/MatrixF3[[#Headers],[1,73]]</f>
        <v>109.99999999999984</v>
      </c>
      <c r="BX105" s="126">
        <f>SUMIF(MatrixF3[[1]:[2]],MatrixF3[[#Headers],[1,74]])/MatrixF3[[#Headers],[1,74]]</f>
        <v>109.0000000000001</v>
      </c>
      <c r="BY105" s="126">
        <f>SUMIF(MatrixF3[[1]:[2]],MatrixF3[[#Headers],[1,75]])/MatrixF3[[#Headers],[1,75]]</f>
        <v>101</v>
      </c>
      <c r="BZ105" s="126">
        <f>SUMIF(MatrixF3[[1]:[2]],MatrixF3[[#Headers],[1,76]])/MatrixF3[[#Headers],[1,76]]</f>
        <v>108.9999999999999</v>
      </c>
      <c r="CA105" s="126">
        <f>SUMIF(MatrixF3[[1]:[2]],MatrixF3[[#Headers],[1,77]])/MatrixF3[[#Headers],[1,77]]</f>
        <v>103.00000000000013</v>
      </c>
      <c r="CB105" s="126">
        <f>SUMIF(MatrixF3[[1]:[2]],MatrixF3[[#Headers],[1,78]])/MatrixF3[[#Headers],[1,78]]</f>
        <v>107.00000000000006</v>
      </c>
      <c r="CC105" s="126">
        <f>SUMIF(MatrixF3[[1]:[2]],MatrixF3[[#Headers],[1,79]])/MatrixF3[[#Headers],[1,79]]</f>
        <v>100.99999999999997</v>
      </c>
      <c r="CD105" s="126">
        <f>SUMIF(MatrixF3[[1]:[2]],MatrixF3[[#Headers],[1,8]])/MatrixF3[[#Headers],[1,8]]</f>
        <v>102.0000000000001</v>
      </c>
      <c r="CE105" s="126">
        <f>SUMIF(MatrixF3[[1]:[2]],MatrixF3[[#Headers],[1,81]])/MatrixF3[[#Headers],[1,81]]</f>
        <v>101.0000000000001</v>
      </c>
      <c r="CF105" s="126">
        <f>SUMIF(MatrixF3[[1]:[2]],MatrixF3[[#Headers],[1,82]])/MatrixF3[[#Headers],[1,82]]</f>
        <v>100.99999999999976</v>
      </c>
      <c r="CG105" s="126">
        <f>SUMIF(MatrixF3[[1]:[2]],MatrixF3[[#Headers],[1,83]])/MatrixF3[[#Headers],[1,83]]</f>
        <v>93.000000000000099</v>
      </c>
      <c r="CH105" s="126">
        <f>SUMIF(MatrixF3[[1]:[2]],MatrixF3[[#Headers],[1,84]])/MatrixF3[[#Headers],[1,84]]</f>
        <v>100.00000000000016</v>
      </c>
      <c r="CI105" s="126">
        <f>SUMIF(MatrixF3[[1]:[2]],MatrixF3[[#Headers],[1,85]])/MatrixF3[[#Headers],[1,85]]</f>
        <v>96.999999999999815</v>
      </c>
      <c r="CJ105" s="126">
        <f>SUMIF(MatrixF3[[1]:[2]],MatrixF3[[#Headers],[1,86]])/MatrixF3[[#Headers],[1,86]]</f>
        <v>97.000000000000185</v>
      </c>
      <c r="CK105" s="126">
        <f>SUMIF(MatrixF3[[1]:[2]],MatrixF3[[#Headers],[1,87]])/MatrixF3[[#Headers],[1,87]]</f>
        <v>88.000000000000099</v>
      </c>
      <c r="CL105" s="126">
        <f>SUMIF(MatrixF3[[1]:[2]],MatrixF3[[#Headers],[1,88]])/MatrixF3[[#Headers],[1,88]]</f>
        <v>96.999999999999872</v>
      </c>
      <c r="CM105" s="126">
        <f>SUMIF(MatrixF3[[1]:[2]],MatrixF3[[#Headers],[1,89]])/MatrixF3[[#Headers],[1,89]]</f>
        <v>92.999999999999829</v>
      </c>
      <c r="CN105" s="126">
        <f>SUMIF(MatrixF3[[1]:[2]],MatrixF3[[#Headers],[1,9]])/MatrixF3[[#Headers],[1,9]]</f>
        <v>90.000000000000156</v>
      </c>
      <c r="CO105" s="126">
        <f>SUMIF(MatrixF3[[1]:[2]],MatrixF3[[#Headers],[1,91]])/MatrixF3[[#Headers],[1,91]]</f>
        <v>88.999999999999872</v>
      </c>
      <c r="CP105" s="126">
        <f>SUMIF(MatrixF3[[1]:[2]],MatrixF3[[#Headers],[1,92]])/MatrixF3[[#Headers],[1,92]]</f>
        <v>85.999999999999929</v>
      </c>
      <c r="CQ105" s="126">
        <f>SUMIF(MatrixF3[[1]:[2]],MatrixF3[[#Headers],[1,93]])/MatrixF3[[#Headers],[1,93]]</f>
        <v>87.000000000000199</v>
      </c>
      <c r="CR105" s="126">
        <f>SUMIF(MatrixF3[[1]:[2]],MatrixF3[[#Headers],[1,94]])/MatrixF3[[#Headers],[1,94]]</f>
        <v>80.999999999999943</v>
      </c>
      <c r="CS105" s="126">
        <f>SUMIF(MatrixF3[[1]:[2]],MatrixF3[[#Headers],[1,95]])/MatrixF3[[#Headers],[1,95]]</f>
        <v>85.999999999999957</v>
      </c>
      <c r="CT105" s="126">
        <f>SUMIF(MatrixF3[[1]:[2]],MatrixF3[[#Headers],[1,96]])/MatrixF3[[#Headers],[1,96]]</f>
        <v>80.999999999999972</v>
      </c>
      <c r="CU105" s="126">
        <f>SUMIF(MatrixF3[[1]:[2]],MatrixF3[[#Headers],[1,97]])/MatrixF3[[#Headers],[1,97]]</f>
        <v>79.999999999999972</v>
      </c>
      <c r="CV105" s="126">
        <f>SUMIF(MatrixF3[[1]:[2]],MatrixF3[[#Headers],[1,98]])/MatrixF3[[#Headers],[1,98]]</f>
        <v>76.999999999999972</v>
      </c>
      <c r="CW105" s="126">
        <f>SUMIF(MatrixF3[[1]:[2]],MatrixF3[[#Headers],[1,99]])/MatrixF3[[#Headers],[1,99]]</f>
        <v>69.999999999999943</v>
      </c>
      <c r="CX105" s="126">
        <f>SUMIF(MatrixF3[[1]:[2]],MatrixF3[[#Headers],[2]])/MatrixF3[[#Headers],[2]]</f>
        <v>101</v>
      </c>
      <c r="CZ105" s="126">
        <f>SUM(CZ3:CZ103)</f>
        <v>10201</v>
      </c>
    </row>
  </sheetData>
  <mergeCells count="1">
    <mergeCell ref="A1:C1"/>
  </mergeCells>
  <conditionalFormatting sqref="B3:CX103">
    <cfRule type="cellIs" dxfId="10" priority="1" operator="equal">
      <formula>1.6</formula>
    </cfRule>
    <cfRule type="colorScale" priority="2">
      <colorScale>
        <cfvo type="min"/>
        <cfvo type="percentile" val="50"/>
        <cfvo type="max"/>
        <color rgb="FFF8696B"/>
        <color rgb="FFFFEB84"/>
        <color rgb="FF63BE7B"/>
      </colorScale>
    </cfRule>
  </conditionalFormatting>
  <hyperlinks>
    <hyperlink ref="A1:C1" location="Содержание!A1" display="&lt;&lt;НАЗАД" xr:uid="{00000000-0004-0000-0F00-000000000000}"/>
  </hyperlink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911"/>
  <dimension ref="A1:CZ105"/>
  <sheetViews>
    <sheetView zoomScale="160" zoomScaleNormal="160" workbookViewId="0">
      <pane xSplit="1" ySplit="2" topLeftCell="F17" activePane="bottomRight" state="frozen"/>
      <selection pane="topRight" activeCell="B1" sqref="B1"/>
      <selection pane="bottomLeft" activeCell="A3" sqref="A3"/>
      <selection pane="bottomRight" activeCell="I2" sqref="I2"/>
    </sheetView>
  </sheetViews>
  <sheetFormatPr defaultColWidth="4.7109375" defaultRowHeight="21" customHeight="1" x14ac:dyDescent="0.25"/>
  <cols>
    <col min="1" max="103" width="4.7109375" style="2"/>
    <col min="104" max="104" width="4.7109375" style="126" customWidth="1"/>
    <col min="105" max="16384" width="4.7109375" style="2"/>
  </cols>
  <sheetData>
    <row r="1" spans="1:104" ht="21" customHeight="1" x14ac:dyDescent="0.25">
      <c r="A1" s="261" t="s">
        <v>109</v>
      </c>
      <c r="B1" s="261"/>
      <c r="C1" s="261"/>
      <c r="G1" s="205">
        <v>1.57</v>
      </c>
      <c r="H1" s="206" t="s">
        <v>614</v>
      </c>
      <c r="I1" s="205">
        <f>COUNTIF(MatrixF4[[1]:[2]],"="&amp;G1)</f>
        <v>137</v>
      </c>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9">
        <v>1</v>
      </c>
      <c r="C3" s="129">
        <v>1.01</v>
      </c>
      <c r="D3" s="129">
        <v>1.02</v>
      </c>
      <c r="E3" s="129">
        <v>1.03</v>
      </c>
      <c r="F3" s="129">
        <v>1.04</v>
      </c>
      <c r="G3" s="129">
        <v>1.05</v>
      </c>
      <c r="H3" s="129">
        <v>1.06</v>
      </c>
      <c r="I3" s="129">
        <v>1.07</v>
      </c>
      <c r="J3" s="129">
        <v>1.08</v>
      </c>
      <c r="K3" s="129">
        <v>1.0900000000000001</v>
      </c>
      <c r="L3" s="129">
        <v>1.1000000000000001</v>
      </c>
      <c r="M3" s="129">
        <v>1.1100000000000001</v>
      </c>
      <c r="N3" s="129">
        <v>1.1200000000000001</v>
      </c>
      <c r="O3" s="129">
        <v>1.1299999999999999</v>
      </c>
      <c r="P3" s="129">
        <v>1.1399999999999999</v>
      </c>
      <c r="Q3" s="129">
        <v>1.1499999999999999</v>
      </c>
      <c r="R3" s="129">
        <v>1.1599999999999999</v>
      </c>
      <c r="S3" s="129">
        <v>1.17</v>
      </c>
      <c r="T3" s="129">
        <v>1.18</v>
      </c>
      <c r="U3" s="129">
        <v>1.19</v>
      </c>
      <c r="V3" s="129">
        <v>1.2</v>
      </c>
      <c r="W3" s="129">
        <v>1.21</v>
      </c>
      <c r="X3" s="129">
        <v>1.22</v>
      </c>
      <c r="Y3" s="129">
        <v>1.23</v>
      </c>
      <c r="Z3" s="129">
        <v>1.24</v>
      </c>
      <c r="AA3" s="129">
        <v>1.25</v>
      </c>
      <c r="AB3" s="129">
        <v>1.26</v>
      </c>
      <c r="AC3" s="129">
        <v>1.27</v>
      </c>
      <c r="AD3" s="129">
        <v>1.28</v>
      </c>
      <c r="AE3" s="129">
        <v>1.29</v>
      </c>
      <c r="AF3" s="129">
        <v>1.3</v>
      </c>
      <c r="AG3" s="129">
        <v>1.31</v>
      </c>
      <c r="AH3" s="129">
        <v>1.32</v>
      </c>
      <c r="AI3" s="129">
        <v>1.33</v>
      </c>
      <c r="AJ3" s="129">
        <v>1.34</v>
      </c>
      <c r="AK3" s="129">
        <v>1.35</v>
      </c>
      <c r="AL3" s="129">
        <v>1.36</v>
      </c>
      <c r="AM3" s="129">
        <v>1.37</v>
      </c>
      <c r="AN3" s="129">
        <v>1.38</v>
      </c>
      <c r="AO3" s="129">
        <v>1.39</v>
      </c>
      <c r="AP3" s="129">
        <v>1.4</v>
      </c>
      <c r="AQ3" s="129">
        <v>1.41</v>
      </c>
      <c r="AR3" s="129">
        <v>1.42</v>
      </c>
      <c r="AS3" s="129">
        <v>1.43</v>
      </c>
      <c r="AT3" s="129">
        <v>1.44</v>
      </c>
      <c r="AU3" s="129">
        <v>1.45</v>
      </c>
      <c r="AV3" s="129">
        <v>1.46</v>
      </c>
      <c r="AW3" s="129">
        <v>1.47</v>
      </c>
      <c r="AX3" s="129">
        <v>1.48</v>
      </c>
      <c r="AY3" s="129">
        <v>1.49</v>
      </c>
      <c r="AZ3" s="129">
        <v>1.5</v>
      </c>
      <c r="BA3" s="129">
        <v>1.51</v>
      </c>
      <c r="BB3" s="129">
        <v>1.52</v>
      </c>
      <c r="BC3" s="129">
        <v>1.53</v>
      </c>
      <c r="BD3" s="129">
        <v>1.54</v>
      </c>
      <c r="BE3" s="129">
        <v>1.55</v>
      </c>
      <c r="BF3" s="129">
        <v>1.56</v>
      </c>
      <c r="BG3" s="129">
        <v>1.57</v>
      </c>
      <c r="BH3" s="129">
        <v>1.58</v>
      </c>
      <c r="BI3" s="129">
        <v>1.59</v>
      </c>
      <c r="BJ3" s="129">
        <v>1.6</v>
      </c>
      <c r="BK3" s="129">
        <v>1.61</v>
      </c>
      <c r="BL3" s="129">
        <v>1.62</v>
      </c>
      <c r="BM3" s="129">
        <v>1.63</v>
      </c>
      <c r="BN3" s="129">
        <v>1.64</v>
      </c>
      <c r="BO3" s="129">
        <v>1.65</v>
      </c>
      <c r="BP3" s="129">
        <v>1.66</v>
      </c>
      <c r="BQ3" s="129">
        <v>1.67</v>
      </c>
      <c r="BR3" s="129">
        <v>1.68</v>
      </c>
      <c r="BS3" s="129">
        <v>1.69</v>
      </c>
      <c r="BT3" s="129">
        <v>1.7</v>
      </c>
      <c r="BU3" s="129">
        <v>1.71</v>
      </c>
      <c r="BV3" s="129">
        <v>1.72</v>
      </c>
      <c r="BW3" s="129">
        <v>1.73</v>
      </c>
      <c r="BX3" s="129">
        <v>1.74</v>
      </c>
      <c r="BY3" s="129">
        <v>1.75</v>
      </c>
      <c r="BZ3" s="129">
        <v>1.76</v>
      </c>
      <c r="CA3" s="129">
        <v>1.77</v>
      </c>
      <c r="CB3" s="129">
        <v>1.78</v>
      </c>
      <c r="CC3" s="129">
        <v>1.79</v>
      </c>
      <c r="CD3" s="129">
        <v>1.8</v>
      </c>
      <c r="CE3" s="129">
        <v>1.81</v>
      </c>
      <c r="CF3" s="129">
        <v>1.82</v>
      </c>
      <c r="CG3" s="129">
        <v>1.83</v>
      </c>
      <c r="CH3" s="129">
        <v>1.84</v>
      </c>
      <c r="CI3" s="129">
        <v>1.85</v>
      </c>
      <c r="CJ3" s="129">
        <v>1.86</v>
      </c>
      <c r="CK3" s="129">
        <v>1.87</v>
      </c>
      <c r="CL3" s="129">
        <v>1.88</v>
      </c>
      <c r="CM3" s="129">
        <v>1.89</v>
      </c>
      <c r="CN3" s="129">
        <v>1.9</v>
      </c>
      <c r="CO3" s="129">
        <v>1.91</v>
      </c>
      <c r="CP3" s="129">
        <v>1.92</v>
      </c>
      <c r="CQ3" s="129">
        <v>1.93</v>
      </c>
      <c r="CR3" s="129">
        <v>1.94</v>
      </c>
      <c r="CS3" s="129">
        <v>1.95</v>
      </c>
      <c r="CT3" s="129">
        <v>1.96</v>
      </c>
      <c r="CU3" s="129">
        <v>1.97</v>
      </c>
      <c r="CV3" s="129">
        <v>1.98</v>
      </c>
      <c r="CW3" s="129">
        <v>1.99</v>
      </c>
      <c r="CX3" s="129">
        <v>2</v>
      </c>
      <c r="CZ3" s="126">
        <f>SUMIF(MatrixF4[[1]:[2]],MatrixF4[[#This Row],[Столбец1]])/MatrixF4[[#This Row],[Столбец1]]</f>
        <v>1</v>
      </c>
    </row>
    <row r="4" spans="1:104" ht="21" customHeight="1" x14ac:dyDescent="0.25">
      <c r="A4" s="127">
        <v>1.01</v>
      </c>
      <c r="B4" s="129">
        <v>1.01</v>
      </c>
      <c r="C4" s="129">
        <v>1.01</v>
      </c>
      <c r="D4" s="129">
        <v>1.02</v>
      </c>
      <c r="E4" s="129">
        <v>1.03</v>
      </c>
      <c r="F4" s="129">
        <v>1.04</v>
      </c>
      <c r="G4" s="129">
        <v>1.05</v>
      </c>
      <c r="H4" s="129">
        <v>1.06</v>
      </c>
      <c r="I4" s="129">
        <v>1.07</v>
      </c>
      <c r="J4" s="129">
        <v>1.08</v>
      </c>
      <c r="K4" s="129">
        <v>1.0900000000000001</v>
      </c>
      <c r="L4" s="129">
        <v>1.1000000000000001</v>
      </c>
      <c r="M4" s="129">
        <v>1.1100000000000001</v>
      </c>
      <c r="N4" s="129">
        <v>1.1200000000000001</v>
      </c>
      <c r="O4" s="129">
        <v>1.1299999999999999</v>
      </c>
      <c r="P4" s="129">
        <v>1.1399999999999999</v>
      </c>
      <c r="Q4" s="129">
        <v>1.1499999999999999</v>
      </c>
      <c r="R4" s="129">
        <v>1.1599999999999999</v>
      </c>
      <c r="S4" s="129">
        <v>1.17</v>
      </c>
      <c r="T4" s="129">
        <v>1.18</v>
      </c>
      <c r="U4" s="129">
        <v>1.19</v>
      </c>
      <c r="V4" s="129">
        <v>1.2</v>
      </c>
      <c r="W4" s="129">
        <v>1.21</v>
      </c>
      <c r="X4" s="129">
        <v>1.22</v>
      </c>
      <c r="Y4" s="129">
        <v>1.23</v>
      </c>
      <c r="Z4" s="129">
        <v>1.24</v>
      </c>
      <c r="AA4" s="129">
        <v>1.25</v>
      </c>
      <c r="AB4" s="129">
        <v>1.26</v>
      </c>
      <c r="AC4" s="129">
        <v>1.27</v>
      </c>
      <c r="AD4" s="129">
        <v>1.28</v>
      </c>
      <c r="AE4" s="129">
        <v>1.29</v>
      </c>
      <c r="AF4" s="129">
        <v>1.3</v>
      </c>
      <c r="AG4" s="129">
        <v>1.31</v>
      </c>
      <c r="AH4" s="129">
        <v>1.32</v>
      </c>
      <c r="AI4" s="129">
        <v>1.33</v>
      </c>
      <c r="AJ4" s="129">
        <v>1.34</v>
      </c>
      <c r="AK4" s="129">
        <v>1.35</v>
      </c>
      <c r="AL4" s="129">
        <v>1.36</v>
      </c>
      <c r="AM4" s="129">
        <v>1.37</v>
      </c>
      <c r="AN4" s="129">
        <v>1.38</v>
      </c>
      <c r="AO4" s="129">
        <v>1.39</v>
      </c>
      <c r="AP4" s="129">
        <v>1.4</v>
      </c>
      <c r="AQ4" s="129">
        <v>1.41</v>
      </c>
      <c r="AR4" s="129">
        <v>1.42</v>
      </c>
      <c r="AS4" s="129">
        <v>1.43</v>
      </c>
      <c r="AT4" s="129">
        <v>1.44</v>
      </c>
      <c r="AU4" s="129">
        <v>1.45</v>
      </c>
      <c r="AV4" s="129">
        <v>1.46</v>
      </c>
      <c r="AW4" s="129">
        <v>1.47</v>
      </c>
      <c r="AX4" s="129">
        <v>1.48</v>
      </c>
      <c r="AY4" s="129">
        <v>1.49</v>
      </c>
      <c r="AZ4" s="129">
        <v>1.5</v>
      </c>
      <c r="BA4" s="129">
        <v>1.51</v>
      </c>
      <c r="BB4" s="129">
        <v>1.52</v>
      </c>
      <c r="BC4" s="129">
        <v>1.53</v>
      </c>
      <c r="BD4" s="129">
        <v>1.54</v>
      </c>
      <c r="BE4" s="129">
        <v>1.55</v>
      </c>
      <c r="BF4" s="129">
        <v>1.56</v>
      </c>
      <c r="BG4" s="129">
        <v>1.57</v>
      </c>
      <c r="BH4" s="129">
        <v>1.58</v>
      </c>
      <c r="BI4" s="129">
        <v>1.59</v>
      </c>
      <c r="BJ4" s="129">
        <v>1.6</v>
      </c>
      <c r="BK4" s="129">
        <v>1.61</v>
      </c>
      <c r="BL4" s="129">
        <v>1.62</v>
      </c>
      <c r="BM4" s="129">
        <v>1.63</v>
      </c>
      <c r="BN4" s="129">
        <v>1.64</v>
      </c>
      <c r="BO4" s="129">
        <v>1.65</v>
      </c>
      <c r="BP4" s="129">
        <v>1.66</v>
      </c>
      <c r="BQ4" s="129">
        <v>1.67</v>
      </c>
      <c r="BR4" s="129">
        <v>1.68</v>
      </c>
      <c r="BS4" s="129">
        <v>1.69</v>
      </c>
      <c r="BT4" s="129">
        <v>1.7</v>
      </c>
      <c r="BU4" s="129">
        <v>1.71</v>
      </c>
      <c r="BV4" s="129">
        <v>1.72</v>
      </c>
      <c r="BW4" s="129">
        <v>1.73</v>
      </c>
      <c r="BX4" s="129">
        <v>1.74</v>
      </c>
      <c r="BY4" s="129">
        <v>1.75</v>
      </c>
      <c r="BZ4" s="129">
        <v>1.76</v>
      </c>
      <c r="CA4" s="129">
        <v>1.77</v>
      </c>
      <c r="CB4" s="129">
        <v>1.78</v>
      </c>
      <c r="CC4" s="129">
        <v>1.79</v>
      </c>
      <c r="CD4" s="129">
        <v>1.8</v>
      </c>
      <c r="CE4" s="129">
        <v>1.81</v>
      </c>
      <c r="CF4" s="129">
        <v>1.82</v>
      </c>
      <c r="CG4" s="129">
        <v>1.83</v>
      </c>
      <c r="CH4" s="129">
        <v>1.84</v>
      </c>
      <c r="CI4" s="129">
        <v>1.85</v>
      </c>
      <c r="CJ4" s="129">
        <v>1.86</v>
      </c>
      <c r="CK4" s="129">
        <v>1.87</v>
      </c>
      <c r="CL4" s="129">
        <v>1.88</v>
      </c>
      <c r="CM4" s="129">
        <v>1.89</v>
      </c>
      <c r="CN4" s="129">
        <v>1.9</v>
      </c>
      <c r="CO4" s="129">
        <v>1.91</v>
      </c>
      <c r="CP4" s="129">
        <v>1.92</v>
      </c>
      <c r="CQ4" s="129">
        <v>1.93</v>
      </c>
      <c r="CR4" s="129">
        <v>1.94</v>
      </c>
      <c r="CS4" s="129">
        <v>1.95</v>
      </c>
      <c r="CT4" s="129">
        <v>1.96</v>
      </c>
      <c r="CU4" s="129">
        <v>1.97</v>
      </c>
      <c r="CV4" s="129">
        <v>1.98</v>
      </c>
      <c r="CW4" s="129">
        <v>1.99</v>
      </c>
      <c r="CX4" s="129">
        <v>2</v>
      </c>
      <c r="CZ4" s="126">
        <f>SUMIF(MatrixF4[[1]:[2]],MatrixF4[[#This Row],[Столбец1]])/MatrixF4[[#This Row],[Столбец1]]</f>
        <v>3</v>
      </c>
    </row>
    <row r="5" spans="1:104" ht="21" customHeight="1" x14ac:dyDescent="0.25">
      <c r="A5" s="127">
        <v>1.02</v>
      </c>
      <c r="B5" s="129">
        <v>1.02</v>
      </c>
      <c r="C5" s="129">
        <v>1.02</v>
      </c>
      <c r="D5" s="129">
        <v>1.02</v>
      </c>
      <c r="E5" s="129">
        <v>1.03</v>
      </c>
      <c r="F5" s="129">
        <v>1.04</v>
      </c>
      <c r="G5" s="129">
        <v>1.05</v>
      </c>
      <c r="H5" s="129">
        <v>1.06</v>
      </c>
      <c r="I5" s="129">
        <v>1.07</v>
      </c>
      <c r="J5" s="129">
        <v>1.08</v>
      </c>
      <c r="K5" s="129">
        <v>1.0900000000000001</v>
      </c>
      <c r="L5" s="129">
        <v>1.1000000000000001</v>
      </c>
      <c r="M5" s="129">
        <v>1.1100000000000001</v>
      </c>
      <c r="N5" s="129">
        <v>1.1200000000000001</v>
      </c>
      <c r="O5" s="129">
        <v>1.1299999999999999</v>
      </c>
      <c r="P5" s="129">
        <v>1.1399999999999999</v>
      </c>
      <c r="Q5" s="129">
        <v>1.1499999999999999</v>
      </c>
      <c r="R5" s="129">
        <v>1.1599999999999999</v>
      </c>
      <c r="S5" s="129">
        <v>1.17</v>
      </c>
      <c r="T5" s="129">
        <v>1.18</v>
      </c>
      <c r="U5" s="129">
        <v>1.19</v>
      </c>
      <c r="V5" s="129">
        <v>1.2</v>
      </c>
      <c r="W5" s="129">
        <v>1.21</v>
      </c>
      <c r="X5" s="129">
        <v>1.22</v>
      </c>
      <c r="Y5" s="129">
        <v>1.23</v>
      </c>
      <c r="Z5" s="129">
        <v>1.24</v>
      </c>
      <c r="AA5" s="129">
        <v>1.25</v>
      </c>
      <c r="AB5" s="129">
        <v>1.26</v>
      </c>
      <c r="AC5" s="129">
        <v>1.27</v>
      </c>
      <c r="AD5" s="129">
        <v>1.28</v>
      </c>
      <c r="AE5" s="129">
        <v>1.29</v>
      </c>
      <c r="AF5" s="129">
        <v>1.3</v>
      </c>
      <c r="AG5" s="129">
        <v>1.31</v>
      </c>
      <c r="AH5" s="129">
        <v>1.32</v>
      </c>
      <c r="AI5" s="129">
        <v>1.33</v>
      </c>
      <c r="AJ5" s="129">
        <v>1.34</v>
      </c>
      <c r="AK5" s="129">
        <v>1.35</v>
      </c>
      <c r="AL5" s="129">
        <v>1.36</v>
      </c>
      <c r="AM5" s="129">
        <v>1.37</v>
      </c>
      <c r="AN5" s="129">
        <v>1.38</v>
      </c>
      <c r="AO5" s="129">
        <v>1.39</v>
      </c>
      <c r="AP5" s="129">
        <v>1.4</v>
      </c>
      <c r="AQ5" s="129">
        <v>1.41</v>
      </c>
      <c r="AR5" s="129">
        <v>1.42</v>
      </c>
      <c r="AS5" s="129">
        <v>1.43</v>
      </c>
      <c r="AT5" s="129">
        <v>1.44</v>
      </c>
      <c r="AU5" s="129">
        <v>1.45</v>
      </c>
      <c r="AV5" s="129">
        <v>1.46</v>
      </c>
      <c r="AW5" s="129">
        <v>1.47</v>
      </c>
      <c r="AX5" s="129">
        <v>1.48</v>
      </c>
      <c r="AY5" s="129">
        <v>1.49</v>
      </c>
      <c r="AZ5" s="129">
        <v>1.5</v>
      </c>
      <c r="BA5" s="129">
        <v>1.51</v>
      </c>
      <c r="BB5" s="129">
        <v>1.52</v>
      </c>
      <c r="BC5" s="129">
        <v>1.53</v>
      </c>
      <c r="BD5" s="129">
        <v>1.54</v>
      </c>
      <c r="BE5" s="129">
        <v>1.55</v>
      </c>
      <c r="BF5" s="129">
        <v>1.56</v>
      </c>
      <c r="BG5" s="129">
        <v>1.57</v>
      </c>
      <c r="BH5" s="129">
        <v>1.58</v>
      </c>
      <c r="BI5" s="129">
        <v>1.59</v>
      </c>
      <c r="BJ5" s="129">
        <v>1.6</v>
      </c>
      <c r="BK5" s="129">
        <v>1.61</v>
      </c>
      <c r="BL5" s="129">
        <v>1.62</v>
      </c>
      <c r="BM5" s="129">
        <v>1.63</v>
      </c>
      <c r="BN5" s="129">
        <v>1.64</v>
      </c>
      <c r="BO5" s="129">
        <v>1.65</v>
      </c>
      <c r="BP5" s="129">
        <v>1.66</v>
      </c>
      <c r="BQ5" s="129">
        <v>1.67</v>
      </c>
      <c r="BR5" s="129">
        <v>1.68</v>
      </c>
      <c r="BS5" s="129">
        <v>1.69</v>
      </c>
      <c r="BT5" s="129">
        <v>1.7</v>
      </c>
      <c r="BU5" s="129">
        <v>1.71</v>
      </c>
      <c r="BV5" s="129">
        <v>1.72</v>
      </c>
      <c r="BW5" s="129">
        <v>1.73</v>
      </c>
      <c r="BX5" s="129">
        <v>1.74</v>
      </c>
      <c r="BY5" s="129">
        <v>1.75</v>
      </c>
      <c r="BZ5" s="129">
        <v>1.76</v>
      </c>
      <c r="CA5" s="129">
        <v>1.77</v>
      </c>
      <c r="CB5" s="129">
        <v>1.78</v>
      </c>
      <c r="CC5" s="129">
        <v>1.79</v>
      </c>
      <c r="CD5" s="129">
        <v>1.8</v>
      </c>
      <c r="CE5" s="129">
        <v>1.81</v>
      </c>
      <c r="CF5" s="129">
        <v>1.82</v>
      </c>
      <c r="CG5" s="129">
        <v>1.83</v>
      </c>
      <c r="CH5" s="129">
        <v>1.84</v>
      </c>
      <c r="CI5" s="129">
        <v>1.85</v>
      </c>
      <c r="CJ5" s="129">
        <v>1.86</v>
      </c>
      <c r="CK5" s="129">
        <v>1.87</v>
      </c>
      <c r="CL5" s="129">
        <v>1.88</v>
      </c>
      <c r="CM5" s="129">
        <v>1.89</v>
      </c>
      <c r="CN5" s="129">
        <v>1.9</v>
      </c>
      <c r="CO5" s="129">
        <v>1.91</v>
      </c>
      <c r="CP5" s="129">
        <v>1.92</v>
      </c>
      <c r="CQ5" s="129">
        <v>1.93</v>
      </c>
      <c r="CR5" s="129">
        <v>1.94</v>
      </c>
      <c r="CS5" s="129">
        <v>1.95</v>
      </c>
      <c r="CT5" s="129">
        <v>1.96</v>
      </c>
      <c r="CU5" s="129">
        <v>1.97</v>
      </c>
      <c r="CV5" s="129">
        <v>1.98</v>
      </c>
      <c r="CW5" s="129">
        <v>1.99</v>
      </c>
      <c r="CX5" s="129">
        <v>2</v>
      </c>
      <c r="CZ5" s="126">
        <f>SUMIF(MatrixF4[[1]:[2]],MatrixF4[[#This Row],[Столбец1]])/MatrixF4[[#This Row],[Столбец1]]</f>
        <v>5</v>
      </c>
    </row>
    <row r="6" spans="1:104" ht="21" customHeight="1" x14ac:dyDescent="0.25">
      <c r="A6" s="127">
        <v>1.03</v>
      </c>
      <c r="B6" s="129">
        <v>1.03</v>
      </c>
      <c r="C6" s="129">
        <v>1.03</v>
      </c>
      <c r="D6" s="129">
        <v>1.03</v>
      </c>
      <c r="E6" s="129">
        <v>1.03</v>
      </c>
      <c r="F6" s="129">
        <v>1.04</v>
      </c>
      <c r="G6" s="129">
        <v>1.05</v>
      </c>
      <c r="H6" s="129">
        <v>1.06</v>
      </c>
      <c r="I6" s="129">
        <v>1.07</v>
      </c>
      <c r="J6" s="129">
        <v>1.08</v>
      </c>
      <c r="K6" s="129">
        <v>1.0900000000000001</v>
      </c>
      <c r="L6" s="129">
        <v>1.1000000000000001</v>
      </c>
      <c r="M6" s="129">
        <v>1.1100000000000001</v>
      </c>
      <c r="N6" s="129">
        <v>1.1200000000000001</v>
      </c>
      <c r="O6" s="129">
        <v>1.1299999999999999</v>
      </c>
      <c r="P6" s="129">
        <v>1.1399999999999999</v>
      </c>
      <c r="Q6" s="129">
        <v>1.1499999999999999</v>
      </c>
      <c r="R6" s="129">
        <v>1.1599999999999999</v>
      </c>
      <c r="S6" s="129">
        <v>1.17</v>
      </c>
      <c r="T6" s="129">
        <v>1.18</v>
      </c>
      <c r="U6" s="129">
        <v>1.19</v>
      </c>
      <c r="V6" s="129">
        <v>1.2</v>
      </c>
      <c r="W6" s="129">
        <v>1.21</v>
      </c>
      <c r="X6" s="129">
        <v>1.22</v>
      </c>
      <c r="Y6" s="129">
        <v>1.23</v>
      </c>
      <c r="Z6" s="129">
        <v>1.24</v>
      </c>
      <c r="AA6" s="129">
        <v>1.25</v>
      </c>
      <c r="AB6" s="129">
        <v>1.26</v>
      </c>
      <c r="AC6" s="129">
        <v>1.27</v>
      </c>
      <c r="AD6" s="129">
        <v>1.28</v>
      </c>
      <c r="AE6" s="129">
        <v>1.29</v>
      </c>
      <c r="AF6" s="129">
        <v>1.3</v>
      </c>
      <c r="AG6" s="129">
        <v>1.31</v>
      </c>
      <c r="AH6" s="129">
        <v>1.32</v>
      </c>
      <c r="AI6" s="129">
        <v>1.33</v>
      </c>
      <c r="AJ6" s="129">
        <v>1.34</v>
      </c>
      <c r="AK6" s="129">
        <v>1.35</v>
      </c>
      <c r="AL6" s="129">
        <v>1.36</v>
      </c>
      <c r="AM6" s="129">
        <v>1.37</v>
      </c>
      <c r="AN6" s="129">
        <v>1.38</v>
      </c>
      <c r="AO6" s="129">
        <v>1.39</v>
      </c>
      <c r="AP6" s="129">
        <v>1.4</v>
      </c>
      <c r="AQ6" s="129">
        <v>1.41</v>
      </c>
      <c r="AR6" s="129">
        <v>1.42</v>
      </c>
      <c r="AS6" s="129">
        <v>1.43</v>
      </c>
      <c r="AT6" s="129">
        <v>1.44</v>
      </c>
      <c r="AU6" s="129">
        <v>1.45</v>
      </c>
      <c r="AV6" s="129">
        <v>1.46</v>
      </c>
      <c r="AW6" s="129">
        <v>1.47</v>
      </c>
      <c r="AX6" s="129">
        <v>1.48</v>
      </c>
      <c r="AY6" s="129">
        <v>1.49</v>
      </c>
      <c r="AZ6" s="129">
        <v>1.5</v>
      </c>
      <c r="BA6" s="129">
        <v>1.51</v>
      </c>
      <c r="BB6" s="129">
        <v>1.52</v>
      </c>
      <c r="BC6" s="129">
        <v>1.53</v>
      </c>
      <c r="BD6" s="129">
        <v>1.54</v>
      </c>
      <c r="BE6" s="129">
        <v>1.55</v>
      </c>
      <c r="BF6" s="129">
        <v>1.56</v>
      </c>
      <c r="BG6" s="129">
        <v>1.57</v>
      </c>
      <c r="BH6" s="129">
        <v>1.58</v>
      </c>
      <c r="BI6" s="129">
        <v>1.59</v>
      </c>
      <c r="BJ6" s="129">
        <v>1.6</v>
      </c>
      <c r="BK6" s="129">
        <v>1.61</v>
      </c>
      <c r="BL6" s="129">
        <v>1.62</v>
      </c>
      <c r="BM6" s="129">
        <v>1.63</v>
      </c>
      <c r="BN6" s="129">
        <v>1.64</v>
      </c>
      <c r="BO6" s="129">
        <v>1.65</v>
      </c>
      <c r="BP6" s="129">
        <v>1.66</v>
      </c>
      <c r="BQ6" s="129">
        <v>1.67</v>
      </c>
      <c r="BR6" s="129">
        <v>1.68</v>
      </c>
      <c r="BS6" s="129">
        <v>1.69</v>
      </c>
      <c r="BT6" s="129">
        <v>1.7</v>
      </c>
      <c r="BU6" s="129">
        <v>1.71</v>
      </c>
      <c r="BV6" s="129">
        <v>1.72</v>
      </c>
      <c r="BW6" s="129">
        <v>1.73</v>
      </c>
      <c r="BX6" s="129">
        <v>1.74</v>
      </c>
      <c r="BY6" s="129">
        <v>1.75</v>
      </c>
      <c r="BZ6" s="129">
        <v>1.76</v>
      </c>
      <c r="CA6" s="129">
        <v>1.77</v>
      </c>
      <c r="CB6" s="129">
        <v>1.78</v>
      </c>
      <c r="CC6" s="129">
        <v>1.79</v>
      </c>
      <c r="CD6" s="129">
        <v>1.8</v>
      </c>
      <c r="CE6" s="129">
        <v>1.81</v>
      </c>
      <c r="CF6" s="129">
        <v>1.82</v>
      </c>
      <c r="CG6" s="129">
        <v>1.83</v>
      </c>
      <c r="CH6" s="129">
        <v>1.84</v>
      </c>
      <c r="CI6" s="129">
        <v>1.85</v>
      </c>
      <c r="CJ6" s="129">
        <v>1.86</v>
      </c>
      <c r="CK6" s="129">
        <v>1.87</v>
      </c>
      <c r="CL6" s="129">
        <v>1.88</v>
      </c>
      <c r="CM6" s="129">
        <v>1.89</v>
      </c>
      <c r="CN6" s="129">
        <v>1.9</v>
      </c>
      <c r="CO6" s="129">
        <v>1.91</v>
      </c>
      <c r="CP6" s="129">
        <v>1.92</v>
      </c>
      <c r="CQ6" s="129">
        <v>1.93</v>
      </c>
      <c r="CR6" s="129">
        <v>1.94</v>
      </c>
      <c r="CS6" s="129">
        <v>1.95</v>
      </c>
      <c r="CT6" s="129">
        <v>1.96</v>
      </c>
      <c r="CU6" s="129">
        <v>1.97</v>
      </c>
      <c r="CV6" s="129">
        <v>1.98</v>
      </c>
      <c r="CW6" s="129">
        <v>1.99</v>
      </c>
      <c r="CX6" s="129">
        <v>2</v>
      </c>
      <c r="CZ6" s="126">
        <f>SUMIF(MatrixF4[[1]:[2]],MatrixF4[[#This Row],[Столбец1]])/MatrixF4[[#This Row],[Столбец1]]</f>
        <v>7.0000000000000009</v>
      </c>
    </row>
    <row r="7" spans="1:104" ht="21" customHeight="1" x14ac:dyDescent="0.25">
      <c r="A7" s="127">
        <v>1.04</v>
      </c>
      <c r="B7" s="129">
        <v>1.04</v>
      </c>
      <c r="C7" s="129">
        <v>1.04</v>
      </c>
      <c r="D7" s="129">
        <v>1.04</v>
      </c>
      <c r="E7" s="129">
        <v>1.04</v>
      </c>
      <c r="F7" s="129">
        <v>1.04</v>
      </c>
      <c r="G7" s="129">
        <v>1.05</v>
      </c>
      <c r="H7" s="129">
        <v>1.06</v>
      </c>
      <c r="I7" s="129">
        <v>1.07</v>
      </c>
      <c r="J7" s="129">
        <v>1.08</v>
      </c>
      <c r="K7" s="129">
        <v>1.0900000000000001</v>
      </c>
      <c r="L7" s="129">
        <v>1.1000000000000001</v>
      </c>
      <c r="M7" s="129">
        <v>1.1100000000000001</v>
      </c>
      <c r="N7" s="129">
        <v>1.1200000000000001</v>
      </c>
      <c r="O7" s="129">
        <v>1.1299999999999999</v>
      </c>
      <c r="P7" s="129">
        <v>1.1399999999999999</v>
      </c>
      <c r="Q7" s="129">
        <v>1.1499999999999999</v>
      </c>
      <c r="R7" s="129">
        <v>1.1599999999999999</v>
      </c>
      <c r="S7" s="129">
        <v>1.17</v>
      </c>
      <c r="T7" s="129">
        <v>1.18</v>
      </c>
      <c r="U7" s="129">
        <v>1.19</v>
      </c>
      <c r="V7" s="129">
        <v>1.2</v>
      </c>
      <c r="W7" s="129">
        <v>1.21</v>
      </c>
      <c r="X7" s="129">
        <v>1.22</v>
      </c>
      <c r="Y7" s="129">
        <v>1.23</v>
      </c>
      <c r="Z7" s="129">
        <v>1.24</v>
      </c>
      <c r="AA7" s="129">
        <v>1.25</v>
      </c>
      <c r="AB7" s="129">
        <v>1.26</v>
      </c>
      <c r="AC7" s="129">
        <v>1.27</v>
      </c>
      <c r="AD7" s="129">
        <v>1.28</v>
      </c>
      <c r="AE7" s="129">
        <v>1.29</v>
      </c>
      <c r="AF7" s="129">
        <v>1.3</v>
      </c>
      <c r="AG7" s="129">
        <v>1.31</v>
      </c>
      <c r="AH7" s="129">
        <v>1.32</v>
      </c>
      <c r="AI7" s="129">
        <v>1.33</v>
      </c>
      <c r="AJ7" s="129">
        <v>1.34</v>
      </c>
      <c r="AK7" s="129">
        <v>1.35</v>
      </c>
      <c r="AL7" s="129">
        <v>1.36</v>
      </c>
      <c r="AM7" s="129">
        <v>1.37</v>
      </c>
      <c r="AN7" s="129">
        <v>1.38</v>
      </c>
      <c r="AO7" s="129">
        <v>1.39</v>
      </c>
      <c r="AP7" s="129">
        <v>1.4</v>
      </c>
      <c r="AQ7" s="129">
        <v>1.41</v>
      </c>
      <c r="AR7" s="129">
        <v>1.42</v>
      </c>
      <c r="AS7" s="129">
        <v>1.43</v>
      </c>
      <c r="AT7" s="129">
        <v>1.44</v>
      </c>
      <c r="AU7" s="129">
        <v>1.45</v>
      </c>
      <c r="AV7" s="129">
        <v>1.46</v>
      </c>
      <c r="AW7" s="129">
        <v>1.47</v>
      </c>
      <c r="AX7" s="129">
        <v>1.48</v>
      </c>
      <c r="AY7" s="129">
        <v>1.49</v>
      </c>
      <c r="AZ7" s="129">
        <v>1.5</v>
      </c>
      <c r="BA7" s="129">
        <v>1.51</v>
      </c>
      <c r="BB7" s="129">
        <v>1.52</v>
      </c>
      <c r="BC7" s="129">
        <v>1.53</v>
      </c>
      <c r="BD7" s="129">
        <v>1.54</v>
      </c>
      <c r="BE7" s="129">
        <v>1.55</v>
      </c>
      <c r="BF7" s="129">
        <v>1.56</v>
      </c>
      <c r="BG7" s="129">
        <v>1.57</v>
      </c>
      <c r="BH7" s="129">
        <v>1.58</v>
      </c>
      <c r="BI7" s="129">
        <v>1.59</v>
      </c>
      <c r="BJ7" s="129">
        <v>1.6</v>
      </c>
      <c r="BK7" s="129">
        <v>1.61</v>
      </c>
      <c r="BL7" s="129">
        <v>1.62</v>
      </c>
      <c r="BM7" s="129">
        <v>1.63</v>
      </c>
      <c r="BN7" s="129">
        <v>1.64</v>
      </c>
      <c r="BO7" s="129">
        <v>1.65</v>
      </c>
      <c r="BP7" s="129">
        <v>1.66</v>
      </c>
      <c r="BQ7" s="129">
        <v>1.67</v>
      </c>
      <c r="BR7" s="129">
        <v>1.68</v>
      </c>
      <c r="BS7" s="129">
        <v>1.69</v>
      </c>
      <c r="BT7" s="129">
        <v>1.7</v>
      </c>
      <c r="BU7" s="129">
        <v>1.71</v>
      </c>
      <c r="BV7" s="129">
        <v>1.72</v>
      </c>
      <c r="BW7" s="129">
        <v>1.73</v>
      </c>
      <c r="BX7" s="129">
        <v>1.74</v>
      </c>
      <c r="BY7" s="129">
        <v>1.75</v>
      </c>
      <c r="BZ7" s="129">
        <v>1.76</v>
      </c>
      <c r="CA7" s="129">
        <v>1.77</v>
      </c>
      <c r="CB7" s="129">
        <v>1.78</v>
      </c>
      <c r="CC7" s="129">
        <v>1.79</v>
      </c>
      <c r="CD7" s="129">
        <v>1.8</v>
      </c>
      <c r="CE7" s="129">
        <v>1.81</v>
      </c>
      <c r="CF7" s="129">
        <v>1.82</v>
      </c>
      <c r="CG7" s="129">
        <v>1.83</v>
      </c>
      <c r="CH7" s="129">
        <v>1.84</v>
      </c>
      <c r="CI7" s="129">
        <v>1.85</v>
      </c>
      <c r="CJ7" s="129">
        <v>1.86</v>
      </c>
      <c r="CK7" s="129">
        <v>1.87</v>
      </c>
      <c r="CL7" s="129">
        <v>1.88</v>
      </c>
      <c r="CM7" s="129">
        <v>1.89</v>
      </c>
      <c r="CN7" s="129">
        <v>1.9</v>
      </c>
      <c r="CO7" s="129">
        <v>1.91</v>
      </c>
      <c r="CP7" s="129">
        <v>1.92</v>
      </c>
      <c r="CQ7" s="129">
        <v>1.93</v>
      </c>
      <c r="CR7" s="129">
        <v>1.94</v>
      </c>
      <c r="CS7" s="129">
        <v>1.95</v>
      </c>
      <c r="CT7" s="129">
        <v>1.96</v>
      </c>
      <c r="CU7" s="129">
        <v>1.97</v>
      </c>
      <c r="CV7" s="129">
        <v>1.98</v>
      </c>
      <c r="CW7" s="129">
        <v>1.99</v>
      </c>
      <c r="CX7" s="129">
        <v>2</v>
      </c>
      <c r="CZ7" s="126">
        <f>SUMIF(MatrixF4[[1]:[2]],MatrixF4[[#This Row],[Столбец1]])/MatrixF4[[#This Row],[Столбец1]]</f>
        <v>9</v>
      </c>
    </row>
    <row r="8" spans="1:104" ht="21" customHeight="1" x14ac:dyDescent="0.25">
      <c r="A8" s="127">
        <v>1.05</v>
      </c>
      <c r="B8" s="129">
        <v>1.05</v>
      </c>
      <c r="C8" s="129">
        <v>1.05</v>
      </c>
      <c r="D8" s="129">
        <v>1.05</v>
      </c>
      <c r="E8" s="129">
        <v>1.05</v>
      </c>
      <c r="F8" s="129">
        <v>1.05</v>
      </c>
      <c r="G8" s="129">
        <v>1.05</v>
      </c>
      <c r="H8" s="129">
        <v>1.06</v>
      </c>
      <c r="I8" s="129">
        <v>1.07</v>
      </c>
      <c r="J8" s="129">
        <v>1.08</v>
      </c>
      <c r="K8" s="129">
        <v>1.0900000000000001</v>
      </c>
      <c r="L8" s="129">
        <v>1.1000000000000001</v>
      </c>
      <c r="M8" s="129">
        <v>1.1100000000000001</v>
      </c>
      <c r="N8" s="129">
        <v>1.1200000000000001</v>
      </c>
      <c r="O8" s="129">
        <v>1.1299999999999999</v>
      </c>
      <c r="P8" s="129">
        <v>1.1399999999999999</v>
      </c>
      <c r="Q8" s="129">
        <v>1.1499999999999999</v>
      </c>
      <c r="R8" s="129">
        <v>1.1599999999999999</v>
      </c>
      <c r="S8" s="129">
        <v>1.17</v>
      </c>
      <c r="T8" s="129">
        <v>1.18</v>
      </c>
      <c r="U8" s="129">
        <v>1.19</v>
      </c>
      <c r="V8" s="129">
        <v>1.2</v>
      </c>
      <c r="W8" s="129">
        <v>1.21</v>
      </c>
      <c r="X8" s="129">
        <v>1.22</v>
      </c>
      <c r="Y8" s="129">
        <v>1.23</v>
      </c>
      <c r="Z8" s="129">
        <v>1.24</v>
      </c>
      <c r="AA8" s="129">
        <v>1.25</v>
      </c>
      <c r="AB8" s="129">
        <v>1.26</v>
      </c>
      <c r="AC8" s="129">
        <v>1.27</v>
      </c>
      <c r="AD8" s="129">
        <v>1.28</v>
      </c>
      <c r="AE8" s="129">
        <v>1.29</v>
      </c>
      <c r="AF8" s="129">
        <v>1.3</v>
      </c>
      <c r="AG8" s="129">
        <v>1.31</v>
      </c>
      <c r="AH8" s="129">
        <v>1.32</v>
      </c>
      <c r="AI8" s="129">
        <v>1.33</v>
      </c>
      <c r="AJ8" s="129">
        <v>1.34</v>
      </c>
      <c r="AK8" s="129">
        <v>1.35</v>
      </c>
      <c r="AL8" s="129">
        <v>1.36</v>
      </c>
      <c r="AM8" s="129">
        <v>1.37</v>
      </c>
      <c r="AN8" s="129">
        <v>1.38</v>
      </c>
      <c r="AO8" s="129">
        <v>1.39</v>
      </c>
      <c r="AP8" s="129">
        <v>1.4</v>
      </c>
      <c r="AQ8" s="129">
        <v>1.41</v>
      </c>
      <c r="AR8" s="129">
        <v>1.42</v>
      </c>
      <c r="AS8" s="129">
        <v>1.43</v>
      </c>
      <c r="AT8" s="129">
        <v>1.44</v>
      </c>
      <c r="AU8" s="129">
        <v>1.45</v>
      </c>
      <c r="AV8" s="129">
        <v>1.46</v>
      </c>
      <c r="AW8" s="129">
        <v>1.47</v>
      </c>
      <c r="AX8" s="129">
        <v>1.48</v>
      </c>
      <c r="AY8" s="129">
        <v>1.49</v>
      </c>
      <c r="AZ8" s="129">
        <v>1.5</v>
      </c>
      <c r="BA8" s="129">
        <v>1.51</v>
      </c>
      <c r="BB8" s="129">
        <v>1.52</v>
      </c>
      <c r="BC8" s="129">
        <v>1.53</v>
      </c>
      <c r="BD8" s="129">
        <v>1.54</v>
      </c>
      <c r="BE8" s="129">
        <v>1.55</v>
      </c>
      <c r="BF8" s="129">
        <v>1.56</v>
      </c>
      <c r="BG8" s="129">
        <v>1.57</v>
      </c>
      <c r="BH8" s="129">
        <v>1.58</v>
      </c>
      <c r="BI8" s="129">
        <v>1.59</v>
      </c>
      <c r="BJ8" s="129">
        <v>1.6</v>
      </c>
      <c r="BK8" s="129">
        <v>1.61</v>
      </c>
      <c r="BL8" s="129">
        <v>1.62</v>
      </c>
      <c r="BM8" s="129">
        <v>1.63</v>
      </c>
      <c r="BN8" s="129">
        <v>1.64</v>
      </c>
      <c r="BO8" s="129">
        <v>1.65</v>
      </c>
      <c r="BP8" s="129">
        <v>1.66</v>
      </c>
      <c r="BQ8" s="129">
        <v>1.67</v>
      </c>
      <c r="BR8" s="129">
        <v>1.68</v>
      </c>
      <c r="BS8" s="129">
        <v>1.69</v>
      </c>
      <c r="BT8" s="129">
        <v>1.7</v>
      </c>
      <c r="BU8" s="129">
        <v>1.71</v>
      </c>
      <c r="BV8" s="129">
        <v>1.72</v>
      </c>
      <c r="BW8" s="129">
        <v>1.73</v>
      </c>
      <c r="BX8" s="129">
        <v>1.74</v>
      </c>
      <c r="BY8" s="129">
        <v>1.75</v>
      </c>
      <c r="BZ8" s="129">
        <v>1.76</v>
      </c>
      <c r="CA8" s="129">
        <v>1.77</v>
      </c>
      <c r="CB8" s="129">
        <v>1.78</v>
      </c>
      <c r="CC8" s="129">
        <v>1.79</v>
      </c>
      <c r="CD8" s="129">
        <v>1.8</v>
      </c>
      <c r="CE8" s="129">
        <v>1.81</v>
      </c>
      <c r="CF8" s="129">
        <v>1.82</v>
      </c>
      <c r="CG8" s="129">
        <v>1.83</v>
      </c>
      <c r="CH8" s="129">
        <v>1.84</v>
      </c>
      <c r="CI8" s="129">
        <v>1.85</v>
      </c>
      <c r="CJ8" s="129">
        <v>1.86</v>
      </c>
      <c r="CK8" s="129">
        <v>1.87</v>
      </c>
      <c r="CL8" s="129">
        <v>1.88</v>
      </c>
      <c r="CM8" s="129">
        <v>1.89</v>
      </c>
      <c r="CN8" s="129">
        <v>1.9</v>
      </c>
      <c r="CO8" s="129">
        <v>1.91</v>
      </c>
      <c r="CP8" s="129">
        <v>1.92</v>
      </c>
      <c r="CQ8" s="129">
        <v>1.93</v>
      </c>
      <c r="CR8" s="129">
        <v>1.94</v>
      </c>
      <c r="CS8" s="129">
        <v>1.95</v>
      </c>
      <c r="CT8" s="129">
        <v>1.96</v>
      </c>
      <c r="CU8" s="129">
        <v>1.97</v>
      </c>
      <c r="CV8" s="129">
        <v>1.98</v>
      </c>
      <c r="CW8" s="129">
        <v>1.99</v>
      </c>
      <c r="CX8" s="129">
        <v>2</v>
      </c>
      <c r="CZ8" s="126">
        <f>SUMIF(MatrixF4[[1]:[2]],MatrixF4[[#This Row],[Столбец1]])/MatrixF4[[#This Row],[Столбец1]]</f>
        <v>11.000000000000002</v>
      </c>
    </row>
    <row r="9" spans="1:104" ht="21" customHeight="1" x14ac:dyDescent="0.25">
      <c r="A9" s="127">
        <v>1.06</v>
      </c>
      <c r="B9" s="129">
        <v>1.06</v>
      </c>
      <c r="C9" s="129">
        <v>1.06</v>
      </c>
      <c r="D9" s="129">
        <v>1.06</v>
      </c>
      <c r="E9" s="129">
        <v>1.06</v>
      </c>
      <c r="F9" s="129">
        <v>1.06</v>
      </c>
      <c r="G9" s="129">
        <v>1.06</v>
      </c>
      <c r="H9" s="129">
        <v>1.06</v>
      </c>
      <c r="I9" s="129">
        <v>1.07</v>
      </c>
      <c r="J9" s="129">
        <v>1.08</v>
      </c>
      <c r="K9" s="129">
        <v>1.0900000000000001</v>
      </c>
      <c r="L9" s="129">
        <v>1.1000000000000001</v>
      </c>
      <c r="M9" s="129">
        <v>1.1100000000000001</v>
      </c>
      <c r="N9" s="129">
        <v>1.1200000000000001</v>
      </c>
      <c r="O9" s="129">
        <v>1.1299999999999999</v>
      </c>
      <c r="P9" s="129">
        <v>1.1399999999999999</v>
      </c>
      <c r="Q9" s="129">
        <v>1.1499999999999999</v>
      </c>
      <c r="R9" s="129">
        <v>1.1599999999999999</v>
      </c>
      <c r="S9" s="129">
        <v>1.17</v>
      </c>
      <c r="T9" s="129">
        <v>1.18</v>
      </c>
      <c r="U9" s="129">
        <v>1.19</v>
      </c>
      <c r="V9" s="129">
        <v>1.2</v>
      </c>
      <c r="W9" s="129">
        <v>1.21</v>
      </c>
      <c r="X9" s="129">
        <v>1.22</v>
      </c>
      <c r="Y9" s="129">
        <v>1.23</v>
      </c>
      <c r="Z9" s="129">
        <v>1.24</v>
      </c>
      <c r="AA9" s="129">
        <v>1.25</v>
      </c>
      <c r="AB9" s="129">
        <v>1.26</v>
      </c>
      <c r="AC9" s="129">
        <v>1.27</v>
      </c>
      <c r="AD9" s="129">
        <v>1.28</v>
      </c>
      <c r="AE9" s="129">
        <v>1.29</v>
      </c>
      <c r="AF9" s="129">
        <v>1.3</v>
      </c>
      <c r="AG9" s="129">
        <v>1.31</v>
      </c>
      <c r="AH9" s="129">
        <v>1.32</v>
      </c>
      <c r="AI9" s="129">
        <v>1.33</v>
      </c>
      <c r="AJ9" s="129">
        <v>1.34</v>
      </c>
      <c r="AK9" s="129">
        <v>1.35</v>
      </c>
      <c r="AL9" s="129">
        <v>1.36</v>
      </c>
      <c r="AM9" s="129">
        <v>1.37</v>
      </c>
      <c r="AN9" s="129">
        <v>1.38</v>
      </c>
      <c r="AO9" s="129">
        <v>1.39</v>
      </c>
      <c r="AP9" s="129">
        <v>1.4</v>
      </c>
      <c r="AQ9" s="129">
        <v>1.41</v>
      </c>
      <c r="AR9" s="129">
        <v>1.42</v>
      </c>
      <c r="AS9" s="129">
        <v>1.43</v>
      </c>
      <c r="AT9" s="129">
        <v>1.44</v>
      </c>
      <c r="AU9" s="129">
        <v>1.45</v>
      </c>
      <c r="AV9" s="129">
        <v>1.46</v>
      </c>
      <c r="AW9" s="129">
        <v>1.47</v>
      </c>
      <c r="AX9" s="129">
        <v>1.48</v>
      </c>
      <c r="AY9" s="129">
        <v>1.49</v>
      </c>
      <c r="AZ9" s="129">
        <v>1.5</v>
      </c>
      <c r="BA9" s="129">
        <v>1.51</v>
      </c>
      <c r="BB9" s="129">
        <v>1.52</v>
      </c>
      <c r="BC9" s="129">
        <v>1.53</v>
      </c>
      <c r="BD9" s="129">
        <v>1.54</v>
      </c>
      <c r="BE9" s="129">
        <v>1.55</v>
      </c>
      <c r="BF9" s="129">
        <v>1.56</v>
      </c>
      <c r="BG9" s="129">
        <v>1.57</v>
      </c>
      <c r="BH9" s="129">
        <v>1.58</v>
      </c>
      <c r="BI9" s="129">
        <v>1.59</v>
      </c>
      <c r="BJ9" s="129">
        <v>1.6</v>
      </c>
      <c r="BK9" s="129">
        <v>1.61</v>
      </c>
      <c r="BL9" s="129">
        <v>1.62</v>
      </c>
      <c r="BM9" s="129">
        <v>1.63</v>
      </c>
      <c r="BN9" s="129">
        <v>1.64</v>
      </c>
      <c r="BO9" s="129">
        <v>1.65</v>
      </c>
      <c r="BP9" s="129">
        <v>1.66</v>
      </c>
      <c r="BQ9" s="129">
        <v>1.67</v>
      </c>
      <c r="BR9" s="129">
        <v>1.68</v>
      </c>
      <c r="BS9" s="129">
        <v>1.69</v>
      </c>
      <c r="BT9" s="129">
        <v>1.7</v>
      </c>
      <c r="BU9" s="129">
        <v>1.71</v>
      </c>
      <c r="BV9" s="129">
        <v>1.72</v>
      </c>
      <c r="BW9" s="129">
        <v>1.73</v>
      </c>
      <c r="BX9" s="129">
        <v>1.74</v>
      </c>
      <c r="BY9" s="129">
        <v>1.75</v>
      </c>
      <c r="BZ9" s="129">
        <v>1.76</v>
      </c>
      <c r="CA9" s="129">
        <v>1.77</v>
      </c>
      <c r="CB9" s="129">
        <v>1.78</v>
      </c>
      <c r="CC9" s="129">
        <v>1.79</v>
      </c>
      <c r="CD9" s="129">
        <v>1.8</v>
      </c>
      <c r="CE9" s="129">
        <v>1.81</v>
      </c>
      <c r="CF9" s="129">
        <v>1.82</v>
      </c>
      <c r="CG9" s="129">
        <v>1.83</v>
      </c>
      <c r="CH9" s="129">
        <v>1.84</v>
      </c>
      <c r="CI9" s="129">
        <v>1.85</v>
      </c>
      <c r="CJ9" s="129">
        <v>1.86</v>
      </c>
      <c r="CK9" s="129">
        <v>1.87</v>
      </c>
      <c r="CL9" s="129">
        <v>1.88</v>
      </c>
      <c r="CM9" s="129">
        <v>1.89</v>
      </c>
      <c r="CN9" s="129">
        <v>1.9</v>
      </c>
      <c r="CO9" s="129">
        <v>1.91</v>
      </c>
      <c r="CP9" s="129">
        <v>1.92</v>
      </c>
      <c r="CQ9" s="129">
        <v>1.93</v>
      </c>
      <c r="CR9" s="129">
        <v>1.94</v>
      </c>
      <c r="CS9" s="129">
        <v>1.95</v>
      </c>
      <c r="CT9" s="129">
        <v>1.96</v>
      </c>
      <c r="CU9" s="129">
        <v>1.97</v>
      </c>
      <c r="CV9" s="129">
        <v>1.98</v>
      </c>
      <c r="CW9" s="129">
        <v>1.99</v>
      </c>
      <c r="CX9" s="129">
        <v>2</v>
      </c>
      <c r="CZ9" s="126">
        <f>SUMIF(MatrixF4[[1]:[2]],MatrixF4[[#This Row],[Столбец1]])/MatrixF4[[#This Row],[Столбец1]]</f>
        <v>13.000000000000004</v>
      </c>
    </row>
    <row r="10" spans="1:104" ht="21" customHeight="1" x14ac:dyDescent="0.25">
      <c r="A10" s="127">
        <v>1.07</v>
      </c>
      <c r="B10" s="129">
        <v>1.07</v>
      </c>
      <c r="C10" s="129">
        <v>1.07</v>
      </c>
      <c r="D10" s="129">
        <v>1.07</v>
      </c>
      <c r="E10" s="129">
        <v>1.07</v>
      </c>
      <c r="F10" s="129">
        <v>1.07</v>
      </c>
      <c r="G10" s="129">
        <v>1.07</v>
      </c>
      <c r="H10" s="129">
        <v>1.07</v>
      </c>
      <c r="I10" s="129">
        <v>1.07</v>
      </c>
      <c r="J10" s="129">
        <v>1.08</v>
      </c>
      <c r="K10" s="129">
        <v>1.0900000000000001</v>
      </c>
      <c r="L10" s="129">
        <v>1.1000000000000001</v>
      </c>
      <c r="M10" s="129">
        <v>1.1100000000000001</v>
      </c>
      <c r="N10" s="129">
        <v>1.1200000000000001</v>
      </c>
      <c r="O10" s="129">
        <v>1.1299999999999999</v>
      </c>
      <c r="P10" s="129">
        <v>1.1399999999999999</v>
      </c>
      <c r="Q10" s="129">
        <v>1.1499999999999999</v>
      </c>
      <c r="R10" s="129">
        <v>1.1599999999999999</v>
      </c>
      <c r="S10" s="129">
        <v>1.17</v>
      </c>
      <c r="T10" s="129">
        <v>1.18</v>
      </c>
      <c r="U10" s="129">
        <v>1.19</v>
      </c>
      <c r="V10" s="129">
        <v>1.2</v>
      </c>
      <c r="W10" s="129">
        <v>1.21</v>
      </c>
      <c r="X10" s="129">
        <v>1.22</v>
      </c>
      <c r="Y10" s="129">
        <v>1.23</v>
      </c>
      <c r="Z10" s="129">
        <v>1.24</v>
      </c>
      <c r="AA10" s="129">
        <v>1.25</v>
      </c>
      <c r="AB10" s="129">
        <v>1.26</v>
      </c>
      <c r="AC10" s="129">
        <v>1.27</v>
      </c>
      <c r="AD10" s="129">
        <v>1.28</v>
      </c>
      <c r="AE10" s="129">
        <v>1.29</v>
      </c>
      <c r="AF10" s="129">
        <v>1.3</v>
      </c>
      <c r="AG10" s="129">
        <v>1.31</v>
      </c>
      <c r="AH10" s="129">
        <v>1.32</v>
      </c>
      <c r="AI10" s="129">
        <v>1.33</v>
      </c>
      <c r="AJ10" s="129">
        <v>1.34</v>
      </c>
      <c r="AK10" s="129">
        <v>1.35</v>
      </c>
      <c r="AL10" s="129">
        <v>1.36</v>
      </c>
      <c r="AM10" s="129">
        <v>1.37</v>
      </c>
      <c r="AN10" s="129">
        <v>1.38</v>
      </c>
      <c r="AO10" s="129">
        <v>1.39</v>
      </c>
      <c r="AP10" s="129">
        <v>1.4</v>
      </c>
      <c r="AQ10" s="129">
        <v>1.41</v>
      </c>
      <c r="AR10" s="129">
        <v>1.42</v>
      </c>
      <c r="AS10" s="129">
        <v>1.43</v>
      </c>
      <c r="AT10" s="129">
        <v>1.44</v>
      </c>
      <c r="AU10" s="129">
        <v>1.45</v>
      </c>
      <c r="AV10" s="129">
        <v>1.46</v>
      </c>
      <c r="AW10" s="129">
        <v>1.47</v>
      </c>
      <c r="AX10" s="129">
        <v>1.48</v>
      </c>
      <c r="AY10" s="129">
        <v>1.49</v>
      </c>
      <c r="AZ10" s="129">
        <v>1.5</v>
      </c>
      <c r="BA10" s="129">
        <v>1.51</v>
      </c>
      <c r="BB10" s="129">
        <v>1.52</v>
      </c>
      <c r="BC10" s="129">
        <v>1.53</v>
      </c>
      <c r="BD10" s="129">
        <v>1.54</v>
      </c>
      <c r="BE10" s="129">
        <v>1.55</v>
      </c>
      <c r="BF10" s="129">
        <v>1.56</v>
      </c>
      <c r="BG10" s="129">
        <v>1.57</v>
      </c>
      <c r="BH10" s="129">
        <v>1.58</v>
      </c>
      <c r="BI10" s="129">
        <v>1.59</v>
      </c>
      <c r="BJ10" s="129">
        <v>1.6</v>
      </c>
      <c r="BK10" s="129">
        <v>1.61</v>
      </c>
      <c r="BL10" s="129">
        <v>1.62</v>
      </c>
      <c r="BM10" s="129">
        <v>1.63</v>
      </c>
      <c r="BN10" s="129">
        <v>1.64</v>
      </c>
      <c r="BO10" s="129">
        <v>1.65</v>
      </c>
      <c r="BP10" s="129">
        <v>1.66</v>
      </c>
      <c r="BQ10" s="129">
        <v>1.67</v>
      </c>
      <c r="BR10" s="129">
        <v>1.68</v>
      </c>
      <c r="BS10" s="129">
        <v>1.69</v>
      </c>
      <c r="BT10" s="129">
        <v>1.7</v>
      </c>
      <c r="BU10" s="129">
        <v>1.71</v>
      </c>
      <c r="BV10" s="129">
        <v>1.72</v>
      </c>
      <c r="BW10" s="129">
        <v>1.73</v>
      </c>
      <c r="BX10" s="129">
        <v>1.74</v>
      </c>
      <c r="BY10" s="129">
        <v>1.75</v>
      </c>
      <c r="BZ10" s="129">
        <v>1.76</v>
      </c>
      <c r="CA10" s="129">
        <v>1.77</v>
      </c>
      <c r="CB10" s="129">
        <v>1.78</v>
      </c>
      <c r="CC10" s="129">
        <v>1.79</v>
      </c>
      <c r="CD10" s="129">
        <v>1.8</v>
      </c>
      <c r="CE10" s="129">
        <v>1.81</v>
      </c>
      <c r="CF10" s="129">
        <v>1.82</v>
      </c>
      <c r="CG10" s="129">
        <v>1.83</v>
      </c>
      <c r="CH10" s="129">
        <v>1.84</v>
      </c>
      <c r="CI10" s="129">
        <v>1.85</v>
      </c>
      <c r="CJ10" s="129">
        <v>1.86</v>
      </c>
      <c r="CK10" s="129">
        <v>1.87</v>
      </c>
      <c r="CL10" s="129">
        <v>1.88</v>
      </c>
      <c r="CM10" s="129">
        <v>1.89</v>
      </c>
      <c r="CN10" s="129">
        <v>1.9</v>
      </c>
      <c r="CO10" s="129">
        <v>1.91</v>
      </c>
      <c r="CP10" s="129">
        <v>1.92</v>
      </c>
      <c r="CQ10" s="129">
        <v>1.93</v>
      </c>
      <c r="CR10" s="129">
        <v>1.94</v>
      </c>
      <c r="CS10" s="129">
        <v>1.95</v>
      </c>
      <c r="CT10" s="129">
        <v>1.96</v>
      </c>
      <c r="CU10" s="129">
        <v>1.97</v>
      </c>
      <c r="CV10" s="129">
        <v>1.98</v>
      </c>
      <c r="CW10" s="129">
        <v>1.99</v>
      </c>
      <c r="CX10" s="129">
        <v>2</v>
      </c>
      <c r="CZ10" s="126">
        <f>SUMIF(MatrixF4[[1]:[2]],MatrixF4[[#This Row],[Столбец1]])/MatrixF4[[#This Row],[Столбец1]]</f>
        <v>15</v>
      </c>
    </row>
    <row r="11" spans="1:104" ht="21" customHeight="1" x14ac:dyDescent="0.25">
      <c r="A11" s="127">
        <v>1.08</v>
      </c>
      <c r="B11" s="129">
        <v>1.08</v>
      </c>
      <c r="C11" s="129">
        <v>1.08</v>
      </c>
      <c r="D11" s="129">
        <v>1.08</v>
      </c>
      <c r="E11" s="129">
        <v>1.08</v>
      </c>
      <c r="F11" s="129">
        <v>1.08</v>
      </c>
      <c r="G11" s="129">
        <v>1.08</v>
      </c>
      <c r="H11" s="129">
        <v>1.08</v>
      </c>
      <c r="I11" s="129">
        <v>1.08</v>
      </c>
      <c r="J11" s="129">
        <v>1.08</v>
      </c>
      <c r="K11" s="129">
        <v>1.0900000000000001</v>
      </c>
      <c r="L11" s="129">
        <v>1.1000000000000001</v>
      </c>
      <c r="M11" s="129">
        <v>1.1100000000000001</v>
      </c>
      <c r="N11" s="129">
        <v>1.1200000000000001</v>
      </c>
      <c r="O11" s="129">
        <v>1.1299999999999999</v>
      </c>
      <c r="P11" s="129">
        <v>1.1399999999999999</v>
      </c>
      <c r="Q11" s="129">
        <v>1.1499999999999999</v>
      </c>
      <c r="R11" s="129">
        <v>1.1599999999999999</v>
      </c>
      <c r="S11" s="129">
        <v>1.17</v>
      </c>
      <c r="T11" s="129">
        <v>1.18</v>
      </c>
      <c r="U11" s="129">
        <v>1.19</v>
      </c>
      <c r="V11" s="129">
        <v>1.2</v>
      </c>
      <c r="W11" s="129">
        <v>1.21</v>
      </c>
      <c r="X11" s="129">
        <v>1.22</v>
      </c>
      <c r="Y11" s="129">
        <v>1.23</v>
      </c>
      <c r="Z11" s="129">
        <v>1.24</v>
      </c>
      <c r="AA11" s="129">
        <v>1.25</v>
      </c>
      <c r="AB11" s="129">
        <v>1.26</v>
      </c>
      <c r="AC11" s="129">
        <v>1.27</v>
      </c>
      <c r="AD11" s="129">
        <v>1.28</v>
      </c>
      <c r="AE11" s="129">
        <v>1.29</v>
      </c>
      <c r="AF11" s="129">
        <v>1.3</v>
      </c>
      <c r="AG11" s="129">
        <v>1.31</v>
      </c>
      <c r="AH11" s="129">
        <v>1.32</v>
      </c>
      <c r="AI11" s="129">
        <v>1.33</v>
      </c>
      <c r="AJ11" s="129">
        <v>1.34</v>
      </c>
      <c r="AK11" s="129">
        <v>1.35</v>
      </c>
      <c r="AL11" s="129">
        <v>1.36</v>
      </c>
      <c r="AM11" s="129">
        <v>1.37</v>
      </c>
      <c r="AN11" s="129">
        <v>1.38</v>
      </c>
      <c r="AO11" s="129">
        <v>1.39</v>
      </c>
      <c r="AP11" s="129">
        <v>1.4</v>
      </c>
      <c r="AQ11" s="129">
        <v>1.41</v>
      </c>
      <c r="AR11" s="129">
        <v>1.42</v>
      </c>
      <c r="AS11" s="129">
        <v>1.43</v>
      </c>
      <c r="AT11" s="129">
        <v>1.44</v>
      </c>
      <c r="AU11" s="129">
        <v>1.45</v>
      </c>
      <c r="AV11" s="129">
        <v>1.46</v>
      </c>
      <c r="AW11" s="129">
        <v>1.47</v>
      </c>
      <c r="AX11" s="129">
        <v>1.48</v>
      </c>
      <c r="AY11" s="129">
        <v>1.49</v>
      </c>
      <c r="AZ11" s="129">
        <v>1.5</v>
      </c>
      <c r="BA11" s="129">
        <v>1.51</v>
      </c>
      <c r="BB11" s="129">
        <v>1.52</v>
      </c>
      <c r="BC11" s="129">
        <v>1.53</v>
      </c>
      <c r="BD11" s="129">
        <v>1.54</v>
      </c>
      <c r="BE11" s="129">
        <v>1.55</v>
      </c>
      <c r="BF11" s="129">
        <v>1.56</v>
      </c>
      <c r="BG11" s="129">
        <v>1.57</v>
      </c>
      <c r="BH11" s="129">
        <v>1.58</v>
      </c>
      <c r="BI11" s="129">
        <v>1.59</v>
      </c>
      <c r="BJ11" s="129">
        <v>1.6</v>
      </c>
      <c r="BK11" s="129">
        <v>1.61</v>
      </c>
      <c r="BL11" s="129">
        <v>1.62</v>
      </c>
      <c r="BM11" s="129">
        <v>1.63</v>
      </c>
      <c r="BN11" s="129">
        <v>1.64</v>
      </c>
      <c r="BO11" s="129">
        <v>1.65</v>
      </c>
      <c r="BP11" s="129">
        <v>1.66</v>
      </c>
      <c r="BQ11" s="129">
        <v>1.67</v>
      </c>
      <c r="BR11" s="129">
        <v>1.68</v>
      </c>
      <c r="BS11" s="129">
        <v>1.69</v>
      </c>
      <c r="BT11" s="129">
        <v>1.7</v>
      </c>
      <c r="BU11" s="129">
        <v>1.71</v>
      </c>
      <c r="BV11" s="129">
        <v>1.72</v>
      </c>
      <c r="BW11" s="129">
        <v>1.73</v>
      </c>
      <c r="BX11" s="129">
        <v>1.74</v>
      </c>
      <c r="BY11" s="129">
        <v>1.75</v>
      </c>
      <c r="BZ11" s="129">
        <v>1.76</v>
      </c>
      <c r="CA11" s="129">
        <v>1.77</v>
      </c>
      <c r="CB11" s="129">
        <v>1.78</v>
      </c>
      <c r="CC11" s="129">
        <v>1.79</v>
      </c>
      <c r="CD11" s="129">
        <v>1.8</v>
      </c>
      <c r="CE11" s="129">
        <v>1.81</v>
      </c>
      <c r="CF11" s="129">
        <v>1.82</v>
      </c>
      <c r="CG11" s="129">
        <v>1.83</v>
      </c>
      <c r="CH11" s="129">
        <v>1.84</v>
      </c>
      <c r="CI11" s="129">
        <v>1.85</v>
      </c>
      <c r="CJ11" s="129">
        <v>1.86</v>
      </c>
      <c r="CK11" s="129">
        <v>1.87</v>
      </c>
      <c r="CL11" s="129">
        <v>1.88</v>
      </c>
      <c r="CM11" s="129">
        <v>1.89</v>
      </c>
      <c r="CN11" s="129">
        <v>1.9</v>
      </c>
      <c r="CO11" s="129">
        <v>1.91</v>
      </c>
      <c r="CP11" s="129">
        <v>1.92</v>
      </c>
      <c r="CQ11" s="129">
        <v>1.93</v>
      </c>
      <c r="CR11" s="129">
        <v>1.94</v>
      </c>
      <c r="CS11" s="129">
        <v>1.95</v>
      </c>
      <c r="CT11" s="129">
        <v>1.96</v>
      </c>
      <c r="CU11" s="129">
        <v>1.97</v>
      </c>
      <c r="CV11" s="129">
        <v>1.98</v>
      </c>
      <c r="CW11" s="129">
        <v>1.99</v>
      </c>
      <c r="CX11" s="129">
        <v>2</v>
      </c>
      <c r="CZ11" s="126">
        <f>SUMIF(MatrixF4[[1]:[2]],MatrixF4[[#This Row],[Столбец1]])/MatrixF4[[#This Row],[Столбец1]]</f>
        <v>17</v>
      </c>
    </row>
    <row r="12" spans="1:104" ht="21" customHeight="1" x14ac:dyDescent="0.25">
      <c r="A12" s="127">
        <v>1.0900000000000001</v>
      </c>
      <c r="B12" s="129">
        <v>1.0900000000000001</v>
      </c>
      <c r="C12" s="129">
        <v>1.0900000000000001</v>
      </c>
      <c r="D12" s="129">
        <v>1.0900000000000001</v>
      </c>
      <c r="E12" s="129">
        <v>1.0900000000000001</v>
      </c>
      <c r="F12" s="129">
        <v>1.0900000000000001</v>
      </c>
      <c r="G12" s="129">
        <v>1.0900000000000001</v>
      </c>
      <c r="H12" s="129">
        <v>1.0900000000000001</v>
      </c>
      <c r="I12" s="129">
        <v>1.0900000000000001</v>
      </c>
      <c r="J12" s="129">
        <v>1.0900000000000001</v>
      </c>
      <c r="K12" s="129">
        <v>1.0900000000000001</v>
      </c>
      <c r="L12" s="129">
        <v>1.1000000000000001</v>
      </c>
      <c r="M12" s="129">
        <v>1.1100000000000001</v>
      </c>
      <c r="N12" s="129">
        <v>1.1200000000000001</v>
      </c>
      <c r="O12" s="129">
        <v>1.1299999999999999</v>
      </c>
      <c r="P12" s="129">
        <v>1.1399999999999999</v>
      </c>
      <c r="Q12" s="129">
        <v>1.1499999999999999</v>
      </c>
      <c r="R12" s="129">
        <v>1.1599999999999999</v>
      </c>
      <c r="S12" s="129">
        <v>1.17</v>
      </c>
      <c r="T12" s="129">
        <v>1.18</v>
      </c>
      <c r="U12" s="129">
        <v>1.19</v>
      </c>
      <c r="V12" s="129">
        <v>1.2</v>
      </c>
      <c r="W12" s="129">
        <v>1.21</v>
      </c>
      <c r="X12" s="129">
        <v>1.22</v>
      </c>
      <c r="Y12" s="129">
        <v>1.23</v>
      </c>
      <c r="Z12" s="129">
        <v>1.24</v>
      </c>
      <c r="AA12" s="129">
        <v>1.25</v>
      </c>
      <c r="AB12" s="129">
        <v>1.26</v>
      </c>
      <c r="AC12" s="129">
        <v>1.27</v>
      </c>
      <c r="AD12" s="129">
        <v>1.28</v>
      </c>
      <c r="AE12" s="129">
        <v>1.29</v>
      </c>
      <c r="AF12" s="129">
        <v>1.3</v>
      </c>
      <c r="AG12" s="129">
        <v>1.31</v>
      </c>
      <c r="AH12" s="129">
        <v>1.32</v>
      </c>
      <c r="AI12" s="129">
        <v>1.33</v>
      </c>
      <c r="AJ12" s="129">
        <v>1.34</v>
      </c>
      <c r="AK12" s="129">
        <v>1.35</v>
      </c>
      <c r="AL12" s="129">
        <v>1.36</v>
      </c>
      <c r="AM12" s="129">
        <v>1.37</v>
      </c>
      <c r="AN12" s="129">
        <v>1.38</v>
      </c>
      <c r="AO12" s="129">
        <v>1.39</v>
      </c>
      <c r="AP12" s="129">
        <v>1.4</v>
      </c>
      <c r="AQ12" s="129">
        <v>1.41</v>
      </c>
      <c r="AR12" s="129">
        <v>1.42</v>
      </c>
      <c r="AS12" s="129">
        <v>1.43</v>
      </c>
      <c r="AT12" s="129">
        <v>1.44</v>
      </c>
      <c r="AU12" s="129">
        <v>1.45</v>
      </c>
      <c r="AV12" s="129">
        <v>1.46</v>
      </c>
      <c r="AW12" s="129">
        <v>1.47</v>
      </c>
      <c r="AX12" s="129">
        <v>1.48</v>
      </c>
      <c r="AY12" s="129">
        <v>1.49</v>
      </c>
      <c r="AZ12" s="129">
        <v>1.5</v>
      </c>
      <c r="BA12" s="129">
        <v>1.51</v>
      </c>
      <c r="BB12" s="129">
        <v>1.52</v>
      </c>
      <c r="BC12" s="129">
        <v>1.53</v>
      </c>
      <c r="BD12" s="129">
        <v>1.54</v>
      </c>
      <c r="BE12" s="129">
        <v>1.55</v>
      </c>
      <c r="BF12" s="129">
        <v>1.56</v>
      </c>
      <c r="BG12" s="129">
        <v>1.57</v>
      </c>
      <c r="BH12" s="129">
        <v>1.58</v>
      </c>
      <c r="BI12" s="129">
        <v>1.59</v>
      </c>
      <c r="BJ12" s="129">
        <v>1.6</v>
      </c>
      <c r="BK12" s="129">
        <v>1.61</v>
      </c>
      <c r="BL12" s="129">
        <v>1.62</v>
      </c>
      <c r="BM12" s="129">
        <v>1.63</v>
      </c>
      <c r="BN12" s="129">
        <v>1.64</v>
      </c>
      <c r="BO12" s="129">
        <v>1.65</v>
      </c>
      <c r="BP12" s="129">
        <v>1.66</v>
      </c>
      <c r="BQ12" s="129">
        <v>1.67</v>
      </c>
      <c r="BR12" s="129">
        <v>1.68</v>
      </c>
      <c r="BS12" s="129">
        <v>1.69</v>
      </c>
      <c r="BT12" s="129">
        <v>1.7</v>
      </c>
      <c r="BU12" s="129">
        <v>1.71</v>
      </c>
      <c r="BV12" s="129">
        <v>1.72</v>
      </c>
      <c r="BW12" s="129">
        <v>1.73</v>
      </c>
      <c r="BX12" s="129">
        <v>1.74</v>
      </c>
      <c r="BY12" s="129">
        <v>1.75</v>
      </c>
      <c r="BZ12" s="129">
        <v>1.76</v>
      </c>
      <c r="CA12" s="129">
        <v>1.77</v>
      </c>
      <c r="CB12" s="129">
        <v>1.78</v>
      </c>
      <c r="CC12" s="129">
        <v>1.79</v>
      </c>
      <c r="CD12" s="129">
        <v>1.8</v>
      </c>
      <c r="CE12" s="129">
        <v>1.81</v>
      </c>
      <c r="CF12" s="129">
        <v>1.82</v>
      </c>
      <c r="CG12" s="129">
        <v>1.83</v>
      </c>
      <c r="CH12" s="129">
        <v>1.84</v>
      </c>
      <c r="CI12" s="129">
        <v>1.85</v>
      </c>
      <c r="CJ12" s="129">
        <v>1.86</v>
      </c>
      <c r="CK12" s="129">
        <v>1.87</v>
      </c>
      <c r="CL12" s="129">
        <v>1.88</v>
      </c>
      <c r="CM12" s="129">
        <v>1.89</v>
      </c>
      <c r="CN12" s="129">
        <v>1.9</v>
      </c>
      <c r="CO12" s="129">
        <v>1.91</v>
      </c>
      <c r="CP12" s="129">
        <v>1.92</v>
      </c>
      <c r="CQ12" s="129">
        <v>1.93</v>
      </c>
      <c r="CR12" s="129">
        <v>1.94</v>
      </c>
      <c r="CS12" s="129">
        <v>1.95</v>
      </c>
      <c r="CT12" s="129">
        <v>1.96</v>
      </c>
      <c r="CU12" s="129">
        <v>1.97</v>
      </c>
      <c r="CV12" s="129">
        <v>1.98</v>
      </c>
      <c r="CW12" s="129">
        <v>1.99</v>
      </c>
      <c r="CX12" s="129">
        <v>2</v>
      </c>
      <c r="CZ12" s="126">
        <f>SUMIF(MatrixF4[[1]:[2]],MatrixF4[[#This Row],[Столбец1]])/MatrixF4[[#This Row],[Столбец1]]</f>
        <v>19</v>
      </c>
    </row>
    <row r="13" spans="1:104" ht="21" customHeight="1" x14ac:dyDescent="0.25">
      <c r="A13" s="127">
        <v>1.1000000000000001</v>
      </c>
      <c r="B13" s="129">
        <v>1.1000000000000001</v>
      </c>
      <c r="C13" s="129">
        <v>1.1000000000000001</v>
      </c>
      <c r="D13" s="129">
        <v>1.1000000000000001</v>
      </c>
      <c r="E13" s="129">
        <v>1.1000000000000001</v>
      </c>
      <c r="F13" s="129">
        <v>1.1000000000000001</v>
      </c>
      <c r="G13" s="129">
        <v>1.1000000000000001</v>
      </c>
      <c r="H13" s="129">
        <v>1.1000000000000001</v>
      </c>
      <c r="I13" s="129">
        <v>1.1000000000000001</v>
      </c>
      <c r="J13" s="129">
        <v>1.1000000000000001</v>
      </c>
      <c r="K13" s="129">
        <v>1.1000000000000001</v>
      </c>
      <c r="L13" s="129">
        <v>1.1000000000000001</v>
      </c>
      <c r="M13" s="129">
        <v>1.1100000000000001</v>
      </c>
      <c r="N13" s="129">
        <v>1.1200000000000001</v>
      </c>
      <c r="O13" s="129">
        <v>1.1299999999999999</v>
      </c>
      <c r="P13" s="129">
        <v>1.1399999999999999</v>
      </c>
      <c r="Q13" s="129">
        <v>1.1499999999999999</v>
      </c>
      <c r="R13" s="129">
        <v>1.1599999999999999</v>
      </c>
      <c r="S13" s="129">
        <v>1.17</v>
      </c>
      <c r="T13" s="129">
        <v>1.18</v>
      </c>
      <c r="U13" s="129">
        <v>1.19</v>
      </c>
      <c r="V13" s="129">
        <v>1.2</v>
      </c>
      <c r="W13" s="129">
        <v>1.21</v>
      </c>
      <c r="X13" s="129">
        <v>1.22</v>
      </c>
      <c r="Y13" s="129">
        <v>1.23</v>
      </c>
      <c r="Z13" s="129">
        <v>1.24</v>
      </c>
      <c r="AA13" s="129">
        <v>1.25</v>
      </c>
      <c r="AB13" s="129">
        <v>1.26</v>
      </c>
      <c r="AC13" s="129">
        <v>1.27</v>
      </c>
      <c r="AD13" s="129">
        <v>1.28</v>
      </c>
      <c r="AE13" s="129">
        <v>1.29</v>
      </c>
      <c r="AF13" s="129">
        <v>1.3</v>
      </c>
      <c r="AG13" s="129">
        <v>1.31</v>
      </c>
      <c r="AH13" s="129">
        <v>1.32</v>
      </c>
      <c r="AI13" s="129">
        <v>1.33</v>
      </c>
      <c r="AJ13" s="129">
        <v>1.34</v>
      </c>
      <c r="AK13" s="129">
        <v>1.35</v>
      </c>
      <c r="AL13" s="129">
        <v>1.36</v>
      </c>
      <c r="AM13" s="129">
        <v>1.37</v>
      </c>
      <c r="AN13" s="129">
        <v>1.38</v>
      </c>
      <c r="AO13" s="129">
        <v>1.39</v>
      </c>
      <c r="AP13" s="129">
        <v>1.4</v>
      </c>
      <c r="AQ13" s="129">
        <v>1.41</v>
      </c>
      <c r="AR13" s="129">
        <v>1.42</v>
      </c>
      <c r="AS13" s="129">
        <v>1.43</v>
      </c>
      <c r="AT13" s="129">
        <v>1.44</v>
      </c>
      <c r="AU13" s="129">
        <v>1.45</v>
      </c>
      <c r="AV13" s="129">
        <v>1.46</v>
      </c>
      <c r="AW13" s="129">
        <v>1.47</v>
      </c>
      <c r="AX13" s="129">
        <v>1.48</v>
      </c>
      <c r="AY13" s="129">
        <v>1.49</v>
      </c>
      <c r="AZ13" s="129">
        <v>1.5</v>
      </c>
      <c r="BA13" s="129">
        <v>1.51</v>
      </c>
      <c r="BB13" s="129">
        <v>1.52</v>
      </c>
      <c r="BC13" s="129">
        <v>1.53</v>
      </c>
      <c r="BD13" s="129">
        <v>1.54</v>
      </c>
      <c r="BE13" s="129">
        <v>1.55</v>
      </c>
      <c r="BF13" s="129">
        <v>1.56</v>
      </c>
      <c r="BG13" s="129">
        <v>1.57</v>
      </c>
      <c r="BH13" s="129">
        <v>1.58</v>
      </c>
      <c r="BI13" s="129">
        <v>1.59</v>
      </c>
      <c r="BJ13" s="129">
        <v>1.6</v>
      </c>
      <c r="BK13" s="129">
        <v>1.61</v>
      </c>
      <c r="BL13" s="129">
        <v>1.62</v>
      </c>
      <c r="BM13" s="129">
        <v>1.63</v>
      </c>
      <c r="BN13" s="129">
        <v>1.64</v>
      </c>
      <c r="BO13" s="129">
        <v>1.65</v>
      </c>
      <c r="BP13" s="129">
        <v>1.66</v>
      </c>
      <c r="BQ13" s="129">
        <v>1.67</v>
      </c>
      <c r="BR13" s="129">
        <v>1.68</v>
      </c>
      <c r="BS13" s="129">
        <v>1.69</v>
      </c>
      <c r="BT13" s="129">
        <v>1.7</v>
      </c>
      <c r="BU13" s="129">
        <v>1.71</v>
      </c>
      <c r="BV13" s="129">
        <v>1.72</v>
      </c>
      <c r="BW13" s="129">
        <v>1.73</v>
      </c>
      <c r="BX13" s="129">
        <v>1.74</v>
      </c>
      <c r="BY13" s="129">
        <v>1.75</v>
      </c>
      <c r="BZ13" s="129">
        <v>1.76</v>
      </c>
      <c r="CA13" s="129">
        <v>1.77</v>
      </c>
      <c r="CB13" s="129">
        <v>1.78</v>
      </c>
      <c r="CC13" s="129">
        <v>1.79</v>
      </c>
      <c r="CD13" s="129">
        <v>1.8</v>
      </c>
      <c r="CE13" s="129">
        <v>1.81</v>
      </c>
      <c r="CF13" s="129">
        <v>1.82</v>
      </c>
      <c r="CG13" s="129">
        <v>1.83</v>
      </c>
      <c r="CH13" s="129">
        <v>1.84</v>
      </c>
      <c r="CI13" s="129">
        <v>1.85</v>
      </c>
      <c r="CJ13" s="129">
        <v>1.86</v>
      </c>
      <c r="CK13" s="129">
        <v>1.87</v>
      </c>
      <c r="CL13" s="129">
        <v>1.88</v>
      </c>
      <c r="CM13" s="129">
        <v>1.89</v>
      </c>
      <c r="CN13" s="129">
        <v>1.9</v>
      </c>
      <c r="CO13" s="129">
        <v>1.91</v>
      </c>
      <c r="CP13" s="129">
        <v>1.92</v>
      </c>
      <c r="CQ13" s="129">
        <v>1.93</v>
      </c>
      <c r="CR13" s="129">
        <v>1.94</v>
      </c>
      <c r="CS13" s="129">
        <v>1.95</v>
      </c>
      <c r="CT13" s="129">
        <v>1.96</v>
      </c>
      <c r="CU13" s="129">
        <v>1.97</v>
      </c>
      <c r="CV13" s="129">
        <v>1.98</v>
      </c>
      <c r="CW13" s="129">
        <v>1.99</v>
      </c>
      <c r="CX13" s="129">
        <v>2</v>
      </c>
      <c r="CZ13" s="126">
        <f>SUMIF(MatrixF4[[1]:[2]],MatrixF4[[#This Row],[Столбец1]])/MatrixF4[[#This Row],[Столбец1]]</f>
        <v>21.000000000000004</v>
      </c>
    </row>
    <row r="14" spans="1:104" ht="21" customHeight="1" x14ac:dyDescent="0.25">
      <c r="A14" s="127">
        <v>1.1100000000000001</v>
      </c>
      <c r="B14" s="129">
        <v>1.1100000000000001</v>
      </c>
      <c r="C14" s="129">
        <v>1.1100000000000001</v>
      </c>
      <c r="D14" s="129">
        <v>1.1100000000000001</v>
      </c>
      <c r="E14" s="129">
        <v>1.1100000000000001</v>
      </c>
      <c r="F14" s="129">
        <v>1.1100000000000001</v>
      </c>
      <c r="G14" s="129">
        <v>1.1100000000000001</v>
      </c>
      <c r="H14" s="129">
        <v>1.1100000000000001</v>
      </c>
      <c r="I14" s="129">
        <v>1.1100000000000001</v>
      </c>
      <c r="J14" s="129">
        <v>1.1100000000000001</v>
      </c>
      <c r="K14" s="129">
        <v>1.1100000000000001</v>
      </c>
      <c r="L14" s="129">
        <v>1.1100000000000001</v>
      </c>
      <c r="M14" s="129">
        <v>1.1100000000000001</v>
      </c>
      <c r="N14" s="129">
        <v>1.1200000000000001</v>
      </c>
      <c r="O14" s="129">
        <v>1.1299999999999999</v>
      </c>
      <c r="P14" s="129">
        <v>1.1399999999999999</v>
      </c>
      <c r="Q14" s="129">
        <v>1.1499999999999999</v>
      </c>
      <c r="R14" s="129">
        <v>1.1599999999999999</v>
      </c>
      <c r="S14" s="129">
        <v>1.17</v>
      </c>
      <c r="T14" s="129">
        <v>1.18</v>
      </c>
      <c r="U14" s="129">
        <v>1.19</v>
      </c>
      <c r="V14" s="129">
        <v>1.2</v>
      </c>
      <c r="W14" s="129">
        <v>1.21</v>
      </c>
      <c r="X14" s="129">
        <v>1.22</v>
      </c>
      <c r="Y14" s="129">
        <v>1.23</v>
      </c>
      <c r="Z14" s="129">
        <v>1.24</v>
      </c>
      <c r="AA14" s="129">
        <v>1.25</v>
      </c>
      <c r="AB14" s="129">
        <v>1.26</v>
      </c>
      <c r="AC14" s="129">
        <v>1.27</v>
      </c>
      <c r="AD14" s="129">
        <v>1.28</v>
      </c>
      <c r="AE14" s="129">
        <v>1.29</v>
      </c>
      <c r="AF14" s="129">
        <v>1.3</v>
      </c>
      <c r="AG14" s="129">
        <v>1.31</v>
      </c>
      <c r="AH14" s="129">
        <v>1.32</v>
      </c>
      <c r="AI14" s="129">
        <v>1.33</v>
      </c>
      <c r="AJ14" s="129">
        <v>1.34</v>
      </c>
      <c r="AK14" s="129">
        <v>1.35</v>
      </c>
      <c r="AL14" s="129">
        <v>1.36</v>
      </c>
      <c r="AM14" s="129">
        <v>1.37</v>
      </c>
      <c r="AN14" s="129">
        <v>1.38</v>
      </c>
      <c r="AO14" s="129">
        <v>1.39</v>
      </c>
      <c r="AP14" s="129">
        <v>1.4</v>
      </c>
      <c r="AQ14" s="129">
        <v>1.41</v>
      </c>
      <c r="AR14" s="129">
        <v>1.42</v>
      </c>
      <c r="AS14" s="129">
        <v>1.43</v>
      </c>
      <c r="AT14" s="129">
        <v>1.44</v>
      </c>
      <c r="AU14" s="129">
        <v>1.45</v>
      </c>
      <c r="AV14" s="129">
        <v>1.46</v>
      </c>
      <c r="AW14" s="129">
        <v>1.47</v>
      </c>
      <c r="AX14" s="129">
        <v>1.48</v>
      </c>
      <c r="AY14" s="129">
        <v>1.49</v>
      </c>
      <c r="AZ14" s="129">
        <v>1.5</v>
      </c>
      <c r="BA14" s="129">
        <v>1.51</v>
      </c>
      <c r="BB14" s="129">
        <v>1.52</v>
      </c>
      <c r="BC14" s="129">
        <v>1.53</v>
      </c>
      <c r="BD14" s="129">
        <v>1.54</v>
      </c>
      <c r="BE14" s="129">
        <v>1.55</v>
      </c>
      <c r="BF14" s="129">
        <v>1.56</v>
      </c>
      <c r="BG14" s="129">
        <v>1.57</v>
      </c>
      <c r="BH14" s="129">
        <v>1.58</v>
      </c>
      <c r="BI14" s="129">
        <v>1.59</v>
      </c>
      <c r="BJ14" s="129">
        <v>1.6</v>
      </c>
      <c r="BK14" s="129">
        <v>1.61</v>
      </c>
      <c r="BL14" s="129">
        <v>1.62</v>
      </c>
      <c r="BM14" s="129">
        <v>1.63</v>
      </c>
      <c r="BN14" s="129">
        <v>1.64</v>
      </c>
      <c r="BO14" s="129">
        <v>1.65</v>
      </c>
      <c r="BP14" s="129">
        <v>1.66</v>
      </c>
      <c r="BQ14" s="129">
        <v>1.67</v>
      </c>
      <c r="BR14" s="129">
        <v>1.68</v>
      </c>
      <c r="BS14" s="129">
        <v>1.69</v>
      </c>
      <c r="BT14" s="129">
        <v>1.7</v>
      </c>
      <c r="BU14" s="129">
        <v>1.71</v>
      </c>
      <c r="BV14" s="129">
        <v>1.72</v>
      </c>
      <c r="BW14" s="129">
        <v>1.73</v>
      </c>
      <c r="BX14" s="129">
        <v>1.74</v>
      </c>
      <c r="BY14" s="129">
        <v>1.75</v>
      </c>
      <c r="BZ14" s="129">
        <v>1.76</v>
      </c>
      <c r="CA14" s="129">
        <v>1.77</v>
      </c>
      <c r="CB14" s="129">
        <v>1.78</v>
      </c>
      <c r="CC14" s="129">
        <v>1.79</v>
      </c>
      <c r="CD14" s="129">
        <v>1.8</v>
      </c>
      <c r="CE14" s="129">
        <v>1.81</v>
      </c>
      <c r="CF14" s="129">
        <v>1.82</v>
      </c>
      <c r="CG14" s="129">
        <v>1.83</v>
      </c>
      <c r="CH14" s="129">
        <v>1.84</v>
      </c>
      <c r="CI14" s="129">
        <v>1.85</v>
      </c>
      <c r="CJ14" s="129">
        <v>1.86</v>
      </c>
      <c r="CK14" s="129">
        <v>1.87</v>
      </c>
      <c r="CL14" s="129">
        <v>1.88</v>
      </c>
      <c r="CM14" s="129">
        <v>1.89</v>
      </c>
      <c r="CN14" s="129">
        <v>1.9</v>
      </c>
      <c r="CO14" s="129">
        <v>1.91</v>
      </c>
      <c r="CP14" s="129">
        <v>1.92</v>
      </c>
      <c r="CQ14" s="129">
        <v>1.93</v>
      </c>
      <c r="CR14" s="129">
        <v>1.94</v>
      </c>
      <c r="CS14" s="129">
        <v>1.95</v>
      </c>
      <c r="CT14" s="129">
        <v>1.96</v>
      </c>
      <c r="CU14" s="129">
        <v>1.97</v>
      </c>
      <c r="CV14" s="129">
        <v>1.98</v>
      </c>
      <c r="CW14" s="129">
        <v>1.99</v>
      </c>
      <c r="CX14" s="129">
        <v>2</v>
      </c>
      <c r="CZ14" s="126">
        <f>SUMIF(MatrixF4[[1]:[2]],MatrixF4[[#This Row],[Столбец1]])/MatrixF4[[#This Row],[Столбец1]]</f>
        <v>22.999999999999993</v>
      </c>
    </row>
    <row r="15" spans="1:104" ht="21" customHeight="1" x14ac:dyDescent="0.25">
      <c r="A15" s="127">
        <v>1.1200000000000001</v>
      </c>
      <c r="B15" s="129">
        <v>1.1200000000000001</v>
      </c>
      <c r="C15" s="129">
        <v>1.1200000000000001</v>
      </c>
      <c r="D15" s="129">
        <v>1.1200000000000001</v>
      </c>
      <c r="E15" s="129">
        <v>1.1200000000000001</v>
      </c>
      <c r="F15" s="129">
        <v>1.1200000000000001</v>
      </c>
      <c r="G15" s="129">
        <v>1.1200000000000001</v>
      </c>
      <c r="H15" s="129">
        <v>1.1200000000000001</v>
      </c>
      <c r="I15" s="129">
        <v>1.1200000000000001</v>
      </c>
      <c r="J15" s="129">
        <v>1.1200000000000001</v>
      </c>
      <c r="K15" s="129">
        <v>1.1200000000000001</v>
      </c>
      <c r="L15" s="129">
        <v>1.1200000000000001</v>
      </c>
      <c r="M15" s="129">
        <v>1.1200000000000001</v>
      </c>
      <c r="N15" s="129">
        <v>1.1200000000000001</v>
      </c>
      <c r="O15" s="129">
        <v>1.1299999999999999</v>
      </c>
      <c r="P15" s="129">
        <v>1.1399999999999999</v>
      </c>
      <c r="Q15" s="129">
        <v>1.1499999999999999</v>
      </c>
      <c r="R15" s="129">
        <v>1.1599999999999999</v>
      </c>
      <c r="S15" s="129">
        <v>1.17</v>
      </c>
      <c r="T15" s="129">
        <v>1.18</v>
      </c>
      <c r="U15" s="129">
        <v>1.19</v>
      </c>
      <c r="V15" s="129">
        <v>1.2</v>
      </c>
      <c r="W15" s="129">
        <v>1.21</v>
      </c>
      <c r="X15" s="129">
        <v>1.22</v>
      </c>
      <c r="Y15" s="129">
        <v>1.23</v>
      </c>
      <c r="Z15" s="129">
        <v>1.24</v>
      </c>
      <c r="AA15" s="129">
        <v>1.25</v>
      </c>
      <c r="AB15" s="129">
        <v>1.26</v>
      </c>
      <c r="AC15" s="129">
        <v>1.27</v>
      </c>
      <c r="AD15" s="129">
        <v>1.28</v>
      </c>
      <c r="AE15" s="129">
        <v>1.29</v>
      </c>
      <c r="AF15" s="129">
        <v>1.3</v>
      </c>
      <c r="AG15" s="129">
        <v>1.31</v>
      </c>
      <c r="AH15" s="129">
        <v>1.32</v>
      </c>
      <c r="AI15" s="129">
        <v>1.33</v>
      </c>
      <c r="AJ15" s="129">
        <v>1.34</v>
      </c>
      <c r="AK15" s="129">
        <v>1.35</v>
      </c>
      <c r="AL15" s="129">
        <v>1.36</v>
      </c>
      <c r="AM15" s="129">
        <v>1.37</v>
      </c>
      <c r="AN15" s="129">
        <v>1.38</v>
      </c>
      <c r="AO15" s="129">
        <v>1.39</v>
      </c>
      <c r="AP15" s="129">
        <v>1.4</v>
      </c>
      <c r="AQ15" s="129">
        <v>1.41</v>
      </c>
      <c r="AR15" s="129">
        <v>1.42</v>
      </c>
      <c r="AS15" s="129">
        <v>1.43</v>
      </c>
      <c r="AT15" s="129">
        <v>1.44</v>
      </c>
      <c r="AU15" s="129">
        <v>1.45</v>
      </c>
      <c r="AV15" s="129">
        <v>1.46</v>
      </c>
      <c r="AW15" s="129">
        <v>1.47</v>
      </c>
      <c r="AX15" s="129">
        <v>1.48</v>
      </c>
      <c r="AY15" s="129">
        <v>1.49</v>
      </c>
      <c r="AZ15" s="129">
        <v>1.5</v>
      </c>
      <c r="BA15" s="129">
        <v>1.51</v>
      </c>
      <c r="BB15" s="129">
        <v>1.52</v>
      </c>
      <c r="BC15" s="129">
        <v>1.53</v>
      </c>
      <c r="BD15" s="129">
        <v>1.54</v>
      </c>
      <c r="BE15" s="129">
        <v>1.55</v>
      </c>
      <c r="BF15" s="129">
        <v>1.56</v>
      </c>
      <c r="BG15" s="129">
        <v>1.57</v>
      </c>
      <c r="BH15" s="129">
        <v>1.58</v>
      </c>
      <c r="BI15" s="129">
        <v>1.59</v>
      </c>
      <c r="BJ15" s="129">
        <v>1.6</v>
      </c>
      <c r="BK15" s="129">
        <v>1.61</v>
      </c>
      <c r="BL15" s="129">
        <v>1.62</v>
      </c>
      <c r="BM15" s="129">
        <v>1.63</v>
      </c>
      <c r="BN15" s="129">
        <v>1.64</v>
      </c>
      <c r="BO15" s="129">
        <v>1.65</v>
      </c>
      <c r="BP15" s="129">
        <v>1.66</v>
      </c>
      <c r="BQ15" s="129">
        <v>1.67</v>
      </c>
      <c r="BR15" s="129">
        <v>1.68</v>
      </c>
      <c r="BS15" s="129">
        <v>1.69</v>
      </c>
      <c r="BT15" s="129">
        <v>1.7</v>
      </c>
      <c r="BU15" s="129">
        <v>1.71</v>
      </c>
      <c r="BV15" s="129">
        <v>1.72</v>
      </c>
      <c r="BW15" s="129">
        <v>1.73</v>
      </c>
      <c r="BX15" s="129">
        <v>1.74</v>
      </c>
      <c r="BY15" s="129">
        <v>1.75</v>
      </c>
      <c r="BZ15" s="129">
        <v>1.76</v>
      </c>
      <c r="CA15" s="129">
        <v>1.77</v>
      </c>
      <c r="CB15" s="129">
        <v>1.78</v>
      </c>
      <c r="CC15" s="129">
        <v>1.79</v>
      </c>
      <c r="CD15" s="129">
        <v>1.8</v>
      </c>
      <c r="CE15" s="129">
        <v>1.81</v>
      </c>
      <c r="CF15" s="129">
        <v>1.82</v>
      </c>
      <c r="CG15" s="129">
        <v>1.83</v>
      </c>
      <c r="CH15" s="129">
        <v>1.84</v>
      </c>
      <c r="CI15" s="129">
        <v>1.85</v>
      </c>
      <c r="CJ15" s="129">
        <v>1.86</v>
      </c>
      <c r="CK15" s="129">
        <v>1.87</v>
      </c>
      <c r="CL15" s="129">
        <v>1.88</v>
      </c>
      <c r="CM15" s="129">
        <v>1.89</v>
      </c>
      <c r="CN15" s="129">
        <v>1.9</v>
      </c>
      <c r="CO15" s="129">
        <v>1.91</v>
      </c>
      <c r="CP15" s="129">
        <v>1.92</v>
      </c>
      <c r="CQ15" s="129">
        <v>1.93</v>
      </c>
      <c r="CR15" s="129">
        <v>1.94</v>
      </c>
      <c r="CS15" s="129">
        <v>1.95</v>
      </c>
      <c r="CT15" s="129">
        <v>1.96</v>
      </c>
      <c r="CU15" s="129">
        <v>1.97</v>
      </c>
      <c r="CV15" s="129">
        <v>1.98</v>
      </c>
      <c r="CW15" s="129">
        <v>1.99</v>
      </c>
      <c r="CX15" s="129">
        <v>2</v>
      </c>
      <c r="CZ15" s="126">
        <f>SUMIF(MatrixF4[[1]:[2]],MatrixF4[[#This Row],[Столбец1]])/MatrixF4[[#This Row],[Столбец1]]</f>
        <v>25.000000000000014</v>
      </c>
    </row>
    <row r="16" spans="1:104" ht="21" customHeight="1" x14ac:dyDescent="0.25">
      <c r="A16" s="127">
        <v>1.1299999999999999</v>
      </c>
      <c r="B16" s="129">
        <v>1.1299999999999999</v>
      </c>
      <c r="C16" s="129">
        <v>1.1299999999999999</v>
      </c>
      <c r="D16" s="129">
        <v>1.1299999999999999</v>
      </c>
      <c r="E16" s="129">
        <v>1.1299999999999999</v>
      </c>
      <c r="F16" s="129">
        <v>1.1299999999999999</v>
      </c>
      <c r="G16" s="129">
        <v>1.1299999999999999</v>
      </c>
      <c r="H16" s="129">
        <v>1.1299999999999999</v>
      </c>
      <c r="I16" s="129">
        <v>1.1299999999999999</v>
      </c>
      <c r="J16" s="129">
        <v>1.1299999999999999</v>
      </c>
      <c r="K16" s="129">
        <v>1.1299999999999999</v>
      </c>
      <c r="L16" s="129">
        <v>1.1299999999999999</v>
      </c>
      <c r="M16" s="129">
        <v>1.1299999999999999</v>
      </c>
      <c r="N16" s="129">
        <v>1.1299999999999999</v>
      </c>
      <c r="O16" s="129">
        <v>1.1299999999999999</v>
      </c>
      <c r="P16" s="129">
        <v>1.1399999999999999</v>
      </c>
      <c r="Q16" s="129">
        <v>1.1499999999999999</v>
      </c>
      <c r="R16" s="129">
        <v>1.1599999999999999</v>
      </c>
      <c r="S16" s="129">
        <v>1.17</v>
      </c>
      <c r="T16" s="129">
        <v>1.18</v>
      </c>
      <c r="U16" s="129">
        <v>1.19</v>
      </c>
      <c r="V16" s="129">
        <v>1.2</v>
      </c>
      <c r="W16" s="129">
        <v>1.21</v>
      </c>
      <c r="X16" s="129">
        <v>1.22</v>
      </c>
      <c r="Y16" s="129">
        <v>1.23</v>
      </c>
      <c r="Z16" s="129">
        <v>1.24</v>
      </c>
      <c r="AA16" s="129">
        <v>1.25</v>
      </c>
      <c r="AB16" s="129">
        <v>1.26</v>
      </c>
      <c r="AC16" s="129">
        <v>1.27</v>
      </c>
      <c r="AD16" s="129">
        <v>1.28</v>
      </c>
      <c r="AE16" s="129">
        <v>1.29</v>
      </c>
      <c r="AF16" s="129">
        <v>1.3</v>
      </c>
      <c r="AG16" s="129">
        <v>1.31</v>
      </c>
      <c r="AH16" s="129">
        <v>1.32</v>
      </c>
      <c r="AI16" s="129">
        <v>1.33</v>
      </c>
      <c r="AJ16" s="129">
        <v>1.34</v>
      </c>
      <c r="AK16" s="129">
        <v>1.35</v>
      </c>
      <c r="AL16" s="129">
        <v>1.36</v>
      </c>
      <c r="AM16" s="129">
        <v>1.37</v>
      </c>
      <c r="AN16" s="129">
        <v>1.38</v>
      </c>
      <c r="AO16" s="129">
        <v>1.39</v>
      </c>
      <c r="AP16" s="129">
        <v>1.4</v>
      </c>
      <c r="AQ16" s="129">
        <v>1.41</v>
      </c>
      <c r="AR16" s="129">
        <v>1.42</v>
      </c>
      <c r="AS16" s="129">
        <v>1.43</v>
      </c>
      <c r="AT16" s="129">
        <v>1.44</v>
      </c>
      <c r="AU16" s="129">
        <v>1.45</v>
      </c>
      <c r="AV16" s="129">
        <v>1.46</v>
      </c>
      <c r="AW16" s="129">
        <v>1.47</v>
      </c>
      <c r="AX16" s="129">
        <v>1.48</v>
      </c>
      <c r="AY16" s="129">
        <v>1.49</v>
      </c>
      <c r="AZ16" s="129">
        <v>1.5</v>
      </c>
      <c r="BA16" s="129">
        <v>1.51</v>
      </c>
      <c r="BB16" s="129">
        <v>1.52</v>
      </c>
      <c r="BC16" s="129">
        <v>1.53</v>
      </c>
      <c r="BD16" s="129">
        <v>1.54</v>
      </c>
      <c r="BE16" s="129">
        <v>1.55</v>
      </c>
      <c r="BF16" s="129">
        <v>1.56</v>
      </c>
      <c r="BG16" s="129">
        <v>1.57</v>
      </c>
      <c r="BH16" s="129">
        <v>1.58</v>
      </c>
      <c r="BI16" s="129">
        <v>1.59</v>
      </c>
      <c r="BJ16" s="129">
        <v>1.6</v>
      </c>
      <c r="BK16" s="129">
        <v>1.61</v>
      </c>
      <c r="BL16" s="129">
        <v>1.62</v>
      </c>
      <c r="BM16" s="129">
        <v>1.63</v>
      </c>
      <c r="BN16" s="129">
        <v>1.64</v>
      </c>
      <c r="BO16" s="129">
        <v>1.65</v>
      </c>
      <c r="BP16" s="129">
        <v>1.66</v>
      </c>
      <c r="BQ16" s="129">
        <v>1.67</v>
      </c>
      <c r="BR16" s="129">
        <v>1.68</v>
      </c>
      <c r="BS16" s="129">
        <v>1.69</v>
      </c>
      <c r="BT16" s="129">
        <v>1.7</v>
      </c>
      <c r="BU16" s="129">
        <v>1.71</v>
      </c>
      <c r="BV16" s="129">
        <v>1.72</v>
      </c>
      <c r="BW16" s="129">
        <v>1.73</v>
      </c>
      <c r="BX16" s="129">
        <v>1.74</v>
      </c>
      <c r="BY16" s="129">
        <v>1.75</v>
      </c>
      <c r="BZ16" s="129">
        <v>1.76</v>
      </c>
      <c r="CA16" s="129">
        <v>1.77</v>
      </c>
      <c r="CB16" s="129">
        <v>1.78</v>
      </c>
      <c r="CC16" s="129">
        <v>1.79</v>
      </c>
      <c r="CD16" s="129">
        <v>1.8</v>
      </c>
      <c r="CE16" s="129">
        <v>1.81</v>
      </c>
      <c r="CF16" s="129">
        <v>1.82</v>
      </c>
      <c r="CG16" s="129">
        <v>1.83</v>
      </c>
      <c r="CH16" s="129">
        <v>1.84</v>
      </c>
      <c r="CI16" s="129">
        <v>1.85</v>
      </c>
      <c r="CJ16" s="129">
        <v>1.86</v>
      </c>
      <c r="CK16" s="129">
        <v>1.87</v>
      </c>
      <c r="CL16" s="129">
        <v>1.88</v>
      </c>
      <c r="CM16" s="129">
        <v>1.89</v>
      </c>
      <c r="CN16" s="129">
        <v>1.9</v>
      </c>
      <c r="CO16" s="129">
        <v>1.91</v>
      </c>
      <c r="CP16" s="129">
        <v>1.92</v>
      </c>
      <c r="CQ16" s="129">
        <v>1.93</v>
      </c>
      <c r="CR16" s="129">
        <v>1.94</v>
      </c>
      <c r="CS16" s="129">
        <v>1.95</v>
      </c>
      <c r="CT16" s="129">
        <v>1.96</v>
      </c>
      <c r="CU16" s="129">
        <v>1.97</v>
      </c>
      <c r="CV16" s="129">
        <v>1.98</v>
      </c>
      <c r="CW16" s="129">
        <v>1.99</v>
      </c>
      <c r="CX16" s="129">
        <v>2</v>
      </c>
      <c r="CZ16" s="126">
        <f>SUMIF(MatrixF4[[1]:[2]],MatrixF4[[#This Row],[Столбец1]])/MatrixF4[[#This Row],[Столбец1]]</f>
        <v>26.999999999999986</v>
      </c>
    </row>
    <row r="17" spans="1:104" ht="21" customHeight="1" x14ac:dyDescent="0.25">
      <c r="A17" s="127">
        <v>1.1399999999999999</v>
      </c>
      <c r="B17" s="129">
        <v>1.1399999999999999</v>
      </c>
      <c r="C17" s="129">
        <v>1.1399999999999999</v>
      </c>
      <c r="D17" s="129">
        <v>1.1399999999999999</v>
      </c>
      <c r="E17" s="129">
        <v>1.1399999999999999</v>
      </c>
      <c r="F17" s="129">
        <v>1.1399999999999999</v>
      </c>
      <c r="G17" s="129">
        <v>1.1399999999999999</v>
      </c>
      <c r="H17" s="129">
        <v>1.1399999999999999</v>
      </c>
      <c r="I17" s="129">
        <v>1.1399999999999999</v>
      </c>
      <c r="J17" s="129">
        <v>1.1399999999999999</v>
      </c>
      <c r="K17" s="129">
        <v>1.1399999999999999</v>
      </c>
      <c r="L17" s="129">
        <v>1.1399999999999999</v>
      </c>
      <c r="M17" s="129">
        <v>1.1399999999999999</v>
      </c>
      <c r="N17" s="129">
        <v>1.1399999999999999</v>
      </c>
      <c r="O17" s="129">
        <v>1.1399999999999999</v>
      </c>
      <c r="P17" s="129">
        <v>1.1399999999999999</v>
      </c>
      <c r="Q17" s="129">
        <v>1.1499999999999999</v>
      </c>
      <c r="R17" s="129">
        <v>1.1599999999999999</v>
      </c>
      <c r="S17" s="129">
        <v>1.17</v>
      </c>
      <c r="T17" s="129">
        <v>1.18</v>
      </c>
      <c r="U17" s="129">
        <v>1.19</v>
      </c>
      <c r="V17" s="129">
        <v>1.2</v>
      </c>
      <c r="W17" s="129">
        <v>1.21</v>
      </c>
      <c r="X17" s="129">
        <v>1.22</v>
      </c>
      <c r="Y17" s="129">
        <v>1.23</v>
      </c>
      <c r="Z17" s="129">
        <v>1.24</v>
      </c>
      <c r="AA17" s="129">
        <v>1.25</v>
      </c>
      <c r="AB17" s="129">
        <v>1.26</v>
      </c>
      <c r="AC17" s="129">
        <v>1.27</v>
      </c>
      <c r="AD17" s="129">
        <v>1.28</v>
      </c>
      <c r="AE17" s="129">
        <v>1.29</v>
      </c>
      <c r="AF17" s="129">
        <v>1.3</v>
      </c>
      <c r="AG17" s="129">
        <v>1.31</v>
      </c>
      <c r="AH17" s="129">
        <v>1.32</v>
      </c>
      <c r="AI17" s="129">
        <v>1.33</v>
      </c>
      <c r="AJ17" s="129">
        <v>1.34</v>
      </c>
      <c r="AK17" s="129">
        <v>1.35</v>
      </c>
      <c r="AL17" s="129">
        <v>1.36</v>
      </c>
      <c r="AM17" s="129">
        <v>1.37</v>
      </c>
      <c r="AN17" s="129">
        <v>1.38</v>
      </c>
      <c r="AO17" s="129">
        <v>1.39</v>
      </c>
      <c r="AP17" s="129">
        <v>1.4</v>
      </c>
      <c r="AQ17" s="129">
        <v>1.41</v>
      </c>
      <c r="AR17" s="129">
        <v>1.42</v>
      </c>
      <c r="AS17" s="129">
        <v>1.43</v>
      </c>
      <c r="AT17" s="129">
        <v>1.44</v>
      </c>
      <c r="AU17" s="129">
        <v>1.45</v>
      </c>
      <c r="AV17" s="129">
        <v>1.46</v>
      </c>
      <c r="AW17" s="129">
        <v>1.47</v>
      </c>
      <c r="AX17" s="129">
        <v>1.48</v>
      </c>
      <c r="AY17" s="129">
        <v>1.49</v>
      </c>
      <c r="AZ17" s="129">
        <v>1.5</v>
      </c>
      <c r="BA17" s="129">
        <v>1.51</v>
      </c>
      <c r="BB17" s="129">
        <v>1.52</v>
      </c>
      <c r="BC17" s="129">
        <v>1.53</v>
      </c>
      <c r="BD17" s="129">
        <v>1.54</v>
      </c>
      <c r="BE17" s="129">
        <v>1.55</v>
      </c>
      <c r="BF17" s="129">
        <v>1.56</v>
      </c>
      <c r="BG17" s="129">
        <v>1.57</v>
      </c>
      <c r="BH17" s="129">
        <v>1.58</v>
      </c>
      <c r="BI17" s="129">
        <v>1.59</v>
      </c>
      <c r="BJ17" s="129">
        <v>1.6</v>
      </c>
      <c r="BK17" s="129">
        <v>1.61</v>
      </c>
      <c r="BL17" s="129">
        <v>1.62</v>
      </c>
      <c r="BM17" s="129">
        <v>1.63</v>
      </c>
      <c r="BN17" s="129">
        <v>1.64</v>
      </c>
      <c r="BO17" s="129">
        <v>1.65</v>
      </c>
      <c r="BP17" s="129">
        <v>1.66</v>
      </c>
      <c r="BQ17" s="129">
        <v>1.67</v>
      </c>
      <c r="BR17" s="129">
        <v>1.68</v>
      </c>
      <c r="BS17" s="129">
        <v>1.69</v>
      </c>
      <c r="BT17" s="129">
        <v>1.7</v>
      </c>
      <c r="BU17" s="129">
        <v>1.71</v>
      </c>
      <c r="BV17" s="129">
        <v>1.72</v>
      </c>
      <c r="BW17" s="129">
        <v>1.73</v>
      </c>
      <c r="BX17" s="129">
        <v>1.74</v>
      </c>
      <c r="BY17" s="129">
        <v>1.75</v>
      </c>
      <c r="BZ17" s="129">
        <v>1.76</v>
      </c>
      <c r="CA17" s="129">
        <v>1.77</v>
      </c>
      <c r="CB17" s="129">
        <v>1.78</v>
      </c>
      <c r="CC17" s="129">
        <v>1.79</v>
      </c>
      <c r="CD17" s="129">
        <v>1.8</v>
      </c>
      <c r="CE17" s="129">
        <v>1.81</v>
      </c>
      <c r="CF17" s="129">
        <v>1.82</v>
      </c>
      <c r="CG17" s="129">
        <v>1.83</v>
      </c>
      <c r="CH17" s="129">
        <v>1.84</v>
      </c>
      <c r="CI17" s="129">
        <v>1.85</v>
      </c>
      <c r="CJ17" s="129">
        <v>1.86</v>
      </c>
      <c r="CK17" s="129">
        <v>1.87</v>
      </c>
      <c r="CL17" s="129">
        <v>1.88</v>
      </c>
      <c r="CM17" s="129">
        <v>1.89</v>
      </c>
      <c r="CN17" s="129">
        <v>1.9</v>
      </c>
      <c r="CO17" s="129">
        <v>1.91</v>
      </c>
      <c r="CP17" s="129">
        <v>1.91</v>
      </c>
      <c r="CQ17" s="129">
        <v>1.92</v>
      </c>
      <c r="CR17" s="129">
        <v>1.93</v>
      </c>
      <c r="CS17" s="129">
        <v>1.95</v>
      </c>
      <c r="CT17" s="129">
        <v>1.96</v>
      </c>
      <c r="CU17" s="129">
        <v>1.97</v>
      </c>
      <c r="CV17" s="129">
        <v>1.98</v>
      </c>
      <c r="CW17" s="129">
        <v>1.99</v>
      </c>
      <c r="CX17" s="129">
        <v>2</v>
      </c>
      <c r="CZ17" s="126">
        <f>SUMIF(MatrixF4[[1]:[2]],MatrixF4[[#This Row],[Столбец1]])/MatrixF4[[#This Row],[Столбец1]]</f>
        <v>29.000000000000011</v>
      </c>
    </row>
    <row r="18" spans="1:104" ht="21" customHeight="1" x14ac:dyDescent="0.25">
      <c r="A18" s="127">
        <v>1.1499999999999999</v>
      </c>
      <c r="B18" s="129">
        <v>1.1499999999999999</v>
      </c>
      <c r="C18" s="129">
        <v>1.1499999999999999</v>
      </c>
      <c r="D18" s="129">
        <v>1.1499999999999999</v>
      </c>
      <c r="E18" s="129">
        <v>1.1499999999999999</v>
      </c>
      <c r="F18" s="129">
        <v>1.1499999999999999</v>
      </c>
      <c r="G18" s="129">
        <v>1.1499999999999999</v>
      </c>
      <c r="H18" s="129">
        <v>1.1499999999999999</v>
      </c>
      <c r="I18" s="129">
        <v>1.1499999999999999</v>
      </c>
      <c r="J18" s="129">
        <v>1.1499999999999999</v>
      </c>
      <c r="K18" s="129">
        <v>1.1499999999999999</v>
      </c>
      <c r="L18" s="129">
        <v>1.1499999999999999</v>
      </c>
      <c r="M18" s="129">
        <v>1.1499999999999999</v>
      </c>
      <c r="N18" s="129">
        <v>1.1499999999999999</v>
      </c>
      <c r="O18" s="129">
        <v>1.1499999999999999</v>
      </c>
      <c r="P18" s="129">
        <v>1.1499999999999999</v>
      </c>
      <c r="Q18" s="129">
        <v>1.1499999999999999</v>
      </c>
      <c r="R18" s="129">
        <v>1.1599999999999999</v>
      </c>
      <c r="S18" s="129">
        <v>1.17</v>
      </c>
      <c r="T18" s="129">
        <v>1.18</v>
      </c>
      <c r="U18" s="129">
        <v>1.19</v>
      </c>
      <c r="V18" s="129">
        <v>1.2</v>
      </c>
      <c r="W18" s="129">
        <v>1.21</v>
      </c>
      <c r="X18" s="129">
        <v>1.22</v>
      </c>
      <c r="Y18" s="129">
        <v>1.23</v>
      </c>
      <c r="Z18" s="129">
        <v>1.24</v>
      </c>
      <c r="AA18" s="129">
        <v>1.25</v>
      </c>
      <c r="AB18" s="129">
        <v>1.26</v>
      </c>
      <c r="AC18" s="129">
        <v>1.27</v>
      </c>
      <c r="AD18" s="129">
        <v>1.28</v>
      </c>
      <c r="AE18" s="129">
        <v>1.29</v>
      </c>
      <c r="AF18" s="129">
        <v>1.3</v>
      </c>
      <c r="AG18" s="129">
        <v>1.31</v>
      </c>
      <c r="AH18" s="129">
        <v>1.32</v>
      </c>
      <c r="AI18" s="129">
        <v>1.33</v>
      </c>
      <c r="AJ18" s="129">
        <v>1.34</v>
      </c>
      <c r="AK18" s="129">
        <v>1.35</v>
      </c>
      <c r="AL18" s="129">
        <v>1.36</v>
      </c>
      <c r="AM18" s="129">
        <v>1.37</v>
      </c>
      <c r="AN18" s="129">
        <v>1.38</v>
      </c>
      <c r="AO18" s="129">
        <v>1.39</v>
      </c>
      <c r="AP18" s="129">
        <v>1.4</v>
      </c>
      <c r="AQ18" s="129">
        <v>1.41</v>
      </c>
      <c r="AR18" s="129">
        <v>1.42</v>
      </c>
      <c r="AS18" s="129">
        <v>1.43</v>
      </c>
      <c r="AT18" s="129">
        <v>1.44</v>
      </c>
      <c r="AU18" s="129">
        <v>1.45</v>
      </c>
      <c r="AV18" s="129">
        <v>1.46</v>
      </c>
      <c r="AW18" s="129">
        <v>1.47</v>
      </c>
      <c r="AX18" s="129">
        <v>1.48</v>
      </c>
      <c r="AY18" s="129">
        <v>1.49</v>
      </c>
      <c r="AZ18" s="129">
        <v>1.5</v>
      </c>
      <c r="BA18" s="129">
        <v>1.51</v>
      </c>
      <c r="BB18" s="129">
        <v>1.52</v>
      </c>
      <c r="BC18" s="129">
        <v>1.53</v>
      </c>
      <c r="BD18" s="129">
        <v>1.54</v>
      </c>
      <c r="BE18" s="129">
        <v>1.55</v>
      </c>
      <c r="BF18" s="129">
        <v>1.56</v>
      </c>
      <c r="BG18" s="129">
        <v>1.57</v>
      </c>
      <c r="BH18" s="129">
        <v>1.58</v>
      </c>
      <c r="BI18" s="129">
        <v>1.59</v>
      </c>
      <c r="BJ18" s="129">
        <v>1.6</v>
      </c>
      <c r="BK18" s="129">
        <v>1.61</v>
      </c>
      <c r="BL18" s="129">
        <v>1.62</v>
      </c>
      <c r="BM18" s="129">
        <v>1.63</v>
      </c>
      <c r="BN18" s="129">
        <v>1.64</v>
      </c>
      <c r="BO18" s="129">
        <v>1.65</v>
      </c>
      <c r="BP18" s="129">
        <v>1.66</v>
      </c>
      <c r="BQ18" s="129">
        <v>1.67</v>
      </c>
      <c r="BR18" s="129">
        <v>1.68</v>
      </c>
      <c r="BS18" s="129">
        <v>1.69</v>
      </c>
      <c r="BT18" s="129">
        <v>1.7</v>
      </c>
      <c r="BU18" s="129">
        <v>1.71</v>
      </c>
      <c r="BV18" s="129">
        <v>1.72</v>
      </c>
      <c r="BW18" s="129">
        <v>1.73</v>
      </c>
      <c r="BX18" s="129">
        <v>1.74</v>
      </c>
      <c r="BY18" s="129">
        <v>1.75</v>
      </c>
      <c r="BZ18" s="129">
        <v>1.76</v>
      </c>
      <c r="CA18" s="129">
        <v>1.77</v>
      </c>
      <c r="CB18" s="129">
        <v>1.78</v>
      </c>
      <c r="CC18" s="129">
        <v>1.79</v>
      </c>
      <c r="CD18" s="129">
        <v>1.8</v>
      </c>
      <c r="CE18" s="129">
        <v>1.81</v>
      </c>
      <c r="CF18" s="129">
        <v>1.82</v>
      </c>
      <c r="CG18" s="129">
        <v>1.83</v>
      </c>
      <c r="CH18" s="129">
        <v>1.84</v>
      </c>
      <c r="CI18" s="129">
        <v>1.85</v>
      </c>
      <c r="CJ18" s="129">
        <v>1.86</v>
      </c>
      <c r="CK18" s="129">
        <v>1.87</v>
      </c>
      <c r="CL18" s="129">
        <v>1.88</v>
      </c>
      <c r="CM18" s="129">
        <v>1.89</v>
      </c>
      <c r="CN18" s="129">
        <v>1.89</v>
      </c>
      <c r="CO18" s="129">
        <v>1.9</v>
      </c>
      <c r="CP18" s="129">
        <v>1.91</v>
      </c>
      <c r="CQ18" s="129">
        <v>1.92</v>
      </c>
      <c r="CR18" s="129">
        <v>1.93</v>
      </c>
      <c r="CS18" s="129">
        <v>1.94</v>
      </c>
      <c r="CT18" s="129">
        <v>1.96</v>
      </c>
      <c r="CU18" s="129">
        <v>1.97</v>
      </c>
      <c r="CV18" s="129">
        <v>1.98</v>
      </c>
      <c r="CW18" s="129">
        <v>1.99</v>
      </c>
      <c r="CX18" s="129">
        <v>2</v>
      </c>
      <c r="CZ18" s="126">
        <f>SUMIF(MatrixF4[[1]:[2]],MatrixF4[[#This Row],[Столбец1]])/MatrixF4[[#This Row],[Столбец1]]</f>
        <v>30.999999999999982</v>
      </c>
    </row>
    <row r="19" spans="1:104" ht="21" customHeight="1" x14ac:dyDescent="0.25">
      <c r="A19" s="127">
        <v>1.1599999999999999</v>
      </c>
      <c r="B19" s="129">
        <v>1.1599999999999999</v>
      </c>
      <c r="C19" s="129">
        <v>1.1599999999999999</v>
      </c>
      <c r="D19" s="129">
        <v>1.1599999999999999</v>
      </c>
      <c r="E19" s="129">
        <v>1.1599999999999999</v>
      </c>
      <c r="F19" s="129">
        <v>1.1599999999999999</v>
      </c>
      <c r="G19" s="129">
        <v>1.1599999999999999</v>
      </c>
      <c r="H19" s="129">
        <v>1.1599999999999999</v>
      </c>
      <c r="I19" s="129">
        <v>1.1599999999999999</v>
      </c>
      <c r="J19" s="129">
        <v>1.1599999999999999</v>
      </c>
      <c r="K19" s="129">
        <v>1.1599999999999999</v>
      </c>
      <c r="L19" s="129">
        <v>1.1599999999999999</v>
      </c>
      <c r="M19" s="129">
        <v>1.1599999999999999</v>
      </c>
      <c r="N19" s="129">
        <v>1.1599999999999999</v>
      </c>
      <c r="O19" s="129">
        <v>1.1599999999999999</v>
      </c>
      <c r="P19" s="129">
        <v>1.1599999999999999</v>
      </c>
      <c r="Q19" s="129">
        <v>1.1599999999999999</v>
      </c>
      <c r="R19" s="129">
        <v>1.1599999999999999</v>
      </c>
      <c r="S19" s="129">
        <v>1.17</v>
      </c>
      <c r="T19" s="129">
        <v>1.18</v>
      </c>
      <c r="U19" s="129">
        <v>1.19</v>
      </c>
      <c r="V19" s="129">
        <v>1.2</v>
      </c>
      <c r="W19" s="129">
        <v>1.21</v>
      </c>
      <c r="X19" s="129">
        <v>1.22</v>
      </c>
      <c r="Y19" s="129">
        <v>1.23</v>
      </c>
      <c r="Z19" s="129">
        <v>1.24</v>
      </c>
      <c r="AA19" s="129">
        <v>1.25</v>
      </c>
      <c r="AB19" s="129">
        <v>1.26</v>
      </c>
      <c r="AC19" s="129">
        <v>1.27</v>
      </c>
      <c r="AD19" s="129">
        <v>1.28</v>
      </c>
      <c r="AE19" s="129">
        <v>1.29</v>
      </c>
      <c r="AF19" s="129">
        <v>1.3</v>
      </c>
      <c r="AG19" s="129">
        <v>1.31</v>
      </c>
      <c r="AH19" s="129">
        <v>1.32</v>
      </c>
      <c r="AI19" s="129">
        <v>1.33</v>
      </c>
      <c r="AJ19" s="129">
        <v>1.34</v>
      </c>
      <c r="AK19" s="129">
        <v>1.35</v>
      </c>
      <c r="AL19" s="129">
        <v>1.36</v>
      </c>
      <c r="AM19" s="129">
        <v>1.37</v>
      </c>
      <c r="AN19" s="129">
        <v>1.38</v>
      </c>
      <c r="AO19" s="129">
        <v>1.39</v>
      </c>
      <c r="AP19" s="129">
        <v>1.4</v>
      </c>
      <c r="AQ19" s="129">
        <v>1.41</v>
      </c>
      <c r="AR19" s="129">
        <v>1.42</v>
      </c>
      <c r="AS19" s="129">
        <v>1.43</v>
      </c>
      <c r="AT19" s="129">
        <v>1.44</v>
      </c>
      <c r="AU19" s="129">
        <v>1.45</v>
      </c>
      <c r="AV19" s="129">
        <v>1.46</v>
      </c>
      <c r="AW19" s="129">
        <v>1.47</v>
      </c>
      <c r="AX19" s="129">
        <v>1.48</v>
      </c>
      <c r="AY19" s="129">
        <v>1.49</v>
      </c>
      <c r="AZ19" s="129">
        <v>1.5</v>
      </c>
      <c r="BA19" s="129">
        <v>1.51</v>
      </c>
      <c r="BB19" s="129">
        <v>1.52</v>
      </c>
      <c r="BC19" s="129">
        <v>1.53</v>
      </c>
      <c r="BD19" s="129">
        <v>1.54</v>
      </c>
      <c r="BE19" s="129">
        <v>1.55</v>
      </c>
      <c r="BF19" s="129">
        <v>1.56</v>
      </c>
      <c r="BG19" s="129">
        <v>1.57</v>
      </c>
      <c r="BH19" s="129">
        <v>1.58</v>
      </c>
      <c r="BI19" s="129">
        <v>1.59</v>
      </c>
      <c r="BJ19" s="129">
        <v>1.6</v>
      </c>
      <c r="BK19" s="129">
        <v>1.61</v>
      </c>
      <c r="BL19" s="129">
        <v>1.62</v>
      </c>
      <c r="BM19" s="129">
        <v>1.63</v>
      </c>
      <c r="BN19" s="129">
        <v>1.64</v>
      </c>
      <c r="BO19" s="129">
        <v>1.65</v>
      </c>
      <c r="BP19" s="129">
        <v>1.66</v>
      </c>
      <c r="BQ19" s="129">
        <v>1.67</v>
      </c>
      <c r="BR19" s="129">
        <v>1.68</v>
      </c>
      <c r="BS19" s="129">
        <v>1.69</v>
      </c>
      <c r="BT19" s="129">
        <v>1.7</v>
      </c>
      <c r="BU19" s="129">
        <v>1.71</v>
      </c>
      <c r="BV19" s="129">
        <v>1.72</v>
      </c>
      <c r="BW19" s="129">
        <v>1.73</v>
      </c>
      <c r="BX19" s="129">
        <v>1.74</v>
      </c>
      <c r="BY19" s="129">
        <v>1.75</v>
      </c>
      <c r="BZ19" s="129">
        <v>1.76</v>
      </c>
      <c r="CA19" s="129">
        <v>1.77</v>
      </c>
      <c r="CB19" s="129">
        <v>1.78</v>
      </c>
      <c r="CC19" s="129">
        <v>1.79</v>
      </c>
      <c r="CD19" s="129">
        <v>1.8</v>
      </c>
      <c r="CE19" s="129">
        <v>1.81</v>
      </c>
      <c r="CF19" s="129">
        <v>1.82</v>
      </c>
      <c r="CG19" s="129">
        <v>1.83</v>
      </c>
      <c r="CH19" s="129">
        <v>1.84</v>
      </c>
      <c r="CI19" s="129">
        <v>1.85</v>
      </c>
      <c r="CJ19" s="129">
        <v>1.86</v>
      </c>
      <c r="CK19" s="129">
        <v>1.87</v>
      </c>
      <c r="CL19" s="129">
        <v>1.88</v>
      </c>
      <c r="CM19" s="129">
        <v>1.88</v>
      </c>
      <c r="CN19" s="129">
        <v>1.89</v>
      </c>
      <c r="CO19" s="129">
        <v>1.9</v>
      </c>
      <c r="CP19" s="129">
        <v>1.91</v>
      </c>
      <c r="CQ19" s="129">
        <v>1.92</v>
      </c>
      <c r="CR19" s="129">
        <v>1.93</v>
      </c>
      <c r="CS19" s="129">
        <v>1.94</v>
      </c>
      <c r="CT19" s="129">
        <v>1.95</v>
      </c>
      <c r="CU19" s="129">
        <v>1.97</v>
      </c>
      <c r="CV19" s="129">
        <v>1.98</v>
      </c>
      <c r="CW19" s="129">
        <v>1.99</v>
      </c>
      <c r="CX19" s="129">
        <v>2</v>
      </c>
      <c r="CZ19" s="126">
        <f>SUMIF(MatrixF4[[1]:[2]],MatrixF4[[#This Row],[Столбец1]])/MatrixF4[[#This Row],[Столбец1]]</f>
        <v>32.999999999999986</v>
      </c>
    </row>
    <row r="20" spans="1:104" ht="21" customHeight="1" x14ac:dyDescent="0.25">
      <c r="A20" s="127">
        <v>1.17</v>
      </c>
      <c r="B20" s="129">
        <v>1.17</v>
      </c>
      <c r="C20" s="129">
        <v>1.17</v>
      </c>
      <c r="D20" s="129">
        <v>1.17</v>
      </c>
      <c r="E20" s="129">
        <v>1.17</v>
      </c>
      <c r="F20" s="129">
        <v>1.17</v>
      </c>
      <c r="G20" s="129">
        <v>1.17</v>
      </c>
      <c r="H20" s="129">
        <v>1.17</v>
      </c>
      <c r="I20" s="129">
        <v>1.17</v>
      </c>
      <c r="J20" s="129">
        <v>1.17</v>
      </c>
      <c r="K20" s="129">
        <v>1.17</v>
      </c>
      <c r="L20" s="129">
        <v>1.17</v>
      </c>
      <c r="M20" s="129">
        <v>1.17</v>
      </c>
      <c r="N20" s="129">
        <v>1.17</v>
      </c>
      <c r="O20" s="129">
        <v>1.17</v>
      </c>
      <c r="P20" s="129">
        <v>1.17</v>
      </c>
      <c r="Q20" s="129">
        <v>1.17</v>
      </c>
      <c r="R20" s="129">
        <v>1.17</v>
      </c>
      <c r="S20" s="129">
        <v>1.17</v>
      </c>
      <c r="T20" s="129">
        <v>1.18</v>
      </c>
      <c r="U20" s="129">
        <v>1.19</v>
      </c>
      <c r="V20" s="129">
        <v>1.2</v>
      </c>
      <c r="W20" s="129">
        <v>1.21</v>
      </c>
      <c r="X20" s="129">
        <v>1.22</v>
      </c>
      <c r="Y20" s="129">
        <v>1.23</v>
      </c>
      <c r="Z20" s="129">
        <v>1.24</v>
      </c>
      <c r="AA20" s="129">
        <v>1.25</v>
      </c>
      <c r="AB20" s="129">
        <v>1.26</v>
      </c>
      <c r="AC20" s="129">
        <v>1.27</v>
      </c>
      <c r="AD20" s="129">
        <v>1.28</v>
      </c>
      <c r="AE20" s="129">
        <v>1.29</v>
      </c>
      <c r="AF20" s="129">
        <v>1.3</v>
      </c>
      <c r="AG20" s="129">
        <v>1.31</v>
      </c>
      <c r="AH20" s="129">
        <v>1.32</v>
      </c>
      <c r="AI20" s="129">
        <v>1.33</v>
      </c>
      <c r="AJ20" s="129">
        <v>1.34</v>
      </c>
      <c r="AK20" s="129">
        <v>1.35</v>
      </c>
      <c r="AL20" s="129">
        <v>1.36</v>
      </c>
      <c r="AM20" s="129">
        <v>1.37</v>
      </c>
      <c r="AN20" s="129">
        <v>1.38</v>
      </c>
      <c r="AO20" s="129">
        <v>1.39</v>
      </c>
      <c r="AP20" s="129">
        <v>1.4</v>
      </c>
      <c r="AQ20" s="129">
        <v>1.41</v>
      </c>
      <c r="AR20" s="129">
        <v>1.42</v>
      </c>
      <c r="AS20" s="129">
        <v>1.43</v>
      </c>
      <c r="AT20" s="129">
        <v>1.44</v>
      </c>
      <c r="AU20" s="129">
        <v>1.45</v>
      </c>
      <c r="AV20" s="129">
        <v>1.46</v>
      </c>
      <c r="AW20" s="129">
        <v>1.47</v>
      </c>
      <c r="AX20" s="129">
        <v>1.48</v>
      </c>
      <c r="AY20" s="129">
        <v>1.49</v>
      </c>
      <c r="AZ20" s="129">
        <v>1.5</v>
      </c>
      <c r="BA20" s="129">
        <v>1.51</v>
      </c>
      <c r="BB20" s="129">
        <v>1.52</v>
      </c>
      <c r="BC20" s="129">
        <v>1.53</v>
      </c>
      <c r="BD20" s="129">
        <v>1.54</v>
      </c>
      <c r="BE20" s="129">
        <v>1.55</v>
      </c>
      <c r="BF20" s="129">
        <v>1.56</v>
      </c>
      <c r="BG20" s="129">
        <v>1.57</v>
      </c>
      <c r="BH20" s="129">
        <v>1.58</v>
      </c>
      <c r="BI20" s="129">
        <v>1.59</v>
      </c>
      <c r="BJ20" s="129">
        <v>1.6</v>
      </c>
      <c r="BK20" s="129">
        <v>1.61</v>
      </c>
      <c r="BL20" s="129">
        <v>1.62</v>
      </c>
      <c r="BM20" s="129">
        <v>1.63</v>
      </c>
      <c r="BN20" s="129">
        <v>1.64</v>
      </c>
      <c r="BO20" s="129">
        <v>1.65</v>
      </c>
      <c r="BP20" s="129">
        <v>1.66</v>
      </c>
      <c r="BQ20" s="129">
        <v>1.67</v>
      </c>
      <c r="BR20" s="129">
        <v>1.68</v>
      </c>
      <c r="BS20" s="129">
        <v>1.69</v>
      </c>
      <c r="BT20" s="129">
        <v>1.7</v>
      </c>
      <c r="BU20" s="129">
        <v>1.71</v>
      </c>
      <c r="BV20" s="129">
        <v>1.72</v>
      </c>
      <c r="BW20" s="129">
        <v>1.73</v>
      </c>
      <c r="BX20" s="129">
        <v>1.74</v>
      </c>
      <c r="BY20" s="129">
        <v>1.75</v>
      </c>
      <c r="BZ20" s="129">
        <v>1.76</v>
      </c>
      <c r="CA20" s="129">
        <v>1.77</v>
      </c>
      <c r="CB20" s="129">
        <v>1.78</v>
      </c>
      <c r="CC20" s="129">
        <v>1.79</v>
      </c>
      <c r="CD20" s="129">
        <v>1.8</v>
      </c>
      <c r="CE20" s="129">
        <v>1.81</v>
      </c>
      <c r="CF20" s="129">
        <v>1.82</v>
      </c>
      <c r="CG20" s="129">
        <v>1.83</v>
      </c>
      <c r="CH20" s="129">
        <v>1.84</v>
      </c>
      <c r="CI20" s="129">
        <v>1.85</v>
      </c>
      <c r="CJ20" s="129">
        <v>1.86</v>
      </c>
      <c r="CK20" s="129">
        <v>1.86</v>
      </c>
      <c r="CL20" s="129">
        <v>1.87</v>
      </c>
      <c r="CM20" s="129">
        <v>1.88</v>
      </c>
      <c r="CN20" s="129">
        <v>1.89</v>
      </c>
      <c r="CO20" s="129">
        <v>1.9</v>
      </c>
      <c r="CP20" s="129">
        <v>1.91</v>
      </c>
      <c r="CQ20" s="129">
        <v>1.92</v>
      </c>
      <c r="CR20" s="129">
        <v>1.93</v>
      </c>
      <c r="CS20" s="129">
        <v>1.94</v>
      </c>
      <c r="CT20" s="129">
        <v>1.95</v>
      </c>
      <c r="CU20" s="129">
        <v>1.97</v>
      </c>
      <c r="CV20" s="129">
        <v>1.98</v>
      </c>
      <c r="CW20" s="129">
        <v>1.99</v>
      </c>
      <c r="CX20" s="129">
        <v>2</v>
      </c>
      <c r="CZ20" s="126">
        <f>SUMIF(MatrixF4[[1]:[2]],MatrixF4[[#This Row],[Столбец1]])/MatrixF4[[#This Row],[Столбец1]]</f>
        <v>35.000000000000028</v>
      </c>
    </row>
    <row r="21" spans="1:104" ht="21" customHeight="1" x14ac:dyDescent="0.25">
      <c r="A21" s="127">
        <v>1.18</v>
      </c>
      <c r="B21" s="129">
        <v>1.18</v>
      </c>
      <c r="C21" s="129">
        <v>1.18</v>
      </c>
      <c r="D21" s="129">
        <v>1.18</v>
      </c>
      <c r="E21" s="129">
        <v>1.18</v>
      </c>
      <c r="F21" s="129">
        <v>1.18</v>
      </c>
      <c r="G21" s="129">
        <v>1.18</v>
      </c>
      <c r="H21" s="129">
        <v>1.18</v>
      </c>
      <c r="I21" s="129">
        <v>1.18</v>
      </c>
      <c r="J21" s="129">
        <v>1.18</v>
      </c>
      <c r="K21" s="129">
        <v>1.18</v>
      </c>
      <c r="L21" s="129">
        <v>1.18</v>
      </c>
      <c r="M21" s="129">
        <v>1.18</v>
      </c>
      <c r="N21" s="129">
        <v>1.18</v>
      </c>
      <c r="O21" s="129">
        <v>1.18</v>
      </c>
      <c r="P21" s="129">
        <v>1.18</v>
      </c>
      <c r="Q21" s="129">
        <v>1.18</v>
      </c>
      <c r="R21" s="129">
        <v>1.18</v>
      </c>
      <c r="S21" s="129">
        <v>1.18</v>
      </c>
      <c r="T21" s="129">
        <v>1.18</v>
      </c>
      <c r="U21" s="129">
        <v>1.19</v>
      </c>
      <c r="V21" s="129">
        <v>1.2</v>
      </c>
      <c r="W21" s="129">
        <v>1.21</v>
      </c>
      <c r="X21" s="129">
        <v>1.22</v>
      </c>
      <c r="Y21" s="129">
        <v>1.23</v>
      </c>
      <c r="Z21" s="129">
        <v>1.24</v>
      </c>
      <c r="AA21" s="129">
        <v>1.25</v>
      </c>
      <c r="AB21" s="129">
        <v>1.26</v>
      </c>
      <c r="AC21" s="129">
        <v>1.27</v>
      </c>
      <c r="AD21" s="129">
        <v>1.28</v>
      </c>
      <c r="AE21" s="129">
        <v>1.29</v>
      </c>
      <c r="AF21" s="129">
        <v>1.3</v>
      </c>
      <c r="AG21" s="129">
        <v>1.31</v>
      </c>
      <c r="AH21" s="129">
        <v>1.32</v>
      </c>
      <c r="AI21" s="129">
        <v>1.33</v>
      </c>
      <c r="AJ21" s="129">
        <v>1.34</v>
      </c>
      <c r="AK21" s="129">
        <v>1.35</v>
      </c>
      <c r="AL21" s="129">
        <v>1.36</v>
      </c>
      <c r="AM21" s="129">
        <v>1.37</v>
      </c>
      <c r="AN21" s="129">
        <v>1.38</v>
      </c>
      <c r="AO21" s="129">
        <v>1.39</v>
      </c>
      <c r="AP21" s="129">
        <v>1.4</v>
      </c>
      <c r="AQ21" s="129">
        <v>1.41</v>
      </c>
      <c r="AR21" s="129">
        <v>1.42</v>
      </c>
      <c r="AS21" s="129">
        <v>1.43</v>
      </c>
      <c r="AT21" s="129">
        <v>1.44</v>
      </c>
      <c r="AU21" s="129">
        <v>1.45</v>
      </c>
      <c r="AV21" s="129">
        <v>1.46</v>
      </c>
      <c r="AW21" s="129">
        <v>1.47</v>
      </c>
      <c r="AX21" s="129">
        <v>1.48</v>
      </c>
      <c r="AY21" s="129">
        <v>1.49</v>
      </c>
      <c r="AZ21" s="129">
        <v>1.5</v>
      </c>
      <c r="BA21" s="129">
        <v>1.51</v>
      </c>
      <c r="BB21" s="129">
        <v>1.52</v>
      </c>
      <c r="BC21" s="129">
        <v>1.53</v>
      </c>
      <c r="BD21" s="129">
        <v>1.54</v>
      </c>
      <c r="BE21" s="129">
        <v>1.55</v>
      </c>
      <c r="BF21" s="129">
        <v>1.56</v>
      </c>
      <c r="BG21" s="129">
        <v>1.57</v>
      </c>
      <c r="BH21" s="129">
        <v>1.58</v>
      </c>
      <c r="BI21" s="129">
        <v>1.59</v>
      </c>
      <c r="BJ21" s="129">
        <v>1.6</v>
      </c>
      <c r="BK21" s="129">
        <v>1.61</v>
      </c>
      <c r="BL21" s="129">
        <v>1.62</v>
      </c>
      <c r="BM21" s="129">
        <v>1.63</v>
      </c>
      <c r="BN21" s="129">
        <v>1.64</v>
      </c>
      <c r="BO21" s="129">
        <v>1.65</v>
      </c>
      <c r="BP21" s="129">
        <v>1.66</v>
      </c>
      <c r="BQ21" s="129">
        <v>1.67</v>
      </c>
      <c r="BR21" s="129">
        <v>1.68</v>
      </c>
      <c r="BS21" s="129">
        <v>1.69</v>
      </c>
      <c r="BT21" s="129">
        <v>1.7</v>
      </c>
      <c r="BU21" s="129">
        <v>1.71</v>
      </c>
      <c r="BV21" s="129">
        <v>1.72</v>
      </c>
      <c r="BW21" s="129">
        <v>1.73</v>
      </c>
      <c r="BX21" s="129">
        <v>1.74</v>
      </c>
      <c r="BY21" s="129">
        <v>1.75</v>
      </c>
      <c r="BZ21" s="129">
        <v>1.76</v>
      </c>
      <c r="CA21" s="129">
        <v>1.77</v>
      </c>
      <c r="CB21" s="129">
        <v>1.78</v>
      </c>
      <c r="CC21" s="129">
        <v>1.79</v>
      </c>
      <c r="CD21" s="129">
        <v>1.8</v>
      </c>
      <c r="CE21" s="129">
        <v>1.81</v>
      </c>
      <c r="CF21" s="129">
        <v>1.82</v>
      </c>
      <c r="CG21" s="129">
        <v>1.83</v>
      </c>
      <c r="CH21" s="129">
        <v>1.84</v>
      </c>
      <c r="CI21" s="129">
        <v>1.85</v>
      </c>
      <c r="CJ21" s="129">
        <v>1.85</v>
      </c>
      <c r="CK21" s="129">
        <v>1.86</v>
      </c>
      <c r="CL21" s="129">
        <v>1.87</v>
      </c>
      <c r="CM21" s="129">
        <v>1.88</v>
      </c>
      <c r="CN21" s="129">
        <v>1.89</v>
      </c>
      <c r="CO21" s="129">
        <v>1.9</v>
      </c>
      <c r="CP21" s="129">
        <v>1.91</v>
      </c>
      <c r="CQ21" s="129">
        <v>1.92</v>
      </c>
      <c r="CR21" s="129">
        <v>1.93</v>
      </c>
      <c r="CS21" s="129">
        <v>1.94</v>
      </c>
      <c r="CT21" s="129">
        <v>1.95</v>
      </c>
      <c r="CU21" s="129">
        <v>1.96</v>
      </c>
      <c r="CV21" s="129">
        <v>1.98</v>
      </c>
      <c r="CW21" s="129">
        <v>1.99</v>
      </c>
      <c r="CX21" s="129">
        <v>2</v>
      </c>
      <c r="CZ21" s="126">
        <f>SUMIF(MatrixF4[[1]:[2]],MatrixF4[[#This Row],[Столбец1]])/MatrixF4[[#This Row],[Столбец1]]</f>
        <v>37</v>
      </c>
    </row>
    <row r="22" spans="1:104" ht="21" customHeight="1" x14ac:dyDescent="0.25">
      <c r="A22" s="127">
        <v>1.19</v>
      </c>
      <c r="B22" s="129">
        <v>1.19</v>
      </c>
      <c r="C22" s="129">
        <v>1.19</v>
      </c>
      <c r="D22" s="129">
        <v>1.19</v>
      </c>
      <c r="E22" s="129">
        <v>1.19</v>
      </c>
      <c r="F22" s="129">
        <v>1.19</v>
      </c>
      <c r="G22" s="129">
        <v>1.19</v>
      </c>
      <c r="H22" s="129">
        <v>1.19</v>
      </c>
      <c r="I22" s="129">
        <v>1.19</v>
      </c>
      <c r="J22" s="129">
        <v>1.19</v>
      </c>
      <c r="K22" s="129">
        <v>1.19</v>
      </c>
      <c r="L22" s="129">
        <v>1.19</v>
      </c>
      <c r="M22" s="129">
        <v>1.19</v>
      </c>
      <c r="N22" s="129">
        <v>1.19</v>
      </c>
      <c r="O22" s="129">
        <v>1.19</v>
      </c>
      <c r="P22" s="129">
        <v>1.19</v>
      </c>
      <c r="Q22" s="129">
        <v>1.19</v>
      </c>
      <c r="R22" s="129">
        <v>1.19</v>
      </c>
      <c r="S22" s="129">
        <v>1.19</v>
      </c>
      <c r="T22" s="129">
        <v>1.19</v>
      </c>
      <c r="U22" s="129">
        <v>1.19</v>
      </c>
      <c r="V22" s="129">
        <v>1.2</v>
      </c>
      <c r="W22" s="129">
        <v>1.21</v>
      </c>
      <c r="X22" s="129">
        <v>1.22</v>
      </c>
      <c r="Y22" s="129">
        <v>1.23</v>
      </c>
      <c r="Z22" s="129">
        <v>1.24</v>
      </c>
      <c r="AA22" s="129">
        <v>1.25</v>
      </c>
      <c r="AB22" s="129">
        <v>1.26</v>
      </c>
      <c r="AC22" s="129">
        <v>1.27</v>
      </c>
      <c r="AD22" s="129">
        <v>1.28</v>
      </c>
      <c r="AE22" s="129">
        <v>1.29</v>
      </c>
      <c r="AF22" s="129">
        <v>1.3</v>
      </c>
      <c r="AG22" s="129">
        <v>1.31</v>
      </c>
      <c r="AH22" s="129">
        <v>1.32</v>
      </c>
      <c r="AI22" s="129">
        <v>1.33</v>
      </c>
      <c r="AJ22" s="129">
        <v>1.34</v>
      </c>
      <c r="AK22" s="129">
        <v>1.35</v>
      </c>
      <c r="AL22" s="129">
        <v>1.36</v>
      </c>
      <c r="AM22" s="129">
        <v>1.37</v>
      </c>
      <c r="AN22" s="129">
        <v>1.38</v>
      </c>
      <c r="AO22" s="129">
        <v>1.39</v>
      </c>
      <c r="AP22" s="129">
        <v>1.4</v>
      </c>
      <c r="AQ22" s="129">
        <v>1.41</v>
      </c>
      <c r="AR22" s="129">
        <v>1.42</v>
      </c>
      <c r="AS22" s="129">
        <v>1.43</v>
      </c>
      <c r="AT22" s="129">
        <v>1.44</v>
      </c>
      <c r="AU22" s="129">
        <v>1.45</v>
      </c>
      <c r="AV22" s="129">
        <v>1.46</v>
      </c>
      <c r="AW22" s="129">
        <v>1.47</v>
      </c>
      <c r="AX22" s="129">
        <v>1.48</v>
      </c>
      <c r="AY22" s="129">
        <v>1.49</v>
      </c>
      <c r="AZ22" s="129">
        <v>1.5</v>
      </c>
      <c r="BA22" s="129">
        <v>1.51</v>
      </c>
      <c r="BB22" s="129">
        <v>1.52</v>
      </c>
      <c r="BC22" s="129">
        <v>1.53</v>
      </c>
      <c r="BD22" s="129">
        <v>1.54</v>
      </c>
      <c r="BE22" s="129">
        <v>1.55</v>
      </c>
      <c r="BF22" s="129">
        <v>1.56</v>
      </c>
      <c r="BG22" s="129">
        <v>1.57</v>
      </c>
      <c r="BH22" s="129">
        <v>1.58</v>
      </c>
      <c r="BI22" s="129">
        <v>1.59</v>
      </c>
      <c r="BJ22" s="129">
        <v>1.6</v>
      </c>
      <c r="BK22" s="129">
        <v>1.61</v>
      </c>
      <c r="BL22" s="129">
        <v>1.62</v>
      </c>
      <c r="BM22" s="129">
        <v>1.63</v>
      </c>
      <c r="BN22" s="129">
        <v>1.64</v>
      </c>
      <c r="BO22" s="129">
        <v>1.65</v>
      </c>
      <c r="BP22" s="129">
        <v>1.66</v>
      </c>
      <c r="BQ22" s="129">
        <v>1.67</v>
      </c>
      <c r="BR22" s="129">
        <v>1.68</v>
      </c>
      <c r="BS22" s="129">
        <v>1.69</v>
      </c>
      <c r="BT22" s="129">
        <v>1.7</v>
      </c>
      <c r="BU22" s="129">
        <v>1.71</v>
      </c>
      <c r="BV22" s="129">
        <v>1.72</v>
      </c>
      <c r="BW22" s="129">
        <v>1.73</v>
      </c>
      <c r="BX22" s="129">
        <v>1.74</v>
      </c>
      <c r="BY22" s="129">
        <v>1.75</v>
      </c>
      <c r="BZ22" s="129">
        <v>1.76</v>
      </c>
      <c r="CA22" s="129">
        <v>1.77</v>
      </c>
      <c r="CB22" s="129">
        <v>1.78</v>
      </c>
      <c r="CC22" s="129">
        <v>1.79</v>
      </c>
      <c r="CD22" s="129">
        <v>1.8</v>
      </c>
      <c r="CE22" s="129">
        <v>1.81</v>
      </c>
      <c r="CF22" s="129">
        <v>1.82</v>
      </c>
      <c r="CG22" s="129">
        <v>1.83</v>
      </c>
      <c r="CH22" s="129">
        <v>1.84</v>
      </c>
      <c r="CI22" s="129">
        <v>1.84</v>
      </c>
      <c r="CJ22" s="129">
        <v>1.85</v>
      </c>
      <c r="CK22" s="129">
        <v>1.86</v>
      </c>
      <c r="CL22" s="129">
        <v>1.87</v>
      </c>
      <c r="CM22" s="129">
        <v>1.88</v>
      </c>
      <c r="CN22" s="129">
        <v>1.89</v>
      </c>
      <c r="CO22" s="129">
        <v>1.9</v>
      </c>
      <c r="CP22" s="129">
        <v>1.91</v>
      </c>
      <c r="CQ22" s="129">
        <v>1.92</v>
      </c>
      <c r="CR22" s="129">
        <v>1.93</v>
      </c>
      <c r="CS22" s="129">
        <v>1.94</v>
      </c>
      <c r="CT22" s="129">
        <v>1.95</v>
      </c>
      <c r="CU22" s="129">
        <v>1.96</v>
      </c>
      <c r="CV22" s="129">
        <v>1.98</v>
      </c>
      <c r="CW22" s="129">
        <v>1.99</v>
      </c>
      <c r="CX22" s="129">
        <v>2</v>
      </c>
      <c r="CZ22" s="126">
        <f>SUMIF(MatrixF4[[1]:[2]],MatrixF4[[#This Row],[Столбец1]])/MatrixF4[[#This Row],[Столбец1]]</f>
        <v>38.999999999999986</v>
      </c>
    </row>
    <row r="23" spans="1:104" ht="21" customHeight="1" x14ac:dyDescent="0.25">
      <c r="A23" s="127">
        <v>1.2</v>
      </c>
      <c r="B23" s="129">
        <v>1.2</v>
      </c>
      <c r="C23" s="129">
        <v>1.2</v>
      </c>
      <c r="D23" s="129">
        <v>1.2</v>
      </c>
      <c r="E23" s="129">
        <v>1.2</v>
      </c>
      <c r="F23" s="129">
        <v>1.2</v>
      </c>
      <c r="G23" s="129">
        <v>1.2</v>
      </c>
      <c r="H23" s="129">
        <v>1.2</v>
      </c>
      <c r="I23" s="129">
        <v>1.2</v>
      </c>
      <c r="J23" s="129">
        <v>1.2</v>
      </c>
      <c r="K23" s="129">
        <v>1.2</v>
      </c>
      <c r="L23" s="129">
        <v>1.2</v>
      </c>
      <c r="M23" s="129">
        <v>1.2</v>
      </c>
      <c r="N23" s="129">
        <v>1.2</v>
      </c>
      <c r="O23" s="129">
        <v>1.2</v>
      </c>
      <c r="P23" s="129">
        <v>1.2</v>
      </c>
      <c r="Q23" s="129">
        <v>1.2</v>
      </c>
      <c r="R23" s="129">
        <v>1.2</v>
      </c>
      <c r="S23" s="129">
        <v>1.2</v>
      </c>
      <c r="T23" s="129">
        <v>1.2</v>
      </c>
      <c r="U23" s="129">
        <v>1.2</v>
      </c>
      <c r="V23" s="129">
        <v>1.2</v>
      </c>
      <c r="W23" s="129">
        <v>1.21</v>
      </c>
      <c r="X23" s="129">
        <v>1.22</v>
      </c>
      <c r="Y23" s="129">
        <v>1.23</v>
      </c>
      <c r="Z23" s="129">
        <v>1.24</v>
      </c>
      <c r="AA23" s="129">
        <v>1.25</v>
      </c>
      <c r="AB23" s="129">
        <v>1.26</v>
      </c>
      <c r="AC23" s="129">
        <v>1.27</v>
      </c>
      <c r="AD23" s="129">
        <v>1.28</v>
      </c>
      <c r="AE23" s="129">
        <v>1.29</v>
      </c>
      <c r="AF23" s="129">
        <v>1.3</v>
      </c>
      <c r="AG23" s="129">
        <v>1.31</v>
      </c>
      <c r="AH23" s="129">
        <v>1.32</v>
      </c>
      <c r="AI23" s="129">
        <v>1.33</v>
      </c>
      <c r="AJ23" s="129">
        <v>1.34</v>
      </c>
      <c r="AK23" s="129">
        <v>1.35</v>
      </c>
      <c r="AL23" s="129">
        <v>1.36</v>
      </c>
      <c r="AM23" s="129">
        <v>1.37</v>
      </c>
      <c r="AN23" s="129">
        <v>1.38</v>
      </c>
      <c r="AO23" s="129">
        <v>1.39</v>
      </c>
      <c r="AP23" s="129">
        <v>1.4</v>
      </c>
      <c r="AQ23" s="129">
        <v>1.41</v>
      </c>
      <c r="AR23" s="129">
        <v>1.42</v>
      </c>
      <c r="AS23" s="129">
        <v>1.43</v>
      </c>
      <c r="AT23" s="129">
        <v>1.44</v>
      </c>
      <c r="AU23" s="129">
        <v>1.45</v>
      </c>
      <c r="AV23" s="129">
        <v>1.46</v>
      </c>
      <c r="AW23" s="129">
        <v>1.47</v>
      </c>
      <c r="AX23" s="129">
        <v>1.48</v>
      </c>
      <c r="AY23" s="129">
        <v>1.49</v>
      </c>
      <c r="AZ23" s="129">
        <v>1.5</v>
      </c>
      <c r="BA23" s="129">
        <v>1.51</v>
      </c>
      <c r="BB23" s="129">
        <v>1.52</v>
      </c>
      <c r="BC23" s="129">
        <v>1.53</v>
      </c>
      <c r="BD23" s="129">
        <v>1.54</v>
      </c>
      <c r="BE23" s="129">
        <v>1.55</v>
      </c>
      <c r="BF23" s="129">
        <v>1.56</v>
      </c>
      <c r="BG23" s="129">
        <v>1.57</v>
      </c>
      <c r="BH23" s="129">
        <v>1.58</v>
      </c>
      <c r="BI23" s="129">
        <v>1.59</v>
      </c>
      <c r="BJ23" s="129">
        <v>1.6</v>
      </c>
      <c r="BK23" s="129">
        <v>1.61</v>
      </c>
      <c r="BL23" s="129">
        <v>1.62</v>
      </c>
      <c r="BM23" s="129">
        <v>1.63</v>
      </c>
      <c r="BN23" s="129">
        <v>1.64</v>
      </c>
      <c r="BO23" s="129">
        <v>1.65</v>
      </c>
      <c r="BP23" s="129">
        <v>1.66</v>
      </c>
      <c r="BQ23" s="129">
        <v>1.67</v>
      </c>
      <c r="BR23" s="129">
        <v>1.68</v>
      </c>
      <c r="BS23" s="129">
        <v>1.69</v>
      </c>
      <c r="BT23" s="129">
        <v>1.7</v>
      </c>
      <c r="BU23" s="129">
        <v>1.71</v>
      </c>
      <c r="BV23" s="129">
        <v>1.72</v>
      </c>
      <c r="BW23" s="129">
        <v>1.73</v>
      </c>
      <c r="BX23" s="129">
        <v>1.74</v>
      </c>
      <c r="BY23" s="129">
        <v>1.75</v>
      </c>
      <c r="BZ23" s="129">
        <v>1.76</v>
      </c>
      <c r="CA23" s="129">
        <v>1.77</v>
      </c>
      <c r="CB23" s="129">
        <v>1.78</v>
      </c>
      <c r="CC23" s="129">
        <v>1.79</v>
      </c>
      <c r="CD23" s="129">
        <v>1.8</v>
      </c>
      <c r="CE23" s="129">
        <v>1.81</v>
      </c>
      <c r="CF23" s="129">
        <v>1.82</v>
      </c>
      <c r="CG23" s="129">
        <v>1.82</v>
      </c>
      <c r="CH23" s="129">
        <v>1.83</v>
      </c>
      <c r="CI23" s="129">
        <v>1.84</v>
      </c>
      <c r="CJ23" s="129">
        <v>1.85</v>
      </c>
      <c r="CK23" s="129">
        <v>1.86</v>
      </c>
      <c r="CL23" s="129">
        <v>1.87</v>
      </c>
      <c r="CM23" s="129">
        <v>1.88</v>
      </c>
      <c r="CN23" s="129">
        <v>1.89</v>
      </c>
      <c r="CO23" s="129">
        <v>1.9</v>
      </c>
      <c r="CP23" s="129">
        <v>1.91</v>
      </c>
      <c r="CQ23" s="129">
        <v>1.92</v>
      </c>
      <c r="CR23" s="129">
        <v>1.93</v>
      </c>
      <c r="CS23" s="129">
        <v>1.94</v>
      </c>
      <c r="CT23" s="129">
        <v>1.95</v>
      </c>
      <c r="CU23" s="129">
        <v>1.96</v>
      </c>
      <c r="CV23" s="129">
        <v>1.98</v>
      </c>
      <c r="CW23" s="129">
        <v>1.99</v>
      </c>
      <c r="CX23" s="129">
        <v>2</v>
      </c>
      <c r="CZ23" s="126">
        <f>SUMIF(MatrixF4[[1]:[2]],MatrixF4[[#This Row],[Столбец1]])/MatrixF4[[#This Row],[Столбец1]]</f>
        <v>41.000000000000028</v>
      </c>
    </row>
    <row r="24" spans="1:104" ht="21" customHeight="1" x14ac:dyDescent="0.25">
      <c r="A24" s="127">
        <v>1.21</v>
      </c>
      <c r="B24" s="129">
        <v>1.21</v>
      </c>
      <c r="C24" s="129">
        <v>1.21</v>
      </c>
      <c r="D24" s="129">
        <v>1.21</v>
      </c>
      <c r="E24" s="129">
        <v>1.21</v>
      </c>
      <c r="F24" s="129">
        <v>1.21</v>
      </c>
      <c r="G24" s="129">
        <v>1.21</v>
      </c>
      <c r="H24" s="129">
        <v>1.21</v>
      </c>
      <c r="I24" s="129">
        <v>1.21</v>
      </c>
      <c r="J24" s="129">
        <v>1.21</v>
      </c>
      <c r="K24" s="129">
        <v>1.21</v>
      </c>
      <c r="L24" s="129">
        <v>1.21</v>
      </c>
      <c r="M24" s="129">
        <v>1.21</v>
      </c>
      <c r="N24" s="129">
        <v>1.21</v>
      </c>
      <c r="O24" s="129">
        <v>1.21</v>
      </c>
      <c r="P24" s="129">
        <v>1.21</v>
      </c>
      <c r="Q24" s="129">
        <v>1.21</v>
      </c>
      <c r="R24" s="129">
        <v>1.21</v>
      </c>
      <c r="S24" s="129">
        <v>1.21</v>
      </c>
      <c r="T24" s="129">
        <v>1.21</v>
      </c>
      <c r="U24" s="129">
        <v>1.21</v>
      </c>
      <c r="V24" s="129">
        <v>1.21</v>
      </c>
      <c r="W24" s="129">
        <v>1.21</v>
      </c>
      <c r="X24" s="129">
        <v>1.22</v>
      </c>
      <c r="Y24" s="129">
        <v>1.23</v>
      </c>
      <c r="Z24" s="129">
        <v>1.24</v>
      </c>
      <c r="AA24" s="129">
        <v>1.25</v>
      </c>
      <c r="AB24" s="129">
        <v>1.26</v>
      </c>
      <c r="AC24" s="129">
        <v>1.27</v>
      </c>
      <c r="AD24" s="129">
        <v>1.28</v>
      </c>
      <c r="AE24" s="129">
        <v>1.29</v>
      </c>
      <c r="AF24" s="129">
        <v>1.3</v>
      </c>
      <c r="AG24" s="129">
        <v>1.31</v>
      </c>
      <c r="AH24" s="129">
        <v>1.32</v>
      </c>
      <c r="AI24" s="129">
        <v>1.33</v>
      </c>
      <c r="AJ24" s="129">
        <v>1.34</v>
      </c>
      <c r="AK24" s="129">
        <v>1.35</v>
      </c>
      <c r="AL24" s="129">
        <v>1.36</v>
      </c>
      <c r="AM24" s="129">
        <v>1.37</v>
      </c>
      <c r="AN24" s="129">
        <v>1.38</v>
      </c>
      <c r="AO24" s="129">
        <v>1.39</v>
      </c>
      <c r="AP24" s="129">
        <v>1.4</v>
      </c>
      <c r="AQ24" s="129">
        <v>1.41</v>
      </c>
      <c r="AR24" s="129">
        <v>1.42</v>
      </c>
      <c r="AS24" s="129">
        <v>1.43</v>
      </c>
      <c r="AT24" s="129">
        <v>1.44</v>
      </c>
      <c r="AU24" s="129">
        <v>1.45</v>
      </c>
      <c r="AV24" s="129">
        <v>1.46</v>
      </c>
      <c r="AW24" s="129">
        <v>1.47</v>
      </c>
      <c r="AX24" s="129">
        <v>1.48</v>
      </c>
      <c r="AY24" s="129">
        <v>1.49</v>
      </c>
      <c r="AZ24" s="129">
        <v>1.5</v>
      </c>
      <c r="BA24" s="129">
        <v>1.51</v>
      </c>
      <c r="BB24" s="129">
        <v>1.52</v>
      </c>
      <c r="BC24" s="129">
        <v>1.53</v>
      </c>
      <c r="BD24" s="129">
        <v>1.54</v>
      </c>
      <c r="BE24" s="129">
        <v>1.55</v>
      </c>
      <c r="BF24" s="129">
        <v>1.56</v>
      </c>
      <c r="BG24" s="129">
        <v>1.57</v>
      </c>
      <c r="BH24" s="129">
        <v>1.58</v>
      </c>
      <c r="BI24" s="129">
        <v>1.59</v>
      </c>
      <c r="BJ24" s="129">
        <v>1.6</v>
      </c>
      <c r="BK24" s="129">
        <v>1.61</v>
      </c>
      <c r="BL24" s="129">
        <v>1.62</v>
      </c>
      <c r="BM24" s="129">
        <v>1.63</v>
      </c>
      <c r="BN24" s="129">
        <v>1.64</v>
      </c>
      <c r="BO24" s="129">
        <v>1.65</v>
      </c>
      <c r="BP24" s="129">
        <v>1.66</v>
      </c>
      <c r="BQ24" s="129">
        <v>1.67</v>
      </c>
      <c r="BR24" s="129">
        <v>1.68</v>
      </c>
      <c r="BS24" s="129">
        <v>1.69</v>
      </c>
      <c r="BT24" s="129">
        <v>1.7</v>
      </c>
      <c r="BU24" s="129">
        <v>1.71</v>
      </c>
      <c r="BV24" s="129">
        <v>1.72</v>
      </c>
      <c r="BW24" s="129">
        <v>1.73</v>
      </c>
      <c r="BX24" s="129">
        <v>1.74</v>
      </c>
      <c r="BY24" s="129">
        <v>1.75</v>
      </c>
      <c r="BZ24" s="129">
        <v>1.76</v>
      </c>
      <c r="CA24" s="129">
        <v>1.77</v>
      </c>
      <c r="CB24" s="129">
        <v>1.78</v>
      </c>
      <c r="CC24" s="129">
        <v>1.79</v>
      </c>
      <c r="CD24" s="129">
        <v>1.8</v>
      </c>
      <c r="CE24" s="129">
        <v>1.81</v>
      </c>
      <c r="CF24" s="129">
        <v>1.81</v>
      </c>
      <c r="CG24" s="129">
        <v>1.82</v>
      </c>
      <c r="CH24" s="129">
        <v>1.83</v>
      </c>
      <c r="CI24" s="129">
        <v>1.84</v>
      </c>
      <c r="CJ24" s="129">
        <v>1.85</v>
      </c>
      <c r="CK24" s="129">
        <v>1.86</v>
      </c>
      <c r="CL24" s="129">
        <v>1.87</v>
      </c>
      <c r="CM24" s="129">
        <v>1.88</v>
      </c>
      <c r="CN24" s="129">
        <v>1.89</v>
      </c>
      <c r="CO24" s="129">
        <v>1.9</v>
      </c>
      <c r="CP24" s="129">
        <v>1.91</v>
      </c>
      <c r="CQ24" s="129">
        <v>1.92</v>
      </c>
      <c r="CR24" s="129">
        <v>1.93</v>
      </c>
      <c r="CS24" s="129">
        <v>1.94</v>
      </c>
      <c r="CT24" s="129">
        <v>1.95</v>
      </c>
      <c r="CU24" s="129">
        <v>1.96</v>
      </c>
      <c r="CV24" s="129">
        <v>1.98</v>
      </c>
      <c r="CW24" s="129">
        <v>1.99</v>
      </c>
      <c r="CX24" s="129">
        <v>2</v>
      </c>
      <c r="CZ24" s="126">
        <f>SUMIF(MatrixF4[[1]:[2]],MatrixF4[[#This Row],[Столбец1]])/MatrixF4[[#This Row],[Столбец1]]</f>
        <v>43.000000000000028</v>
      </c>
    </row>
    <row r="25" spans="1:104" ht="21" customHeight="1" x14ac:dyDescent="0.25">
      <c r="A25" s="127">
        <v>1.22</v>
      </c>
      <c r="B25" s="129">
        <v>1.22</v>
      </c>
      <c r="C25" s="129">
        <v>1.22</v>
      </c>
      <c r="D25" s="129">
        <v>1.22</v>
      </c>
      <c r="E25" s="129">
        <v>1.22</v>
      </c>
      <c r="F25" s="129">
        <v>1.22</v>
      </c>
      <c r="G25" s="129">
        <v>1.22</v>
      </c>
      <c r="H25" s="129">
        <v>1.22</v>
      </c>
      <c r="I25" s="129">
        <v>1.22</v>
      </c>
      <c r="J25" s="129">
        <v>1.22</v>
      </c>
      <c r="K25" s="129">
        <v>1.22</v>
      </c>
      <c r="L25" s="129">
        <v>1.22</v>
      </c>
      <c r="M25" s="129">
        <v>1.22</v>
      </c>
      <c r="N25" s="129">
        <v>1.22</v>
      </c>
      <c r="O25" s="129">
        <v>1.22</v>
      </c>
      <c r="P25" s="129">
        <v>1.22</v>
      </c>
      <c r="Q25" s="129">
        <v>1.22</v>
      </c>
      <c r="R25" s="129">
        <v>1.22</v>
      </c>
      <c r="S25" s="129">
        <v>1.22</v>
      </c>
      <c r="T25" s="129">
        <v>1.22</v>
      </c>
      <c r="U25" s="129">
        <v>1.22</v>
      </c>
      <c r="V25" s="129">
        <v>1.22</v>
      </c>
      <c r="W25" s="129">
        <v>1.22</v>
      </c>
      <c r="X25" s="129">
        <v>1.22</v>
      </c>
      <c r="Y25" s="129">
        <v>1.23</v>
      </c>
      <c r="Z25" s="129">
        <v>1.24</v>
      </c>
      <c r="AA25" s="129">
        <v>1.25</v>
      </c>
      <c r="AB25" s="129">
        <v>1.26</v>
      </c>
      <c r="AC25" s="129">
        <v>1.27</v>
      </c>
      <c r="AD25" s="129">
        <v>1.28</v>
      </c>
      <c r="AE25" s="129">
        <v>1.29</v>
      </c>
      <c r="AF25" s="129">
        <v>1.3</v>
      </c>
      <c r="AG25" s="129">
        <v>1.31</v>
      </c>
      <c r="AH25" s="129">
        <v>1.32</v>
      </c>
      <c r="AI25" s="129">
        <v>1.33</v>
      </c>
      <c r="AJ25" s="129">
        <v>1.34</v>
      </c>
      <c r="AK25" s="129">
        <v>1.35</v>
      </c>
      <c r="AL25" s="129">
        <v>1.36</v>
      </c>
      <c r="AM25" s="129">
        <v>1.37</v>
      </c>
      <c r="AN25" s="129">
        <v>1.38</v>
      </c>
      <c r="AO25" s="129">
        <v>1.39</v>
      </c>
      <c r="AP25" s="129">
        <v>1.4</v>
      </c>
      <c r="AQ25" s="129">
        <v>1.41</v>
      </c>
      <c r="AR25" s="129">
        <v>1.42</v>
      </c>
      <c r="AS25" s="129">
        <v>1.43</v>
      </c>
      <c r="AT25" s="129">
        <v>1.44</v>
      </c>
      <c r="AU25" s="129">
        <v>1.45</v>
      </c>
      <c r="AV25" s="129">
        <v>1.46</v>
      </c>
      <c r="AW25" s="129">
        <v>1.47</v>
      </c>
      <c r="AX25" s="129">
        <v>1.48</v>
      </c>
      <c r="AY25" s="129">
        <v>1.49</v>
      </c>
      <c r="AZ25" s="129">
        <v>1.5</v>
      </c>
      <c r="BA25" s="129">
        <v>1.51</v>
      </c>
      <c r="BB25" s="129">
        <v>1.52</v>
      </c>
      <c r="BC25" s="129">
        <v>1.53</v>
      </c>
      <c r="BD25" s="129">
        <v>1.54</v>
      </c>
      <c r="BE25" s="129">
        <v>1.55</v>
      </c>
      <c r="BF25" s="129">
        <v>1.56</v>
      </c>
      <c r="BG25" s="129">
        <v>1.57</v>
      </c>
      <c r="BH25" s="129">
        <v>1.58</v>
      </c>
      <c r="BI25" s="129">
        <v>1.59</v>
      </c>
      <c r="BJ25" s="129">
        <v>1.6</v>
      </c>
      <c r="BK25" s="129">
        <v>1.61</v>
      </c>
      <c r="BL25" s="129">
        <v>1.62</v>
      </c>
      <c r="BM25" s="129">
        <v>1.63</v>
      </c>
      <c r="BN25" s="129">
        <v>1.64</v>
      </c>
      <c r="BO25" s="129">
        <v>1.65</v>
      </c>
      <c r="BP25" s="129">
        <v>1.66</v>
      </c>
      <c r="BQ25" s="129">
        <v>1.67</v>
      </c>
      <c r="BR25" s="129">
        <v>1.68</v>
      </c>
      <c r="BS25" s="129">
        <v>1.69</v>
      </c>
      <c r="BT25" s="129">
        <v>1.7</v>
      </c>
      <c r="BU25" s="129">
        <v>1.71</v>
      </c>
      <c r="BV25" s="129">
        <v>1.72</v>
      </c>
      <c r="BW25" s="129">
        <v>1.73</v>
      </c>
      <c r="BX25" s="129">
        <v>1.74</v>
      </c>
      <c r="BY25" s="129">
        <v>1.75</v>
      </c>
      <c r="BZ25" s="129">
        <v>1.76</v>
      </c>
      <c r="CA25" s="129">
        <v>1.77</v>
      </c>
      <c r="CB25" s="129">
        <v>1.78</v>
      </c>
      <c r="CC25" s="129">
        <v>1.79</v>
      </c>
      <c r="CD25" s="129">
        <v>1.8</v>
      </c>
      <c r="CE25" s="129">
        <v>1.8</v>
      </c>
      <c r="CF25" s="129">
        <v>1.81</v>
      </c>
      <c r="CG25" s="129">
        <v>1.82</v>
      </c>
      <c r="CH25" s="129">
        <v>1.83</v>
      </c>
      <c r="CI25" s="129">
        <v>1.84</v>
      </c>
      <c r="CJ25" s="129">
        <v>1.85</v>
      </c>
      <c r="CK25" s="129">
        <v>1.86</v>
      </c>
      <c r="CL25" s="129">
        <v>1.87</v>
      </c>
      <c r="CM25" s="129">
        <v>1.88</v>
      </c>
      <c r="CN25" s="129">
        <v>1.89</v>
      </c>
      <c r="CO25" s="129">
        <v>1.9</v>
      </c>
      <c r="CP25" s="129">
        <v>1.91</v>
      </c>
      <c r="CQ25" s="129">
        <v>1.92</v>
      </c>
      <c r="CR25" s="129">
        <v>1.93</v>
      </c>
      <c r="CS25" s="129">
        <v>1.94</v>
      </c>
      <c r="CT25" s="129">
        <v>1.95</v>
      </c>
      <c r="CU25" s="129">
        <v>1.96</v>
      </c>
      <c r="CV25" s="129">
        <v>1.98</v>
      </c>
      <c r="CW25" s="129">
        <v>1.99</v>
      </c>
      <c r="CX25" s="129">
        <v>2</v>
      </c>
      <c r="CZ25" s="126">
        <f>SUMIF(MatrixF4[[1]:[2]],MatrixF4[[#This Row],[Столбец1]])/MatrixF4[[#This Row],[Столбец1]]</f>
        <v>44.999999999999979</v>
      </c>
    </row>
    <row r="26" spans="1:104" ht="21" customHeight="1" x14ac:dyDescent="0.25">
      <c r="A26" s="127">
        <v>1.23</v>
      </c>
      <c r="B26" s="129">
        <v>1.23</v>
      </c>
      <c r="C26" s="129">
        <v>1.23</v>
      </c>
      <c r="D26" s="129">
        <v>1.23</v>
      </c>
      <c r="E26" s="129">
        <v>1.23</v>
      </c>
      <c r="F26" s="129">
        <v>1.23</v>
      </c>
      <c r="G26" s="129">
        <v>1.23</v>
      </c>
      <c r="H26" s="129">
        <v>1.23</v>
      </c>
      <c r="I26" s="129">
        <v>1.23</v>
      </c>
      <c r="J26" s="129">
        <v>1.23</v>
      </c>
      <c r="K26" s="129">
        <v>1.23</v>
      </c>
      <c r="L26" s="129">
        <v>1.23</v>
      </c>
      <c r="M26" s="129">
        <v>1.23</v>
      </c>
      <c r="N26" s="129">
        <v>1.23</v>
      </c>
      <c r="O26" s="129">
        <v>1.23</v>
      </c>
      <c r="P26" s="129">
        <v>1.23</v>
      </c>
      <c r="Q26" s="129">
        <v>1.23</v>
      </c>
      <c r="R26" s="129">
        <v>1.23</v>
      </c>
      <c r="S26" s="129">
        <v>1.23</v>
      </c>
      <c r="T26" s="129">
        <v>1.23</v>
      </c>
      <c r="U26" s="129">
        <v>1.23</v>
      </c>
      <c r="V26" s="129">
        <v>1.23</v>
      </c>
      <c r="W26" s="129">
        <v>1.23</v>
      </c>
      <c r="X26" s="129">
        <v>1.23</v>
      </c>
      <c r="Y26" s="129">
        <v>1.23</v>
      </c>
      <c r="Z26" s="129">
        <v>1.24</v>
      </c>
      <c r="AA26" s="129">
        <v>1.25</v>
      </c>
      <c r="AB26" s="129">
        <v>1.26</v>
      </c>
      <c r="AC26" s="129">
        <v>1.27</v>
      </c>
      <c r="AD26" s="129">
        <v>1.28</v>
      </c>
      <c r="AE26" s="129">
        <v>1.29</v>
      </c>
      <c r="AF26" s="129">
        <v>1.3</v>
      </c>
      <c r="AG26" s="129">
        <v>1.31</v>
      </c>
      <c r="AH26" s="129">
        <v>1.32</v>
      </c>
      <c r="AI26" s="129">
        <v>1.33</v>
      </c>
      <c r="AJ26" s="129">
        <v>1.34</v>
      </c>
      <c r="AK26" s="129">
        <v>1.35</v>
      </c>
      <c r="AL26" s="129">
        <v>1.36</v>
      </c>
      <c r="AM26" s="129">
        <v>1.37</v>
      </c>
      <c r="AN26" s="129">
        <v>1.38</v>
      </c>
      <c r="AO26" s="129">
        <v>1.39</v>
      </c>
      <c r="AP26" s="129">
        <v>1.4</v>
      </c>
      <c r="AQ26" s="129">
        <v>1.41</v>
      </c>
      <c r="AR26" s="129">
        <v>1.42</v>
      </c>
      <c r="AS26" s="129">
        <v>1.43</v>
      </c>
      <c r="AT26" s="129">
        <v>1.44</v>
      </c>
      <c r="AU26" s="129">
        <v>1.45</v>
      </c>
      <c r="AV26" s="129">
        <v>1.46</v>
      </c>
      <c r="AW26" s="129">
        <v>1.47</v>
      </c>
      <c r="AX26" s="129">
        <v>1.48</v>
      </c>
      <c r="AY26" s="129">
        <v>1.49</v>
      </c>
      <c r="AZ26" s="129">
        <v>1.5</v>
      </c>
      <c r="BA26" s="129">
        <v>1.51</v>
      </c>
      <c r="BB26" s="129">
        <v>1.52</v>
      </c>
      <c r="BC26" s="129">
        <v>1.53</v>
      </c>
      <c r="BD26" s="129">
        <v>1.54</v>
      </c>
      <c r="BE26" s="129">
        <v>1.55</v>
      </c>
      <c r="BF26" s="129">
        <v>1.56</v>
      </c>
      <c r="BG26" s="129">
        <v>1.57</v>
      </c>
      <c r="BH26" s="129">
        <v>1.58</v>
      </c>
      <c r="BI26" s="129">
        <v>1.59</v>
      </c>
      <c r="BJ26" s="129">
        <v>1.6</v>
      </c>
      <c r="BK26" s="129">
        <v>1.61</v>
      </c>
      <c r="BL26" s="129">
        <v>1.62</v>
      </c>
      <c r="BM26" s="129">
        <v>1.63</v>
      </c>
      <c r="BN26" s="129">
        <v>1.64</v>
      </c>
      <c r="BO26" s="129">
        <v>1.65</v>
      </c>
      <c r="BP26" s="129">
        <v>1.66</v>
      </c>
      <c r="BQ26" s="129">
        <v>1.67</v>
      </c>
      <c r="BR26" s="129">
        <v>1.68</v>
      </c>
      <c r="BS26" s="129">
        <v>1.69</v>
      </c>
      <c r="BT26" s="129">
        <v>1.7</v>
      </c>
      <c r="BU26" s="129">
        <v>1.71</v>
      </c>
      <c r="BV26" s="129">
        <v>1.72</v>
      </c>
      <c r="BW26" s="129">
        <v>1.73</v>
      </c>
      <c r="BX26" s="129">
        <v>1.74</v>
      </c>
      <c r="BY26" s="129">
        <v>1.75</v>
      </c>
      <c r="BZ26" s="129">
        <v>1.76</v>
      </c>
      <c r="CA26" s="129">
        <v>1.77</v>
      </c>
      <c r="CB26" s="129">
        <v>1.78</v>
      </c>
      <c r="CC26" s="129">
        <v>1.79</v>
      </c>
      <c r="CD26" s="129">
        <v>1.79</v>
      </c>
      <c r="CE26" s="129">
        <v>1.8</v>
      </c>
      <c r="CF26" s="129">
        <v>1.81</v>
      </c>
      <c r="CG26" s="129">
        <v>1.82</v>
      </c>
      <c r="CH26" s="129">
        <v>1.83</v>
      </c>
      <c r="CI26" s="129">
        <v>1.84</v>
      </c>
      <c r="CJ26" s="129">
        <v>1.85</v>
      </c>
      <c r="CK26" s="129">
        <v>1.86</v>
      </c>
      <c r="CL26" s="129">
        <v>1.87</v>
      </c>
      <c r="CM26" s="129">
        <v>1.88</v>
      </c>
      <c r="CN26" s="129">
        <v>1.89</v>
      </c>
      <c r="CO26" s="129">
        <v>1.9</v>
      </c>
      <c r="CP26" s="129">
        <v>1.91</v>
      </c>
      <c r="CQ26" s="129">
        <v>1.92</v>
      </c>
      <c r="CR26" s="129">
        <v>1.93</v>
      </c>
      <c r="CS26" s="129">
        <v>1.94</v>
      </c>
      <c r="CT26" s="129">
        <v>1.95</v>
      </c>
      <c r="CU26" s="129">
        <v>1.96</v>
      </c>
      <c r="CV26" s="129">
        <v>1.97</v>
      </c>
      <c r="CW26" s="129">
        <v>1.99</v>
      </c>
      <c r="CX26" s="129">
        <v>2</v>
      </c>
      <c r="CZ26" s="126">
        <f>SUMIF(MatrixF4[[1]:[2]],MatrixF4[[#This Row],[Столбец1]])/MatrixF4[[#This Row],[Столбец1]]</f>
        <v>46.999999999999957</v>
      </c>
    </row>
    <row r="27" spans="1:104" ht="21" customHeight="1" x14ac:dyDescent="0.25">
      <c r="A27" s="127">
        <v>1.24</v>
      </c>
      <c r="B27" s="129">
        <v>1.24</v>
      </c>
      <c r="C27" s="129">
        <v>1.24</v>
      </c>
      <c r="D27" s="129">
        <v>1.24</v>
      </c>
      <c r="E27" s="129">
        <v>1.24</v>
      </c>
      <c r="F27" s="129">
        <v>1.24</v>
      </c>
      <c r="G27" s="129">
        <v>1.24</v>
      </c>
      <c r="H27" s="129">
        <v>1.24</v>
      </c>
      <c r="I27" s="129">
        <v>1.24</v>
      </c>
      <c r="J27" s="129">
        <v>1.24</v>
      </c>
      <c r="K27" s="129">
        <v>1.24</v>
      </c>
      <c r="L27" s="129">
        <v>1.24</v>
      </c>
      <c r="M27" s="129">
        <v>1.24</v>
      </c>
      <c r="N27" s="129">
        <v>1.24</v>
      </c>
      <c r="O27" s="129">
        <v>1.24</v>
      </c>
      <c r="P27" s="129">
        <v>1.24</v>
      </c>
      <c r="Q27" s="129">
        <v>1.24</v>
      </c>
      <c r="R27" s="129">
        <v>1.24</v>
      </c>
      <c r="S27" s="129">
        <v>1.24</v>
      </c>
      <c r="T27" s="129">
        <v>1.24</v>
      </c>
      <c r="U27" s="129">
        <v>1.24</v>
      </c>
      <c r="V27" s="129">
        <v>1.24</v>
      </c>
      <c r="W27" s="129">
        <v>1.24</v>
      </c>
      <c r="X27" s="129">
        <v>1.24</v>
      </c>
      <c r="Y27" s="129">
        <v>1.24</v>
      </c>
      <c r="Z27" s="129">
        <v>1.24</v>
      </c>
      <c r="AA27" s="129">
        <v>1.25</v>
      </c>
      <c r="AB27" s="129">
        <v>1.26</v>
      </c>
      <c r="AC27" s="129">
        <v>1.27</v>
      </c>
      <c r="AD27" s="129">
        <v>1.28</v>
      </c>
      <c r="AE27" s="129">
        <v>1.29</v>
      </c>
      <c r="AF27" s="129">
        <v>1.3</v>
      </c>
      <c r="AG27" s="129">
        <v>1.31</v>
      </c>
      <c r="AH27" s="129">
        <v>1.32</v>
      </c>
      <c r="AI27" s="129">
        <v>1.33</v>
      </c>
      <c r="AJ27" s="129">
        <v>1.34</v>
      </c>
      <c r="AK27" s="129">
        <v>1.35</v>
      </c>
      <c r="AL27" s="129">
        <v>1.36</v>
      </c>
      <c r="AM27" s="129">
        <v>1.37</v>
      </c>
      <c r="AN27" s="129">
        <v>1.38</v>
      </c>
      <c r="AO27" s="129">
        <v>1.39</v>
      </c>
      <c r="AP27" s="129">
        <v>1.4</v>
      </c>
      <c r="AQ27" s="129">
        <v>1.41</v>
      </c>
      <c r="AR27" s="129">
        <v>1.42</v>
      </c>
      <c r="AS27" s="129">
        <v>1.43</v>
      </c>
      <c r="AT27" s="129">
        <v>1.44</v>
      </c>
      <c r="AU27" s="129">
        <v>1.45</v>
      </c>
      <c r="AV27" s="129">
        <v>1.46</v>
      </c>
      <c r="AW27" s="129">
        <v>1.47</v>
      </c>
      <c r="AX27" s="129">
        <v>1.48</v>
      </c>
      <c r="AY27" s="129">
        <v>1.49</v>
      </c>
      <c r="AZ27" s="129">
        <v>1.5</v>
      </c>
      <c r="BA27" s="129">
        <v>1.51</v>
      </c>
      <c r="BB27" s="129">
        <v>1.52</v>
      </c>
      <c r="BC27" s="129">
        <v>1.53</v>
      </c>
      <c r="BD27" s="129">
        <v>1.54</v>
      </c>
      <c r="BE27" s="129">
        <v>1.55</v>
      </c>
      <c r="BF27" s="129">
        <v>1.56</v>
      </c>
      <c r="BG27" s="129">
        <v>1.57</v>
      </c>
      <c r="BH27" s="129">
        <v>1.58</v>
      </c>
      <c r="BI27" s="129">
        <v>1.59</v>
      </c>
      <c r="BJ27" s="129">
        <v>1.6</v>
      </c>
      <c r="BK27" s="129">
        <v>1.61</v>
      </c>
      <c r="BL27" s="129">
        <v>1.62</v>
      </c>
      <c r="BM27" s="129">
        <v>1.63</v>
      </c>
      <c r="BN27" s="129">
        <v>1.64</v>
      </c>
      <c r="BO27" s="129">
        <v>1.65</v>
      </c>
      <c r="BP27" s="129">
        <v>1.66</v>
      </c>
      <c r="BQ27" s="129">
        <v>1.67</v>
      </c>
      <c r="BR27" s="129">
        <v>1.68</v>
      </c>
      <c r="BS27" s="129">
        <v>1.69</v>
      </c>
      <c r="BT27" s="129">
        <v>1.7</v>
      </c>
      <c r="BU27" s="129">
        <v>1.71</v>
      </c>
      <c r="BV27" s="129">
        <v>1.72</v>
      </c>
      <c r="BW27" s="129">
        <v>1.73</v>
      </c>
      <c r="BX27" s="129">
        <v>1.74</v>
      </c>
      <c r="BY27" s="129">
        <v>1.75</v>
      </c>
      <c r="BZ27" s="129">
        <v>1.76</v>
      </c>
      <c r="CA27" s="129">
        <v>1.77</v>
      </c>
      <c r="CB27" s="129">
        <v>1.78</v>
      </c>
      <c r="CC27" s="129">
        <v>1.78</v>
      </c>
      <c r="CD27" s="129">
        <v>1.79</v>
      </c>
      <c r="CE27" s="129">
        <v>1.8</v>
      </c>
      <c r="CF27" s="129">
        <v>1.81</v>
      </c>
      <c r="CG27" s="129">
        <v>1.82</v>
      </c>
      <c r="CH27" s="129">
        <v>1.83</v>
      </c>
      <c r="CI27" s="129">
        <v>1.84</v>
      </c>
      <c r="CJ27" s="129">
        <v>1.84</v>
      </c>
      <c r="CK27" s="129">
        <v>1.85</v>
      </c>
      <c r="CL27" s="129">
        <v>1.86</v>
      </c>
      <c r="CM27" s="129">
        <v>1.87</v>
      </c>
      <c r="CN27" s="129">
        <v>1.88</v>
      </c>
      <c r="CO27" s="129">
        <v>1.89</v>
      </c>
      <c r="CP27" s="129">
        <v>1.9</v>
      </c>
      <c r="CQ27" s="129">
        <v>1.92</v>
      </c>
      <c r="CR27" s="129">
        <v>1.93</v>
      </c>
      <c r="CS27" s="129">
        <v>1.94</v>
      </c>
      <c r="CT27" s="129">
        <v>1.95</v>
      </c>
      <c r="CU27" s="129">
        <v>1.96</v>
      </c>
      <c r="CV27" s="129">
        <v>1.97</v>
      </c>
      <c r="CW27" s="129">
        <v>1.99</v>
      </c>
      <c r="CX27" s="129">
        <v>2</v>
      </c>
      <c r="CZ27" s="126">
        <f>SUMIF(MatrixF4[[1]:[2]],MatrixF4[[#This Row],[Столбец1]])/MatrixF4[[#This Row],[Столбец1]]</f>
        <v>49.000000000000021</v>
      </c>
    </row>
    <row r="28" spans="1:104" ht="21" customHeight="1" x14ac:dyDescent="0.25">
      <c r="A28" s="127">
        <v>1.25</v>
      </c>
      <c r="B28" s="129">
        <v>1.25</v>
      </c>
      <c r="C28" s="129">
        <v>1.25</v>
      </c>
      <c r="D28" s="129">
        <v>1.25</v>
      </c>
      <c r="E28" s="129">
        <v>1.25</v>
      </c>
      <c r="F28" s="129">
        <v>1.25</v>
      </c>
      <c r="G28" s="129">
        <v>1.25</v>
      </c>
      <c r="H28" s="129">
        <v>1.25</v>
      </c>
      <c r="I28" s="129">
        <v>1.25</v>
      </c>
      <c r="J28" s="129">
        <v>1.25</v>
      </c>
      <c r="K28" s="129">
        <v>1.25</v>
      </c>
      <c r="L28" s="129">
        <v>1.25</v>
      </c>
      <c r="M28" s="129">
        <v>1.25</v>
      </c>
      <c r="N28" s="129">
        <v>1.25</v>
      </c>
      <c r="O28" s="129">
        <v>1.25</v>
      </c>
      <c r="P28" s="129">
        <v>1.25</v>
      </c>
      <c r="Q28" s="129">
        <v>1.25</v>
      </c>
      <c r="R28" s="129">
        <v>1.25</v>
      </c>
      <c r="S28" s="129">
        <v>1.25</v>
      </c>
      <c r="T28" s="129">
        <v>1.25</v>
      </c>
      <c r="U28" s="129">
        <v>1.25</v>
      </c>
      <c r="V28" s="129">
        <v>1.25</v>
      </c>
      <c r="W28" s="129">
        <v>1.25</v>
      </c>
      <c r="X28" s="129">
        <v>1.25</v>
      </c>
      <c r="Y28" s="129">
        <v>1.25</v>
      </c>
      <c r="Z28" s="129">
        <v>1.25</v>
      </c>
      <c r="AA28" s="129">
        <v>1.25</v>
      </c>
      <c r="AB28" s="129">
        <v>1.26</v>
      </c>
      <c r="AC28" s="129">
        <v>1.27</v>
      </c>
      <c r="AD28" s="129">
        <v>1.28</v>
      </c>
      <c r="AE28" s="129">
        <v>1.29</v>
      </c>
      <c r="AF28" s="129">
        <v>1.3</v>
      </c>
      <c r="AG28" s="129">
        <v>1.31</v>
      </c>
      <c r="AH28" s="129">
        <v>1.32</v>
      </c>
      <c r="AI28" s="129">
        <v>1.33</v>
      </c>
      <c r="AJ28" s="129">
        <v>1.34</v>
      </c>
      <c r="AK28" s="129">
        <v>1.35</v>
      </c>
      <c r="AL28" s="129">
        <v>1.36</v>
      </c>
      <c r="AM28" s="129">
        <v>1.37</v>
      </c>
      <c r="AN28" s="129">
        <v>1.38</v>
      </c>
      <c r="AO28" s="129">
        <v>1.39</v>
      </c>
      <c r="AP28" s="129">
        <v>1.4</v>
      </c>
      <c r="AQ28" s="129">
        <v>1.41</v>
      </c>
      <c r="AR28" s="129">
        <v>1.42</v>
      </c>
      <c r="AS28" s="129">
        <v>1.43</v>
      </c>
      <c r="AT28" s="129">
        <v>1.44</v>
      </c>
      <c r="AU28" s="129">
        <v>1.45</v>
      </c>
      <c r="AV28" s="129">
        <v>1.46</v>
      </c>
      <c r="AW28" s="129">
        <v>1.47</v>
      </c>
      <c r="AX28" s="129">
        <v>1.48</v>
      </c>
      <c r="AY28" s="129">
        <v>1.49</v>
      </c>
      <c r="AZ28" s="129">
        <v>1.5</v>
      </c>
      <c r="BA28" s="129">
        <v>1.51</v>
      </c>
      <c r="BB28" s="129">
        <v>1.52</v>
      </c>
      <c r="BC28" s="129">
        <v>1.53</v>
      </c>
      <c r="BD28" s="129">
        <v>1.54</v>
      </c>
      <c r="BE28" s="129">
        <v>1.55</v>
      </c>
      <c r="BF28" s="129">
        <v>1.56</v>
      </c>
      <c r="BG28" s="129">
        <v>1.57</v>
      </c>
      <c r="BH28" s="129">
        <v>1.58</v>
      </c>
      <c r="BI28" s="129">
        <v>1.59</v>
      </c>
      <c r="BJ28" s="129">
        <v>1.6</v>
      </c>
      <c r="BK28" s="129">
        <v>1.61</v>
      </c>
      <c r="BL28" s="129">
        <v>1.62</v>
      </c>
      <c r="BM28" s="129">
        <v>1.63</v>
      </c>
      <c r="BN28" s="129">
        <v>1.64</v>
      </c>
      <c r="BO28" s="129">
        <v>1.65</v>
      </c>
      <c r="BP28" s="129">
        <v>1.66</v>
      </c>
      <c r="BQ28" s="129">
        <v>1.67</v>
      </c>
      <c r="BR28" s="129">
        <v>1.68</v>
      </c>
      <c r="BS28" s="129">
        <v>1.69</v>
      </c>
      <c r="BT28" s="129">
        <v>1.7</v>
      </c>
      <c r="BU28" s="129">
        <v>1.71</v>
      </c>
      <c r="BV28" s="129">
        <v>1.72</v>
      </c>
      <c r="BW28" s="129">
        <v>1.73</v>
      </c>
      <c r="BX28" s="129">
        <v>1.74</v>
      </c>
      <c r="BY28" s="129">
        <v>1.75</v>
      </c>
      <c r="BZ28" s="129">
        <v>1.76</v>
      </c>
      <c r="CA28" s="129">
        <v>1.77</v>
      </c>
      <c r="CB28" s="129">
        <v>1.77</v>
      </c>
      <c r="CC28" s="129">
        <v>1.78</v>
      </c>
      <c r="CD28" s="129">
        <v>1.79</v>
      </c>
      <c r="CE28" s="129">
        <v>1.8</v>
      </c>
      <c r="CF28" s="129">
        <v>1.81</v>
      </c>
      <c r="CG28" s="129">
        <v>1.82</v>
      </c>
      <c r="CH28" s="129">
        <v>1.82</v>
      </c>
      <c r="CI28" s="129">
        <v>1.83</v>
      </c>
      <c r="CJ28" s="129">
        <v>1.84</v>
      </c>
      <c r="CK28" s="129">
        <v>1.85</v>
      </c>
      <c r="CL28" s="129">
        <v>1.86</v>
      </c>
      <c r="CM28" s="129">
        <v>1.87</v>
      </c>
      <c r="CN28" s="129">
        <v>1.88</v>
      </c>
      <c r="CO28" s="129">
        <v>1.89</v>
      </c>
      <c r="CP28" s="129">
        <v>1.9</v>
      </c>
      <c r="CQ28" s="129">
        <v>1.91</v>
      </c>
      <c r="CR28" s="129">
        <v>1.93</v>
      </c>
      <c r="CS28" s="129">
        <v>1.94</v>
      </c>
      <c r="CT28" s="129">
        <v>1.95</v>
      </c>
      <c r="CU28" s="129">
        <v>1.96</v>
      </c>
      <c r="CV28" s="129">
        <v>1.97</v>
      </c>
      <c r="CW28" s="129">
        <v>1.99</v>
      </c>
      <c r="CX28" s="129">
        <v>2</v>
      </c>
      <c r="CZ28" s="126">
        <f>SUMIF(MatrixF4[[1]:[2]],MatrixF4[[#This Row],[Столбец1]])/MatrixF4[[#This Row],[Столбец1]]</f>
        <v>51</v>
      </c>
    </row>
    <row r="29" spans="1:104" ht="21" customHeight="1" x14ac:dyDescent="0.25">
      <c r="A29" s="127">
        <v>1.26</v>
      </c>
      <c r="B29" s="129">
        <v>1.26</v>
      </c>
      <c r="C29" s="129">
        <v>1.26</v>
      </c>
      <c r="D29" s="129">
        <v>1.26</v>
      </c>
      <c r="E29" s="129">
        <v>1.26</v>
      </c>
      <c r="F29" s="129">
        <v>1.26</v>
      </c>
      <c r="G29" s="129">
        <v>1.26</v>
      </c>
      <c r="H29" s="129">
        <v>1.26</v>
      </c>
      <c r="I29" s="129">
        <v>1.26</v>
      </c>
      <c r="J29" s="129">
        <v>1.26</v>
      </c>
      <c r="K29" s="129">
        <v>1.26</v>
      </c>
      <c r="L29" s="129">
        <v>1.26</v>
      </c>
      <c r="M29" s="129">
        <v>1.26</v>
      </c>
      <c r="N29" s="129">
        <v>1.26</v>
      </c>
      <c r="O29" s="129">
        <v>1.26</v>
      </c>
      <c r="P29" s="129">
        <v>1.26</v>
      </c>
      <c r="Q29" s="129">
        <v>1.26</v>
      </c>
      <c r="R29" s="129">
        <v>1.26</v>
      </c>
      <c r="S29" s="129">
        <v>1.26</v>
      </c>
      <c r="T29" s="129">
        <v>1.26</v>
      </c>
      <c r="U29" s="129">
        <v>1.26</v>
      </c>
      <c r="V29" s="129">
        <v>1.26</v>
      </c>
      <c r="W29" s="129">
        <v>1.26</v>
      </c>
      <c r="X29" s="129">
        <v>1.26</v>
      </c>
      <c r="Y29" s="129">
        <v>1.26</v>
      </c>
      <c r="Z29" s="129">
        <v>1.26</v>
      </c>
      <c r="AA29" s="129">
        <v>1.26</v>
      </c>
      <c r="AB29" s="129">
        <v>1.26</v>
      </c>
      <c r="AC29" s="129">
        <v>1.27</v>
      </c>
      <c r="AD29" s="129">
        <v>1.28</v>
      </c>
      <c r="AE29" s="129">
        <v>1.29</v>
      </c>
      <c r="AF29" s="129">
        <v>1.3</v>
      </c>
      <c r="AG29" s="129">
        <v>1.31</v>
      </c>
      <c r="AH29" s="129">
        <v>1.32</v>
      </c>
      <c r="AI29" s="129">
        <v>1.33</v>
      </c>
      <c r="AJ29" s="129">
        <v>1.34</v>
      </c>
      <c r="AK29" s="129">
        <v>1.35</v>
      </c>
      <c r="AL29" s="129">
        <v>1.36</v>
      </c>
      <c r="AM29" s="129">
        <v>1.37</v>
      </c>
      <c r="AN29" s="129">
        <v>1.38</v>
      </c>
      <c r="AO29" s="129">
        <v>1.39</v>
      </c>
      <c r="AP29" s="129">
        <v>1.4</v>
      </c>
      <c r="AQ29" s="129">
        <v>1.41</v>
      </c>
      <c r="AR29" s="129">
        <v>1.42</v>
      </c>
      <c r="AS29" s="129">
        <v>1.43</v>
      </c>
      <c r="AT29" s="129">
        <v>1.44</v>
      </c>
      <c r="AU29" s="129">
        <v>1.45</v>
      </c>
      <c r="AV29" s="129">
        <v>1.46</v>
      </c>
      <c r="AW29" s="129">
        <v>1.47</v>
      </c>
      <c r="AX29" s="129">
        <v>1.48</v>
      </c>
      <c r="AY29" s="129">
        <v>1.49</v>
      </c>
      <c r="AZ29" s="129">
        <v>1.5</v>
      </c>
      <c r="BA29" s="129">
        <v>1.51</v>
      </c>
      <c r="BB29" s="129">
        <v>1.52</v>
      </c>
      <c r="BC29" s="129">
        <v>1.53</v>
      </c>
      <c r="BD29" s="129">
        <v>1.54</v>
      </c>
      <c r="BE29" s="129">
        <v>1.55</v>
      </c>
      <c r="BF29" s="129">
        <v>1.56</v>
      </c>
      <c r="BG29" s="129">
        <v>1.57</v>
      </c>
      <c r="BH29" s="129">
        <v>1.58</v>
      </c>
      <c r="BI29" s="129">
        <v>1.59</v>
      </c>
      <c r="BJ29" s="129">
        <v>1.6</v>
      </c>
      <c r="BK29" s="129">
        <v>1.61</v>
      </c>
      <c r="BL29" s="129">
        <v>1.62</v>
      </c>
      <c r="BM29" s="129">
        <v>1.63</v>
      </c>
      <c r="BN29" s="129">
        <v>1.64</v>
      </c>
      <c r="BO29" s="129">
        <v>1.65</v>
      </c>
      <c r="BP29" s="129">
        <v>1.66</v>
      </c>
      <c r="BQ29" s="129">
        <v>1.67</v>
      </c>
      <c r="BR29" s="129">
        <v>1.68</v>
      </c>
      <c r="BS29" s="129">
        <v>1.69</v>
      </c>
      <c r="BT29" s="129">
        <v>1.7</v>
      </c>
      <c r="BU29" s="129">
        <v>1.71</v>
      </c>
      <c r="BV29" s="129">
        <v>1.72</v>
      </c>
      <c r="BW29" s="129">
        <v>1.73</v>
      </c>
      <c r="BX29" s="129">
        <v>1.74</v>
      </c>
      <c r="BY29" s="129">
        <v>1.75</v>
      </c>
      <c r="BZ29" s="129">
        <v>1.76</v>
      </c>
      <c r="CA29" s="129">
        <v>1.76</v>
      </c>
      <c r="CB29" s="129">
        <v>1.77</v>
      </c>
      <c r="CC29" s="129">
        <v>1.78</v>
      </c>
      <c r="CD29" s="129">
        <v>1.79</v>
      </c>
      <c r="CE29" s="129">
        <v>1.8</v>
      </c>
      <c r="CF29" s="129">
        <v>1.8</v>
      </c>
      <c r="CG29" s="129">
        <v>1.81</v>
      </c>
      <c r="CH29" s="129">
        <v>1.82</v>
      </c>
      <c r="CI29" s="129">
        <v>1.83</v>
      </c>
      <c r="CJ29" s="129">
        <v>1.84</v>
      </c>
      <c r="CK29" s="129">
        <v>1.85</v>
      </c>
      <c r="CL29" s="129">
        <v>1.86</v>
      </c>
      <c r="CM29" s="129">
        <v>1.87</v>
      </c>
      <c r="CN29" s="129">
        <v>1.88</v>
      </c>
      <c r="CO29" s="129">
        <v>1.89</v>
      </c>
      <c r="CP29" s="129">
        <v>1.9</v>
      </c>
      <c r="CQ29" s="129">
        <v>1.91</v>
      </c>
      <c r="CR29" s="129">
        <v>1.92</v>
      </c>
      <c r="CS29" s="129">
        <v>1.94</v>
      </c>
      <c r="CT29" s="129">
        <v>1.95</v>
      </c>
      <c r="CU29" s="129">
        <v>1.96</v>
      </c>
      <c r="CV29" s="129">
        <v>1.97</v>
      </c>
      <c r="CW29" s="129">
        <v>1.99</v>
      </c>
      <c r="CX29" s="129">
        <v>2</v>
      </c>
      <c r="CZ29" s="126">
        <f>SUMIF(MatrixF4[[1]:[2]],MatrixF4[[#This Row],[Столбец1]])/MatrixF4[[#This Row],[Столбец1]]</f>
        <v>52.999999999999986</v>
      </c>
    </row>
    <row r="30" spans="1:104" ht="21" customHeight="1" x14ac:dyDescent="0.25">
      <c r="A30" s="127">
        <v>1.27</v>
      </c>
      <c r="B30" s="129">
        <v>1.27</v>
      </c>
      <c r="C30" s="129">
        <v>1.27</v>
      </c>
      <c r="D30" s="129">
        <v>1.27</v>
      </c>
      <c r="E30" s="129">
        <v>1.27</v>
      </c>
      <c r="F30" s="129">
        <v>1.27</v>
      </c>
      <c r="G30" s="129">
        <v>1.27</v>
      </c>
      <c r="H30" s="129">
        <v>1.27</v>
      </c>
      <c r="I30" s="129">
        <v>1.27</v>
      </c>
      <c r="J30" s="129">
        <v>1.27</v>
      </c>
      <c r="K30" s="129">
        <v>1.27</v>
      </c>
      <c r="L30" s="129">
        <v>1.27</v>
      </c>
      <c r="M30" s="129">
        <v>1.27</v>
      </c>
      <c r="N30" s="129">
        <v>1.27</v>
      </c>
      <c r="O30" s="129">
        <v>1.27</v>
      </c>
      <c r="P30" s="129">
        <v>1.27</v>
      </c>
      <c r="Q30" s="129">
        <v>1.27</v>
      </c>
      <c r="R30" s="129">
        <v>1.27</v>
      </c>
      <c r="S30" s="129">
        <v>1.27</v>
      </c>
      <c r="T30" s="129">
        <v>1.27</v>
      </c>
      <c r="U30" s="129">
        <v>1.27</v>
      </c>
      <c r="V30" s="129">
        <v>1.27</v>
      </c>
      <c r="W30" s="129">
        <v>1.27</v>
      </c>
      <c r="X30" s="129">
        <v>1.27</v>
      </c>
      <c r="Y30" s="129">
        <v>1.27</v>
      </c>
      <c r="Z30" s="129">
        <v>1.27</v>
      </c>
      <c r="AA30" s="129">
        <v>1.27</v>
      </c>
      <c r="AB30" s="129">
        <v>1.27</v>
      </c>
      <c r="AC30" s="129">
        <v>1.27</v>
      </c>
      <c r="AD30" s="129">
        <v>1.28</v>
      </c>
      <c r="AE30" s="129">
        <v>1.29</v>
      </c>
      <c r="AF30" s="129">
        <v>1.3</v>
      </c>
      <c r="AG30" s="129">
        <v>1.31</v>
      </c>
      <c r="AH30" s="129">
        <v>1.32</v>
      </c>
      <c r="AI30" s="129">
        <v>1.33</v>
      </c>
      <c r="AJ30" s="129">
        <v>1.34</v>
      </c>
      <c r="AK30" s="129">
        <v>1.35</v>
      </c>
      <c r="AL30" s="129">
        <v>1.36</v>
      </c>
      <c r="AM30" s="129">
        <v>1.37</v>
      </c>
      <c r="AN30" s="129">
        <v>1.38</v>
      </c>
      <c r="AO30" s="129">
        <v>1.39</v>
      </c>
      <c r="AP30" s="129">
        <v>1.4</v>
      </c>
      <c r="AQ30" s="129">
        <v>1.41</v>
      </c>
      <c r="AR30" s="129">
        <v>1.42</v>
      </c>
      <c r="AS30" s="129">
        <v>1.43</v>
      </c>
      <c r="AT30" s="129">
        <v>1.44</v>
      </c>
      <c r="AU30" s="129">
        <v>1.45</v>
      </c>
      <c r="AV30" s="129">
        <v>1.46</v>
      </c>
      <c r="AW30" s="129">
        <v>1.47</v>
      </c>
      <c r="AX30" s="129">
        <v>1.48</v>
      </c>
      <c r="AY30" s="129">
        <v>1.49</v>
      </c>
      <c r="AZ30" s="129">
        <v>1.5</v>
      </c>
      <c r="BA30" s="129">
        <v>1.51</v>
      </c>
      <c r="BB30" s="129">
        <v>1.52</v>
      </c>
      <c r="BC30" s="129">
        <v>1.53</v>
      </c>
      <c r="BD30" s="129">
        <v>1.54</v>
      </c>
      <c r="BE30" s="129">
        <v>1.55</v>
      </c>
      <c r="BF30" s="129">
        <v>1.56</v>
      </c>
      <c r="BG30" s="129">
        <v>1.57</v>
      </c>
      <c r="BH30" s="129">
        <v>1.58</v>
      </c>
      <c r="BI30" s="129">
        <v>1.59</v>
      </c>
      <c r="BJ30" s="129">
        <v>1.6</v>
      </c>
      <c r="BK30" s="129">
        <v>1.61</v>
      </c>
      <c r="BL30" s="129">
        <v>1.62</v>
      </c>
      <c r="BM30" s="129">
        <v>1.63</v>
      </c>
      <c r="BN30" s="129">
        <v>1.64</v>
      </c>
      <c r="BO30" s="129">
        <v>1.65</v>
      </c>
      <c r="BP30" s="129">
        <v>1.66</v>
      </c>
      <c r="BQ30" s="129">
        <v>1.67</v>
      </c>
      <c r="BR30" s="129">
        <v>1.68</v>
      </c>
      <c r="BS30" s="129">
        <v>1.69</v>
      </c>
      <c r="BT30" s="129">
        <v>1.7</v>
      </c>
      <c r="BU30" s="129">
        <v>1.71</v>
      </c>
      <c r="BV30" s="129">
        <v>1.72</v>
      </c>
      <c r="BW30" s="129">
        <v>1.73</v>
      </c>
      <c r="BX30" s="129">
        <v>1.74</v>
      </c>
      <c r="BY30" s="129">
        <v>1.74</v>
      </c>
      <c r="BZ30" s="129">
        <v>1.75</v>
      </c>
      <c r="CA30" s="129">
        <v>1.76</v>
      </c>
      <c r="CB30" s="129">
        <v>1.77</v>
      </c>
      <c r="CC30" s="129">
        <v>1.78</v>
      </c>
      <c r="CD30" s="129">
        <v>1.78</v>
      </c>
      <c r="CE30" s="129">
        <v>1.79</v>
      </c>
      <c r="CF30" s="129">
        <v>1.8</v>
      </c>
      <c r="CG30" s="129">
        <v>1.81</v>
      </c>
      <c r="CH30" s="129">
        <v>1.82</v>
      </c>
      <c r="CI30" s="129">
        <v>1.83</v>
      </c>
      <c r="CJ30" s="129">
        <v>1.84</v>
      </c>
      <c r="CK30" s="129">
        <v>1.85</v>
      </c>
      <c r="CL30" s="129">
        <v>1.86</v>
      </c>
      <c r="CM30" s="129">
        <v>1.87</v>
      </c>
      <c r="CN30" s="129">
        <v>1.88</v>
      </c>
      <c r="CO30" s="129">
        <v>1.89</v>
      </c>
      <c r="CP30" s="129">
        <v>1.9</v>
      </c>
      <c r="CQ30" s="129">
        <v>1.91</v>
      </c>
      <c r="CR30" s="129">
        <v>1.92</v>
      </c>
      <c r="CS30" s="129">
        <v>1.94</v>
      </c>
      <c r="CT30" s="129">
        <v>1.95</v>
      </c>
      <c r="CU30" s="129">
        <v>1.96</v>
      </c>
      <c r="CV30" s="129">
        <v>1.97</v>
      </c>
      <c r="CW30" s="129">
        <v>1.99</v>
      </c>
      <c r="CX30" s="129">
        <v>2</v>
      </c>
      <c r="CZ30" s="126">
        <f>SUMIF(MatrixF4[[1]:[2]],MatrixF4[[#This Row],[Столбец1]])/MatrixF4[[#This Row],[Столбец1]]</f>
        <v>55.000000000000043</v>
      </c>
    </row>
    <row r="31" spans="1:104" ht="21" customHeight="1" x14ac:dyDescent="0.25">
      <c r="A31" s="127">
        <v>1.28</v>
      </c>
      <c r="B31" s="129">
        <v>1.28</v>
      </c>
      <c r="C31" s="129">
        <v>1.28</v>
      </c>
      <c r="D31" s="129">
        <v>1.28</v>
      </c>
      <c r="E31" s="129">
        <v>1.28</v>
      </c>
      <c r="F31" s="129">
        <v>1.28</v>
      </c>
      <c r="G31" s="129">
        <v>1.28</v>
      </c>
      <c r="H31" s="129">
        <v>1.28</v>
      </c>
      <c r="I31" s="129">
        <v>1.28</v>
      </c>
      <c r="J31" s="129">
        <v>1.28</v>
      </c>
      <c r="K31" s="129">
        <v>1.28</v>
      </c>
      <c r="L31" s="129">
        <v>1.28</v>
      </c>
      <c r="M31" s="129">
        <v>1.28</v>
      </c>
      <c r="N31" s="129">
        <v>1.28</v>
      </c>
      <c r="O31" s="129">
        <v>1.28</v>
      </c>
      <c r="P31" s="129">
        <v>1.28</v>
      </c>
      <c r="Q31" s="129">
        <v>1.28</v>
      </c>
      <c r="R31" s="129">
        <v>1.28</v>
      </c>
      <c r="S31" s="129">
        <v>1.28</v>
      </c>
      <c r="T31" s="129">
        <v>1.28</v>
      </c>
      <c r="U31" s="129">
        <v>1.28</v>
      </c>
      <c r="V31" s="129">
        <v>1.28</v>
      </c>
      <c r="W31" s="129">
        <v>1.28</v>
      </c>
      <c r="X31" s="129">
        <v>1.28</v>
      </c>
      <c r="Y31" s="129">
        <v>1.28</v>
      </c>
      <c r="Z31" s="129">
        <v>1.28</v>
      </c>
      <c r="AA31" s="129">
        <v>1.28</v>
      </c>
      <c r="AB31" s="129">
        <v>1.28</v>
      </c>
      <c r="AC31" s="129">
        <v>1.28</v>
      </c>
      <c r="AD31" s="129">
        <v>1.28</v>
      </c>
      <c r="AE31" s="129">
        <v>1.29</v>
      </c>
      <c r="AF31" s="129">
        <v>1.3</v>
      </c>
      <c r="AG31" s="129">
        <v>1.31</v>
      </c>
      <c r="AH31" s="129">
        <v>1.32</v>
      </c>
      <c r="AI31" s="129">
        <v>1.33</v>
      </c>
      <c r="AJ31" s="129">
        <v>1.34</v>
      </c>
      <c r="AK31" s="129">
        <v>1.35</v>
      </c>
      <c r="AL31" s="129">
        <v>1.36</v>
      </c>
      <c r="AM31" s="129">
        <v>1.37</v>
      </c>
      <c r="AN31" s="129">
        <v>1.38</v>
      </c>
      <c r="AO31" s="129">
        <v>1.39</v>
      </c>
      <c r="AP31" s="129">
        <v>1.4</v>
      </c>
      <c r="AQ31" s="129">
        <v>1.41</v>
      </c>
      <c r="AR31" s="129">
        <v>1.42</v>
      </c>
      <c r="AS31" s="129">
        <v>1.43</v>
      </c>
      <c r="AT31" s="129">
        <v>1.44</v>
      </c>
      <c r="AU31" s="129">
        <v>1.45</v>
      </c>
      <c r="AV31" s="129">
        <v>1.46</v>
      </c>
      <c r="AW31" s="129">
        <v>1.47</v>
      </c>
      <c r="AX31" s="129">
        <v>1.48</v>
      </c>
      <c r="AY31" s="129">
        <v>1.49</v>
      </c>
      <c r="AZ31" s="129">
        <v>1.5</v>
      </c>
      <c r="BA31" s="129">
        <v>1.51</v>
      </c>
      <c r="BB31" s="129">
        <v>1.52</v>
      </c>
      <c r="BC31" s="129">
        <v>1.53</v>
      </c>
      <c r="BD31" s="129">
        <v>1.54</v>
      </c>
      <c r="BE31" s="129">
        <v>1.55</v>
      </c>
      <c r="BF31" s="129">
        <v>1.56</v>
      </c>
      <c r="BG31" s="129">
        <v>1.57</v>
      </c>
      <c r="BH31" s="129">
        <v>1.58</v>
      </c>
      <c r="BI31" s="129">
        <v>1.59</v>
      </c>
      <c r="BJ31" s="129">
        <v>1.6</v>
      </c>
      <c r="BK31" s="129">
        <v>1.61</v>
      </c>
      <c r="BL31" s="129">
        <v>1.62</v>
      </c>
      <c r="BM31" s="129">
        <v>1.63</v>
      </c>
      <c r="BN31" s="129">
        <v>1.64</v>
      </c>
      <c r="BO31" s="129">
        <v>1.65</v>
      </c>
      <c r="BP31" s="129">
        <v>1.66</v>
      </c>
      <c r="BQ31" s="129">
        <v>1.67</v>
      </c>
      <c r="BR31" s="129">
        <v>1.68</v>
      </c>
      <c r="BS31" s="129">
        <v>1.69</v>
      </c>
      <c r="BT31" s="129">
        <v>1.7</v>
      </c>
      <c r="BU31" s="129">
        <v>1.71</v>
      </c>
      <c r="BV31" s="129">
        <v>1.72</v>
      </c>
      <c r="BW31" s="129">
        <v>1.73</v>
      </c>
      <c r="BX31" s="129">
        <v>1.73</v>
      </c>
      <c r="BY31" s="129">
        <v>1.74</v>
      </c>
      <c r="BZ31" s="129">
        <v>1.75</v>
      </c>
      <c r="CA31" s="129">
        <v>1.76</v>
      </c>
      <c r="CB31" s="129">
        <v>1.77</v>
      </c>
      <c r="CC31" s="129">
        <v>1.77</v>
      </c>
      <c r="CD31" s="129">
        <v>1.78</v>
      </c>
      <c r="CE31" s="129">
        <v>1.79</v>
      </c>
      <c r="CF31" s="129">
        <v>1.8</v>
      </c>
      <c r="CG31" s="129">
        <v>1.81</v>
      </c>
      <c r="CH31" s="129">
        <v>1.82</v>
      </c>
      <c r="CI31" s="129">
        <v>1.83</v>
      </c>
      <c r="CJ31" s="129">
        <v>1.84</v>
      </c>
      <c r="CK31" s="129">
        <v>1.85</v>
      </c>
      <c r="CL31" s="129">
        <v>1.86</v>
      </c>
      <c r="CM31" s="129">
        <v>1.87</v>
      </c>
      <c r="CN31" s="129">
        <v>1.88</v>
      </c>
      <c r="CO31" s="129">
        <v>1.89</v>
      </c>
      <c r="CP31" s="129">
        <v>1.9</v>
      </c>
      <c r="CQ31" s="129">
        <v>1.91</v>
      </c>
      <c r="CR31" s="129">
        <v>1.92</v>
      </c>
      <c r="CS31" s="129">
        <v>1.94</v>
      </c>
      <c r="CT31" s="129">
        <v>1.95</v>
      </c>
      <c r="CU31" s="129">
        <v>1.96</v>
      </c>
      <c r="CV31" s="129">
        <v>1.97</v>
      </c>
      <c r="CW31" s="129">
        <v>1.99</v>
      </c>
      <c r="CX31" s="129">
        <v>2</v>
      </c>
      <c r="CZ31" s="126">
        <f>SUMIF(MatrixF4[[1]:[2]],MatrixF4[[#This Row],[Столбец1]])/MatrixF4[[#This Row],[Столбец1]]</f>
        <v>57.000000000000028</v>
      </c>
    </row>
    <row r="32" spans="1:104" ht="21" customHeight="1" x14ac:dyDescent="0.25">
      <c r="A32" s="127">
        <v>1.29</v>
      </c>
      <c r="B32" s="129">
        <v>1.29</v>
      </c>
      <c r="C32" s="129">
        <v>1.29</v>
      </c>
      <c r="D32" s="129">
        <v>1.29</v>
      </c>
      <c r="E32" s="129">
        <v>1.29</v>
      </c>
      <c r="F32" s="129">
        <v>1.29</v>
      </c>
      <c r="G32" s="129">
        <v>1.29</v>
      </c>
      <c r="H32" s="129">
        <v>1.29</v>
      </c>
      <c r="I32" s="129">
        <v>1.29</v>
      </c>
      <c r="J32" s="129">
        <v>1.29</v>
      </c>
      <c r="K32" s="129">
        <v>1.29</v>
      </c>
      <c r="L32" s="129">
        <v>1.29</v>
      </c>
      <c r="M32" s="129">
        <v>1.29</v>
      </c>
      <c r="N32" s="129">
        <v>1.29</v>
      </c>
      <c r="O32" s="129">
        <v>1.29</v>
      </c>
      <c r="P32" s="129">
        <v>1.29</v>
      </c>
      <c r="Q32" s="129">
        <v>1.29</v>
      </c>
      <c r="R32" s="129">
        <v>1.29</v>
      </c>
      <c r="S32" s="129">
        <v>1.29</v>
      </c>
      <c r="T32" s="129">
        <v>1.29</v>
      </c>
      <c r="U32" s="129">
        <v>1.29</v>
      </c>
      <c r="V32" s="129">
        <v>1.29</v>
      </c>
      <c r="W32" s="129">
        <v>1.29</v>
      </c>
      <c r="X32" s="129">
        <v>1.29</v>
      </c>
      <c r="Y32" s="129">
        <v>1.29</v>
      </c>
      <c r="Z32" s="129">
        <v>1.29</v>
      </c>
      <c r="AA32" s="129">
        <v>1.29</v>
      </c>
      <c r="AB32" s="129">
        <v>1.29</v>
      </c>
      <c r="AC32" s="129">
        <v>1.29</v>
      </c>
      <c r="AD32" s="129">
        <v>1.29</v>
      </c>
      <c r="AE32" s="129">
        <v>1.29</v>
      </c>
      <c r="AF32" s="129">
        <v>1.3</v>
      </c>
      <c r="AG32" s="129">
        <v>1.31</v>
      </c>
      <c r="AH32" s="129">
        <v>1.32</v>
      </c>
      <c r="AI32" s="129">
        <v>1.33</v>
      </c>
      <c r="AJ32" s="129">
        <v>1.34</v>
      </c>
      <c r="AK32" s="129">
        <v>1.35</v>
      </c>
      <c r="AL32" s="129">
        <v>1.36</v>
      </c>
      <c r="AM32" s="129">
        <v>1.37</v>
      </c>
      <c r="AN32" s="129">
        <v>1.38</v>
      </c>
      <c r="AO32" s="129">
        <v>1.39</v>
      </c>
      <c r="AP32" s="129">
        <v>1.4</v>
      </c>
      <c r="AQ32" s="129">
        <v>1.41</v>
      </c>
      <c r="AR32" s="129">
        <v>1.42</v>
      </c>
      <c r="AS32" s="129">
        <v>1.43</v>
      </c>
      <c r="AT32" s="129">
        <v>1.44</v>
      </c>
      <c r="AU32" s="129">
        <v>1.45</v>
      </c>
      <c r="AV32" s="129">
        <v>1.46</v>
      </c>
      <c r="AW32" s="129">
        <v>1.47</v>
      </c>
      <c r="AX32" s="129">
        <v>1.48</v>
      </c>
      <c r="AY32" s="129">
        <v>1.49</v>
      </c>
      <c r="AZ32" s="129">
        <v>1.5</v>
      </c>
      <c r="BA32" s="129">
        <v>1.51</v>
      </c>
      <c r="BB32" s="129">
        <v>1.52</v>
      </c>
      <c r="BC32" s="129">
        <v>1.53</v>
      </c>
      <c r="BD32" s="129">
        <v>1.54</v>
      </c>
      <c r="BE32" s="129">
        <v>1.55</v>
      </c>
      <c r="BF32" s="129">
        <v>1.56</v>
      </c>
      <c r="BG32" s="129">
        <v>1.57</v>
      </c>
      <c r="BH32" s="129">
        <v>1.58</v>
      </c>
      <c r="BI32" s="129">
        <v>1.59</v>
      </c>
      <c r="BJ32" s="129">
        <v>1.6</v>
      </c>
      <c r="BK32" s="129">
        <v>1.61</v>
      </c>
      <c r="BL32" s="129">
        <v>1.62</v>
      </c>
      <c r="BM32" s="129">
        <v>1.63</v>
      </c>
      <c r="BN32" s="129">
        <v>1.64</v>
      </c>
      <c r="BO32" s="129">
        <v>1.65</v>
      </c>
      <c r="BP32" s="129">
        <v>1.66</v>
      </c>
      <c r="BQ32" s="129">
        <v>1.67</v>
      </c>
      <c r="BR32" s="129">
        <v>1.68</v>
      </c>
      <c r="BS32" s="129">
        <v>1.69</v>
      </c>
      <c r="BT32" s="129">
        <v>1.7</v>
      </c>
      <c r="BU32" s="129">
        <v>1.71</v>
      </c>
      <c r="BV32" s="129">
        <v>1.72</v>
      </c>
      <c r="BW32" s="129">
        <v>1.72</v>
      </c>
      <c r="BX32" s="129">
        <v>1.73</v>
      </c>
      <c r="BY32" s="129">
        <v>1.74</v>
      </c>
      <c r="BZ32" s="129">
        <v>1.75</v>
      </c>
      <c r="CA32" s="129">
        <v>1.76</v>
      </c>
      <c r="CB32" s="129">
        <v>1.76</v>
      </c>
      <c r="CC32" s="129">
        <v>1.77</v>
      </c>
      <c r="CD32" s="129">
        <v>1.78</v>
      </c>
      <c r="CE32" s="129">
        <v>1.79</v>
      </c>
      <c r="CF32" s="129">
        <v>1.8</v>
      </c>
      <c r="CG32" s="129">
        <v>1.81</v>
      </c>
      <c r="CH32" s="129">
        <v>1.82</v>
      </c>
      <c r="CI32" s="129">
        <v>1.83</v>
      </c>
      <c r="CJ32" s="129">
        <v>1.84</v>
      </c>
      <c r="CK32" s="129">
        <v>1.85</v>
      </c>
      <c r="CL32" s="129">
        <v>1.86</v>
      </c>
      <c r="CM32" s="129">
        <v>1.87</v>
      </c>
      <c r="CN32" s="129">
        <v>1.88</v>
      </c>
      <c r="CO32" s="129">
        <v>1.89</v>
      </c>
      <c r="CP32" s="129">
        <v>1.9</v>
      </c>
      <c r="CQ32" s="129">
        <v>1.91</v>
      </c>
      <c r="CR32" s="129">
        <v>1.92</v>
      </c>
      <c r="CS32" s="129">
        <v>1.93</v>
      </c>
      <c r="CT32" s="129">
        <v>1.95</v>
      </c>
      <c r="CU32" s="129">
        <v>1.96</v>
      </c>
      <c r="CV32" s="129">
        <v>1.97</v>
      </c>
      <c r="CW32" s="129">
        <v>1.99</v>
      </c>
      <c r="CX32" s="129">
        <v>2</v>
      </c>
      <c r="CZ32" s="126">
        <f>SUMIF(MatrixF4[[1]:[2]],MatrixF4[[#This Row],[Столбец1]])/MatrixF4[[#This Row],[Столбец1]]</f>
        <v>59.000000000000021</v>
      </c>
    </row>
    <row r="33" spans="1:104" ht="21" customHeight="1" x14ac:dyDescent="0.25">
      <c r="A33" s="127">
        <v>1.3</v>
      </c>
      <c r="B33" s="129">
        <v>1.3</v>
      </c>
      <c r="C33" s="129">
        <v>1.3</v>
      </c>
      <c r="D33" s="129">
        <v>1.3</v>
      </c>
      <c r="E33" s="129">
        <v>1.3</v>
      </c>
      <c r="F33" s="129">
        <v>1.3</v>
      </c>
      <c r="G33" s="129">
        <v>1.3</v>
      </c>
      <c r="H33" s="129">
        <v>1.3</v>
      </c>
      <c r="I33" s="129">
        <v>1.3</v>
      </c>
      <c r="J33" s="129">
        <v>1.3</v>
      </c>
      <c r="K33" s="129">
        <v>1.3</v>
      </c>
      <c r="L33" s="129">
        <v>1.3</v>
      </c>
      <c r="M33" s="129">
        <v>1.3</v>
      </c>
      <c r="N33" s="129">
        <v>1.3</v>
      </c>
      <c r="O33" s="129">
        <v>1.3</v>
      </c>
      <c r="P33" s="129">
        <v>1.3</v>
      </c>
      <c r="Q33" s="129">
        <v>1.3</v>
      </c>
      <c r="R33" s="129">
        <v>1.3</v>
      </c>
      <c r="S33" s="129">
        <v>1.3</v>
      </c>
      <c r="T33" s="129">
        <v>1.3</v>
      </c>
      <c r="U33" s="129">
        <v>1.3</v>
      </c>
      <c r="V33" s="129">
        <v>1.3</v>
      </c>
      <c r="W33" s="129">
        <v>1.3</v>
      </c>
      <c r="X33" s="129">
        <v>1.3</v>
      </c>
      <c r="Y33" s="129">
        <v>1.3</v>
      </c>
      <c r="Z33" s="129">
        <v>1.3</v>
      </c>
      <c r="AA33" s="129">
        <v>1.3</v>
      </c>
      <c r="AB33" s="129">
        <v>1.3</v>
      </c>
      <c r="AC33" s="129">
        <v>1.3</v>
      </c>
      <c r="AD33" s="129">
        <v>1.3</v>
      </c>
      <c r="AE33" s="129">
        <v>1.3</v>
      </c>
      <c r="AF33" s="129">
        <v>1.3</v>
      </c>
      <c r="AG33" s="129">
        <v>1.31</v>
      </c>
      <c r="AH33" s="129">
        <v>1.32</v>
      </c>
      <c r="AI33" s="129">
        <v>1.33</v>
      </c>
      <c r="AJ33" s="129">
        <v>1.34</v>
      </c>
      <c r="AK33" s="129">
        <v>1.35</v>
      </c>
      <c r="AL33" s="129">
        <v>1.36</v>
      </c>
      <c r="AM33" s="129">
        <v>1.37</v>
      </c>
      <c r="AN33" s="129">
        <v>1.38</v>
      </c>
      <c r="AO33" s="129">
        <v>1.39</v>
      </c>
      <c r="AP33" s="129">
        <v>1.4</v>
      </c>
      <c r="AQ33" s="129">
        <v>1.41</v>
      </c>
      <c r="AR33" s="129">
        <v>1.42</v>
      </c>
      <c r="AS33" s="129">
        <v>1.43</v>
      </c>
      <c r="AT33" s="129">
        <v>1.44</v>
      </c>
      <c r="AU33" s="129">
        <v>1.45</v>
      </c>
      <c r="AV33" s="129">
        <v>1.46</v>
      </c>
      <c r="AW33" s="129">
        <v>1.47</v>
      </c>
      <c r="AX33" s="129">
        <v>1.48</v>
      </c>
      <c r="AY33" s="129">
        <v>1.49</v>
      </c>
      <c r="AZ33" s="129">
        <v>1.5</v>
      </c>
      <c r="BA33" s="129">
        <v>1.51</v>
      </c>
      <c r="BB33" s="129">
        <v>1.52</v>
      </c>
      <c r="BC33" s="129">
        <v>1.53</v>
      </c>
      <c r="BD33" s="129">
        <v>1.54</v>
      </c>
      <c r="BE33" s="129">
        <v>1.55</v>
      </c>
      <c r="BF33" s="129">
        <v>1.56</v>
      </c>
      <c r="BG33" s="129">
        <v>1.57</v>
      </c>
      <c r="BH33" s="129">
        <v>1.58</v>
      </c>
      <c r="BI33" s="129">
        <v>1.59</v>
      </c>
      <c r="BJ33" s="129">
        <v>1.6</v>
      </c>
      <c r="BK33" s="129">
        <v>1.61</v>
      </c>
      <c r="BL33" s="129">
        <v>1.62</v>
      </c>
      <c r="BM33" s="129">
        <v>1.63</v>
      </c>
      <c r="BN33" s="129">
        <v>1.64</v>
      </c>
      <c r="BO33" s="129">
        <v>1.65</v>
      </c>
      <c r="BP33" s="129">
        <v>1.66</v>
      </c>
      <c r="BQ33" s="129">
        <v>1.67</v>
      </c>
      <c r="BR33" s="129">
        <v>1.68</v>
      </c>
      <c r="BS33" s="129">
        <v>1.69</v>
      </c>
      <c r="BT33" s="129">
        <v>1.7</v>
      </c>
      <c r="BU33" s="129">
        <v>1.71</v>
      </c>
      <c r="BV33" s="129">
        <v>1.71</v>
      </c>
      <c r="BW33" s="129">
        <v>1.72</v>
      </c>
      <c r="BX33" s="129">
        <v>1.73</v>
      </c>
      <c r="BY33" s="129">
        <v>1.74</v>
      </c>
      <c r="BZ33" s="129">
        <v>1.74</v>
      </c>
      <c r="CA33" s="129">
        <v>1.75</v>
      </c>
      <c r="CB33" s="129">
        <v>1.76</v>
      </c>
      <c r="CC33" s="129">
        <v>1.77</v>
      </c>
      <c r="CD33" s="129">
        <v>1.78</v>
      </c>
      <c r="CE33" s="129">
        <v>1.79</v>
      </c>
      <c r="CF33" s="129">
        <v>1.8</v>
      </c>
      <c r="CG33" s="129">
        <v>1.8</v>
      </c>
      <c r="CH33" s="129">
        <v>1.81</v>
      </c>
      <c r="CI33" s="129">
        <v>1.82</v>
      </c>
      <c r="CJ33" s="129">
        <v>1.83</v>
      </c>
      <c r="CK33" s="129">
        <v>1.84</v>
      </c>
      <c r="CL33" s="129">
        <v>1.85</v>
      </c>
      <c r="CM33" s="129">
        <v>1.86</v>
      </c>
      <c r="CN33" s="129">
        <v>1.88</v>
      </c>
      <c r="CO33" s="129">
        <v>1.89</v>
      </c>
      <c r="CP33" s="129">
        <v>1.9</v>
      </c>
      <c r="CQ33" s="129">
        <v>1.91</v>
      </c>
      <c r="CR33" s="129">
        <v>1.92</v>
      </c>
      <c r="CS33" s="129">
        <v>1.93</v>
      </c>
      <c r="CT33" s="129">
        <v>1.95</v>
      </c>
      <c r="CU33" s="129">
        <v>1.96</v>
      </c>
      <c r="CV33" s="129">
        <v>1.97</v>
      </c>
      <c r="CW33" s="129">
        <v>1.99</v>
      </c>
      <c r="CX33" s="129">
        <v>2</v>
      </c>
      <c r="CZ33" s="126">
        <f>SUMIF(MatrixF4[[1]:[2]],MatrixF4[[#This Row],[Столбец1]])/MatrixF4[[#This Row],[Столбец1]]</f>
        <v>60.999999999999929</v>
      </c>
    </row>
    <row r="34" spans="1:104" ht="21" customHeight="1" x14ac:dyDescent="0.25">
      <c r="A34" s="127">
        <v>1.31</v>
      </c>
      <c r="B34" s="129">
        <v>1.31</v>
      </c>
      <c r="C34" s="129">
        <v>1.31</v>
      </c>
      <c r="D34" s="129">
        <v>1.31</v>
      </c>
      <c r="E34" s="129">
        <v>1.31</v>
      </c>
      <c r="F34" s="129">
        <v>1.31</v>
      </c>
      <c r="G34" s="129">
        <v>1.31</v>
      </c>
      <c r="H34" s="129">
        <v>1.31</v>
      </c>
      <c r="I34" s="129">
        <v>1.31</v>
      </c>
      <c r="J34" s="129">
        <v>1.31</v>
      </c>
      <c r="K34" s="129">
        <v>1.31</v>
      </c>
      <c r="L34" s="129">
        <v>1.31</v>
      </c>
      <c r="M34" s="129">
        <v>1.31</v>
      </c>
      <c r="N34" s="129">
        <v>1.31</v>
      </c>
      <c r="O34" s="129">
        <v>1.31</v>
      </c>
      <c r="P34" s="129">
        <v>1.31</v>
      </c>
      <c r="Q34" s="129">
        <v>1.31</v>
      </c>
      <c r="R34" s="129">
        <v>1.31</v>
      </c>
      <c r="S34" s="129">
        <v>1.31</v>
      </c>
      <c r="T34" s="129">
        <v>1.31</v>
      </c>
      <c r="U34" s="129">
        <v>1.31</v>
      </c>
      <c r="V34" s="129">
        <v>1.31</v>
      </c>
      <c r="W34" s="129">
        <v>1.31</v>
      </c>
      <c r="X34" s="129">
        <v>1.31</v>
      </c>
      <c r="Y34" s="129">
        <v>1.31</v>
      </c>
      <c r="Z34" s="129">
        <v>1.31</v>
      </c>
      <c r="AA34" s="129">
        <v>1.31</v>
      </c>
      <c r="AB34" s="129">
        <v>1.31</v>
      </c>
      <c r="AC34" s="129">
        <v>1.31</v>
      </c>
      <c r="AD34" s="129">
        <v>1.31</v>
      </c>
      <c r="AE34" s="129">
        <v>1.31</v>
      </c>
      <c r="AF34" s="129">
        <v>1.31</v>
      </c>
      <c r="AG34" s="129">
        <v>1.31</v>
      </c>
      <c r="AH34" s="129">
        <v>1.32</v>
      </c>
      <c r="AI34" s="129">
        <v>1.33</v>
      </c>
      <c r="AJ34" s="129">
        <v>1.34</v>
      </c>
      <c r="AK34" s="129">
        <v>1.35</v>
      </c>
      <c r="AL34" s="129">
        <v>1.36</v>
      </c>
      <c r="AM34" s="129">
        <v>1.37</v>
      </c>
      <c r="AN34" s="129">
        <v>1.38</v>
      </c>
      <c r="AO34" s="129">
        <v>1.39</v>
      </c>
      <c r="AP34" s="129">
        <v>1.4</v>
      </c>
      <c r="AQ34" s="129">
        <v>1.41</v>
      </c>
      <c r="AR34" s="129">
        <v>1.42</v>
      </c>
      <c r="AS34" s="129">
        <v>1.43</v>
      </c>
      <c r="AT34" s="129">
        <v>1.44</v>
      </c>
      <c r="AU34" s="129">
        <v>1.45</v>
      </c>
      <c r="AV34" s="129">
        <v>1.46</v>
      </c>
      <c r="AW34" s="129">
        <v>1.47</v>
      </c>
      <c r="AX34" s="129">
        <v>1.48</v>
      </c>
      <c r="AY34" s="129">
        <v>1.49</v>
      </c>
      <c r="AZ34" s="129">
        <v>1.5</v>
      </c>
      <c r="BA34" s="129">
        <v>1.51</v>
      </c>
      <c r="BB34" s="129">
        <v>1.52</v>
      </c>
      <c r="BC34" s="129">
        <v>1.53</v>
      </c>
      <c r="BD34" s="129">
        <v>1.54</v>
      </c>
      <c r="BE34" s="129">
        <v>1.55</v>
      </c>
      <c r="BF34" s="129">
        <v>1.56</v>
      </c>
      <c r="BG34" s="129">
        <v>1.57</v>
      </c>
      <c r="BH34" s="129">
        <v>1.58</v>
      </c>
      <c r="BI34" s="129">
        <v>1.59</v>
      </c>
      <c r="BJ34" s="129">
        <v>1.6</v>
      </c>
      <c r="BK34" s="129">
        <v>1.61</v>
      </c>
      <c r="BL34" s="129">
        <v>1.62</v>
      </c>
      <c r="BM34" s="129">
        <v>1.63</v>
      </c>
      <c r="BN34" s="129">
        <v>1.64</v>
      </c>
      <c r="BO34" s="129">
        <v>1.65</v>
      </c>
      <c r="BP34" s="129">
        <v>1.66</v>
      </c>
      <c r="BQ34" s="129">
        <v>1.67</v>
      </c>
      <c r="BR34" s="129">
        <v>1.68</v>
      </c>
      <c r="BS34" s="129">
        <v>1.69</v>
      </c>
      <c r="BT34" s="129">
        <v>1.7</v>
      </c>
      <c r="BU34" s="129">
        <v>1.7</v>
      </c>
      <c r="BV34" s="129">
        <v>1.71</v>
      </c>
      <c r="BW34" s="129">
        <v>1.72</v>
      </c>
      <c r="BX34" s="129">
        <v>1.73</v>
      </c>
      <c r="BY34" s="129">
        <v>1.73</v>
      </c>
      <c r="BZ34" s="129">
        <v>1.74</v>
      </c>
      <c r="CA34" s="129">
        <v>1.75</v>
      </c>
      <c r="CB34" s="129">
        <v>1.76</v>
      </c>
      <c r="CC34" s="129">
        <v>1.77</v>
      </c>
      <c r="CD34" s="129">
        <v>1.78</v>
      </c>
      <c r="CE34" s="129">
        <v>1.78</v>
      </c>
      <c r="CF34" s="129">
        <v>1.79</v>
      </c>
      <c r="CG34" s="129">
        <v>1.8</v>
      </c>
      <c r="CH34" s="129">
        <v>1.81</v>
      </c>
      <c r="CI34" s="129">
        <v>1.82</v>
      </c>
      <c r="CJ34" s="129">
        <v>1.83</v>
      </c>
      <c r="CK34" s="129">
        <v>1.84</v>
      </c>
      <c r="CL34" s="129">
        <v>1.85</v>
      </c>
      <c r="CM34" s="129">
        <v>1.86</v>
      </c>
      <c r="CN34" s="129">
        <v>1.87</v>
      </c>
      <c r="CO34" s="129">
        <v>1.88</v>
      </c>
      <c r="CP34" s="129">
        <v>1.9</v>
      </c>
      <c r="CQ34" s="129">
        <v>1.91</v>
      </c>
      <c r="CR34" s="129">
        <v>1.92</v>
      </c>
      <c r="CS34" s="129">
        <v>1.93</v>
      </c>
      <c r="CT34" s="129">
        <v>1.95</v>
      </c>
      <c r="CU34" s="129">
        <v>1.96</v>
      </c>
      <c r="CV34" s="129">
        <v>1.97</v>
      </c>
      <c r="CW34" s="129">
        <v>1.99</v>
      </c>
      <c r="CX34" s="129">
        <v>2</v>
      </c>
      <c r="CZ34" s="126">
        <f>SUMIF(MatrixF4[[1]:[2]],MatrixF4[[#This Row],[Столбец1]])/MatrixF4[[#This Row],[Столбец1]]</f>
        <v>63.00000000000005</v>
      </c>
    </row>
    <row r="35" spans="1:104" ht="21" customHeight="1" x14ac:dyDescent="0.25">
      <c r="A35" s="127">
        <v>1.32</v>
      </c>
      <c r="B35" s="129">
        <v>1.32</v>
      </c>
      <c r="C35" s="129">
        <v>1.32</v>
      </c>
      <c r="D35" s="129">
        <v>1.32</v>
      </c>
      <c r="E35" s="129">
        <v>1.32</v>
      </c>
      <c r="F35" s="129">
        <v>1.32</v>
      </c>
      <c r="G35" s="129">
        <v>1.32</v>
      </c>
      <c r="H35" s="129">
        <v>1.32</v>
      </c>
      <c r="I35" s="129">
        <v>1.32</v>
      </c>
      <c r="J35" s="129">
        <v>1.32</v>
      </c>
      <c r="K35" s="129">
        <v>1.32</v>
      </c>
      <c r="L35" s="129">
        <v>1.32</v>
      </c>
      <c r="M35" s="129">
        <v>1.32</v>
      </c>
      <c r="N35" s="129">
        <v>1.32</v>
      </c>
      <c r="O35" s="129">
        <v>1.32</v>
      </c>
      <c r="P35" s="129">
        <v>1.32</v>
      </c>
      <c r="Q35" s="129">
        <v>1.32</v>
      </c>
      <c r="R35" s="129">
        <v>1.32</v>
      </c>
      <c r="S35" s="129">
        <v>1.32</v>
      </c>
      <c r="T35" s="129">
        <v>1.32</v>
      </c>
      <c r="U35" s="129">
        <v>1.32</v>
      </c>
      <c r="V35" s="129">
        <v>1.32</v>
      </c>
      <c r="W35" s="129">
        <v>1.32</v>
      </c>
      <c r="X35" s="129">
        <v>1.32</v>
      </c>
      <c r="Y35" s="129">
        <v>1.32</v>
      </c>
      <c r="Z35" s="129">
        <v>1.32</v>
      </c>
      <c r="AA35" s="129">
        <v>1.32</v>
      </c>
      <c r="AB35" s="129">
        <v>1.32</v>
      </c>
      <c r="AC35" s="129">
        <v>1.32</v>
      </c>
      <c r="AD35" s="129">
        <v>1.32</v>
      </c>
      <c r="AE35" s="129">
        <v>1.32</v>
      </c>
      <c r="AF35" s="129">
        <v>1.32</v>
      </c>
      <c r="AG35" s="129">
        <v>1.32</v>
      </c>
      <c r="AH35" s="129">
        <v>1.32</v>
      </c>
      <c r="AI35" s="129">
        <v>1.33</v>
      </c>
      <c r="AJ35" s="129">
        <v>1.34</v>
      </c>
      <c r="AK35" s="129">
        <v>1.35</v>
      </c>
      <c r="AL35" s="129">
        <v>1.36</v>
      </c>
      <c r="AM35" s="129">
        <v>1.37</v>
      </c>
      <c r="AN35" s="129">
        <v>1.38</v>
      </c>
      <c r="AO35" s="129">
        <v>1.39</v>
      </c>
      <c r="AP35" s="129">
        <v>1.4</v>
      </c>
      <c r="AQ35" s="129">
        <v>1.41</v>
      </c>
      <c r="AR35" s="129">
        <v>1.42</v>
      </c>
      <c r="AS35" s="129">
        <v>1.43</v>
      </c>
      <c r="AT35" s="129">
        <v>1.44</v>
      </c>
      <c r="AU35" s="129">
        <v>1.45</v>
      </c>
      <c r="AV35" s="129">
        <v>1.46</v>
      </c>
      <c r="AW35" s="129">
        <v>1.47</v>
      </c>
      <c r="AX35" s="129">
        <v>1.48</v>
      </c>
      <c r="AY35" s="129">
        <v>1.49</v>
      </c>
      <c r="AZ35" s="129">
        <v>1.5</v>
      </c>
      <c r="BA35" s="129">
        <v>1.51</v>
      </c>
      <c r="BB35" s="129">
        <v>1.52</v>
      </c>
      <c r="BC35" s="129">
        <v>1.53</v>
      </c>
      <c r="BD35" s="129">
        <v>1.54</v>
      </c>
      <c r="BE35" s="129">
        <v>1.55</v>
      </c>
      <c r="BF35" s="129">
        <v>1.56</v>
      </c>
      <c r="BG35" s="129">
        <v>1.57</v>
      </c>
      <c r="BH35" s="129">
        <v>1.58</v>
      </c>
      <c r="BI35" s="129">
        <v>1.59</v>
      </c>
      <c r="BJ35" s="129">
        <v>1.6</v>
      </c>
      <c r="BK35" s="129">
        <v>1.61</v>
      </c>
      <c r="BL35" s="129">
        <v>1.62</v>
      </c>
      <c r="BM35" s="129">
        <v>1.63</v>
      </c>
      <c r="BN35" s="129">
        <v>1.64</v>
      </c>
      <c r="BO35" s="129">
        <v>1.65</v>
      </c>
      <c r="BP35" s="129">
        <v>1.66</v>
      </c>
      <c r="BQ35" s="129">
        <v>1.67</v>
      </c>
      <c r="BR35" s="129">
        <v>1.68</v>
      </c>
      <c r="BS35" s="129">
        <v>1.69</v>
      </c>
      <c r="BT35" s="129">
        <v>1.69</v>
      </c>
      <c r="BU35" s="129">
        <v>1.7</v>
      </c>
      <c r="BV35" s="129">
        <v>1.71</v>
      </c>
      <c r="BW35" s="129">
        <v>1.72</v>
      </c>
      <c r="BX35" s="129">
        <v>1.72</v>
      </c>
      <c r="BY35" s="129">
        <v>1.73</v>
      </c>
      <c r="BZ35" s="129">
        <v>1.74</v>
      </c>
      <c r="CA35" s="129">
        <v>1.75</v>
      </c>
      <c r="CB35" s="129">
        <v>1.76</v>
      </c>
      <c r="CC35" s="129">
        <v>1.76</v>
      </c>
      <c r="CD35" s="129">
        <v>1.77</v>
      </c>
      <c r="CE35" s="129">
        <v>1.78</v>
      </c>
      <c r="CF35" s="129">
        <v>1.79</v>
      </c>
      <c r="CG35" s="129">
        <v>1.8</v>
      </c>
      <c r="CH35" s="129">
        <v>1.81</v>
      </c>
      <c r="CI35" s="129">
        <v>1.82</v>
      </c>
      <c r="CJ35" s="129">
        <v>1.83</v>
      </c>
      <c r="CK35" s="129">
        <v>1.84</v>
      </c>
      <c r="CL35" s="129">
        <v>1.85</v>
      </c>
      <c r="CM35" s="129">
        <v>1.86</v>
      </c>
      <c r="CN35" s="129">
        <v>1.87</v>
      </c>
      <c r="CO35" s="129">
        <v>1.88</v>
      </c>
      <c r="CP35" s="129">
        <v>1.89</v>
      </c>
      <c r="CQ35" s="129">
        <v>1.91</v>
      </c>
      <c r="CR35" s="129">
        <v>1.92</v>
      </c>
      <c r="CS35" s="129">
        <v>1.93</v>
      </c>
      <c r="CT35" s="129">
        <v>1.94</v>
      </c>
      <c r="CU35" s="129">
        <v>1.96</v>
      </c>
      <c r="CV35" s="129">
        <v>1.97</v>
      </c>
      <c r="CW35" s="129">
        <v>1.99</v>
      </c>
      <c r="CX35" s="129">
        <v>2</v>
      </c>
      <c r="CZ35" s="126">
        <f>SUMIF(MatrixF4[[1]:[2]],MatrixF4[[#This Row],[Столбец1]])/MatrixF4[[#This Row],[Столбец1]]</f>
        <v>64.999999999999915</v>
      </c>
    </row>
    <row r="36" spans="1:104" ht="21" customHeight="1" x14ac:dyDescent="0.25">
      <c r="A36" s="127">
        <v>1.33</v>
      </c>
      <c r="B36" s="129">
        <v>1.33</v>
      </c>
      <c r="C36" s="129">
        <v>1.33</v>
      </c>
      <c r="D36" s="129">
        <v>1.33</v>
      </c>
      <c r="E36" s="129">
        <v>1.33</v>
      </c>
      <c r="F36" s="129">
        <v>1.33</v>
      </c>
      <c r="G36" s="129">
        <v>1.33</v>
      </c>
      <c r="H36" s="129">
        <v>1.33</v>
      </c>
      <c r="I36" s="129">
        <v>1.33</v>
      </c>
      <c r="J36" s="129">
        <v>1.33</v>
      </c>
      <c r="K36" s="129">
        <v>1.33</v>
      </c>
      <c r="L36" s="129">
        <v>1.33</v>
      </c>
      <c r="M36" s="129">
        <v>1.33</v>
      </c>
      <c r="N36" s="129">
        <v>1.33</v>
      </c>
      <c r="O36" s="129">
        <v>1.33</v>
      </c>
      <c r="P36" s="129">
        <v>1.33</v>
      </c>
      <c r="Q36" s="129">
        <v>1.33</v>
      </c>
      <c r="R36" s="129">
        <v>1.33</v>
      </c>
      <c r="S36" s="129">
        <v>1.33</v>
      </c>
      <c r="T36" s="129">
        <v>1.33</v>
      </c>
      <c r="U36" s="129">
        <v>1.33</v>
      </c>
      <c r="V36" s="129">
        <v>1.33</v>
      </c>
      <c r="W36" s="129">
        <v>1.33</v>
      </c>
      <c r="X36" s="129">
        <v>1.33</v>
      </c>
      <c r="Y36" s="129">
        <v>1.33</v>
      </c>
      <c r="Z36" s="129">
        <v>1.33</v>
      </c>
      <c r="AA36" s="129">
        <v>1.33</v>
      </c>
      <c r="AB36" s="129">
        <v>1.33</v>
      </c>
      <c r="AC36" s="129">
        <v>1.33</v>
      </c>
      <c r="AD36" s="129">
        <v>1.33</v>
      </c>
      <c r="AE36" s="129">
        <v>1.33</v>
      </c>
      <c r="AF36" s="129">
        <v>1.33</v>
      </c>
      <c r="AG36" s="129">
        <v>1.33</v>
      </c>
      <c r="AH36" s="129">
        <v>1.33</v>
      </c>
      <c r="AI36" s="129">
        <v>1.33</v>
      </c>
      <c r="AJ36" s="129">
        <v>1.34</v>
      </c>
      <c r="AK36" s="129">
        <v>1.35</v>
      </c>
      <c r="AL36" s="129">
        <v>1.36</v>
      </c>
      <c r="AM36" s="129">
        <v>1.37</v>
      </c>
      <c r="AN36" s="129">
        <v>1.38</v>
      </c>
      <c r="AO36" s="129">
        <v>1.39</v>
      </c>
      <c r="AP36" s="129">
        <v>1.4</v>
      </c>
      <c r="AQ36" s="129">
        <v>1.41</v>
      </c>
      <c r="AR36" s="129">
        <v>1.42</v>
      </c>
      <c r="AS36" s="129">
        <v>1.43</v>
      </c>
      <c r="AT36" s="129">
        <v>1.44</v>
      </c>
      <c r="AU36" s="129">
        <v>1.45</v>
      </c>
      <c r="AV36" s="129">
        <v>1.46</v>
      </c>
      <c r="AW36" s="129">
        <v>1.47</v>
      </c>
      <c r="AX36" s="129">
        <v>1.48</v>
      </c>
      <c r="AY36" s="129">
        <v>1.49</v>
      </c>
      <c r="AZ36" s="129">
        <v>1.5</v>
      </c>
      <c r="BA36" s="129">
        <v>1.51</v>
      </c>
      <c r="BB36" s="129">
        <v>1.52</v>
      </c>
      <c r="BC36" s="129">
        <v>1.53</v>
      </c>
      <c r="BD36" s="129">
        <v>1.54</v>
      </c>
      <c r="BE36" s="129">
        <v>1.55</v>
      </c>
      <c r="BF36" s="129">
        <v>1.56</v>
      </c>
      <c r="BG36" s="129">
        <v>1.57</v>
      </c>
      <c r="BH36" s="129">
        <v>1.58</v>
      </c>
      <c r="BI36" s="129">
        <v>1.59</v>
      </c>
      <c r="BJ36" s="129">
        <v>1.6</v>
      </c>
      <c r="BK36" s="129">
        <v>1.61</v>
      </c>
      <c r="BL36" s="129">
        <v>1.62</v>
      </c>
      <c r="BM36" s="129">
        <v>1.63</v>
      </c>
      <c r="BN36" s="129">
        <v>1.64</v>
      </c>
      <c r="BO36" s="129">
        <v>1.65</v>
      </c>
      <c r="BP36" s="129">
        <v>1.66</v>
      </c>
      <c r="BQ36" s="129">
        <v>1.67</v>
      </c>
      <c r="BR36" s="129">
        <v>1.68</v>
      </c>
      <c r="BS36" s="129">
        <v>1.68</v>
      </c>
      <c r="BT36" s="129">
        <v>1.69</v>
      </c>
      <c r="BU36" s="129">
        <v>1.7</v>
      </c>
      <c r="BV36" s="129">
        <v>1.71</v>
      </c>
      <c r="BW36" s="129">
        <v>1.71</v>
      </c>
      <c r="BX36" s="129">
        <v>1.72</v>
      </c>
      <c r="BY36" s="129">
        <v>1.73</v>
      </c>
      <c r="BZ36" s="129">
        <v>1.74</v>
      </c>
      <c r="CA36" s="129">
        <v>1.74</v>
      </c>
      <c r="CB36" s="129">
        <v>1.75</v>
      </c>
      <c r="CC36" s="129">
        <v>1.76</v>
      </c>
      <c r="CD36" s="129">
        <v>1.77</v>
      </c>
      <c r="CE36" s="129">
        <v>1.78</v>
      </c>
      <c r="CF36" s="129">
        <v>1.79</v>
      </c>
      <c r="CG36" s="129">
        <v>1.8</v>
      </c>
      <c r="CH36" s="129">
        <v>1.81</v>
      </c>
      <c r="CI36" s="129">
        <v>1.82</v>
      </c>
      <c r="CJ36" s="129">
        <v>1.83</v>
      </c>
      <c r="CK36" s="129">
        <v>1.84</v>
      </c>
      <c r="CL36" s="129">
        <v>1.85</v>
      </c>
      <c r="CM36" s="129">
        <v>1.86</v>
      </c>
      <c r="CN36" s="129">
        <v>1.87</v>
      </c>
      <c r="CO36" s="129">
        <v>1.88</v>
      </c>
      <c r="CP36" s="129">
        <v>1.89</v>
      </c>
      <c r="CQ36" s="129">
        <v>1.91</v>
      </c>
      <c r="CR36" s="129">
        <v>1.92</v>
      </c>
      <c r="CS36" s="129">
        <v>1.93</v>
      </c>
      <c r="CT36" s="129">
        <v>1.94</v>
      </c>
      <c r="CU36" s="129">
        <v>1.96</v>
      </c>
      <c r="CV36" s="129">
        <v>1.97</v>
      </c>
      <c r="CW36" s="129">
        <v>1.99</v>
      </c>
      <c r="CX36" s="129">
        <v>2</v>
      </c>
      <c r="CZ36" s="126">
        <f>SUMIF(MatrixF4[[1]:[2]],MatrixF4[[#This Row],[Столбец1]])/MatrixF4[[#This Row],[Столбец1]]</f>
        <v>66.999999999999929</v>
      </c>
    </row>
    <row r="37" spans="1:104" ht="21" customHeight="1" x14ac:dyDescent="0.25">
      <c r="A37" s="127">
        <v>1.34</v>
      </c>
      <c r="B37" s="129">
        <v>1.34</v>
      </c>
      <c r="C37" s="129">
        <v>1.34</v>
      </c>
      <c r="D37" s="129">
        <v>1.34</v>
      </c>
      <c r="E37" s="129">
        <v>1.34</v>
      </c>
      <c r="F37" s="129">
        <v>1.34</v>
      </c>
      <c r="G37" s="129">
        <v>1.34</v>
      </c>
      <c r="H37" s="129">
        <v>1.34</v>
      </c>
      <c r="I37" s="129">
        <v>1.34</v>
      </c>
      <c r="J37" s="129">
        <v>1.34</v>
      </c>
      <c r="K37" s="129">
        <v>1.34</v>
      </c>
      <c r="L37" s="129">
        <v>1.34</v>
      </c>
      <c r="M37" s="129">
        <v>1.34</v>
      </c>
      <c r="N37" s="129">
        <v>1.34</v>
      </c>
      <c r="O37" s="129">
        <v>1.34</v>
      </c>
      <c r="P37" s="129">
        <v>1.34</v>
      </c>
      <c r="Q37" s="129">
        <v>1.34</v>
      </c>
      <c r="R37" s="129">
        <v>1.34</v>
      </c>
      <c r="S37" s="129">
        <v>1.34</v>
      </c>
      <c r="T37" s="129">
        <v>1.34</v>
      </c>
      <c r="U37" s="129">
        <v>1.34</v>
      </c>
      <c r="V37" s="129">
        <v>1.34</v>
      </c>
      <c r="W37" s="129">
        <v>1.34</v>
      </c>
      <c r="X37" s="129">
        <v>1.34</v>
      </c>
      <c r="Y37" s="129">
        <v>1.34</v>
      </c>
      <c r="Z37" s="129">
        <v>1.34</v>
      </c>
      <c r="AA37" s="129">
        <v>1.34</v>
      </c>
      <c r="AB37" s="129">
        <v>1.34</v>
      </c>
      <c r="AC37" s="129">
        <v>1.34</v>
      </c>
      <c r="AD37" s="129">
        <v>1.34</v>
      </c>
      <c r="AE37" s="129">
        <v>1.34</v>
      </c>
      <c r="AF37" s="129">
        <v>1.34</v>
      </c>
      <c r="AG37" s="129">
        <v>1.34</v>
      </c>
      <c r="AH37" s="129">
        <v>1.34</v>
      </c>
      <c r="AI37" s="129">
        <v>1.34</v>
      </c>
      <c r="AJ37" s="129">
        <v>1.34</v>
      </c>
      <c r="AK37" s="129">
        <v>1.35</v>
      </c>
      <c r="AL37" s="129">
        <v>1.36</v>
      </c>
      <c r="AM37" s="129">
        <v>1.37</v>
      </c>
      <c r="AN37" s="129">
        <v>1.38</v>
      </c>
      <c r="AO37" s="129">
        <v>1.39</v>
      </c>
      <c r="AP37" s="129">
        <v>1.4</v>
      </c>
      <c r="AQ37" s="129">
        <v>1.41</v>
      </c>
      <c r="AR37" s="129">
        <v>1.42</v>
      </c>
      <c r="AS37" s="129">
        <v>1.43</v>
      </c>
      <c r="AT37" s="129">
        <v>1.44</v>
      </c>
      <c r="AU37" s="129">
        <v>1.45</v>
      </c>
      <c r="AV37" s="129">
        <v>1.46</v>
      </c>
      <c r="AW37" s="129">
        <v>1.47</v>
      </c>
      <c r="AX37" s="129">
        <v>1.48</v>
      </c>
      <c r="AY37" s="129">
        <v>1.49</v>
      </c>
      <c r="AZ37" s="129">
        <v>1.5</v>
      </c>
      <c r="BA37" s="129">
        <v>1.51</v>
      </c>
      <c r="BB37" s="129">
        <v>1.52</v>
      </c>
      <c r="BC37" s="129">
        <v>1.53</v>
      </c>
      <c r="BD37" s="129">
        <v>1.54</v>
      </c>
      <c r="BE37" s="129">
        <v>1.55</v>
      </c>
      <c r="BF37" s="129">
        <v>1.56</v>
      </c>
      <c r="BG37" s="129">
        <v>1.57</v>
      </c>
      <c r="BH37" s="129">
        <v>1.58</v>
      </c>
      <c r="BI37" s="129">
        <v>1.59</v>
      </c>
      <c r="BJ37" s="129">
        <v>1.6</v>
      </c>
      <c r="BK37" s="129">
        <v>1.61</v>
      </c>
      <c r="BL37" s="129">
        <v>1.62</v>
      </c>
      <c r="BM37" s="129">
        <v>1.63</v>
      </c>
      <c r="BN37" s="129">
        <v>1.64</v>
      </c>
      <c r="BO37" s="129">
        <v>1.65</v>
      </c>
      <c r="BP37" s="129">
        <v>1.66</v>
      </c>
      <c r="BQ37" s="129">
        <v>1.67</v>
      </c>
      <c r="BR37" s="129">
        <v>1.67</v>
      </c>
      <c r="BS37" s="129">
        <v>1.68</v>
      </c>
      <c r="BT37" s="129">
        <v>1.69</v>
      </c>
      <c r="BU37" s="129">
        <v>1.69</v>
      </c>
      <c r="BV37" s="129">
        <v>1.7</v>
      </c>
      <c r="BW37" s="129">
        <v>1.71</v>
      </c>
      <c r="BX37" s="129">
        <v>1.72</v>
      </c>
      <c r="BY37" s="129">
        <v>1.73</v>
      </c>
      <c r="BZ37" s="129">
        <v>1.73</v>
      </c>
      <c r="CA37" s="129">
        <v>1.74</v>
      </c>
      <c r="CB37" s="129">
        <v>1.75</v>
      </c>
      <c r="CC37" s="129">
        <v>1.76</v>
      </c>
      <c r="CD37" s="129">
        <v>1.77</v>
      </c>
      <c r="CE37" s="129">
        <v>1.78</v>
      </c>
      <c r="CF37" s="129">
        <v>1.79</v>
      </c>
      <c r="CG37" s="129">
        <v>1.8</v>
      </c>
      <c r="CH37" s="129">
        <v>1.8</v>
      </c>
      <c r="CI37" s="129">
        <v>1.81</v>
      </c>
      <c r="CJ37" s="129">
        <v>1.82</v>
      </c>
      <c r="CK37" s="129">
        <v>1.84</v>
      </c>
      <c r="CL37" s="129">
        <v>1.85</v>
      </c>
      <c r="CM37" s="129">
        <v>1.86</v>
      </c>
      <c r="CN37" s="129">
        <v>1.87</v>
      </c>
      <c r="CO37" s="129">
        <v>1.88</v>
      </c>
      <c r="CP37" s="129">
        <v>1.89</v>
      </c>
      <c r="CQ37" s="129">
        <v>1.9</v>
      </c>
      <c r="CR37" s="129">
        <v>1.92</v>
      </c>
      <c r="CS37" s="129">
        <v>1.93</v>
      </c>
      <c r="CT37" s="129">
        <v>1.94</v>
      </c>
      <c r="CU37" s="129">
        <v>1.96</v>
      </c>
      <c r="CV37" s="129">
        <v>1.97</v>
      </c>
      <c r="CW37" s="129">
        <v>1.99</v>
      </c>
      <c r="CX37" s="129">
        <v>2</v>
      </c>
      <c r="CZ37" s="126">
        <f>SUMIF(MatrixF4[[1]:[2]],MatrixF4[[#This Row],[Столбец1]])/MatrixF4[[#This Row],[Столбец1]]</f>
        <v>69.000000000000114</v>
      </c>
    </row>
    <row r="38" spans="1:104" ht="21" customHeight="1" x14ac:dyDescent="0.25">
      <c r="A38" s="127">
        <v>1.35</v>
      </c>
      <c r="B38" s="129">
        <v>1.35</v>
      </c>
      <c r="C38" s="129">
        <v>1.35</v>
      </c>
      <c r="D38" s="129">
        <v>1.35</v>
      </c>
      <c r="E38" s="129">
        <v>1.35</v>
      </c>
      <c r="F38" s="129">
        <v>1.35</v>
      </c>
      <c r="G38" s="129">
        <v>1.35</v>
      </c>
      <c r="H38" s="129">
        <v>1.35</v>
      </c>
      <c r="I38" s="129">
        <v>1.35</v>
      </c>
      <c r="J38" s="129">
        <v>1.35</v>
      </c>
      <c r="K38" s="129">
        <v>1.35</v>
      </c>
      <c r="L38" s="129">
        <v>1.35</v>
      </c>
      <c r="M38" s="129">
        <v>1.35</v>
      </c>
      <c r="N38" s="129">
        <v>1.35</v>
      </c>
      <c r="O38" s="129">
        <v>1.35</v>
      </c>
      <c r="P38" s="129">
        <v>1.35</v>
      </c>
      <c r="Q38" s="129">
        <v>1.35</v>
      </c>
      <c r="R38" s="129">
        <v>1.35</v>
      </c>
      <c r="S38" s="129">
        <v>1.35</v>
      </c>
      <c r="T38" s="129">
        <v>1.35</v>
      </c>
      <c r="U38" s="129">
        <v>1.35</v>
      </c>
      <c r="V38" s="129">
        <v>1.35</v>
      </c>
      <c r="W38" s="129">
        <v>1.35</v>
      </c>
      <c r="X38" s="129">
        <v>1.35</v>
      </c>
      <c r="Y38" s="129">
        <v>1.35</v>
      </c>
      <c r="Z38" s="129">
        <v>1.35</v>
      </c>
      <c r="AA38" s="129">
        <v>1.35</v>
      </c>
      <c r="AB38" s="129">
        <v>1.35</v>
      </c>
      <c r="AC38" s="129">
        <v>1.35</v>
      </c>
      <c r="AD38" s="129">
        <v>1.35</v>
      </c>
      <c r="AE38" s="129">
        <v>1.35</v>
      </c>
      <c r="AF38" s="129">
        <v>1.35</v>
      </c>
      <c r="AG38" s="129">
        <v>1.35</v>
      </c>
      <c r="AH38" s="129">
        <v>1.35</v>
      </c>
      <c r="AI38" s="129">
        <v>1.35</v>
      </c>
      <c r="AJ38" s="129">
        <v>1.35</v>
      </c>
      <c r="AK38" s="129">
        <v>1.35</v>
      </c>
      <c r="AL38" s="129">
        <v>1.36</v>
      </c>
      <c r="AM38" s="129">
        <v>1.37</v>
      </c>
      <c r="AN38" s="129">
        <v>1.38</v>
      </c>
      <c r="AO38" s="129">
        <v>1.39</v>
      </c>
      <c r="AP38" s="129">
        <v>1.4</v>
      </c>
      <c r="AQ38" s="129">
        <v>1.41</v>
      </c>
      <c r="AR38" s="129">
        <v>1.42</v>
      </c>
      <c r="AS38" s="129">
        <v>1.43</v>
      </c>
      <c r="AT38" s="129">
        <v>1.44</v>
      </c>
      <c r="AU38" s="129">
        <v>1.45</v>
      </c>
      <c r="AV38" s="129">
        <v>1.46</v>
      </c>
      <c r="AW38" s="129">
        <v>1.47</v>
      </c>
      <c r="AX38" s="129">
        <v>1.48</v>
      </c>
      <c r="AY38" s="129">
        <v>1.49</v>
      </c>
      <c r="AZ38" s="129">
        <v>1.5</v>
      </c>
      <c r="BA38" s="129">
        <v>1.51</v>
      </c>
      <c r="BB38" s="129">
        <v>1.52</v>
      </c>
      <c r="BC38" s="129">
        <v>1.53</v>
      </c>
      <c r="BD38" s="129">
        <v>1.54</v>
      </c>
      <c r="BE38" s="129">
        <v>1.55</v>
      </c>
      <c r="BF38" s="129">
        <v>1.56</v>
      </c>
      <c r="BG38" s="129">
        <v>1.57</v>
      </c>
      <c r="BH38" s="129">
        <v>1.58</v>
      </c>
      <c r="BI38" s="129">
        <v>1.59</v>
      </c>
      <c r="BJ38" s="129">
        <v>1.6</v>
      </c>
      <c r="BK38" s="129">
        <v>1.61</v>
      </c>
      <c r="BL38" s="129">
        <v>1.62</v>
      </c>
      <c r="BM38" s="129">
        <v>1.63</v>
      </c>
      <c r="BN38" s="129">
        <v>1.64</v>
      </c>
      <c r="BO38" s="129">
        <v>1.65</v>
      </c>
      <c r="BP38" s="129">
        <v>1.66</v>
      </c>
      <c r="BQ38" s="129">
        <v>1.66</v>
      </c>
      <c r="BR38" s="129">
        <v>1.67</v>
      </c>
      <c r="BS38" s="129">
        <v>1.68</v>
      </c>
      <c r="BT38" s="129">
        <v>1.68</v>
      </c>
      <c r="BU38" s="129">
        <v>1.69</v>
      </c>
      <c r="BV38" s="129">
        <v>1.7</v>
      </c>
      <c r="BW38" s="129">
        <v>1.71</v>
      </c>
      <c r="BX38" s="129">
        <v>1.71</v>
      </c>
      <c r="BY38" s="129">
        <v>1.72</v>
      </c>
      <c r="BZ38" s="129">
        <v>1.73</v>
      </c>
      <c r="CA38" s="129">
        <v>1.74</v>
      </c>
      <c r="CB38" s="129">
        <v>1.75</v>
      </c>
      <c r="CC38" s="129">
        <v>1.76</v>
      </c>
      <c r="CD38" s="129">
        <v>1.76</v>
      </c>
      <c r="CE38" s="129">
        <v>1.77</v>
      </c>
      <c r="CF38" s="129">
        <v>1.78</v>
      </c>
      <c r="CG38" s="129">
        <v>1.79</v>
      </c>
      <c r="CH38" s="129">
        <v>1.8</v>
      </c>
      <c r="CI38" s="129">
        <v>1.81</v>
      </c>
      <c r="CJ38" s="129">
        <v>1.82</v>
      </c>
      <c r="CK38" s="129">
        <v>1.83</v>
      </c>
      <c r="CL38" s="129">
        <v>1.84</v>
      </c>
      <c r="CM38" s="129">
        <v>1.86</v>
      </c>
      <c r="CN38" s="129">
        <v>1.87</v>
      </c>
      <c r="CO38" s="129">
        <v>1.88</v>
      </c>
      <c r="CP38" s="129">
        <v>1.89</v>
      </c>
      <c r="CQ38" s="129">
        <v>1.9</v>
      </c>
      <c r="CR38" s="129">
        <v>1.92</v>
      </c>
      <c r="CS38" s="129">
        <v>1.93</v>
      </c>
      <c r="CT38" s="129">
        <v>1.94</v>
      </c>
      <c r="CU38" s="129">
        <v>1.96</v>
      </c>
      <c r="CV38" s="129">
        <v>1.97</v>
      </c>
      <c r="CW38" s="129">
        <v>1.98</v>
      </c>
      <c r="CX38" s="129">
        <v>2</v>
      </c>
      <c r="CZ38" s="126">
        <f>SUMIF(MatrixF4[[1]:[2]],MatrixF4[[#This Row],[Столбец1]])/MatrixF4[[#This Row],[Столбец1]]</f>
        <v>70.999999999999929</v>
      </c>
    </row>
    <row r="39" spans="1:104" ht="21" customHeight="1" x14ac:dyDescent="0.25">
      <c r="A39" s="127">
        <v>1.36</v>
      </c>
      <c r="B39" s="129">
        <v>1.36</v>
      </c>
      <c r="C39" s="129">
        <v>1.36</v>
      </c>
      <c r="D39" s="129">
        <v>1.36</v>
      </c>
      <c r="E39" s="129">
        <v>1.36</v>
      </c>
      <c r="F39" s="129">
        <v>1.36</v>
      </c>
      <c r="G39" s="129">
        <v>1.36</v>
      </c>
      <c r="H39" s="129">
        <v>1.36</v>
      </c>
      <c r="I39" s="129">
        <v>1.36</v>
      </c>
      <c r="J39" s="129">
        <v>1.36</v>
      </c>
      <c r="K39" s="129">
        <v>1.36</v>
      </c>
      <c r="L39" s="129">
        <v>1.36</v>
      </c>
      <c r="M39" s="129">
        <v>1.36</v>
      </c>
      <c r="N39" s="129">
        <v>1.36</v>
      </c>
      <c r="O39" s="129">
        <v>1.36</v>
      </c>
      <c r="P39" s="129">
        <v>1.36</v>
      </c>
      <c r="Q39" s="129">
        <v>1.36</v>
      </c>
      <c r="R39" s="129">
        <v>1.36</v>
      </c>
      <c r="S39" s="129">
        <v>1.36</v>
      </c>
      <c r="T39" s="129">
        <v>1.36</v>
      </c>
      <c r="U39" s="129">
        <v>1.36</v>
      </c>
      <c r="V39" s="129">
        <v>1.36</v>
      </c>
      <c r="W39" s="129">
        <v>1.36</v>
      </c>
      <c r="X39" s="129">
        <v>1.36</v>
      </c>
      <c r="Y39" s="129">
        <v>1.36</v>
      </c>
      <c r="Z39" s="129">
        <v>1.36</v>
      </c>
      <c r="AA39" s="129">
        <v>1.36</v>
      </c>
      <c r="AB39" s="129">
        <v>1.36</v>
      </c>
      <c r="AC39" s="129">
        <v>1.36</v>
      </c>
      <c r="AD39" s="129">
        <v>1.36</v>
      </c>
      <c r="AE39" s="129">
        <v>1.36</v>
      </c>
      <c r="AF39" s="129">
        <v>1.36</v>
      </c>
      <c r="AG39" s="129">
        <v>1.36</v>
      </c>
      <c r="AH39" s="129">
        <v>1.36</v>
      </c>
      <c r="AI39" s="129">
        <v>1.36</v>
      </c>
      <c r="AJ39" s="129">
        <v>1.36</v>
      </c>
      <c r="AK39" s="129">
        <v>1.36</v>
      </c>
      <c r="AL39" s="129">
        <v>1.36</v>
      </c>
      <c r="AM39" s="129">
        <v>1.37</v>
      </c>
      <c r="AN39" s="129">
        <v>1.38</v>
      </c>
      <c r="AO39" s="129">
        <v>1.39</v>
      </c>
      <c r="AP39" s="129">
        <v>1.4</v>
      </c>
      <c r="AQ39" s="129">
        <v>1.41</v>
      </c>
      <c r="AR39" s="129">
        <v>1.42</v>
      </c>
      <c r="AS39" s="129">
        <v>1.43</v>
      </c>
      <c r="AT39" s="129">
        <v>1.44</v>
      </c>
      <c r="AU39" s="129">
        <v>1.45</v>
      </c>
      <c r="AV39" s="129">
        <v>1.46</v>
      </c>
      <c r="AW39" s="129">
        <v>1.47</v>
      </c>
      <c r="AX39" s="129">
        <v>1.48</v>
      </c>
      <c r="AY39" s="129">
        <v>1.49</v>
      </c>
      <c r="AZ39" s="129">
        <v>1.5</v>
      </c>
      <c r="BA39" s="129">
        <v>1.51</v>
      </c>
      <c r="BB39" s="129">
        <v>1.52</v>
      </c>
      <c r="BC39" s="129">
        <v>1.53</v>
      </c>
      <c r="BD39" s="129">
        <v>1.54</v>
      </c>
      <c r="BE39" s="129">
        <v>1.55</v>
      </c>
      <c r="BF39" s="129">
        <v>1.56</v>
      </c>
      <c r="BG39" s="129">
        <v>1.57</v>
      </c>
      <c r="BH39" s="129">
        <v>1.58</v>
      </c>
      <c r="BI39" s="129">
        <v>1.59</v>
      </c>
      <c r="BJ39" s="129">
        <v>1.6</v>
      </c>
      <c r="BK39" s="129">
        <v>1.61</v>
      </c>
      <c r="BL39" s="129">
        <v>1.62</v>
      </c>
      <c r="BM39" s="129">
        <v>1.63</v>
      </c>
      <c r="BN39" s="129">
        <v>1.64</v>
      </c>
      <c r="BO39" s="129">
        <v>1.65</v>
      </c>
      <c r="BP39" s="129">
        <v>1.65</v>
      </c>
      <c r="BQ39" s="129">
        <v>1.66</v>
      </c>
      <c r="BR39" s="129">
        <v>1.67</v>
      </c>
      <c r="BS39" s="129">
        <v>1.67</v>
      </c>
      <c r="BT39" s="129">
        <v>1.68</v>
      </c>
      <c r="BU39" s="129">
        <v>1.69</v>
      </c>
      <c r="BV39" s="129">
        <v>1.7</v>
      </c>
      <c r="BW39" s="129">
        <v>1.7</v>
      </c>
      <c r="BX39" s="129">
        <v>1.71</v>
      </c>
      <c r="BY39" s="129">
        <v>1.72</v>
      </c>
      <c r="BZ39" s="129">
        <v>1.73</v>
      </c>
      <c r="CA39" s="129">
        <v>1.74</v>
      </c>
      <c r="CB39" s="129">
        <v>1.74</v>
      </c>
      <c r="CC39" s="129">
        <v>1.75</v>
      </c>
      <c r="CD39" s="129">
        <v>1.76</v>
      </c>
      <c r="CE39" s="129">
        <v>1.77</v>
      </c>
      <c r="CF39" s="129">
        <v>1.78</v>
      </c>
      <c r="CG39" s="129">
        <v>1.79</v>
      </c>
      <c r="CH39" s="129">
        <v>1.8</v>
      </c>
      <c r="CI39" s="129">
        <v>1.81</v>
      </c>
      <c r="CJ39" s="129">
        <v>1.82</v>
      </c>
      <c r="CK39" s="129">
        <v>1.83</v>
      </c>
      <c r="CL39" s="129">
        <v>1.84</v>
      </c>
      <c r="CM39" s="129">
        <v>1.85</v>
      </c>
      <c r="CN39" s="129">
        <v>1.86</v>
      </c>
      <c r="CO39" s="129">
        <v>1.88</v>
      </c>
      <c r="CP39" s="129">
        <v>1.89</v>
      </c>
      <c r="CQ39" s="129">
        <v>1.9</v>
      </c>
      <c r="CR39" s="129">
        <v>1.91</v>
      </c>
      <c r="CS39" s="129">
        <v>1.93</v>
      </c>
      <c r="CT39" s="129">
        <v>1.94</v>
      </c>
      <c r="CU39" s="129">
        <v>1.96</v>
      </c>
      <c r="CV39" s="129">
        <v>1.97</v>
      </c>
      <c r="CW39" s="129">
        <v>1.98</v>
      </c>
      <c r="CX39" s="129">
        <v>2</v>
      </c>
      <c r="CZ39" s="126">
        <f>SUMIF(MatrixF4[[1]:[2]],MatrixF4[[#This Row],[Столбец1]])/MatrixF4[[#This Row],[Столбец1]]</f>
        <v>72.999999999999972</v>
      </c>
    </row>
    <row r="40" spans="1:104" ht="21" customHeight="1" x14ac:dyDescent="0.25">
      <c r="A40" s="127">
        <v>1.37</v>
      </c>
      <c r="B40" s="129">
        <v>1.37</v>
      </c>
      <c r="C40" s="129">
        <v>1.37</v>
      </c>
      <c r="D40" s="129">
        <v>1.37</v>
      </c>
      <c r="E40" s="129">
        <v>1.37</v>
      </c>
      <c r="F40" s="129">
        <v>1.37</v>
      </c>
      <c r="G40" s="129">
        <v>1.37</v>
      </c>
      <c r="H40" s="129">
        <v>1.37</v>
      </c>
      <c r="I40" s="129">
        <v>1.37</v>
      </c>
      <c r="J40" s="129">
        <v>1.37</v>
      </c>
      <c r="K40" s="129">
        <v>1.37</v>
      </c>
      <c r="L40" s="129">
        <v>1.37</v>
      </c>
      <c r="M40" s="129">
        <v>1.37</v>
      </c>
      <c r="N40" s="129">
        <v>1.37</v>
      </c>
      <c r="O40" s="129">
        <v>1.37</v>
      </c>
      <c r="P40" s="129">
        <v>1.37</v>
      </c>
      <c r="Q40" s="129">
        <v>1.37</v>
      </c>
      <c r="R40" s="129">
        <v>1.37</v>
      </c>
      <c r="S40" s="129">
        <v>1.37</v>
      </c>
      <c r="T40" s="129">
        <v>1.37</v>
      </c>
      <c r="U40" s="129">
        <v>1.37</v>
      </c>
      <c r="V40" s="129">
        <v>1.37</v>
      </c>
      <c r="W40" s="129">
        <v>1.37</v>
      </c>
      <c r="X40" s="129">
        <v>1.37</v>
      </c>
      <c r="Y40" s="129">
        <v>1.37</v>
      </c>
      <c r="Z40" s="129">
        <v>1.37</v>
      </c>
      <c r="AA40" s="129">
        <v>1.37</v>
      </c>
      <c r="AB40" s="129">
        <v>1.37</v>
      </c>
      <c r="AC40" s="129">
        <v>1.37</v>
      </c>
      <c r="AD40" s="129">
        <v>1.37</v>
      </c>
      <c r="AE40" s="129">
        <v>1.37</v>
      </c>
      <c r="AF40" s="129">
        <v>1.37</v>
      </c>
      <c r="AG40" s="129">
        <v>1.37</v>
      </c>
      <c r="AH40" s="129">
        <v>1.37</v>
      </c>
      <c r="AI40" s="129">
        <v>1.37</v>
      </c>
      <c r="AJ40" s="129">
        <v>1.37</v>
      </c>
      <c r="AK40" s="129">
        <v>1.37</v>
      </c>
      <c r="AL40" s="129">
        <v>1.37</v>
      </c>
      <c r="AM40" s="129">
        <v>1.37</v>
      </c>
      <c r="AN40" s="129">
        <v>1.38</v>
      </c>
      <c r="AO40" s="129">
        <v>1.39</v>
      </c>
      <c r="AP40" s="129">
        <v>1.4</v>
      </c>
      <c r="AQ40" s="129">
        <v>1.41</v>
      </c>
      <c r="AR40" s="129">
        <v>1.42</v>
      </c>
      <c r="AS40" s="129">
        <v>1.43</v>
      </c>
      <c r="AT40" s="129">
        <v>1.44</v>
      </c>
      <c r="AU40" s="129">
        <v>1.45</v>
      </c>
      <c r="AV40" s="129">
        <v>1.46</v>
      </c>
      <c r="AW40" s="129">
        <v>1.47</v>
      </c>
      <c r="AX40" s="129">
        <v>1.48</v>
      </c>
      <c r="AY40" s="129">
        <v>1.49</v>
      </c>
      <c r="AZ40" s="129">
        <v>1.5</v>
      </c>
      <c r="BA40" s="129">
        <v>1.51</v>
      </c>
      <c r="BB40" s="129">
        <v>1.52</v>
      </c>
      <c r="BC40" s="129">
        <v>1.53</v>
      </c>
      <c r="BD40" s="129">
        <v>1.54</v>
      </c>
      <c r="BE40" s="129">
        <v>1.55</v>
      </c>
      <c r="BF40" s="129">
        <v>1.56</v>
      </c>
      <c r="BG40" s="129">
        <v>1.57</v>
      </c>
      <c r="BH40" s="129">
        <v>1.58</v>
      </c>
      <c r="BI40" s="129">
        <v>1.59</v>
      </c>
      <c r="BJ40" s="129">
        <v>1.6</v>
      </c>
      <c r="BK40" s="129">
        <v>1.61</v>
      </c>
      <c r="BL40" s="129">
        <v>1.62</v>
      </c>
      <c r="BM40" s="129">
        <v>1.63</v>
      </c>
      <c r="BN40" s="129">
        <v>1.64</v>
      </c>
      <c r="BO40" s="129">
        <v>1.64</v>
      </c>
      <c r="BP40" s="129">
        <v>1.65</v>
      </c>
      <c r="BQ40" s="129">
        <v>1.66</v>
      </c>
      <c r="BR40" s="129">
        <v>1.66</v>
      </c>
      <c r="BS40" s="129">
        <v>1.67</v>
      </c>
      <c r="BT40" s="129">
        <v>1.68</v>
      </c>
      <c r="BU40" s="129">
        <v>1.68</v>
      </c>
      <c r="BV40" s="129">
        <v>1.69</v>
      </c>
      <c r="BW40" s="129">
        <v>1.7</v>
      </c>
      <c r="BX40" s="129">
        <v>1.71</v>
      </c>
      <c r="BY40" s="129">
        <v>1.72</v>
      </c>
      <c r="BZ40" s="129">
        <v>1.72</v>
      </c>
      <c r="CA40" s="129">
        <v>1.73</v>
      </c>
      <c r="CB40" s="129">
        <v>1.74</v>
      </c>
      <c r="CC40" s="129">
        <v>1.75</v>
      </c>
      <c r="CD40" s="129">
        <v>1.76</v>
      </c>
      <c r="CE40" s="129">
        <v>1.77</v>
      </c>
      <c r="CF40" s="129">
        <v>1.78</v>
      </c>
      <c r="CG40" s="129">
        <v>1.79</v>
      </c>
      <c r="CH40" s="129">
        <v>1.8</v>
      </c>
      <c r="CI40" s="129">
        <v>1.81</v>
      </c>
      <c r="CJ40" s="129">
        <v>1.82</v>
      </c>
      <c r="CK40" s="129">
        <v>1.83</v>
      </c>
      <c r="CL40" s="129">
        <v>1.84</v>
      </c>
      <c r="CM40" s="129">
        <v>1.85</v>
      </c>
      <c r="CN40" s="129">
        <v>1.86</v>
      </c>
      <c r="CO40" s="129">
        <v>1.88</v>
      </c>
      <c r="CP40" s="129">
        <v>1.89</v>
      </c>
      <c r="CQ40" s="129">
        <v>1.9</v>
      </c>
      <c r="CR40" s="129">
        <v>1.91</v>
      </c>
      <c r="CS40" s="129">
        <v>1.93</v>
      </c>
      <c r="CT40" s="129">
        <v>1.94</v>
      </c>
      <c r="CU40" s="129">
        <v>1.95</v>
      </c>
      <c r="CV40" s="129">
        <v>1.97</v>
      </c>
      <c r="CW40" s="129">
        <v>1.98</v>
      </c>
      <c r="CX40" s="129">
        <v>2</v>
      </c>
      <c r="CZ40" s="126">
        <f>SUMIF(MatrixF4[[1]:[2]],MatrixF4[[#This Row],[Столбец1]])/MatrixF4[[#This Row],[Столбец1]]</f>
        <v>75.000000000000057</v>
      </c>
    </row>
    <row r="41" spans="1:104" ht="21" customHeight="1" x14ac:dyDescent="0.25">
      <c r="A41" s="127">
        <v>1.38</v>
      </c>
      <c r="B41" s="129">
        <v>1.38</v>
      </c>
      <c r="C41" s="129">
        <v>1.38</v>
      </c>
      <c r="D41" s="129">
        <v>1.38</v>
      </c>
      <c r="E41" s="129">
        <v>1.38</v>
      </c>
      <c r="F41" s="129">
        <v>1.38</v>
      </c>
      <c r="G41" s="129">
        <v>1.38</v>
      </c>
      <c r="H41" s="129">
        <v>1.38</v>
      </c>
      <c r="I41" s="129">
        <v>1.38</v>
      </c>
      <c r="J41" s="129">
        <v>1.38</v>
      </c>
      <c r="K41" s="129">
        <v>1.38</v>
      </c>
      <c r="L41" s="129">
        <v>1.38</v>
      </c>
      <c r="M41" s="129">
        <v>1.38</v>
      </c>
      <c r="N41" s="129">
        <v>1.38</v>
      </c>
      <c r="O41" s="129">
        <v>1.38</v>
      </c>
      <c r="P41" s="129">
        <v>1.38</v>
      </c>
      <c r="Q41" s="129">
        <v>1.38</v>
      </c>
      <c r="R41" s="129">
        <v>1.38</v>
      </c>
      <c r="S41" s="129">
        <v>1.38</v>
      </c>
      <c r="T41" s="129">
        <v>1.38</v>
      </c>
      <c r="U41" s="129">
        <v>1.38</v>
      </c>
      <c r="V41" s="129">
        <v>1.38</v>
      </c>
      <c r="W41" s="129">
        <v>1.38</v>
      </c>
      <c r="X41" s="129">
        <v>1.38</v>
      </c>
      <c r="Y41" s="129">
        <v>1.38</v>
      </c>
      <c r="Z41" s="129">
        <v>1.38</v>
      </c>
      <c r="AA41" s="129">
        <v>1.38</v>
      </c>
      <c r="AB41" s="129">
        <v>1.38</v>
      </c>
      <c r="AC41" s="129">
        <v>1.38</v>
      </c>
      <c r="AD41" s="129">
        <v>1.38</v>
      </c>
      <c r="AE41" s="129">
        <v>1.38</v>
      </c>
      <c r="AF41" s="129">
        <v>1.38</v>
      </c>
      <c r="AG41" s="129">
        <v>1.38</v>
      </c>
      <c r="AH41" s="129">
        <v>1.38</v>
      </c>
      <c r="AI41" s="129">
        <v>1.38</v>
      </c>
      <c r="AJ41" s="129">
        <v>1.38</v>
      </c>
      <c r="AK41" s="129">
        <v>1.38</v>
      </c>
      <c r="AL41" s="129">
        <v>1.38</v>
      </c>
      <c r="AM41" s="129">
        <v>1.38</v>
      </c>
      <c r="AN41" s="129">
        <v>1.38</v>
      </c>
      <c r="AO41" s="129">
        <v>1.39</v>
      </c>
      <c r="AP41" s="129">
        <v>1.4</v>
      </c>
      <c r="AQ41" s="129">
        <v>1.41</v>
      </c>
      <c r="AR41" s="129">
        <v>1.42</v>
      </c>
      <c r="AS41" s="129">
        <v>1.43</v>
      </c>
      <c r="AT41" s="129">
        <v>1.44</v>
      </c>
      <c r="AU41" s="129">
        <v>1.45</v>
      </c>
      <c r="AV41" s="129">
        <v>1.46</v>
      </c>
      <c r="AW41" s="129">
        <v>1.47</v>
      </c>
      <c r="AX41" s="129">
        <v>1.48</v>
      </c>
      <c r="AY41" s="129">
        <v>1.49</v>
      </c>
      <c r="AZ41" s="129">
        <v>1.5</v>
      </c>
      <c r="BA41" s="129">
        <v>1.51</v>
      </c>
      <c r="BB41" s="129">
        <v>1.52</v>
      </c>
      <c r="BC41" s="129">
        <v>1.53</v>
      </c>
      <c r="BD41" s="129">
        <v>1.54</v>
      </c>
      <c r="BE41" s="129">
        <v>1.55</v>
      </c>
      <c r="BF41" s="129">
        <v>1.56</v>
      </c>
      <c r="BG41" s="129">
        <v>1.57</v>
      </c>
      <c r="BH41" s="129">
        <v>1.58</v>
      </c>
      <c r="BI41" s="129">
        <v>1.59</v>
      </c>
      <c r="BJ41" s="129">
        <v>1.6</v>
      </c>
      <c r="BK41" s="129">
        <v>1.61</v>
      </c>
      <c r="BL41" s="129">
        <v>1.62</v>
      </c>
      <c r="BM41" s="129">
        <v>1.63</v>
      </c>
      <c r="BN41" s="129">
        <v>1.63</v>
      </c>
      <c r="BO41" s="129">
        <v>1.64</v>
      </c>
      <c r="BP41" s="129">
        <v>1.65</v>
      </c>
      <c r="BQ41" s="129">
        <v>1.65</v>
      </c>
      <c r="BR41" s="129">
        <v>1.66</v>
      </c>
      <c r="BS41" s="129">
        <v>1.67</v>
      </c>
      <c r="BT41" s="129">
        <v>1.67</v>
      </c>
      <c r="BU41" s="129">
        <v>1.68</v>
      </c>
      <c r="BV41" s="129">
        <v>1.69</v>
      </c>
      <c r="BW41" s="129">
        <v>1.7</v>
      </c>
      <c r="BX41" s="129">
        <v>1.7</v>
      </c>
      <c r="BY41" s="129">
        <v>1.71</v>
      </c>
      <c r="BZ41" s="129">
        <v>1.72</v>
      </c>
      <c r="CA41" s="129">
        <v>1.73</v>
      </c>
      <c r="CB41" s="129">
        <v>1.74</v>
      </c>
      <c r="CC41" s="129">
        <v>1.75</v>
      </c>
      <c r="CD41" s="129">
        <v>1.76</v>
      </c>
      <c r="CE41" s="129">
        <v>1.77</v>
      </c>
      <c r="CF41" s="129">
        <v>1.78</v>
      </c>
      <c r="CG41" s="129">
        <v>1.78</v>
      </c>
      <c r="CH41" s="129">
        <v>1.79</v>
      </c>
      <c r="CI41" s="129">
        <v>1.81</v>
      </c>
      <c r="CJ41" s="129">
        <v>1.82</v>
      </c>
      <c r="CK41" s="129">
        <v>1.83</v>
      </c>
      <c r="CL41" s="129">
        <v>1.84</v>
      </c>
      <c r="CM41" s="129">
        <v>1.85</v>
      </c>
      <c r="CN41" s="129">
        <v>1.86</v>
      </c>
      <c r="CO41" s="129">
        <v>1.87</v>
      </c>
      <c r="CP41" s="129">
        <v>1.89</v>
      </c>
      <c r="CQ41" s="129">
        <v>1.9</v>
      </c>
      <c r="CR41" s="129">
        <v>1.91</v>
      </c>
      <c r="CS41" s="129">
        <v>1.93</v>
      </c>
      <c r="CT41" s="129">
        <v>1.94</v>
      </c>
      <c r="CU41" s="129">
        <v>1.95</v>
      </c>
      <c r="CV41" s="129">
        <v>1.97</v>
      </c>
      <c r="CW41" s="129">
        <v>1.98</v>
      </c>
      <c r="CX41" s="129">
        <v>2</v>
      </c>
      <c r="CZ41" s="126">
        <f>SUMIF(MatrixF4[[1]:[2]],MatrixF4[[#This Row],[Столбец1]])/MatrixF4[[#This Row],[Столбец1]]</f>
        <v>76.999999999999943</v>
      </c>
    </row>
    <row r="42" spans="1:104" ht="21" customHeight="1" x14ac:dyDescent="0.25">
      <c r="A42" s="127">
        <v>1.39</v>
      </c>
      <c r="B42" s="129">
        <v>1.39</v>
      </c>
      <c r="C42" s="129">
        <v>1.39</v>
      </c>
      <c r="D42" s="129">
        <v>1.39</v>
      </c>
      <c r="E42" s="129">
        <v>1.39</v>
      </c>
      <c r="F42" s="129">
        <v>1.39</v>
      </c>
      <c r="G42" s="129">
        <v>1.39</v>
      </c>
      <c r="H42" s="129">
        <v>1.39</v>
      </c>
      <c r="I42" s="129">
        <v>1.39</v>
      </c>
      <c r="J42" s="129">
        <v>1.39</v>
      </c>
      <c r="K42" s="129">
        <v>1.39</v>
      </c>
      <c r="L42" s="129">
        <v>1.39</v>
      </c>
      <c r="M42" s="129">
        <v>1.39</v>
      </c>
      <c r="N42" s="129">
        <v>1.39</v>
      </c>
      <c r="O42" s="129">
        <v>1.39</v>
      </c>
      <c r="P42" s="129">
        <v>1.39</v>
      </c>
      <c r="Q42" s="129">
        <v>1.39</v>
      </c>
      <c r="R42" s="129">
        <v>1.39</v>
      </c>
      <c r="S42" s="129">
        <v>1.39</v>
      </c>
      <c r="T42" s="129">
        <v>1.39</v>
      </c>
      <c r="U42" s="129">
        <v>1.39</v>
      </c>
      <c r="V42" s="129">
        <v>1.39</v>
      </c>
      <c r="W42" s="129">
        <v>1.39</v>
      </c>
      <c r="X42" s="129">
        <v>1.39</v>
      </c>
      <c r="Y42" s="129">
        <v>1.39</v>
      </c>
      <c r="Z42" s="129">
        <v>1.39</v>
      </c>
      <c r="AA42" s="129">
        <v>1.39</v>
      </c>
      <c r="AB42" s="129">
        <v>1.39</v>
      </c>
      <c r="AC42" s="129">
        <v>1.39</v>
      </c>
      <c r="AD42" s="129">
        <v>1.39</v>
      </c>
      <c r="AE42" s="129">
        <v>1.39</v>
      </c>
      <c r="AF42" s="129">
        <v>1.39</v>
      </c>
      <c r="AG42" s="129">
        <v>1.39</v>
      </c>
      <c r="AH42" s="129">
        <v>1.39</v>
      </c>
      <c r="AI42" s="129">
        <v>1.39</v>
      </c>
      <c r="AJ42" s="129">
        <v>1.39</v>
      </c>
      <c r="AK42" s="129">
        <v>1.39</v>
      </c>
      <c r="AL42" s="129">
        <v>1.39</v>
      </c>
      <c r="AM42" s="129">
        <v>1.39</v>
      </c>
      <c r="AN42" s="129">
        <v>1.39</v>
      </c>
      <c r="AO42" s="129">
        <v>1.39</v>
      </c>
      <c r="AP42" s="129">
        <v>1.4</v>
      </c>
      <c r="AQ42" s="129">
        <v>1.41</v>
      </c>
      <c r="AR42" s="129">
        <v>1.42</v>
      </c>
      <c r="AS42" s="129">
        <v>1.43</v>
      </c>
      <c r="AT42" s="129">
        <v>1.44</v>
      </c>
      <c r="AU42" s="129">
        <v>1.45</v>
      </c>
      <c r="AV42" s="129">
        <v>1.46</v>
      </c>
      <c r="AW42" s="129">
        <v>1.47</v>
      </c>
      <c r="AX42" s="129">
        <v>1.48</v>
      </c>
      <c r="AY42" s="129">
        <v>1.49</v>
      </c>
      <c r="AZ42" s="129">
        <v>1.5</v>
      </c>
      <c r="BA42" s="129">
        <v>1.51</v>
      </c>
      <c r="BB42" s="129">
        <v>1.52</v>
      </c>
      <c r="BC42" s="129">
        <v>1.53</v>
      </c>
      <c r="BD42" s="129">
        <v>1.54</v>
      </c>
      <c r="BE42" s="129">
        <v>1.55</v>
      </c>
      <c r="BF42" s="129">
        <v>1.56</v>
      </c>
      <c r="BG42" s="129">
        <v>1.57</v>
      </c>
      <c r="BH42" s="129">
        <v>1.58</v>
      </c>
      <c r="BI42" s="129">
        <v>1.59</v>
      </c>
      <c r="BJ42" s="129">
        <v>1.6</v>
      </c>
      <c r="BK42" s="129">
        <v>1.61</v>
      </c>
      <c r="BL42" s="129">
        <v>1.62</v>
      </c>
      <c r="BM42" s="129">
        <v>1.62</v>
      </c>
      <c r="BN42" s="129">
        <v>1.63</v>
      </c>
      <c r="BO42" s="129">
        <v>1.64</v>
      </c>
      <c r="BP42" s="129">
        <v>1.64</v>
      </c>
      <c r="BQ42" s="129">
        <v>1.65</v>
      </c>
      <c r="BR42" s="129">
        <v>1.66</v>
      </c>
      <c r="BS42" s="129">
        <v>1.66</v>
      </c>
      <c r="BT42" s="129">
        <v>1.67</v>
      </c>
      <c r="BU42" s="129">
        <v>1.68</v>
      </c>
      <c r="BV42" s="129">
        <v>1.69</v>
      </c>
      <c r="BW42" s="129">
        <v>1.69</v>
      </c>
      <c r="BX42" s="129">
        <v>1.7</v>
      </c>
      <c r="BY42" s="129">
        <v>1.71</v>
      </c>
      <c r="BZ42" s="129">
        <v>1.72</v>
      </c>
      <c r="CA42" s="129">
        <v>1.73</v>
      </c>
      <c r="CB42" s="129">
        <v>1.73</v>
      </c>
      <c r="CC42" s="129">
        <v>1.74</v>
      </c>
      <c r="CD42" s="129">
        <v>1.75</v>
      </c>
      <c r="CE42" s="129">
        <v>1.76</v>
      </c>
      <c r="CF42" s="129">
        <v>1.77</v>
      </c>
      <c r="CG42" s="129">
        <v>1.78</v>
      </c>
      <c r="CH42" s="129">
        <v>1.79</v>
      </c>
      <c r="CI42" s="129">
        <v>1.8</v>
      </c>
      <c r="CJ42" s="129">
        <v>1.81</v>
      </c>
      <c r="CK42" s="129">
        <v>1.82</v>
      </c>
      <c r="CL42" s="129">
        <v>1.84</v>
      </c>
      <c r="CM42" s="129">
        <v>1.85</v>
      </c>
      <c r="CN42" s="129">
        <v>1.86</v>
      </c>
      <c r="CO42" s="129">
        <v>1.87</v>
      </c>
      <c r="CP42" s="129">
        <v>1.88</v>
      </c>
      <c r="CQ42" s="129">
        <v>1.9</v>
      </c>
      <c r="CR42" s="129">
        <v>1.91</v>
      </c>
      <c r="CS42" s="129">
        <v>1.92</v>
      </c>
      <c r="CT42" s="129">
        <v>1.94</v>
      </c>
      <c r="CU42" s="129">
        <v>1.95</v>
      </c>
      <c r="CV42" s="129">
        <v>1.97</v>
      </c>
      <c r="CW42" s="129">
        <v>1.98</v>
      </c>
      <c r="CX42" s="129">
        <v>2</v>
      </c>
      <c r="CZ42" s="126">
        <f>SUMIF(MatrixF4[[1]:[2]],MatrixF4[[#This Row],[Столбец1]])/MatrixF4[[#This Row],[Столбец1]]</f>
        <v>79.000000000000028</v>
      </c>
    </row>
    <row r="43" spans="1:104" ht="21" customHeight="1" x14ac:dyDescent="0.25">
      <c r="A43" s="127">
        <v>1.4</v>
      </c>
      <c r="B43" s="129">
        <v>1.4</v>
      </c>
      <c r="C43" s="129">
        <v>1.4</v>
      </c>
      <c r="D43" s="129">
        <v>1.4</v>
      </c>
      <c r="E43" s="129">
        <v>1.4</v>
      </c>
      <c r="F43" s="129">
        <v>1.4</v>
      </c>
      <c r="G43" s="129">
        <v>1.4</v>
      </c>
      <c r="H43" s="129">
        <v>1.4</v>
      </c>
      <c r="I43" s="129">
        <v>1.4</v>
      </c>
      <c r="J43" s="129">
        <v>1.4</v>
      </c>
      <c r="K43" s="129">
        <v>1.4</v>
      </c>
      <c r="L43" s="129">
        <v>1.4</v>
      </c>
      <c r="M43" s="129">
        <v>1.4</v>
      </c>
      <c r="N43" s="129">
        <v>1.4</v>
      </c>
      <c r="O43" s="129">
        <v>1.4</v>
      </c>
      <c r="P43" s="129">
        <v>1.4</v>
      </c>
      <c r="Q43" s="129">
        <v>1.4</v>
      </c>
      <c r="R43" s="129">
        <v>1.4</v>
      </c>
      <c r="S43" s="129">
        <v>1.4</v>
      </c>
      <c r="T43" s="129">
        <v>1.4</v>
      </c>
      <c r="U43" s="129">
        <v>1.4</v>
      </c>
      <c r="V43" s="129">
        <v>1.4</v>
      </c>
      <c r="W43" s="129">
        <v>1.4</v>
      </c>
      <c r="X43" s="129">
        <v>1.4</v>
      </c>
      <c r="Y43" s="129">
        <v>1.4</v>
      </c>
      <c r="Z43" s="129">
        <v>1.4</v>
      </c>
      <c r="AA43" s="129">
        <v>1.4</v>
      </c>
      <c r="AB43" s="129">
        <v>1.4</v>
      </c>
      <c r="AC43" s="129">
        <v>1.4</v>
      </c>
      <c r="AD43" s="129">
        <v>1.4</v>
      </c>
      <c r="AE43" s="129">
        <v>1.4</v>
      </c>
      <c r="AF43" s="129">
        <v>1.4</v>
      </c>
      <c r="AG43" s="129">
        <v>1.4</v>
      </c>
      <c r="AH43" s="129">
        <v>1.4</v>
      </c>
      <c r="AI43" s="129">
        <v>1.4</v>
      </c>
      <c r="AJ43" s="129">
        <v>1.4</v>
      </c>
      <c r="AK43" s="129">
        <v>1.4</v>
      </c>
      <c r="AL43" s="129">
        <v>1.4</v>
      </c>
      <c r="AM43" s="129">
        <v>1.4</v>
      </c>
      <c r="AN43" s="129">
        <v>1.4</v>
      </c>
      <c r="AO43" s="129">
        <v>1.4</v>
      </c>
      <c r="AP43" s="129">
        <v>1.4</v>
      </c>
      <c r="AQ43" s="129">
        <v>1.41</v>
      </c>
      <c r="AR43" s="129">
        <v>1.42</v>
      </c>
      <c r="AS43" s="129">
        <v>1.43</v>
      </c>
      <c r="AT43" s="129">
        <v>1.44</v>
      </c>
      <c r="AU43" s="129">
        <v>1.45</v>
      </c>
      <c r="AV43" s="129">
        <v>1.46</v>
      </c>
      <c r="AW43" s="129">
        <v>1.47</v>
      </c>
      <c r="AX43" s="129">
        <v>1.48</v>
      </c>
      <c r="AY43" s="129">
        <v>1.49</v>
      </c>
      <c r="AZ43" s="129">
        <v>1.5</v>
      </c>
      <c r="BA43" s="129">
        <v>1.51</v>
      </c>
      <c r="BB43" s="129">
        <v>1.52</v>
      </c>
      <c r="BC43" s="129">
        <v>1.53</v>
      </c>
      <c r="BD43" s="129">
        <v>1.54</v>
      </c>
      <c r="BE43" s="129">
        <v>1.55</v>
      </c>
      <c r="BF43" s="129">
        <v>1.56</v>
      </c>
      <c r="BG43" s="129">
        <v>1.57</v>
      </c>
      <c r="BH43" s="129">
        <v>1.58</v>
      </c>
      <c r="BI43" s="129">
        <v>1.59</v>
      </c>
      <c r="BJ43" s="129">
        <v>1.6</v>
      </c>
      <c r="BK43" s="129">
        <v>1.61</v>
      </c>
      <c r="BL43" s="129">
        <v>1.61</v>
      </c>
      <c r="BM43" s="129">
        <v>1.62</v>
      </c>
      <c r="BN43" s="129">
        <v>1.62</v>
      </c>
      <c r="BO43" s="129">
        <v>1.63</v>
      </c>
      <c r="BP43" s="129">
        <v>1.64</v>
      </c>
      <c r="BQ43" s="129">
        <v>1.65</v>
      </c>
      <c r="BR43" s="129">
        <v>1.65</v>
      </c>
      <c r="BS43" s="129">
        <v>1.66</v>
      </c>
      <c r="BT43" s="129">
        <v>1.67</v>
      </c>
      <c r="BU43" s="129">
        <v>1.67</v>
      </c>
      <c r="BV43" s="129">
        <v>1.68</v>
      </c>
      <c r="BW43" s="129">
        <v>1.69</v>
      </c>
      <c r="BX43" s="129">
        <v>1.7</v>
      </c>
      <c r="BY43" s="129">
        <v>1.71</v>
      </c>
      <c r="BZ43" s="129">
        <v>1.71</v>
      </c>
      <c r="CA43" s="129">
        <v>1.72</v>
      </c>
      <c r="CB43" s="129">
        <v>1.73</v>
      </c>
      <c r="CC43" s="129">
        <v>1.74</v>
      </c>
      <c r="CD43" s="129">
        <v>1.75</v>
      </c>
      <c r="CE43" s="129">
        <v>1.76</v>
      </c>
      <c r="CF43" s="129">
        <v>1.77</v>
      </c>
      <c r="CG43" s="129">
        <v>1.78</v>
      </c>
      <c r="CH43" s="129">
        <v>1.79</v>
      </c>
      <c r="CI43" s="129">
        <v>1.8</v>
      </c>
      <c r="CJ43" s="129">
        <v>1.81</v>
      </c>
      <c r="CK43" s="129">
        <v>1.82</v>
      </c>
      <c r="CL43" s="129">
        <v>1.83</v>
      </c>
      <c r="CM43" s="129">
        <v>1.85</v>
      </c>
      <c r="CN43" s="129">
        <v>1.86</v>
      </c>
      <c r="CO43" s="129">
        <v>1.87</v>
      </c>
      <c r="CP43" s="129">
        <v>1.88</v>
      </c>
      <c r="CQ43" s="129">
        <v>1.9</v>
      </c>
      <c r="CR43" s="129">
        <v>1.91</v>
      </c>
      <c r="CS43" s="129">
        <v>1.92</v>
      </c>
      <c r="CT43" s="129">
        <v>1.94</v>
      </c>
      <c r="CU43" s="129">
        <v>1.95</v>
      </c>
      <c r="CV43" s="129">
        <v>1.97</v>
      </c>
      <c r="CW43" s="129">
        <v>1.98</v>
      </c>
      <c r="CX43" s="129">
        <v>2</v>
      </c>
      <c r="CZ43" s="126">
        <f>SUMIF(MatrixF4[[1]:[2]],MatrixF4[[#This Row],[Столбец1]])/MatrixF4[[#This Row],[Столбец1]]</f>
        <v>81.000000000000128</v>
      </c>
    </row>
    <row r="44" spans="1:104" ht="21" customHeight="1" x14ac:dyDescent="0.25">
      <c r="A44" s="127">
        <v>1.41</v>
      </c>
      <c r="B44" s="129">
        <v>1.41</v>
      </c>
      <c r="C44" s="129">
        <v>1.41</v>
      </c>
      <c r="D44" s="129">
        <v>1.41</v>
      </c>
      <c r="E44" s="129">
        <v>1.41</v>
      </c>
      <c r="F44" s="129">
        <v>1.41</v>
      </c>
      <c r="G44" s="129">
        <v>1.41</v>
      </c>
      <c r="H44" s="129">
        <v>1.41</v>
      </c>
      <c r="I44" s="129">
        <v>1.41</v>
      </c>
      <c r="J44" s="129">
        <v>1.41</v>
      </c>
      <c r="K44" s="129">
        <v>1.41</v>
      </c>
      <c r="L44" s="129">
        <v>1.41</v>
      </c>
      <c r="M44" s="129">
        <v>1.41</v>
      </c>
      <c r="N44" s="129">
        <v>1.41</v>
      </c>
      <c r="O44" s="129">
        <v>1.41</v>
      </c>
      <c r="P44" s="129">
        <v>1.41</v>
      </c>
      <c r="Q44" s="129">
        <v>1.41</v>
      </c>
      <c r="R44" s="129">
        <v>1.41</v>
      </c>
      <c r="S44" s="129">
        <v>1.41</v>
      </c>
      <c r="T44" s="129">
        <v>1.41</v>
      </c>
      <c r="U44" s="129">
        <v>1.41</v>
      </c>
      <c r="V44" s="129">
        <v>1.41</v>
      </c>
      <c r="W44" s="129">
        <v>1.41</v>
      </c>
      <c r="X44" s="129">
        <v>1.41</v>
      </c>
      <c r="Y44" s="129">
        <v>1.41</v>
      </c>
      <c r="Z44" s="129">
        <v>1.41</v>
      </c>
      <c r="AA44" s="129">
        <v>1.41</v>
      </c>
      <c r="AB44" s="129">
        <v>1.41</v>
      </c>
      <c r="AC44" s="129">
        <v>1.41</v>
      </c>
      <c r="AD44" s="129">
        <v>1.41</v>
      </c>
      <c r="AE44" s="129">
        <v>1.41</v>
      </c>
      <c r="AF44" s="129">
        <v>1.41</v>
      </c>
      <c r="AG44" s="129">
        <v>1.41</v>
      </c>
      <c r="AH44" s="129">
        <v>1.41</v>
      </c>
      <c r="AI44" s="129">
        <v>1.41</v>
      </c>
      <c r="AJ44" s="129">
        <v>1.41</v>
      </c>
      <c r="AK44" s="129">
        <v>1.41</v>
      </c>
      <c r="AL44" s="129">
        <v>1.41</v>
      </c>
      <c r="AM44" s="129">
        <v>1.41</v>
      </c>
      <c r="AN44" s="129">
        <v>1.41</v>
      </c>
      <c r="AO44" s="129">
        <v>1.41</v>
      </c>
      <c r="AP44" s="129">
        <v>1.41</v>
      </c>
      <c r="AQ44" s="129">
        <v>1.41</v>
      </c>
      <c r="AR44" s="129">
        <v>1.42</v>
      </c>
      <c r="AS44" s="129">
        <v>1.43</v>
      </c>
      <c r="AT44" s="129">
        <v>1.44</v>
      </c>
      <c r="AU44" s="129">
        <v>1.45</v>
      </c>
      <c r="AV44" s="129">
        <v>1.46</v>
      </c>
      <c r="AW44" s="129">
        <v>1.47</v>
      </c>
      <c r="AX44" s="129">
        <v>1.48</v>
      </c>
      <c r="AY44" s="129">
        <v>1.49</v>
      </c>
      <c r="AZ44" s="129">
        <v>1.5</v>
      </c>
      <c r="BA44" s="129">
        <v>1.51</v>
      </c>
      <c r="BB44" s="129">
        <v>1.52</v>
      </c>
      <c r="BC44" s="129">
        <v>1.53</v>
      </c>
      <c r="BD44" s="129">
        <v>1.54</v>
      </c>
      <c r="BE44" s="129">
        <v>1.55</v>
      </c>
      <c r="BF44" s="129">
        <v>1.56</v>
      </c>
      <c r="BG44" s="129">
        <v>1.57</v>
      </c>
      <c r="BH44" s="129">
        <v>1.58</v>
      </c>
      <c r="BI44" s="129">
        <v>1.59</v>
      </c>
      <c r="BJ44" s="129">
        <v>1.6</v>
      </c>
      <c r="BK44" s="129">
        <v>1.6</v>
      </c>
      <c r="BL44" s="129">
        <v>1.61</v>
      </c>
      <c r="BM44" s="129">
        <v>1.61</v>
      </c>
      <c r="BN44" s="129">
        <v>1.62</v>
      </c>
      <c r="BO44" s="129">
        <v>1.63</v>
      </c>
      <c r="BP44" s="129">
        <v>1.63</v>
      </c>
      <c r="BQ44" s="129">
        <v>1.64</v>
      </c>
      <c r="BR44" s="129">
        <v>1.65</v>
      </c>
      <c r="BS44" s="129">
        <v>1.66</v>
      </c>
      <c r="BT44" s="129">
        <v>1.66</v>
      </c>
      <c r="BU44" s="129">
        <v>1.67</v>
      </c>
      <c r="BV44" s="129">
        <v>1.68</v>
      </c>
      <c r="BW44" s="129">
        <v>1.69</v>
      </c>
      <c r="BX44" s="129">
        <v>1.69</v>
      </c>
      <c r="BY44" s="129">
        <v>1.7</v>
      </c>
      <c r="BZ44" s="129">
        <v>1.71</v>
      </c>
      <c r="CA44" s="129">
        <v>1.72</v>
      </c>
      <c r="CB44" s="129">
        <v>1.73</v>
      </c>
      <c r="CC44" s="129">
        <v>1.74</v>
      </c>
      <c r="CD44" s="129">
        <v>1.75</v>
      </c>
      <c r="CE44" s="129">
        <v>1.76</v>
      </c>
      <c r="CF44" s="129">
        <v>1.77</v>
      </c>
      <c r="CG44" s="129">
        <v>1.78</v>
      </c>
      <c r="CH44" s="129">
        <v>1.79</v>
      </c>
      <c r="CI44" s="129">
        <v>1.8</v>
      </c>
      <c r="CJ44" s="129">
        <v>1.81</v>
      </c>
      <c r="CK44" s="129">
        <v>1.82</v>
      </c>
      <c r="CL44" s="129">
        <v>1.83</v>
      </c>
      <c r="CM44" s="129">
        <v>1.84</v>
      </c>
      <c r="CN44" s="129">
        <v>1.86</v>
      </c>
      <c r="CO44" s="129">
        <v>1.87</v>
      </c>
      <c r="CP44" s="129">
        <v>1.88</v>
      </c>
      <c r="CQ44" s="129">
        <v>1.89</v>
      </c>
      <c r="CR44" s="129">
        <v>1.91</v>
      </c>
      <c r="CS44" s="129">
        <v>1.92</v>
      </c>
      <c r="CT44" s="129">
        <v>1.94</v>
      </c>
      <c r="CU44" s="129">
        <v>1.95</v>
      </c>
      <c r="CV44" s="129">
        <v>1.97</v>
      </c>
      <c r="CW44" s="129">
        <v>1.98</v>
      </c>
      <c r="CX44" s="129">
        <v>2</v>
      </c>
      <c r="CZ44" s="126">
        <f>SUMIF(MatrixF4[[1]:[2]],MatrixF4[[#This Row],[Столбец1]])/MatrixF4[[#This Row],[Столбец1]]</f>
        <v>82.999999999999858</v>
      </c>
    </row>
    <row r="45" spans="1:104" ht="21" customHeight="1" x14ac:dyDescent="0.25">
      <c r="A45" s="127">
        <v>1.42</v>
      </c>
      <c r="B45" s="129">
        <v>1.42</v>
      </c>
      <c r="C45" s="129">
        <v>1.42</v>
      </c>
      <c r="D45" s="129">
        <v>1.42</v>
      </c>
      <c r="E45" s="129">
        <v>1.42</v>
      </c>
      <c r="F45" s="129">
        <v>1.42</v>
      </c>
      <c r="G45" s="129">
        <v>1.42</v>
      </c>
      <c r="H45" s="129">
        <v>1.42</v>
      </c>
      <c r="I45" s="129">
        <v>1.42</v>
      </c>
      <c r="J45" s="129">
        <v>1.42</v>
      </c>
      <c r="K45" s="129">
        <v>1.42</v>
      </c>
      <c r="L45" s="129">
        <v>1.42</v>
      </c>
      <c r="M45" s="129">
        <v>1.42</v>
      </c>
      <c r="N45" s="129">
        <v>1.42</v>
      </c>
      <c r="O45" s="129">
        <v>1.42</v>
      </c>
      <c r="P45" s="129">
        <v>1.42</v>
      </c>
      <c r="Q45" s="129">
        <v>1.42</v>
      </c>
      <c r="R45" s="129">
        <v>1.42</v>
      </c>
      <c r="S45" s="129">
        <v>1.42</v>
      </c>
      <c r="T45" s="129">
        <v>1.42</v>
      </c>
      <c r="U45" s="129">
        <v>1.42</v>
      </c>
      <c r="V45" s="129">
        <v>1.42</v>
      </c>
      <c r="W45" s="129">
        <v>1.42</v>
      </c>
      <c r="X45" s="129">
        <v>1.42</v>
      </c>
      <c r="Y45" s="129">
        <v>1.42</v>
      </c>
      <c r="Z45" s="129">
        <v>1.42</v>
      </c>
      <c r="AA45" s="129">
        <v>1.42</v>
      </c>
      <c r="AB45" s="129">
        <v>1.42</v>
      </c>
      <c r="AC45" s="129">
        <v>1.42</v>
      </c>
      <c r="AD45" s="129">
        <v>1.42</v>
      </c>
      <c r="AE45" s="129">
        <v>1.42</v>
      </c>
      <c r="AF45" s="129">
        <v>1.42</v>
      </c>
      <c r="AG45" s="129">
        <v>1.42</v>
      </c>
      <c r="AH45" s="129">
        <v>1.42</v>
      </c>
      <c r="AI45" s="129">
        <v>1.42</v>
      </c>
      <c r="AJ45" s="129">
        <v>1.42</v>
      </c>
      <c r="AK45" s="129">
        <v>1.42</v>
      </c>
      <c r="AL45" s="129">
        <v>1.42</v>
      </c>
      <c r="AM45" s="129">
        <v>1.42</v>
      </c>
      <c r="AN45" s="129">
        <v>1.42</v>
      </c>
      <c r="AO45" s="129">
        <v>1.42</v>
      </c>
      <c r="AP45" s="129">
        <v>1.42</v>
      </c>
      <c r="AQ45" s="129">
        <v>1.42</v>
      </c>
      <c r="AR45" s="129">
        <v>1.42</v>
      </c>
      <c r="AS45" s="129">
        <v>1.43</v>
      </c>
      <c r="AT45" s="129">
        <v>1.44</v>
      </c>
      <c r="AU45" s="129">
        <v>1.45</v>
      </c>
      <c r="AV45" s="129">
        <v>1.46</v>
      </c>
      <c r="AW45" s="129">
        <v>1.47</v>
      </c>
      <c r="AX45" s="129">
        <v>1.48</v>
      </c>
      <c r="AY45" s="129">
        <v>1.49</v>
      </c>
      <c r="AZ45" s="129">
        <v>1.5</v>
      </c>
      <c r="BA45" s="129">
        <v>1.51</v>
      </c>
      <c r="BB45" s="129">
        <v>1.52</v>
      </c>
      <c r="BC45" s="129">
        <v>1.53</v>
      </c>
      <c r="BD45" s="129">
        <v>1.54</v>
      </c>
      <c r="BE45" s="129">
        <v>1.55</v>
      </c>
      <c r="BF45" s="129">
        <v>1.56</v>
      </c>
      <c r="BG45" s="129">
        <v>1.57</v>
      </c>
      <c r="BH45" s="129">
        <v>1.58</v>
      </c>
      <c r="BI45" s="129">
        <v>1.59</v>
      </c>
      <c r="BJ45" s="129">
        <v>1.59</v>
      </c>
      <c r="BK45" s="129">
        <v>1.6</v>
      </c>
      <c r="BL45" s="129">
        <v>1.6</v>
      </c>
      <c r="BM45" s="129">
        <v>1.61</v>
      </c>
      <c r="BN45" s="129">
        <v>1.62</v>
      </c>
      <c r="BO45" s="129">
        <v>1.62</v>
      </c>
      <c r="BP45" s="129">
        <v>1.63</v>
      </c>
      <c r="BQ45" s="129">
        <v>1.64</v>
      </c>
      <c r="BR45" s="129">
        <v>1.64</v>
      </c>
      <c r="BS45" s="129">
        <v>1.65</v>
      </c>
      <c r="BT45" s="129">
        <v>1.66</v>
      </c>
      <c r="BU45" s="129">
        <v>1.67</v>
      </c>
      <c r="BV45" s="129">
        <v>1.67</v>
      </c>
      <c r="BW45" s="129">
        <v>1.68</v>
      </c>
      <c r="BX45" s="129">
        <v>1.69</v>
      </c>
      <c r="BY45" s="129">
        <v>1.7</v>
      </c>
      <c r="BZ45" s="129">
        <v>1.71</v>
      </c>
      <c r="CA45" s="129">
        <v>1.72</v>
      </c>
      <c r="CB45" s="129">
        <v>1.73</v>
      </c>
      <c r="CC45" s="129">
        <v>1.73</v>
      </c>
      <c r="CD45" s="129">
        <v>1.74</v>
      </c>
      <c r="CE45" s="129">
        <v>1.75</v>
      </c>
      <c r="CF45" s="129">
        <v>1.76</v>
      </c>
      <c r="CG45" s="129">
        <v>1.77</v>
      </c>
      <c r="CH45" s="129">
        <v>1.78</v>
      </c>
      <c r="CI45" s="129">
        <v>1.79</v>
      </c>
      <c r="CJ45" s="129">
        <v>1.81</v>
      </c>
      <c r="CK45" s="129">
        <v>1.82</v>
      </c>
      <c r="CL45" s="129">
        <v>1.83</v>
      </c>
      <c r="CM45" s="129">
        <v>1.84</v>
      </c>
      <c r="CN45" s="129">
        <v>1.85</v>
      </c>
      <c r="CO45" s="129">
        <v>1.87</v>
      </c>
      <c r="CP45" s="129">
        <v>1.88</v>
      </c>
      <c r="CQ45" s="129">
        <v>1.89</v>
      </c>
      <c r="CR45" s="129">
        <v>1.91</v>
      </c>
      <c r="CS45" s="129">
        <v>1.92</v>
      </c>
      <c r="CT45" s="129">
        <v>1.94</v>
      </c>
      <c r="CU45" s="129">
        <v>1.95</v>
      </c>
      <c r="CV45" s="129">
        <v>1.97</v>
      </c>
      <c r="CW45" s="129">
        <v>1.98</v>
      </c>
      <c r="CX45" s="129">
        <v>2</v>
      </c>
      <c r="CZ45" s="126">
        <f>SUMIF(MatrixF4[[1]:[2]],MatrixF4[[#This Row],[Столбец1]])/MatrixF4[[#This Row],[Столбец1]]</f>
        <v>85.000000000000085</v>
      </c>
    </row>
    <row r="46" spans="1:104" ht="21" customHeight="1" x14ac:dyDescent="0.25">
      <c r="A46" s="127">
        <v>1.43</v>
      </c>
      <c r="B46" s="129">
        <v>1.43</v>
      </c>
      <c r="C46" s="129">
        <v>1.43</v>
      </c>
      <c r="D46" s="129">
        <v>1.43</v>
      </c>
      <c r="E46" s="129">
        <v>1.43</v>
      </c>
      <c r="F46" s="129">
        <v>1.43</v>
      </c>
      <c r="G46" s="129">
        <v>1.43</v>
      </c>
      <c r="H46" s="129">
        <v>1.43</v>
      </c>
      <c r="I46" s="129">
        <v>1.43</v>
      </c>
      <c r="J46" s="129">
        <v>1.43</v>
      </c>
      <c r="K46" s="129">
        <v>1.43</v>
      </c>
      <c r="L46" s="129">
        <v>1.43</v>
      </c>
      <c r="M46" s="129">
        <v>1.43</v>
      </c>
      <c r="N46" s="129">
        <v>1.43</v>
      </c>
      <c r="O46" s="129">
        <v>1.43</v>
      </c>
      <c r="P46" s="129">
        <v>1.43</v>
      </c>
      <c r="Q46" s="129">
        <v>1.43</v>
      </c>
      <c r="R46" s="129">
        <v>1.43</v>
      </c>
      <c r="S46" s="129">
        <v>1.43</v>
      </c>
      <c r="T46" s="129">
        <v>1.43</v>
      </c>
      <c r="U46" s="129">
        <v>1.43</v>
      </c>
      <c r="V46" s="129">
        <v>1.43</v>
      </c>
      <c r="W46" s="129">
        <v>1.43</v>
      </c>
      <c r="X46" s="129">
        <v>1.43</v>
      </c>
      <c r="Y46" s="129">
        <v>1.43</v>
      </c>
      <c r="Z46" s="129">
        <v>1.43</v>
      </c>
      <c r="AA46" s="129">
        <v>1.43</v>
      </c>
      <c r="AB46" s="129">
        <v>1.43</v>
      </c>
      <c r="AC46" s="129">
        <v>1.43</v>
      </c>
      <c r="AD46" s="129">
        <v>1.43</v>
      </c>
      <c r="AE46" s="129">
        <v>1.43</v>
      </c>
      <c r="AF46" s="129">
        <v>1.43</v>
      </c>
      <c r="AG46" s="129">
        <v>1.43</v>
      </c>
      <c r="AH46" s="129">
        <v>1.43</v>
      </c>
      <c r="AI46" s="129">
        <v>1.43</v>
      </c>
      <c r="AJ46" s="129">
        <v>1.43</v>
      </c>
      <c r="AK46" s="129">
        <v>1.43</v>
      </c>
      <c r="AL46" s="129">
        <v>1.43</v>
      </c>
      <c r="AM46" s="129">
        <v>1.43</v>
      </c>
      <c r="AN46" s="129">
        <v>1.43</v>
      </c>
      <c r="AO46" s="129">
        <v>1.43</v>
      </c>
      <c r="AP46" s="129">
        <v>1.43</v>
      </c>
      <c r="AQ46" s="129">
        <v>1.43</v>
      </c>
      <c r="AR46" s="129">
        <v>1.43</v>
      </c>
      <c r="AS46" s="129">
        <v>1.43</v>
      </c>
      <c r="AT46" s="129">
        <v>1.44</v>
      </c>
      <c r="AU46" s="129">
        <v>1.45</v>
      </c>
      <c r="AV46" s="129">
        <v>1.46</v>
      </c>
      <c r="AW46" s="129">
        <v>1.47</v>
      </c>
      <c r="AX46" s="129">
        <v>1.48</v>
      </c>
      <c r="AY46" s="129">
        <v>1.49</v>
      </c>
      <c r="AZ46" s="129">
        <v>1.5</v>
      </c>
      <c r="BA46" s="129">
        <v>1.51</v>
      </c>
      <c r="BB46" s="129">
        <v>1.52</v>
      </c>
      <c r="BC46" s="129">
        <v>1.53</v>
      </c>
      <c r="BD46" s="129">
        <v>1.54</v>
      </c>
      <c r="BE46" s="129">
        <v>1.55</v>
      </c>
      <c r="BF46" s="129">
        <v>1.56</v>
      </c>
      <c r="BG46" s="129">
        <v>1.57</v>
      </c>
      <c r="BH46" s="129">
        <v>1.58</v>
      </c>
      <c r="BI46" s="129">
        <v>1.58</v>
      </c>
      <c r="BJ46" s="129">
        <v>1.59</v>
      </c>
      <c r="BK46" s="129">
        <v>1.59</v>
      </c>
      <c r="BL46" s="129">
        <v>1.6</v>
      </c>
      <c r="BM46" s="129">
        <v>1.61</v>
      </c>
      <c r="BN46" s="129">
        <v>1.61</v>
      </c>
      <c r="BO46" s="129">
        <v>1.62</v>
      </c>
      <c r="BP46" s="129">
        <v>1.63</v>
      </c>
      <c r="BQ46" s="129">
        <v>1.63</v>
      </c>
      <c r="BR46" s="129">
        <v>1.64</v>
      </c>
      <c r="BS46" s="129">
        <v>1.65</v>
      </c>
      <c r="BT46" s="129">
        <v>1.66</v>
      </c>
      <c r="BU46" s="129">
        <v>1.66</v>
      </c>
      <c r="BV46" s="129">
        <v>1.67</v>
      </c>
      <c r="BW46" s="129">
        <v>1.68</v>
      </c>
      <c r="BX46" s="129">
        <v>1.69</v>
      </c>
      <c r="BY46" s="129">
        <v>1.7</v>
      </c>
      <c r="BZ46" s="129">
        <v>1.7</v>
      </c>
      <c r="CA46" s="129">
        <v>1.71</v>
      </c>
      <c r="CB46" s="129">
        <v>1.72</v>
      </c>
      <c r="CC46" s="129">
        <v>1.73</v>
      </c>
      <c r="CD46" s="129">
        <v>1.74</v>
      </c>
      <c r="CE46" s="129">
        <v>1.75</v>
      </c>
      <c r="CF46" s="129">
        <v>1.76</v>
      </c>
      <c r="CG46" s="129">
        <v>1.77</v>
      </c>
      <c r="CH46" s="129">
        <v>1.78</v>
      </c>
      <c r="CI46" s="129">
        <v>1.79</v>
      </c>
      <c r="CJ46" s="129">
        <v>1.8</v>
      </c>
      <c r="CK46" s="129">
        <v>1.81</v>
      </c>
      <c r="CL46" s="129">
        <v>1.83</v>
      </c>
      <c r="CM46" s="129">
        <v>1.84</v>
      </c>
      <c r="CN46" s="129">
        <v>1.85</v>
      </c>
      <c r="CO46" s="129">
        <v>1.86</v>
      </c>
      <c r="CP46" s="129">
        <v>1.88</v>
      </c>
      <c r="CQ46" s="129">
        <v>1.89</v>
      </c>
      <c r="CR46" s="129">
        <v>1.9</v>
      </c>
      <c r="CS46" s="129">
        <v>1.92</v>
      </c>
      <c r="CT46" s="129">
        <v>1.93</v>
      </c>
      <c r="CU46" s="129">
        <v>1.95</v>
      </c>
      <c r="CV46" s="129">
        <v>1.97</v>
      </c>
      <c r="CW46" s="129">
        <v>1.98</v>
      </c>
      <c r="CX46" s="129">
        <v>2</v>
      </c>
      <c r="CZ46" s="126">
        <f>SUMIF(MatrixF4[[1]:[2]],MatrixF4[[#This Row],[Столбец1]])/MatrixF4[[#This Row],[Столбец1]]</f>
        <v>87.000000000000199</v>
      </c>
    </row>
    <row r="47" spans="1:104" ht="21" customHeight="1" x14ac:dyDescent="0.25">
      <c r="A47" s="127">
        <v>1.44</v>
      </c>
      <c r="B47" s="129">
        <v>1.44</v>
      </c>
      <c r="C47" s="129">
        <v>1.44</v>
      </c>
      <c r="D47" s="129">
        <v>1.44</v>
      </c>
      <c r="E47" s="129">
        <v>1.44</v>
      </c>
      <c r="F47" s="129">
        <v>1.44</v>
      </c>
      <c r="G47" s="129">
        <v>1.44</v>
      </c>
      <c r="H47" s="129">
        <v>1.44</v>
      </c>
      <c r="I47" s="129">
        <v>1.44</v>
      </c>
      <c r="J47" s="129">
        <v>1.44</v>
      </c>
      <c r="K47" s="129">
        <v>1.44</v>
      </c>
      <c r="L47" s="129">
        <v>1.44</v>
      </c>
      <c r="M47" s="129">
        <v>1.44</v>
      </c>
      <c r="N47" s="129">
        <v>1.44</v>
      </c>
      <c r="O47" s="129">
        <v>1.44</v>
      </c>
      <c r="P47" s="129">
        <v>1.44</v>
      </c>
      <c r="Q47" s="129">
        <v>1.44</v>
      </c>
      <c r="R47" s="129">
        <v>1.44</v>
      </c>
      <c r="S47" s="129">
        <v>1.44</v>
      </c>
      <c r="T47" s="129">
        <v>1.44</v>
      </c>
      <c r="U47" s="129">
        <v>1.44</v>
      </c>
      <c r="V47" s="129">
        <v>1.44</v>
      </c>
      <c r="W47" s="129">
        <v>1.44</v>
      </c>
      <c r="X47" s="129">
        <v>1.44</v>
      </c>
      <c r="Y47" s="129">
        <v>1.44</v>
      </c>
      <c r="Z47" s="129">
        <v>1.44</v>
      </c>
      <c r="AA47" s="129">
        <v>1.44</v>
      </c>
      <c r="AB47" s="129">
        <v>1.44</v>
      </c>
      <c r="AC47" s="129">
        <v>1.44</v>
      </c>
      <c r="AD47" s="129">
        <v>1.44</v>
      </c>
      <c r="AE47" s="129">
        <v>1.44</v>
      </c>
      <c r="AF47" s="129">
        <v>1.44</v>
      </c>
      <c r="AG47" s="129">
        <v>1.44</v>
      </c>
      <c r="AH47" s="129">
        <v>1.44</v>
      </c>
      <c r="AI47" s="129">
        <v>1.44</v>
      </c>
      <c r="AJ47" s="129">
        <v>1.44</v>
      </c>
      <c r="AK47" s="129">
        <v>1.44</v>
      </c>
      <c r="AL47" s="129">
        <v>1.44</v>
      </c>
      <c r="AM47" s="129">
        <v>1.44</v>
      </c>
      <c r="AN47" s="129">
        <v>1.44</v>
      </c>
      <c r="AO47" s="129">
        <v>1.44</v>
      </c>
      <c r="AP47" s="129">
        <v>1.44</v>
      </c>
      <c r="AQ47" s="129">
        <v>1.44</v>
      </c>
      <c r="AR47" s="129">
        <v>1.44</v>
      </c>
      <c r="AS47" s="129">
        <v>1.44</v>
      </c>
      <c r="AT47" s="129">
        <v>1.44</v>
      </c>
      <c r="AU47" s="129">
        <v>1.45</v>
      </c>
      <c r="AV47" s="129">
        <v>1.46</v>
      </c>
      <c r="AW47" s="129">
        <v>1.47</v>
      </c>
      <c r="AX47" s="129">
        <v>1.48</v>
      </c>
      <c r="AY47" s="129">
        <v>1.49</v>
      </c>
      <c r="AZ47" s="129">
        <v>1.5</v>
      </c>
      <c r="BA47" s="129">
        <v>1.51</v>
      </c>
      <c r="BB47" s="129">
        <v>1.52</v>
      </c>
      <c r="BC47" s="129">
        <v>1.53</v>
      </c>
      <c r="BD47" s="129">
        <v>1.54</v>
      </c>
      <c r="BE47" s="129">
        <v>1.55</v>
      </c>
      <c r="BF47" s="129">
        <v>1.56</v>
      </c>
      <c r="BG47" s="129">
        <v>1.57</v>
      </c>
      <c r="BH47" s="129">
        <v>1.57</v>
      </c>
      <c r="BI47" s="129">
        <v>1.58</v>
      </c>
      <c r="BJ47" s="129">
        <v>1.58</v>
      </c>
      <c r="BK47" s="129">
        <v>1.59</v>
      </c>
      <c r="BL47" s="129">
        <v>1.6</v>
      </c>
      <c r="BM47" s="129">
        <v>1.6</v>
      </c>
      <c r="BN47" s="129">
        <v>1.61</v>
      </c>
      <c r="BO47" s="129">
        <v>1.62</v>
      </c>
      <c r="BP47" s="129">
        <v>1.62</v>
      </c>
      <c r="BQ47" s="129">
        <v>1.63</v>
      </c>
      <c r="BR47" s="129">
        <v>1.64</v>
      </c>
      <c r="BS47" s="129">
        <v>1.64</v>
      </c>
      <c r="BT47" s="129">
        <v>1.65</v>
      </c>
      <c r="BU47" s="129">
        <v>1.66</v>
      </c>
      <c r="BV47" s="129">
        <v>1.67</v>
      </c>
      <c r="BW47" s="129">
        <v>1.67</v>
      </c>
      <c r="BX47" s="129">
        <v>1.68</v>
      </c>
      <c r="BY47" s="129">
        <v>1.69</v>
      </c>
      <c r="BZ47" s="129">
        <v>1.7</v>
      </c>
      <c r="CA47" s="129">
        <v>1.71</v>
      </c>
      <c r="CB47" s="129">
        <v>1.72</v>
      </c>
      <c r="CC47" s="129">
        <v>1.73</v>
      </c>
      <c r="CD47" s="129">
        <v>1.74</v>
      </c>
      <c r="CE47" s="129">
        <v>1.75</v>
      </c>
      <c r="CF47" s="129">
        <v>1.76</v>
      </c>
      <c r="CG47" s="129">
        <v>1.77</v>
      </c>
      <c r="CH47" s="129">
        <v>1.78</v>
      </c>
      <c r="CI47" s="129">
        <v>1.79</v>
      </c>
      <c r="CJ47" s="129">
        <v>1.8</v>
      </c>
      <c r="CK47" s="129">
        <v>1.81</v>
      </c>
      <c r="CL47" s="129">
        <v>1.82</v>
      </c>
      <c r="CM47" s="129">
        <v>1.84</v>
      </c>
      <c r="CN47" s="129">
        <v>1.85</v>
      </c>
      <c r="CO47" s="129">
        <v>1.86</v>
      </c>
      <c r="CP47" s="129">
        <v>1.88</v>
      </c>
      <c r="CQ47" s="129">
        <v>1.89</v>
      </c>
      <c r="CR47" s="129">
        <v>1.9</v>
      </c>
      <c r="CS47" s="129">
        <v>1.92</v>
      </c>
      <c r="CT47" s="129">
        <v>1.93</v>
      </c>
      <c r="CU47" s="129">
        <v>1.95</v>
      </c>
      <c r="CV47" s="129">
        <v>1.97</v>
      </c>
      <c r="CW47" s="129">
        <v>1.98</v>
      </c>
      <c r="CX47" s="129">
        <v>2</v>
      </c>
      <c r="CZ47" s="126">
        <f>SUMIF(MatrixF4[[1]:[2]],MatrixF4[[#This Row],[Столбец1]])/MatrixF4[[#This Row],[Столбец1]]</f>
        <v>88.999999999999929</v>
      </c>
    </row>
    <row r="48" spans="1:104" ht="21" customHeight="1" x14ac:dyDescent="0.25">
      <c r="A48" s="127">
        <v>1.45</v>
      </c>
      <c r="B48" s="129">
        <v>1.45</v>
      </c>
      <c r="C48" s="129">
        <v>1.45</v>
      </c>
      <c r="D48" s="129">
        <v>1.45</v>
      </c>
      <c r="E48" s="129">
        <v>1.45</v>
      </c>
      <c r="F48" s="129">
        <v>1.45</v>
      </c>
      <c r="G48" s="129">
        <v>1.45</v>
      </c>
      <c r="H48" s="129">
        <v>1.45</v>
      </c>
      <c r="I48" s="129">
        <v>1.45</v>
      </c>
      <c r="J48" s="129">
        <v>1.45</v>
      </c>
      <c r="K48" s="129">
        <v>1.45</v>
      </c>
      <c r="L48" s="129">
        <v>1.45</v>
      </c>
      <c r="M48" s="129">
        <v>1.45</v>
      </c>
      <c r="N48" s="129">
        <v>1.45</v>
      </c>
      <c r="O48" s="129">
        <v>1.45</v>
      </c>
      <c r="P48" s="129">
        <v>1.45</v>
      </c>
      <c r="Q48" s="129">
        <v>1.45</v>
      </c>
      <c r="R48" s="129">
        <v>1.45</v>
      </c>
      <c r="S48" s="129">
        <v>1.45</v>
      </c>
      <c r="T48" s="129">
        <v>1.45</v>
      </c>
      <c r="U48" s="129">
        <v>1.45</v>
      </c>
      <c r="V48" s="129">
        <v>1.45</v>
      </c>
      <c r="W48" s="129">
        <v>1.45</v>
      </c>
      <c r="X48" s="129">
        <v>1.45</v>
      </c>
      <c r="Y48" s="129">
        <v>1.45</v>
      </c>
      <c r="Z48" s="129">
        <v>1.45</v>
      </c>
      <c r="AA48" s="129">
        <v>1.45</v>
      </c>
      <c r="AB48" s="129">
        <v>1.45</v>
      </c>
      <c r="AC48" s="129">
        <v>1.45</v>
      </c>
      <c r="AD48" s="129">
        <v>1.45</v>
      </c>
      <c r="AE48" s="129">
        <v>1.45</v>
      </c>
      <c r="AF48" s="129">
        <v>1.45</v>
      </c>
      <c r="AG48" s="129">
        <v>1.45</v>
      </c>
      <c r="AH48" s="129">
        <v>1.45</v>
      </c>
      <c r="AI48" s="129">
        <v>1.45</v>
      </c>
      <c r="AJ48" s="129">
        <v>1.45</v>
      </c>
      <c r="AK48" s="129">
        <v>1.45</v>
      </c>
      <c r="AL48" s="129">
        <v>1.45</v>
      </c>
      <c r="AM48" s="129">
        <v>1.45</v>
      </c>
      <c r="AN48" s="129">
        <v>1.45</v>
      </c>
      <c r="AO48" s="129">
        <v>1.45</v>
      </c>
      <c r="AP48" s="129">
        <v>1.45</v>
      </c>
      <c r="AQ48" s="129">
        <v>1.45</v>
      </c>
      <c r="AR48" s="129">
        <v>1.45</v>
      </c>
      <c r="AS48" s="129">
        <v>1.45</v>
      </c>
      <c r="AT48" s="129">
        <v>1.45</v>
      </c>
      <c r="AU48" s="129">
        <v>1.45</v>
      </c>
      <c r="AV48" s="129">
        <v>1.46</v>
      </c>
      <c r="AW48" s="129">
        <v>1.47</v>
      </c>
      <c r="AX48" s="129">
        <v>1.48</v>
      </c>
      <c r="AY48" s="129">
        <v>1.49</v>
      </c>
      <c r="AZ48" s="129">
        <v>1.5</v>
      </c>
      <c r="BA48" s="129">
        <v>1.51</v>
      </c>
      <c r="BB48" s="129">
        <v>1.52</v>
      </c>
      <c r="BC48" s="129">
        <v>1.53</v>
      </c>
      <c r="BD48" s="129">
        <v>1.54</v>
      </c>
      <c r="BE48" s="129">
        <v>1.55</v>
      </c>
      <c r="BF48" s="129">
        <v>1.56</v>
      </c>
      <c r="BG48" s="129">
        <v>1.56</v>
      </c>
      <c r="BH48" s="129">
        <v>1.57</v>
      </c>
      <c r="BI48" s="129">
        <v>1.57</v>
      </c>
      <c r="BJ48" s="129">
        <v>1.58</v>
      </c>
      <c r="BK48" s="129">
        <v>1.59</v>
      </c>
      <c r="BL48" s="129">
        <v>1.59</v>
      </c>
      <c r="BM48" s="129">
        <v>1.6</v>
      </c>
      <c r="BN48" s="129">
        <v>1.6</v>
      </c>
      <c r="BO48" s="129">
        <v>1.61</v>
      </c>
      <c r="BP48" s="129">
        <v>1.62</v>
      </c>
      <c r="BQ48" s="129">
        <v>1.63</v>
      </c>
      <c r="BR48" s="129">
        <v>1.63</v>
      </c>
      <c r="BS48" s="129">
        <v>1.64</v>
      </c>
      <c r="BT48" s="129">
        <v>1.65</v>
      </c>
      <c r="BU48" s="129">
        <v>1.65</v>
      </c>
      <c r="BV48" s="129">
        <v>1.66</v>
      </c>
      <c r="BW48" s="129">
        <v>1.67</v>
      </c>
      <c r="BX48" s="129">
        <v>1.68</v>
      </c>
      <c r="BY48" s="129">
        <v>1.69</v>
      </c>
      <c r="BZ48" s="129">
        <v>1.7</v>
      </c>
      <c r="CA48" s="129">
        <v>1.71</v>
      </c>
      <c r="CB48" s="129">
        <v>1.71</v>
      </c>
      <c r="CC48" s="129">
        <v>1.72</v>
      </c>
      <c r="CD48" s="129">
        <v>1.73</v>
      </c>
      <c r="CE48" s="129">
        <v>1.74</v>
      </c>
      <c r="CF48" s="129">
        <v>1.75</v>
      </c>
      <c r="CG48" s="129">
        <v>1.76</v>
      </c>
      <c r="CH48" s="129">
        <v>1.77</v>
      </c>
      <c r="CI48" s="129">
        <v>1.79</v>
      </c>
      <c r="CJ48" s="129">
        <v>1.8</v>
      </c>
      <c r="CK48" s="129">
        <v>1.81</v>
      </c>
      <c r="CL48" s="129">
        <v>1.82</v>
      </c>
      <c r="CM48" s="129">
        <v>1.83</v>
      </c>
      <c r="CN48" s="129">
        <v>1.85</v>
      </c>
      <c r="CO48" s="129">
        <v>1.86</v>
      </c>
      <c r="CP48" s="129">
        <v>1.87</v>
      </c>
      <c r="CQ48" s="129">
        <v>1.89</v>
      </c>
      <c r="CR48" s="129">
        <v>1.9</v>
      </c>
      <c r="CS48" s="129">
        <v>1.92</v>
      </c>
      <c r="CT48" s="129">
        <v>1.93</v>
      </c>
      <c r="CU48" s="129">
        <v>1.95</v>
      </c>
      <c r="CV48" s="129">
        <v>1.96</v>
      </c>
      <c r="CW48" s="129">
        <v>1.98</v>
      </c>
      <c r="CX48" s="129">
        <v>2</v>
      </c>
      <c r="CZ48" s="126">
        <f>SUMIF(MatrixF4[[1]:[2]],MatrixF4[[#This Row],[Столбец1]])/MatrixF4[[#This Row],[Столбец1]]</f>
        <v>91.000000000000099</v>
      </c>
    </row>
    <row r="49" spans="1:104" ht="21" customHeight="1" x14ac:dyDescent="0.25">
      <c r="A49" s="127">
        <v>1.46</v>
      </c>
      <c r="B49" s="129">
        <v>1.46</v>
      </c>
      <c r="C49" s="129">
        <v>1.46</v>
      </c>
      <c r="D49" s="129">
        <v>1.46</v>
      </c>
      <c r="E49" s="129">
        <v>1.46</v>
      </c>
      <c r="F49" s="129">
        <v>1.46</v>
      </c>
      <c r="G49" s="129">
        <v>1.46</v>
      </c>
      <c r="H49" s="129">
        <v>1.46</v>
      </c>
      <c r="I49" s="129">
        <v>1.46</v>
      </c>
      <c r="J49" s="129">
        <v>1.46</v>
      </c>
      <c r="K49" s="129">
        <v>1.46</v>
      </c>
      <c r="L49" s="129">
        <v>1.46</v>
      </c>
      <c r="M49" s="129">
        <v>1.46</v>
      </c>
      <c r="N49" s="129">
        <v>1.46</v>
      </c>
      <c r="O49" s="129">
        <v>1.46</v>
      </c>
      <c r="P49" s="129">
        <v>1.46</v>
      </c>
      <c r="Q49" s="129">
        <v>1.46</v>
      </c>
      <c r="R49" s="129">
        <v>1.46</v>
      </c>
      <c r="S49" s="129">
        <v>1.46</v>
      </c>
      <c r="T49" s="129">
        <v>1.46</v>
      </c>
      <c r="U49" s="129">
        <v>1.46</v>
      </c>
      <c r="V49" s="129">
        <v>1.46</v>
      </c>
      <c r="W49" s="129">
        <v>1.46</v>
      </c>
      <c r="X49" s="129">
        <v>1.46</v>
      </c>
      <c r="Y49" s="129">
        <v>1.46</v>
      </c>
      <c r="Z49" s="129">
        <v>1.46</v>
      </c>
      <c r="AA49" s="129">
        <v>1.46</v>
      </c>
      <c r="AB49" s="129">
        <v>1.46</v>
      </c>
      <c r="AC49" s="129">
        <v>1.46</v>
      </c>
      <c r="AD49" s="129">
        <v>1.46</v>
      </c>
      <c r="AE49" s="129">
        <v>1.46</v>
      </c>
      <c r="AF49" s="129">
        <v>1.46</v>
      </c>
      <c r="AG49" s="129">
        <v>1.46</v>
      </c>
      <c r="AH49" s="129">
        <v>1.46</v>
      </c>
      <c r="AI49" s="129">
        <v>1.46</v>
      </c>
      <c r="AJ49" s="129">
        <v>1.46</v>
      </c>
      <c r="AK49" s="129">
        <v>1.46</v>
      </c>
      <c r="AL49" s="129">
        <v>1.46</v>
      </c>
      <c r="AM49" s="129">
        <v>1.46</v>
      </c>
      <c r="AN49" s="129">
        <v>1.46</v>
      </c>
      <c r="AO49" s="129">
        <v>1.46</v>
      </c>
      <c r="AP49" s="129">
        <v>1.46</v>
      </c>
      <c r="AQ49" s="129">
        <v>1.46</v>
      </c>
      <c r="AR49" s="129">
        <v>1.46</v>
      </c>
      <c r="AS49" s="129">
        <v>1.46</v>
      </c>
      <c r="AT49" s="129">
        <v>1.46</v>
      </c>
      <c r="AU49" s="129">
        <v>1.46</v>
      </c>
      <c r="AV49" s="129">
        <v>1.46</v>
      </c>
      <c r="AW49" s="129">
        <v>1.47</v>
      </c>
      <c r="AX49" s="129">
        <v>1.48</v>
      </c>
      <c r="AY49" s="129">
        <v>1.49</v>
      </c>
      <c r="AZ49" s="129">
        <v>1.5</v>
      </c>
      <c r="BA49" s="129">
        <v>1.51</v>
      </c>
      <c r="BB49" s="129">
        <v>1.52</v>
      </c>
      <c r="BC49" s="129">
        <v>1.53</v>
      </c>
      <c r="BD49" s="129">
        <v>1.54</v>
      </c>
      <c r="BE49" s="129">
        <v>1.55</v>
      </c>
      <c r="BF49" s="129">
        <v>1.55</v>
      </c>
      <c r="BG49" s="129">
        <v>1.56</v>
      </c>
      <c r="BH49" s="129">
        <v>1.56</v>
      </c>
      <c r="BI49" s="129">
        <v>1.57</v>
      </c>
      <c r="BJ49" s="129">
        <v>1.57</v>
      </c>
      <c r="BK49" s="129">
        <v>1.58</v>
      </c>
      <c r="BL49" s="129">
        <v>1.59</v>
      </c>
      <c r="BM49" s="129">
        <v>1.59</v>
      </c>
      <c r="BN49" s="129">
        <v>1.6</v>
      </c>
      <c r="BO49" s="129">
        <v>1.61</v>
      </c>
      <c r="BP49" s="129">
        <v>1.61</v>
      </c>
      <c r="BQ49" s="129">
        <v>1.62</v>
      </c>
      <c r="BR49" s="129">
        <v>1.63</v>
      </c>
      <c r="BS49" s="129">
        <v>1.64</v>
      </c>
      <c r="BT49" s="129">
        <v>1.64</v>
      </c>
      <c r="BU49" s="129">
        <v>1.65</v>
      </c>
      <c r="BV49" s="129">
        <v>1.66</v>
      </c>
      <c r="BW49" s="129">
        <v>1.67</v>
      </c>
      <c r="BX49" s="129">
        <v>1.68</v>
      </c>
      <c r="BY49" s="129">
        <v>1.68</v>
      </c>
      <c r="BZ49" s="129">
        <v>1.69</v>
      </c>
      <c r="CA49" s="129">
        <v>1.7</v>
      </c>
      <c r="CB49" s="129">
        <v>1.71</v>
      </c>
      <c r="CC49" s="129">
        <v>1.72</v>
      </c>
      <c r="CD49" s="129">
        <v>1.73</v>
      </c>
      <c r="CE49" s="129">
        <v>1.74</v>
      </c>
      <c r="CF49" s="129">
        <v>1.75</v>
      </c>
      <c r="CG49" s="129">
        <v>1.76</v>
      </c>
      <c r="CH49" s="129">
        <v>1.77</v>
      </c>
      <c r="CI49" s="129">
        <v>1.78</v>
      </c>
      <c r="CJ49" s="129">
        <v>1.79</v>
      </c>
      <c r="CK49" s="129">
        <v>1.81</v>
      </c>
      <c r="CL49" s="129">
        <v>1.82</v>
      </c>
      <c r="CM49" s="129">
        <v>1.83</v>
      </c>
      <c r="CN49" s="129">
        <v>1.84</v>
      </c>
      <c r="CO49" s="129">
        <v>1.86</v>
      </c>
      <c r="CP49" s="129">
        <v>1.87</v>
      </c>
      <c r="CQ49" s="129">
        <v>1.89</v>
      </c>
      <c r="CR49" s="129">
        <v>1.9</v>
      </c>
      <c r="CS49" s="129">
        <v>1.92</v>
      </c>
      <c r="CT49" s="129">
        <v>1.93</v>
      </c>
      <c r="CU49" s="129">
        <v>1.95</v>
      </c>
      <c r="CV49" s="129">
        <v>1.96</v>
      </c>
      <c r="CW49" s="129">
        <v>1.98</v>
      </c>
      <c r="CX49" s="129">
        <v>2</v>
      </c>
      <c r="CZ49" s="126">
        <f>SUMIF(MatrixF4[[1]:[2]],MatrixF4[[#This Row],[Столбец1]])/MatrixF4[[#This Row],[Столбец1]]</f>
        <v>92.999999999999872</v>
      </c>
    </row>
    <row r="50" spans="1:104" ht="21" customHeight="1" x14ac:dyDescent="0.25">
      <c r="A50" s="127">
        <v>1.47</v>
      </c>
      <c r="B50" s="129">
        <v>1.47</v>
      </c>
      <c r="C50" s="129">
        <v>1.47</v>
      </c>
      <c r="D50" s="129">
        <v>1.47</v>
      </c>
      <c r="E50" s="129">
        <v>1.47</v>
      </c>
      <c r="F50" s="129">
        <v>1.47</v>
      </c>
      <c r="G50" s="129">
        <v>1.47</v>
      </c>
      <c r="H50" s="129">
        <v>1.47</v>
      </c>
      <c r="I50" s="129">
        <v>1.47</v>
      </c>
      <c r="J50" s="129">
        <v>1.47</v>
      </c>
      <c r="K50" s="129">
        <v>1.47</v>
      </c>
      <c r="L50" s="129">
        <v>1.47</v>
      </c>
      <c r="M50" s="129">
        <v>1.47</v>
      </c>
      <c r="N50" s="129">
        <v>1.47</v>
      </c>
      <c r="O50" s="129">
        <v>1.47</v>
      </c>
      <c r="P50" s="129">
        <v>1.47</v>
      </c>
      <c r="Q50" s="129">
        <v>1.47</v>
      </c>
      <c r="R50" s="129">
        <v>1.47</v>
      </c>
      <c r="S50" s="129">
        <v>1.47</v>
      </c>
      <c r="T50" s="129">
        <v>1.47</v>
      </c>
      <c r="U50" s="129">
        <v>1.47</v>
      </c>
      <c r="V50" s="129">
        <v>1.47</v>
      </c>
      <c r="W50" s="129">
        <v>1.47</v>
      </c>
      <c r="X50" s="129">
        <v>1.47</v>
      </c>
      <c r="Y50" s="129">
        <v>1.47</v>
      </c>
      <c r="Z50" s="129">
        <v>1.47</v>
      </c>
      <c r="AA50" s="129">
        <v>1.47</v>
      </c>
      <c r="AB50" s="129">
        <v>1.47</v>
      </c>
      <c r="AC50" s="129">
        <v>1.47</v>
      </c>
      <c r="AD50" s="129">
        <v>1.47</v>
      </c>
      <c r="AE50" s="129">
        <v>1.47</v>
      </c>
      <c r="AF50" s="129">
        <v>1.47</v>
      </c>
      <c r="AG50" s="129">
        <v>1.47</v>
      </c>
      <c r="AH50" s="129">
        <v>1.47</v>
      </c>
      <c r="AI50" s="129">
        <v>1.47</v>
      </c>
      <c r="AJ50" s="129">
        <v>1.47</v>
      </c>
      <c r="AK50" s="129">
        <v>1.47</v>
      </c>
      <c r="AL50" s="129">
        <v>1.47</v>
      </c>
      <c r="AM50" s="129">
        <v>1.47</v>
      </c>
      <c r="AN50" s="129">
        <v>1.47</v>
      </c>
      <c r="AO50" s="129">
        <v>1.47</v>
      </c>
      <c r="AP50" s="129">
        <v>1.47</v>
      </c>
      <c r="AQ50" s="129">
        <v>1.47</v>
      </c>
      <c r="AR50" s="129">
        <v>1.47</v>
      </c>
      <c r="AS50" s="129">
        <v>1.47</v>
      </c>
      <c r="AT50" s="129">
        <v>1.47</v>
      </c>
      <c r="AU50" s="129">
        <v>1.47</v>
      </c>
      <c r="AV50" s="129">
        <v>1.47</v>
      </c>
      <c r="AW50" s="129">
        <v>1.47</v>
      </c>
      <c r="AX50" s="129">
        <v>1.48</v>
      </c>
      <c r="AY50" s="129">
        <v>1.49</v>
      </c>
      <c r="AZ50" s="129">
        <v>1.5</v>
      </c>
      <c r="BA50" s="129">
        <v>1.51</v>
      </c>
      <c r="BB50" s="129">
        <v>1.52</v>
      </c>
      <c r="BC50" s="129">
        <v>1.53</v>
      </c>
      <c r="BD50" s="129">
        <v>1.54</v>
      </c>
      <c r="BE50" s="129">
        <v>1.54</v>
      </c>
      <c r="BF50" s="129">
        <v>1.55</v>
      </c>
      <c r="BG50" s="129">
        <v>1.55</v>
      </c>
      <c r="BH50" s="129">
        <v>1.56</v>
      </c>
      <c r="BI50" s="129">
        <v>1.56</v>
      </c>
      <c r="BJ50" s="129">
        <v>1.57</v>
      </c>
      <c r="BK50" s="129">
        <v>1.58</v>
      </c>
      <c r="BL50" s="129">
        <v>1.58</v>
      </c>
      <c r="BM50" s="129">
        <v>1.59</v>
      </c>
      <c r="BN50" s="129">
        <v>1.6</v>
      </c>
      <c r="BO50" s="129">
        <v>1.6</v>
      </c>
      <c r="BP50" s="129">
        <v>1.61</v>
      </c>
      <c r="BQ50" s="129">
        <v>1.62</v>
      </c>
      <c r="BR50" s="129">
        <v>1.62</v>
      </c>
      <c r="BS50" s="129">
        <v>1.63</v>
      </c>
      <c r="BT50" s="129">
        <v>1.64</v>
      </c>
      <c r="BU50" s="129">
        <v>1.65</v>
      </c>
      <c r="BV50" s="129">
        <v>1.65</v>
      </c>
      <c r="BW50" s="129">
        <v>1.66</v>
      </c>
      <c r="BX50" s="129">
        <v>1.67</v>
      </c>
      <c r="BY50" s="129">
        <v>1.68</v>
      </c>
      <c r="BZ50" s="129">
        <v>1.69</v>
      </c>
      <c r="CA50" s="129">
        <v>1.7</v>
      </c>
      <c r="CB50" s="129">
        <v>1.71</v>
      </c>
      <c r="CC50" s="129">
        <v>1.72</v>
      </c>
      <c r="CD50" s="129">
        <v>1.73</v>
      </c>
      <c r="CE50" s="129">
        <v>1.74</v>
      </c>
      <c r="CF50" s="129">
        <v>1.75</v>
      </c>
      <c r="CG50" s="129">
        <v>1.76</v>
      </c>
      <c r="CH50" s="129">
        <v>1.77</v>
      </c>
      <c r="CI50" s="129">
        <v>1.78</v>
      </c>
      <c r="CJ50" s="129">
        <v>1.79</v>
      </c>
      <c r="CK50" s="129">
        <v>1.8</v>
      </c>
      <c r="CL50" s="129">
        <v>1.82</v>
      </c>
      <c r="CM50" s="129">
        <v>1.83</v>
      </c>
      <c r="CN50" s="129">
        <v>1.84</v>
      </c>
      <c r="CO50" s="129">
        <v>1.85</v>
      </c>
      <c r="CP50" s="129">
        <v>1.87</v>
      </c>
      <c r="CQ50" s="129">
        <v>1.88</v>
      </c>
      <c r="CR50" s="129">
        <v>1.9</v>
      </c>
      <c r="CS50" s="129">
        <v>1.91</v>
      </c>
      <c r="CT50" s="129">
        <v>1.93</v>
      </c>
      <c r="CU50" s="129">
        <v>1.95</v>
      </c>
      <c r="CV50" s="129">
        <v>1.96</v>
      </c>
      <c r="CW50" s="129">
        <v>1.98</v>
      </c>
      <c r="CX50" s="129">
        <v>2</v>
      </c>
      <c r="CZ50" s="126">
        <f>SUMIF(MatrixF4[[1]:[2]],MatrixF4[[#This Row],[Столбец1]])/MatrixF4[[#This Row],[Столбец1]]</f>
        <v>94.999999999999943</v>
      </c>
    </row>
    <row r="51" spans="1:104" ht="21" customHeight="1" x14ac:dyDescent="0.25">
      <c r="A51" s="127">
        <v>1.48</v>
      </c>
      <c r="B51" s="129">
        <v>1.48</v>
      </c>
      <c r="C51" s="129">
        <v>1.48</v>
      </c>
      <c r="D51" s="129">
        <v>1.48</v>
      </c>
      <c r="E51" s="129">
        <v>1.48</v>
      </c>
      <c r="F51" s="129">
        <v>1.48</v>
      </c>
      <c r="G51" s="129">
        <v>1.48</v>
      </c>
      <c r="H51" s="129">
        <v>1.48</v>
      </c>
      <c r="I51" s="129">
        <v>1.48</v>
      </c>
      <c r="J51" s="129">
        <v>1.48</v>
      </c>
      <c r="K51" s="129">
        <v>1.48</v>
      </c>
      <c r="L51" s="129">
        <v>1.48</v>
      </c>
      <c r="M51" s="129">
        <v>1.48</v>
      </c>
      <c r="N51" s="129">
        <v>1.48</v>
      </c>
      <c r="O51" s="129">
        <v>1.48</v>
      </c>
      <c r="P51" s="129">
        <v>1.48</v>
      </c>
      <c r="Q51" s="129">
        <v>1.48</v>
      </c>
      <c r="R51" s="129">
        <v>1.48</v>
      </c>
      <c r="S51" s="129">
        <v>1.48</v>
      </c>
      <c r="T51" s="129">
        <v>1.48</v>
      </c>
      <c r="U51" s="129">
        <v>1.48</v>
      </c>
      <c r="V51" s="129">
        <v>1.48</v>
      </c>
      <c r="W51" s="129">
        <v>1.48</v>
      </c>
      <c r="X51" s="129">
        <v>1.48</v>
      </c>
      <c r="Y51" s="129">
        <v>1.48</v>
      </c>
      <c r="Z51" s="129">
        <v>1.48</v>
      </c>
      <c r="AA51" s="129">
        <v>1.48</v>
      </c>
      <c r="AB51" s="129">
        <v>1.48</v>
      </c>
      <c r="AC51" s="129">
        <v>1.48</v>
      </c>
      <c r="AD51" s="129">
        <v>1.48</v>
      </c>
      <c r="AE51" s="129">
        <v>1.48</v>
      </c>
      <c r="AF51" s="129">
        <v>1.48</v>
      </c>
      <c r="AG51" s="129">
        <v>1.48</v>
      </c>
      <c r="AH51" s="129">
        <v>1.48</v>
      </c>
      <c r="AI51" s="129">
        <v>1.48</v>
      </c>
      <c r="AJ51" s="129">
        <v>1.48</v>
      </c>
      <c r="AK51" s="129">
        <v>1.48</v>
      </c>
      <c r="AL51" s="129">
        <v>1.48</v>
      </c>
      <c r="AM51" s="129">
        <v>1.48</v>
      </c>
      <c r="AN51" s="129">
        <v>1.48</v>
      </c>
      <c r="AO51" s="129">
        <v>1.48</v>
      </c>
      <c r="AP51" s="129">
        <v>1.48</v>
      </c>
      <c r="AQ51" s="129">
        <v>1.48</v>
      </c>
      <c r="AR51" s="129">
        <v>1.48</v>
      </c>
      <c r="AS51" s="129">
        <v>1.48</v>
      </c>
      <c r="AT51" s="129">
        <v>1.48</v>
      </c>
      <c r="AU51" s="129">
        <v>1.48</v>
      </c>
      <c r="AV51" s="129">
        <v>1.48</v>
      </c>
      <c r="AW51" s="129">
        <v>1.48</v>
      </c>
      <c r="AX51" s="129">
        <v>1.48</v>
      </c>
      <c r="AY51" s="129">
        <v>1.49</v>
      </c>
      <c r="AZ51" s="129">
        <v>1.5</v>
      </c>
      <c r="BA51" s="129">
        <v>1.51</v>
      </c>
      <c r="BB51" s="129">
        <v>1.52</v>
      </c>
      <c r="BC51" s="129">
        <v>1.53</v>
      </c>
      <c r="BD51" s="129">
        <v>1.53</v>
      </c>
      <c r="BE51" s="129">
        <v>1.54</v>
      </c>
      <c r="BF51" s="129">
        <v>1.54</v>
      </c>
      <c r="BG51" s="129">
        <v>1.55</v>
      </c>
      <c r="BH51" s="129">
        <v>1.55</v>
      </c>
      <c r="BI51" s="129">
        <v>1.56</v>
      </c>
      <c r="BJ51" s="129">
        <v>1.57</v>
      </c>
      <c r="BK51" s="129">
        <v>1.57</v>
      </c>
      <c r="BL51" s="129">
        <v>1.58</v>
      </c>
      <c r="BM51" s="129">
        <v>1.58</v>
      </c>
      <c r="BN51" s="129">
        <v>1.59</v>
      </c>
      <c r="BO51" s="129">
        <v>1.6</v>
      </c>
      <c r="BP51" s="129">
        <v>1.6</v>
      </c>
      <c r="BQ51" s="129">
        <v>1.61</v>
      </c>
      <c r="BR51" s="129">
        <v>1.62</v>
      </c>
      <c r="BS51" s="129">
        <v>1.63</v>
      </c>
      <c r="BT51" s="129">
        <v>1.63</v>
      </c>
      <c r="BU51" s="129">
        <v>1.64</v>
      </c>
      <c r="BV51" s="129">
        <v>1.65</v>
      </c>
      <c r="BW51" s="129">
        <v>1.66</v>
      </c>
      <c r="BX51" s="129">
        <v>1.67</v>
      </c>
      <c r="BY51" s="129">
        <v>1.68</v>
      </c>
      <c r="BZ51" s="129">
        <v>1.68</v>
      </c>
      <c r="CA51" s="129">
        <v>1.69</v>
      </c>
      <c r="CB51" s="129">
        <v>1.7</v>
      </c>
      <c r="CC51" s="129">
        <v>1.71</v>
      </c>
      <c r="CD51" s="129">
        <v>1.72</v>
      </c>
      <c r="CE51" s="129">
        <v>1.73</v>
      </c>
      <c r="CF51" s="129">
        <v>1.74</v>
      </c>
      <c r="CG51" s="129">
        <v>1.75</v>
      </c>
      <c r="CH51" s="129">
        <v>1.76</v>
      </c>
      <c r="CI51" s="129">
        <v>1.78</v>
      </c>
      <c r="CJ51" s="129">
        <v>1.79</v>
      </c>
      <c r="CK51" s="129">
        <v>1.8</v>
      </c>
      <c r="CL51" s="129">
        <v>1.81</v>
      </c>
      <c r="CM51" s="129">
        <v>1.83</v>
      </c>
      <c r="CN51" s="129">
        <v>1.84</v>
      </c>
      <c r="CO51" s="129">
        <v>1.85</v>
      </c>
      <c r="CP51" s="129">
        <v>1.87</v>
      </c>
      <c r="CQ51" s="129">
        <v>1.88</v>
      </c>
      <c r="CR51" s="129">
        <v>1.9</v>
      </c>
      <c r="CS51" s="129">
        <v>1.91</v>
      </c>
      <c r="CT51" s="129">
        <v>1.93</v>
      </c>
      <c r="CU51" s="129">
        <v>1.95</v>
      </c>
      <c r="CV51" s="129">
        <v>1.96</v>
      </c>
      <c r="CW51" s="129">
        <v>1.98</v>
      </c>
      <c r="CX51" s="129">
        <v>2</v>
      </c>
      <c r="CZ51" s="126">
        <f>SUMIF(MatrixF4[[1]:[2]],MatrixF4[[#This Row],[Столбец1]])/MatrixF4[[#This Row],[Столбец1]]</f>
        <v>97</v>
      </c>
    </row>
    <row r="52" spans="1:104" ht="21" customHeight="1" x14ac:dyDescent="0.25">
      <c r="A52" s="127">
        <v>1.49</v>
      </c>
      <c r="B52" s="129">
        <v>1.49</v>
      </c>
      <c r="C52" s="129">
        <v>1.49</v>
      </c>
      <c r="D52" s="129">
        <v>1.49</v>
      </c>
      <c r="E52" s="129">
        <v>1.49</v>
      </c>
      <c r="F52" s="129">
        <v>1.49</v>
      </c>
      <c r="G52" s="129">
        <v>1.49</v>
      </c>
      <c r="H52" s="129">
        <v>1.49</v>
      </c>
      <c r="I52" s="129">
        <v>1.49</v>
      </c>
      <c r="J52" s="129">
        <v>1.49</v>
      </c>
      <c r="K52" s="129">
        <v>1.49</v>
      </c>
      <c r="L52" s="129">
        <v>1.49</v>
      </c>
      <c r="M52" s="129">
        <v>1.49</v>
      </c>
      <c r="N52" s="129">
        <v>1.49</v>
      </c>
      <c r="O52" s="129">
        <v>1.49</v>
      </c>
      <c r="P52" s="129">
        <v>1.49</v>
      </c>
      <c r="Q52" s="129">
        <v>1.49</v>
      </c>
      <c r="R52" s="129">
        <v>1.49</v>
      </c>
      <c r="S52" s="129">
        <v>1.49</v>
      </c>
      <c r="T52" s="129">
        <v>1.49</v>
      </c>
      <c r="U52" s="129">
        <v>1.49</v>
      </c>
      <c r="V52" s="129">
        <v>1.49</v>
      </c>
      <c r="W52" s="129">
        <v>1.49</v>
      </c>
      <c r="X52" s="129">
        <v>1.49</v>
      </c>
      <c r="Y52" s="129">
        <v>1.49</v>
      </c>
      <c r="Z52" s="129">
        <v>1.49</v>
      </c>
      <c r="AA52" s="129">
        <v>1.49</v>
      </c>
      <c r="AB52" s="129">
        <v>1.49</v>
      </c>
      <c r="AC52" s="129">
        <v>1.49</v>
      </c>
      <c r="AD52" s="129">
        <v>1.49</v>
      </c>
      <c r="AE52" s="129">
        <v>1.49</v>
      </c>
      <c r="AF52" s="129">
        <v>1.49</v>
      </c>
      <c r="AG52" s="129">
        <v>1.49</v>
      </c>
      <c r="AH52" s="129">
        <v>1.49</v>
      </c>
      <c r="AI52" s="129">
        <v>1.49</v>
      </c>
      <c r="AJ52" s="129">
        <v>1.49</v>
      </c>
      <c r="AK52" s="129">
        <v>1.49</v>
      </c>
      <c r="AL52" s="129">
        <v>1.49</v>
      </c>
      <c r="AM52" s="129">
        <v>1.49</v>
      </c>
      <c r="AN52" s="129">
        <v>1.49</v>
      </c>
      <c r="AO52" s="129">
        <v>1.49</v>
      </c>
      <c r="AP52" s="129">
        <v>1.49</v>
      </c>
      <c r="AQ52" s="129">
        <v>1.49</v>
      </c>
      <c r="AR52" s="129">
        <v>1.49</v>
      </c>
      <c r="AS52" s="129">
        <v>1.49</v>
      </c>
      <c r="AT52" s="129">
        <v>1.49</v>
      </c>
      <c r="AU52" s="129">
        <v>1.49</v>
      </c>
      <c r="AV52" s="129">
        <v>1.49</v>
      </c>
      <c r="AW52" s="129">
        <v>1.49</v>
      </c>
      <c r="AX52" s="129">
        <v>1.49</v>
      </c>
      <c r="AY52" s="129">
        <v>1.49</v>
      </c>
      <c r="AZ52" s="129">
        <v>1.5</v>
      </c>
      <c r="BA52" s="129">
        <v>1.51</v>
      </c>
      <c r="BB52" s="129">
        <v>1.52</v>
      </c>
      <c r="BC52" s="129">
        <v>1.52</v>
      </c>
      <c r="BD52" s="129">
        <v>1.53</v>
      </c>
      <c r="BE52" s="129">
        <v>1.53</v>
      </c>
      <c r="BF52" s="129">
        <v>1.54</v>
      </c>
      <c r="BG52" s="129">
        <v>1.54</v>
      </c>
      <c r="BH52" s="129">
        <v>1.55</v>
      </c>
      <c r="BI52" s="129">
        <v>1.55</v>
      </c>
      <c r="BJ52" s="129">
        <v>1.56</v>
      </c>
      <c r="BK52" s="129">
        <v>1.57</v>
      </c>
      <c r="BL52" s="129">
        <v>1.57</v>
      </c>
      <c r="BM52" s="129">
        <v>1.58</v>
      </c>
      <c r="BN52" s="129">
        <v>1.59</v>
      </c>
      <c r="BO52" s="129">
        <v>1.59</v>
      </c>
      <c r="BP52" s="129">
        <v>1.6</v>
      </c>
      <c r="BQ52" s="129">
        <v>1.61</v>
      </c>
      <c r="BR52" s="129">
        <v>1.61</v>
      </c>
      <c r="BS52" s="129">
        <v>1.62</v>
      </c>
      <c r="BT52" s="129">
        <v>1.63</v>
      </c>
      <c r="BU52" s="129">
        <v>1.64</v>
      </c>
      <c r="BV52" s="129">
        <v>1.65</v>
      </c>
      <c r="BW52" s="129">
        <v>1.65</v>
      </c>
      <c r="BX52" s="129">
        <v>1.66</v>
      </c>
      <c r="BY52" s="129">
        <v>1.67</v>
      </c>
      <c r="BZ52" s="129">
        <v>1.68</v>
      </c>
      <c r="CA52" s="129">
        <v>1.69</v>
      </c>
      <c r="CB52" s="129">
        <v>1.7</v>
      </c>
      <c r="CC52" s="129">
        <v>1.71</v>
      </c>
      <c r="CD52" s="129">
        <v>1.72</v>
      </c>
      <c r="CE52" s="129">
        <v>1.73</v>
      </c>
      <c r="CF52" s="129">
        <v>1.74</v>
      </c>
      <c r="CG52" s="129">
        <v>1.75</v>
      </c>
      <c r="CH52" s="129">
        <v>1.76</v>
      </c>
      <c r="CI52" s="129">
        <v>1.77</v>
      </c>
      <c r="CJ52" s="129">
        <v>1.78</v>
      </c>
      <c r="CK52" s="129">
        <v>1.8</v>
      </c>
      <c r="CL52" s="129">
        <v>1.81</v>
      </c>
      <c r="CM52" s="129">
        <v>1.82</v>
      </c>
      <c r="CN52" s="129">
        <v>1.84</v>
      </c>
      <c r="CO52" s="129">
        <v>1.85</v>
      </c>
      <c r="CP52" s="129">
        <v>1.86</v>
      </c>
      <c r="CQ52" s="129">
        <v>1.88</v>
      </c>
      <c r="CR52" s="129">
        <v>1.89</v>
      </c>
      <c r="CS52" s="129">
        <v>1.91</v>
      </c>
      <c r="CT52" s="129">
        <v>1.93</v>
      </c>
      <c r="CU52" s="129">
        <v>1.94</v>
      </c>
      <c r="CV52" s="129">
        <v>1.96</v>
      </c>
      <c r="CW52" s="129">
        <v>1.98</v>
      </c>
      <c r="CX52" s="129">
        <v>2</v>
      </c>
      <c r="CZ52" s="126">
        <f>SUMIF(MatrixF4[[1]:[2]],MatrixF4[[#This Row],[Столбец1]])/MatrixF4[[#This Row],[Столбец1]]</f>
        <v>98.999999999999957</v>
      </c>
    </row>
    <row r="53" spans="1:104" ht="21" customHeight="1" x14ac:dyDescent="0.25">
      <c r="A53" s="127">
        <v>1.5</v>
      </c>
      <c r="B53" s="129">
        <v>1.5</v>
      </c>
      <c r="C53" s="129">
        <v>1.5</v>
      </c>
      <c r="D53" s="129">
        <v>1.5</v>
      </c>
      <c r="E53" s="129">
        <v>1.5</v>
      </c>
      <c r="F53" s="129">
        <v>1.5</v>
      </c>
      <c r="G53" s="129">
        <v>1.5</v>
      </c>
      <c r="H53" s="129">
        <v>1.5</v>
      </c>
      <c r="I53" s="129">
        <v>1.5</v>
      </c>
      <c r="J53" s="129">
        <v>1.5</v>
      </c>
      <c r="K53" s="129">
        <v>1.5</v>
      </c>
      <c r="L53" s="129">
        <v>1.5</v>
      </c>
      <c r="M53" s="129">
        <v>1.5</v>
      </c>
      <c r="N53" s="129">
        <v>1.5</v>
      </c>
      <c r="O53" s="129">
        <v>1.5</v>
      </c>
      <c r="P53" s="129">
        <v>1.5</v>
      </c>
      <c r="Q53" s="129">
        <v>1.5</v>
      </c>
      <c r="R53" s="129">
        <v>1.5</v>
      </c>
      <c r="S53" s="129">
        <v>1.5</v>
      </c>
      <c r="T53" s="129">
        <v>1.5</v>
      </c>
      <c r="U53" s="129">
        <v>1.5</v>
      </c>
      <c r="V53" s="129">
        <v>1.5</v>
      </c>
      <c r="W53" s="129">
        <v>1.5</v>
      </c>
      <c r="X53" s="129">
        <v>1.5</v>
      </c>
      <c r="Y53" s="129">
        <v>1.5</v>
      </c>
      <c r="Z53" s="129">
        <v>1.5</v>
      </c>
      <c r="AA53" s="129">
        <v>1.5</v>
      </c>
      <c r="AB53" s="129">
        <v>1.5</v>
      </c>
      <c r="AC53" s="129">
        <v>1.5</v>
      </c>
      <c r="AD53" s="129">
        <v>1.5</v>
      </c>
      <c r="AE53" s="129">
        <v>1.5</v>
      </c>
      <c r="AF53" s="129">
        <v>1.5</v>
      </c>
      <c r="AG53" s="129">
        <v>1.5</v>
      </c>
      <c r="AH53" s="129">
        <v>1.5</v>
      </c>
      <c r="AI53" s="129">
        <v>1.5</v>
      </c>
      <c r="AJ53" s="129">
        <v>1.5</v>
      </c>
      <c r="AK53" s="129">
        <v>1.5</v>
      </c>
      <c r="AL53" s="129">
        <v>1.5</v>
      </c>
      <c r="AM53" s="129">
        <v>1.5</v>
      </c>
      <c r="AN53" s="129">
        <v>1.5</v>
      </c>
      <c r="AO53" s="129">
        <v>1.5</v>
      </c>
      <c r="AP53" s="129">
        <v>1.5</v>
      </c>
      <c r="AQ53" s="129">
        <v>1.5</v>
      </c>
      <c r="AR53" s="129">
        <v>1.5</v>
      </c>
      <c r="AS53" s="129">
        <v>1.5</v>
      </c>
      <c r="AT53" s="129">
        <v>1.5</v>
      </c>
      <c r="AU53" s="129">
        <v>1.5</v>
      </c>
      <c r="AV53" s="129">
        <v>1.5</v>
      </c>
      <c r="AW53" s="129">
        <v>1.5</v>
      </c>
      <c r="AX53" s="129">
        <v>1.5</v>
      </c>
      <c r="AY53" s="129">
        <v>1.5</v>
      </c>
      <c r="AZ53" s="129">
        <v>1.5</v>
      </c>
      <c r="BA53" s="129">
        <v>1.51</v>
      </c>
      <c r="BB53" s="129">
        <v>1.51</v>
      </c>
      <c r="BC53" s="129">
        <v>1.52</v>
      </c>
      <c r="BD53" s="129">
        <v>1.52</v>
      </c>
      <c r="BE53" s="129">
        <v>1.53</v>
      </c>
      <c r="BF53" s="129">
        <v>1.53</v>
      </c>
      <c r="BG53" s="129">
        <v>1.54</v>
      </c>
      <c r="BH53" s="129">
        <v>1.54</v>
      </c>
      <c r="BI53" s="129">
        <v>1.55</v>
      </c>
      <c r="BJ53" s="129">
        <v>1.56</v>
      </c>
      <c r="BK53" s="129">
        <v>1.56</v>
      </c>
      <c r="BL53" s="129">
        <v>1.57</v>
      </c>
      <c r="BM53" s="129">
        <v>1.57</v>
      </c>
      <c r="BN53" s="129">
        <v>1.58</v>
      </c>
      <c r="BO53" s="129">
        <v>1.59</v>
      </c>
      <c r="BP53" s="129">
        <v>1.6</v>
      </c>
      <c r="BQ53" s="129">
        <v>1.6</v>
      </c>
      <c r="BR53" s="129">
        <v>1.61</v>
      </c>
      <c r="BS53" s="129">
        <v>1.62</v>
      </c>
      <c r="BT53" s="129">
        <v>1.62</v>
      </c>
      <c r="BU53" s="129">
        <v>1.63</v>
      </c>
      <c r="BV53" s="129">
        <v>1.64</v>
      </c>
      <c r="BW53" s="129">
        <v>1.65</v>
      </c>
      <c r="BX53" s="129">
        <v>1.66</v>
      </c>
      <c r="BY53" s="129">
        <v>1.67</v>
      </c>
      <c r="BZ53" s="129">
        <v>1.68</v>
      </c>
      <c r="CA53" s="129">
        <v>1.68</v>
      </c>
      <c r="CB53" s="129">
        <v>1.69</v>
      </c>
      <c r="CC53" s="129">
        <v>1.7</v>
      </c>
      <c r="CD53" s="129">
        <v>1.71</v>
      </c>
      <c r="CE53" s="129">
        <v>1.72</v>
      </c>
      <c r="CF53" s="129">
        <v>1.74</v>
      </c>
      <c r="CG53" s="129">
        <v>1.75</v>
      </c>
      <c r="CH53" s="129">
        <v>1.76</v>
      </c>
      <c r="CI53" s="129">
        <v>1.77</v>
      </c>
      <c r="CJ53" s="129">
        <v>1.78</v>
      </c>
      <c r="CK53" s="129">
        <v>1.79</v>
      </c>
      <c r="CL53" s="129">
        <v>1.81</v>
      </c>
      <c r="CM53" s="129">
        <v>1.82</v>
      </c>
      <c r="CN53" s="129">
        <v>1.83</v>
      </c>
      <c r="CO53" s="129">
        <v>1.85</v>
      </c>
      <c r="CP53" s="129">
        <v>1.86</v>
      </c>
      <c r="CQ53" s="129">
        <v>1.88</v>
      </c>
      <c r="CR53" s="129">
        <v>1.89</v>
      </c>
      <c r="CS53" s="129">
        <v>1.91</v>
      </c>
      <c r="CT53" s="129">
        <v>1.93</v>
      </c>
      <c r="CU53" s="129">
        <v>1.94</v>
      </c>
      <c r="CV53" s="129">
        <v>1.96</v>
      </c>
      <c r="CW53" s="129">
        <v>1.98</v>
      </c>
      <c r="CX53" s="129">
        <v>2</v>
      </c>
      <c r="CZ53" s="126">
        <f>SUMIF(MatrixF4[[1]:[2]],MatrixF4[[#This Row],[Столбец1]])/MatrixF4[[#This Row],[Столбец1]]</f>
        <v>101</v>
      </c>
    </row>
    <row r="54" spans="1:104" ht="21" customHeight="1" x14ac:dyDescent="0.25">
      <c r="A54" s="127">
        <v>1.51</v>
      </c>
      <c r="B54" s="129">
        <v>1.51</v>
      </c>
      <c r="C54" s="129">
        <v>1.51</v>
      </c>
      <c r="D54" s="129">
        <v>1.51</v>
      </c>
      <c r="E54" s="129">
        <v>1.51</v>
      </c>
      <c r="F54" s="129">
        <v>1.51</v>
      </c>
      <c r="G54" s="129">
        <v>1.51</v>
      </c>
      <c r="H54" s="129">
        <v>1.51</v>
      </c>
      <c r="I54" s="129">
        <v>1.51</v>
      </c>
      <c r="J54" s="129">
        <v>1.51</v>
      </c>
      <c r="K54" s="129">
        <v>1.51</v>
      </c>
      <c r="L54" s="129">
        <v>1.51</v>
      </c>
      <c r="M54" s="129">
        <v>1.51</v>
      </c>
      <c r="N54" s="129">
        <v>1.51</v>
      </c>
      <c r="O54" s="129">
        <v>1.51</v>
      </c>
      <c r="P54" s="129">
        <v>1.51</v>
      </c>
      <c r="Q54" s="129">
        <v>1.51</v>
      </c>
      <c r="R54" s="129">
        <v>1.51</v>
      </c>
      <c r="S54" s="129">
        <v>1.51</v>
      </c>
      <c r="T54" s="129">
        <v>1.51</v>
      </c>
      <c r="U54" s="129">
        <v>1.51</v>
      </c>
      <c r="V54" s="129">
        <v>1.51</v>
      </c>
      <c r="W54" s="129">
        <v>1.51</v>
      </c>
      <c r="X54" s="129">
        <v>1.51</v>
      </c>
      <c r="Y54" s="129">
        <v>1.51</v>
      </c>
      <c r="Z54" s="129">
        <v>1.51</v>
      </c>
      <c r="AA54" s="129">
        <v>1.51</v>
      </c>
      <c r="AB54" s="129">
        <v>1.51</v>
      </c>
      <c r="AC54" s="129">
        <v>1.51</v>
      </c>
      <c r="AD54" s="129">
        <v>1.51</v>
      </c>
      <c r="AE54" s="129">
        <v>1.51</v>
      </c>
      <c r="AF54" s="129">
        <v>1.51</v>
      </c>
      <c r="AG54" s="129">
        <v>1.51</v>
      </c>
      <c r="AH54" s="129">
        <v>1.51</v>
      </c>
      <c r="AI54" s="129">
        <v>1.51</v>
      </c>
      <c r="AJ54" s="129">
        <v>1.51</v>
      </c>
      <c r="AK54" s="129">
        <v>1.51</v>
      </c>
      <c r="AL54" s="129">
        <v>1.51</v>
      </c>
      <c r="AM54" s="129">
        <v>1.51</v>
      </c>
      <c r="AN54" s="129">
        <v>1.51</v>
      </c>
      <c r="AO54" s="129">
        <v>1.51</v>
      </c>
      <c r="AP54" s="129">
        <v>1.51</v>
      </c>
      <c r="AQ54" s="129">
        <v>1.51</v>
      </c>
      <c r="AR54" s="129">
        <v>1.51</v>
      </c>
      <c r="AS54" s="129">
        <v>1.51</v>
      </c>
      <c r="AT54" s="129">
        <v>1.51</v>
      </c>
      <c r="AU54" s="129">
        <v>1.51</v>
      </c>
      <c r="AV54" s="129">
        <v>1.51</v>
      </c>
      <c r="AW54" s="129">
        <v>1.51</v>
      </c>
      <c r="AX54" s="129">
        <v>1.51</v>
      </c>
      <c r="AY54" s="129">
        <v>1.51</v>
      </c>
      <c r="AZ54" s="129">
        <v>1.51</v>
      </c>
      <c r="BA54" s="129">
        <v>1.51</v>
      </c>
      <c r="BB54" s="129">
        <v>1.52</v>
      </c>
      <c r="BC54" s="129">
        <v>1.52</v>
      </c>
      <c r="BD54" s="129">
        <v>1.53</v>
      </c>
      <c r="BE54" s="129">
        <v>1.53</v>
      </c>
      <c r="BF54" s="129">
        <v>1.54</v>
      </c>
      <c r="BG54" s="129">
        <v>1.54</v>
      </c>
      <c r="BH54" s="129">
        <v>1.55</v>
      </c>
      <c r="BI54" s="129">
        <v>1.55</v>
      </c>
      <c r="BJ54" s="129">
        <v>1.56</v>
      </c>
      <c r="BK54" s="129">
        <v>1.57</v>
      </c>
      <c r="BL54" s="129">
        <v>1.57</v>
      </c>
      <c r="BM54" s="129">
        <v>1.58</v>
      </c>
      <c r="BN54" s="129">
        <v>1.59</v>
      </c>
      <c r="BO54" s="129">
        <v>1.59</v>
      </c>
      <c r="BP54" s="129">
        <v>1.6</v>
      </c>
      <c r="BQ54" s="129">
        <v>1.61</v>
      </c>
      <c r="BR54" s="129">
        <v>1.61</v>
      </c>
      <c r="BS54" s="129">
        <v>1.62</v>
      </c>
      <c r="BT54" s="129">
        <v>1.63</v>
      </c>
      <c r="BU54" s="129">
        <v>1.64</v>
      </c>
      <c r="BV54" s="129">
        <v>1.65</v>
      </c>
      <c r="BW54" s="129">
        <v>1.65</v>
      </c>
      <c r="BX54" s="129">
        <v>1.66</v>
      </c>
      <c r="BY54" s="129">
        <v>1.67</v>
      </c>
      <c r="BZ54" s="129">
        <v>1.68</v>
      </c>
      <c r="CA54" s="129">
        <v>1.69</v>
      </c>
      <c r="CB54" s="129">
        <v>1.7</v>
      </c>
      <c r="CC54" s="129">
        <v>1.71</v>
      </c>
      <c r="CD54" s="129">
        <v>1.72</v>
      </c>
      <c r="CE54" s="129">
        <v>1.73</v>
      </c>
      <c r="CF54" s="129">
        <v>1.74</v>
      </c>
      <c r="CG54" s="129">
        <v>1.75</v>
      </c>
      <c r="CH54" s="129">
        <v>1.76</v>
      </c>
      <c r="CI54" s="129">
        <v>1.77</v>
      </c>
      <c r="CJ54" s="129">
        <v>1.78</v>
      </c>
      <c r="CK54" s="129">
        <v>1.8</v>
      </c>
      <c r="CL54" s="129">
        <v>1.81</v>
      </c>
      <c r="CM54" s="129">
        <v>1.82</v>
      </c>
      <c r="CN54" s="129">
        <v>1.84</v>
      </c>
      <c r="CO54" s="129">
        <v>1.85</v>
      </c>
      <c r="CP54" s="129">
        <v>1.86</v>
      </c>
      <c r="CQ54" s="129">
        <v>1.88</v>
      </c>
      <c r="CR54" s="129">
        <v>1.89</v>
      </c>
      <c r="CS54" s="129">
        <v>1.91</v>
      </c>
      <c r="CT54" s="129">
        <v>1.93</v>
      </c>
      <c r="CU54" s="129">
        <v>1.94</v>
      </c>
      <c r="CV54" s="129">
        <v>1.96</v>
      </c>
      <c r="CW54" s="129">
        <v>1.98</v>
      </c>
      <c r="CX54" s="129">
        <v>2</v>
      </c>
      <c r="CZ54" s="126">
        <f>SUMIF(MatrixF4[[1]:[2]],MatrixF4[[#This Row],[Столбец1]])/MatrixF4[[#This Row],[Столбец1]]</f>
        <v>105</v>
      </c>
    </row>
    <row r="55" spans="1:104" ht="21" customHeight="1" x14ac:dyDescent="0.25">
      <c r="A55" s="127">
        <v>1.52</v>
      </c>
      <c r="B55" s="129">
        <v>1.52</v>
      </c>
      <c r="C55" s="129">
        <v>1.52</v>
      </c>
      <c r="D55" s="129">
        <v>1.52</v>
      </c>
      <c r="E55" s="129">
        <v>1.52</v>
      </c>
      <c r="F55" s="129">
        <v>1.52</v>
      </c>
      <c r="G55" s="129">
        <v>1.52</v>
      </c>
      <c r="H55" s="129">
        <v>1.52</v>
      </c>
      <c r="I55" s="129">
        <v>1.52</v>
      </c>
      <c r="J55" s="129">
        <v>1.52</v>
      </c>
      <c r="K55" s="129">
        <v>1.52</v>
      </c>
      <c r="L55" s="129">
        <v>1.52</v>
      </c>
      <c r="M55" s="129">
        <v>1.52</v>
      </c>
      <c r="N55" s="129">
        <v>1.52</v>
      </c>
      <c r="O55" s="129">
        <v>1.52</v>
      </c>
      <c r="P55" s="129">
        <v>1.52</v>
      </c>
      <c r="Q55" s="129">
        <v>1.52</v>
      </c>
      <c r="R55" s="129">
        <v>1.52</v>
      </c>
      <c r="S55" s="129">
        <v>1.52</v>
      </c>
      <c r="T55" s="129">
        <v>1.52</v>
      </c>
      <c r="U55" s="129">
        <v>1.52</v>
      </c>
      <c r="V55" s="129">
        <v>1.52</v>
      </c>
      <c r="W55" s="129">
        <v>1.52</v>
      </c>
      <c r="X55" s="129">
        <v>1.52</v>
      </c>
      <c r="Y55" s="129">
        <v>1.52</v>
      </c>
      <c r="Z55" s="129">
        <v>1.52</v>
      </c>
      <c r="AA55" s="129">
        <v>1.52</v>
      </c>
      <c r="AB55" s="129">
        <v>1.52</v>
      </c>
      <c r="AC55" s="129">
        <v>1.52</v>
      </c>
      <c r="AD55" s="129">
        <v>1.52</v>
      </c>
      <c r="AE55" s="129">
        <v>1.52</v>
      </c>
      <c r="AF55" s="129">
        <v>1.52</v>
      </c>
      <c r="AG55" s="129">
        <v>1.52</v>
      </c>
      <c r="AH55" s="129">
        <v>1.52</v>
      </c>
      <c r="AI55" s="129">
        <v>1.52</v>
      </c>
      <c r="AJ55" s="129">
        <v>1.52</v>
      </c>
      <c r="AK55" s="129">
        <v>1.52</v>
      </c>
      <c r="AL55" s="129">
        <v>1.52</v>
      </c>
      <c r="AM55" s="129">
        <v>1.52</v>
      </c>
      <c r="AN55" s="129">
        <v>1.52</v>
      </c>
      <c r="AO55" s="129">
        <v>1.52</v>
      </c>
      <c r="AP55" s="129">
        <v>1.52</v>
      </c>
      <c r="AQ55" s="129">
        <v>1.52</v>
      </c>
      <c r="AR55" s="129">
        <v>1.52</v>
      </c>
      <c r="AS55" s="129">
        <v>1.52</v>
      </c>
      <c r="AT55" s="129">
        <v>1.52</v>
      </c>
      <c r="AU55" s="129">
        <v>1.52</v>
      </c>
      <c r="AV55" s="129">
        <v>1.52</v>
      </c>
      <c r="AW55" s="129">
        <v>1.52</v>
      </c>
      <c r="AX55" s="129">
        <v>1.52</v>
      </c>
      <c r="AY55" s="129">
        <v>1.52</v>
      </c>
      <c r="AZ55" s="129">
        <v>1.51</v>
      </c>
      <c r="BA55" s="129">
        <v>1.52</v>
      </c>
      <c r="BB55" s="129">
        <v>1.52</v>
      </c>
      <c r="BC55" s="129">
        <v>1.53</v>
      </c>
      <c r="BD55" s="129">
        <v>1.53</v>
      </c>
      <c r="BE55" s="129">
        <v>1.54</v>
      </c>
      <c r="BF55" s="129">
        <v>1.54</v>
      </c>
      <c r="BG55" s="129">
        <v>1.55</v>
      </c>
      <c r="BH55" s="129">
        <v>1.55</v>
      </c>
      <c r="BI55" s="129">
        <v>1.56</v>
      </c>
      <c r="BJ55" s="129">
        <v>1.57</v>
      </c>
      <c r="BK55" s="129">
        <v>1.57</v>
      </c>
      <c r="BL55" s="129">
        <v>1.58</v>
      </c>
      <c r="BM55" s="129">
        <v>1.58</v>
      </c>
      <c r="BN55" s="129">
        <v>1.59</v>
      </c>
      <c r="BO55" s="129">
        <v>1.6</v>
      </c>
      <c r="BP55" s="129">
        <v>1.6</v>
      </c>
      <c r="BQ55" s="129">
        <v>1.61</v>
      </c>
      <c r="BR55" s="129">
        <v>1.62</v>
      </c>
      <c r="BS55" s="129">
        <v>1.63</v>
      </c>
      <c r="BT55" s="129">
        <v>1.63</v>
      </c>
      <c r="BU55" s="129">
        <v>1.64</v>
      </c>
      <c r="BV55" s="129">
        <v>1.65</v>
      </c>
      <c r="BW55" s="129">
        <v>1.66</v>
      </c>
      <c r="BX55" s="129">
        <v>1.67</v>
      </c>
      <c r="BY55" s="129">
        <v>1.68</v>
      </c>
      <c r="BZ55" s="129">
        <v>1.68</v>
      </c>
      <c r="CA55" s="129">
        <v>1.69</v>
      </c>
      <c r="CB55" s="129">
        <v>1.7</v>
      </c>
      <c r="CC55" s="129">
        <v>1.71</v>
      </c>
      <c r="CD55" s="129">
        <v>1.72</v>
      </c>
      <c r="CE55" s="129">
        <v>1.73</v>
      </c>
      <c r="CF55" s="129">
        <v>1.74</v>
      </c>
      <c r="CG55" s="129">
        <v>1.75</v>
      </c>
      <c r="CH55" s="129">
        <v>1.76</v>
      </c>
      <c r="CI55" s="129">
        <v>1.78</v>
      </c>
      <c r="CJ55" s="129">
        <v>1.79</v>
      </c>
      <c r="CK55" s="129">
        <v>1.8</v>
      </c>
      <c r="CL55" s="129">
        <v>1.81</v>
      </c>
      <c r="CM55" s="129">
        <v>1.83</v>
      </c>
      <c r="CN55" s="129">
        <v>1.84</v>
      </c>
      <c r="CO55" s="129">
        <v>1.85</v>
      </c>
      <c r="CP55" s="129">
        <v>1.87</v>
      </c>
      <c r="CQ55" s="129">
        <v>1.88</v>
      </c>
      <c r="CR55" s="129">
        <v>1.9</v>
      </c>
      <c r="CS55" s="129">
        <v>1.91</v>
      </c>
      <c r="CT55" s="129">
        <v>1.93</v>
      </c>
      <c r="CU55" s="129">
        <v>1.95</v>
      </c>
      <c r="CV55" s="129">
        <v>1.96</v>
      </c>
      <c r="CW55" s="129">
        <v>1.98</v>
      </c>
      <c r="CX55" s="129">
        <v>2</v>
      </c>
      <c r="CZ55" s="126">
        <f>SUMIF(MatrixF4[[1]:[2]],MatrixF4[[#This Row],[Столбец1]])/MatrixF4[[#This Row],[Столбец1]]</f>
        <v>111.00000000000011</v>
      </c>
    </row>
    <row r="56" spans="1:104" ht="21" customHeight="1" x14ac:dyDescent="0.25">
      <c r="A56" s="127">
        <v>1.53</v>
      </c>
      <c r="B56" s="129">
        <v>1.53</v>
      </c>
      <c r="C56" s="129">
        <v>1.53</v>
      </c>
      <c r="D56" s="129">
        <v>1.53</v>
      </c>
      <c r="E56" s="129">
        <v>1.53</v>
      </c>
      <c r="F56" s="129">
        <v>1.53</v>
      </c>
      <c r="G56" s="129">
        <v>1.53</v>
      </c>
      <c r="H56" s="129">
        <v>1.53</v>
      </c>
      <c r="I56" s="129">
        <v>1.53</v>
      </c>
      <c r="J56" s="129">
        <v>1.53</v>
      </c>
      <c r="K56" s="129">
        <v>1.53</v>
      </c>
      <c r="L56" s="129">
        <v>1.53</v>
      </c>
      <c r="M56" s="129">
        <v>1.53</v>
      </c>
      <c r="N56" s="129">
        <v>1.53</v>
      </c>
      <c r="O56" s="129">
        <v>1.53</v>
      </c>
      <c r="P56" s="129">
        <v>1.53</v>
      </c>
      <c r="Q56" s="129">
        <v>1.53</v>
      </c>
      <c r="R56" s="129">
        <v>1.53</v>
      </c>
      <c r="S56" s="129">
        <v>1.53</v>
      </c>
      <c r="T56" s="129">
        <v>1.53</v>
      </c>
      <c r="U56" s="129">
        <v>1.53</v>
      </c>
      <c r="V56" s="129">
        <v>1.53</v>
      </c>
      <c r="W56" s="129">
        <v>1.53</v>
      </c>
      <c r="X56" s="129">
        <v>1.53</v>
      </c>
      <c r="Y56" s="129">
        <v>1.53</v>
      </c>
      <c r="Z56" s="129">
        <v>1.53</v>
      </c>
      <c r="AA56" s="129">
        <v>1.53</v>
      </c>
      <c r="AB56" s="129">
        <v>1.53</v>
      </c>
      <c r="AC56" s="129">
        <v>1.53</v>
      </c>
      <c r="AD56" s="129">
        <v>1.53</v>
      </c>
      <c r="AE56" s="129">
        <v>1.53</v>
      </c>
      <c r="AF56" s="129">
        <v>1.53</v>
      </c>
      <c r="AG56" s="129">
        <v>1.53</v>
      </c>
      <c r="AH56" s="129">
        <v>1.53</v>
      </c>
      <c r="AI56" s="129">
        <v>1.53</v>
      </c>
      <c r="AJ56" s="129">
        <v>1.53</v>
      </c>
      <c r="AK56" s="129">
        <v>1.53</v>
      </c>
      <c r="AL56" s="129">
        <v>1.53</v>
      </c>
      <c r="AM56" s="129">
        <v>1.53</v>
      </c>
      <c r="AN56" s="129">
        <v>1.53</v>
      </c>
      <c r="AO56" s="129">
        <v>1.53</v>
      </c>
      <c r="AP56" s="129">
        <v>1.53</v>
      </c>
      <c r="AQ56" s="129">
        <v>1.53</v>
      </c>
      <c r="AR56" s="129">
        <v>1.53</v>
      </c>
      <c r="AS56" s="129">
        <v>1.53</v>
      </c>
      <c r="AT56" s="129">
        <v>1.53</v>
      </c>
      <c r="AU56" s="129">
        <v>1.53</v>
      </c>
      <c r="AV56" s="129">
        <v>1.53</v>
      </c>
      <c r="AW56" s="129">
        <v>1.53</v>
      </c>
      <c r="AX56" s="129">
        <v>1.53</v>
      </c>
      <c r="AY56" s="129">
        <v>1.52</v>
      </c>
      <c r="AZ56" s="129">
        <v>1.52</v>
      </c>
      <c r="BA56" s="129">
        <v>1.52</v>
      </c>
      <c r="BB56" s="129">
        <v>1.53</v>
      </c>
      <c r="BC56" s="129">
        <v>1.53</v>
      </c>
      <c r="BD56" s="129">
        <v>1.54</v>
      </c>
      <c r="BE56" s="129">
        <v>1.54</v>
      </c>
      <c r="BF56" s="129">
        <v>1.55</v>
      </c>
      <c r="BG56" s="129">
        <v>1.55</v>
      </c>
      <c r="BH56" s="129">
        <v>1.56</v>
      </c>
      <c r="BI56" s="129">
        <v>1.56</v>
      </c>
      <c r="BJ56" s="129">
        <v>1.57</v>
      </c>
      <c r="BK56" s="129">
        <v>1.58</v>
      </c>
      <c r="BL56" s="129">
        <v>1.58</v>
      </c>
      <c r="BM56" s="129">
        <v>1.59</v>
      </c>
      <c r="BN56" s="129">
        <v>1.6</v>
      </c>
      <c r="BO56" s="129">
        <v>1.6</v>
      </c>
      <c r="BP56" s="129">
        <v>1.61</v>
      </c>
      <c r="BQ56" s="129">
        <v>1.62</v>
      </c>
      <c r="BR56" s="129">
        <v>1.62</v>
      </c>
      <c r="BS56" s="129">
        <v>1.63</v>
      </c>
      <c r="BT56" s="129">
        <v>1.64</v>
      </c>
      <c r="BU56" s="129">
        <v>1.65</v>
      </c>
      <c r="BV56" s="129">
        <v>1.65</v>
      </c>
      <c r="BW56" s="129">
        <v>1.66</v>
      </c>
      <c r="BX56" s="129">
        <v>1.67</v>
      </c>
      <c r="BY56" s="129">
        <v>1.68</v>
      </c>
      <c r="BZ56" s="129">
        <v>1.69</v>
      </c>
      <c r="CA56" s="129">
        <v>1.7</v>
      </c>
      <c r="CB56" s="129">
        <v>1.71</v>
      </c>
      <c r="CC56" s="129">
        <v>1.72</v>
      </c>
      <c r="CD56" s="129">
        <v>1.73</v>
      </c>
      <c r="CE56" s="129">
        <v>1.74</v>
      </c>
      <c r="CF56" s="129">
        <v>1.75</v>
      </c>
      <c r="CG56" s="129">
        <v>1.76</v>
      </c>
      <c r="CH56" s="129">
        <v>1.77</v>
      </c>
      <c r="CI56" s="129">
        <v>1.78</v>
      </c>
      <c r="CJ56" s="129">
        <v>1.79</v>
      </c>
      <c r="CK56" s="129">
        <v>1.8</v>
      </c>
      <c r="CL56" s="129">
        <v>1.82</v>
      </c>
      <c r="CM56" s="129">
        <v>1.83</v>
      </c>
      <c r="CN56" s="129">
        <v>1.84</v>
      </c>
      <c r="CO56" s="129">
        <v>1.85</v>
      </c>
      <c r="CP56" s="129">
        <v>1.87</v>
      </c>
      <c r="CQ56" s="129">
        <v>1.88</v>
      </c>
      <c r="CR56" s="129">
        <v>1.9</v>
      </c>
      <c r="CS56" s="129">
        <v>1.91</v>
      </c>
      <c r="CT56" s="129">
        <v>1.93</v>
      </c>
      <c r="CU56" s="129">
        <v>1.95</v>
      </c>
      <c r="CV56" s="129">
        <v>1.96</v>
      </c>
      <c r="CW56" s="129">
        <v>1.98</v>
      </c>
      <c r="CX56" s="129">
        <v>2</v>
      </c>
      <c r="CZ56" s="126">
        <f>SUMIF(MatrixF4[[1]:[2]],MatrixF4[[#This Row],[Столбец1]])/MatrixF4[[#This Row],[Столбец1]]</f>
        <v>117.00000000000007</v>
      </c>
    </row>
    <row r="57" spans="1:104" ht="21" customHeight="1" x14ac:dyDescent="0.25">
      <c r="A57" s="127">
        <v>1.54</v>
      </c>
      <c r="B57" s="129">
        <v>1.54</v>
      </c>
      <c r="C57" s="129">
        <v>1.54</v>
      </c>
      <c r="D57" s="129">
        <v>1.54</v>
      </c>
      <c r="E57" s="129">
        <v>1.54</v>
      </c>
      <c r="F57" s="129">
        <v>1.54</v>
      </c>
      <c r="G57" s="129">
        <v>1.54</v>
      </c>
      <c r="H57" s="129">
        <v>1.54</v>
      </c>
      <c r="I57" s="129">
        <v>1.54</v>
      </c>
      <c r="J57" s="129">
        <v>1.54</v>
      </c>
      <c r="K57" s="129">
        <v>1.54</v>
      </c>
      <c r="L57" s="129">
        <v>1.54</v>
      </c>
      <c r="M57" s="129">
        <v>1.54</v>
      </c>
      <c r="N57" s="129">
        <v>1.54</v>
      </c>
      <c r="O57" s="129">
        <v>1.54</v>
      </c>
      <c r="P57" s="129">
        <v>1.54</v>
      </c>
      <c r="Q57" s="129">
        <v>1.54</v>
      </c>
      <c r="R57" s="129">
        <v>1.54</v>
      </c>
      <c r="S57" s="129">
        <v>1.54</v>
      </c>
      <c r="T57" s="129">
        <v>1.54</v>
      </c>
      <c r="U57" s="129">
        <v>1.54</v>
      </c>
      <c r="V57" s="129">
        <v>1.54</v>
      </c>
      <c r="W57" s="129">
        <v>1.54</v>
      </c>
      <c r="X57" s="129">
        <v>1.54</v>
      </c>
      <c r="Y57" s="129">
        <v>1.54</v>
      </c>
      <c r="Z57" s="129">
        <v>1.54</v>
      </c>
      <c r="AA57" s="129">
        <v>1.54</v>
      </c>
      <c r="AB57" s="129">
        <v>1.54</v>
      </c>
      <c r="AC57" s="129">
        <v>1.54</v>
      </c>
      <c r="AD57" s="129">
        <v>1.54</v>
      </c>
      <c r="AE57" s="129">
        <v>1.54</v>
      </c>
      <c r="AF57" s="129">
        <v>1.54</v>
      </c>
      <c r="AG57" s="129">
        <v>1.54</v>
      </c>
      <c r="AH57" s="129">
        <v>1.54</v>
      </c>
      <c r="AI57" s="129">
        <v>1.54</v>
      </c>
      <c r="AJ57" s="129">
        <v>1.54</v>
      </c>
      <c r="AK57" s="129">
        <v>1.54</v>
      </c>
      <c r="AL57" s="129">
        <v>1.54</v>
      </c>
      <c r="AM57" s="129">
        <v>1.54</v>
      </c>
      <c r="AN57" s="129">
        <v>1.54</v>
      </c>
      <c r="AO57" s="129">
        <v>1.54</v>
      </c>
      <c r="AP57" s="129">
        <v>1.54</v>
      </c>
      <c r="AQ57" s="129">
        <v>1.54</v>
      </c>
      <c r="AR57" s="129">
        <v>1.54</v>
      </c>
      <c r="AS57" s="129">
        <v>1.54</v>
      </c>
      <c r="AT57" s="129">
        <v>1.54</v>
      </c>
      <c r="AU57" s="129">
        <v>1.54</v>
      </c>
      <c r="AV57" s="129">
        <v>1.54</v>
      </c>
      <c r="AW57" s="129">
        <v>1.54</v>
      </c>
      <c r="AX57" s="129">
        <v>1.53</v>
      </c>
      <c r="AY57" s="129">
        <v>1.53</v>
      </c>
      <c r="AZ57" s="129">
        <v>1.52</v>
      </c>
      <c r="BA57" s="129">
        <v>1.53</v>
      </c>
      <c r="BB57" s="129">
        <v>1.53</v>
      </c>
      <c r="BC57" s="129">
        <v>1.54</v>
      </c>
      <c r="BD57" s="129">
        <v>1.54</v>
      </c>
      <c r="BE57" s="129">
        <v>1.55</v>
      </c>
      <c r="BF57" s="129">
        <v>1.55</v>
      </c>
      <c r="BG57" s="129">
        <v>1.56</v>
      </c>
      <c r="BH57" s="129">
        <v>1.56</v>
      </c>
      <c r="BI57" s="129">
        <v>1.57</v>
      </c>
      <c r="BJ57" s="129">
        <v>1.57</v>
      </c>
      <c r="BK57" s="129">
        <v>1.58</v>
      </c>
      <c r="BL57" s="129">
        <v>1.59</v>
      </c>
      <c r="BM57" s="129">
        <v>1.59</v>
      </c>
      <c r="BN57" s="129">
        <v>1.6</v>
      </c>
      <c r="BO57" s="129">
        <v>1.61</v>
      </c>
      <c r="BP57" s="129">
        <v>1.61</v>
      </c>
      <c r="BQ57" s="129">
        <v>1.62</v>
      </c>
      <c r="BR57" s="129">
        <v>1.63</v>
      </c>
      <c r="BS57" s="129">
        <v>1.64</v>
      </c>
      <c r="BT57" s="129">
        <v>1.64</v>
      </c>
      <c r="BU57" s="129">
        <v>1.65</v>
      </c>
      <c r="BV57" s="129">
        <v>1.66</v>
      </c>
      <c r="BW57" s="129">
        <v>1.67</v>
      </c>
      <c r="BX57" s="129">
        <v>1.68</v>
      </c>
      <c r="BY57" s="129">
        <v>1.68</v>
      </c>
      <c r="BZ57" s="129">
        <v>1.69</v>
      </c>
      <c r="CA57" s="129">
        <v>1.7</v>
      </c>
      <c r="CB57" s="129">
        <v>1.71</v>
      </c>
      <c r="CC57" s="129">
        <v>1.72</v>
      </c>
      <c r="CD57" s="129">
        <v>1.73</v>
      </c>
      <c r="CE57" s="129">
        <v>1.74</v>
      </c>
      <c r="CF57" s="129">
        <v>1.75</v>
      </c>
      <c r="CG57" s="129">
        <v>1.76</v>
      </c>
      <c r="CH57" s="129">
        <v>1.77</v>
      </c>
      <c r="CI57" s="129">
        <v>1.78</v>
      </c>
      <c r="CJ57" s="129">
        <v>1.79</v>
      </c>
      <c r="CK57" s="129">
        <v>1.81</v>
      </c>
      <c r="CL57" s="129">
        <v>1.82</v>
      </c>
      <c r="CM57" s="129">
        <v>1.83</v>
      </c>
      <c r="CN57" s="129">
        <v>1.84</v>
      </c>
      <c r="CO57" s="129">
        <v>1.86</v>
      </c>
      <c r="CP57" s="129">
        <v>1.87</v>
      </c>
      <c r="CQ57" s="129">
        <v>1.89</v>
      </c>
      <c r="CR57" s="129">
        <v>1.9</v>
      </c>
      <c r="CS57" s="129">
        <v>1.92</v>
      </c>
      <c r="CT57" s="129">
        <v>1.93</v>
      </c>
      <c r="CU57" s="129">
        <v>1.95</v>
      </c>
      <c r="CV57" s="129">
        <v>1.96</v>
      </c>
      <c r="CW57" s="129">
        <v>1.98</v>
      </c>
      <c r="CX57" s="129">
        <v>2</v>
      </c>
      <c r="CZ57" s="126">
        <f>SUMIF(MatrixF4[[1]:[2]],MatrixF4[[#This Row],[Столбец1]])/MatrixF4[[#This Row],[Столбец1]]</f>
        <v>122.99999999999996</v>
      </c>
    </row>
    <row r="58" spans="1:104" ht="21" customHeight="1" x14ac:dyDescent="0.25">
      <c r="A58" s="127">
        <v>1.55</v>
      </c>
      <c r="B58" s="129">
        <v>1.55</v>
      </c>
      <c r="C58" s="129">
        <v>1.55</v>
      </c>
      <c r="D58" s="129">
        <v>1.55</v>
      </c>
      <c r="E58" s="129">
        <v>1.55</v>
      </c>
      <c r="F58" s="129">
        <v>1.55</v>
      </c>
      <c r="G58" s="129">
        <v>1.55</v>
      </c>
      <c r="H58" s="129">
        <v>1.55</v>
      </c>
      <c r="I58" s="129">
        <v>1.55</v>
      </c>
      <c r="J58" s="129">
        <v>1.55</v>
      </c>
      <c r="K58" s="129">
        <v>1.55</v>
      </c>
      <c r="L58" s="129">
        <v>1.55</v>
      </c>
      <c r="M58" s="129">
        <v>1.55</v>
      </c>
      <c r="N58" s="129">
        <v>1.55</v>
      </c>
      <c r="O58" s="129">
        <v>1.55</v>
      </c>
      <c r="P58" s="129">
        <v>1.55</v>
      </c>
      <c r="Q58" s="129">
        <v>1.55</v>
      </c>
      <c r="R58" s="129">
        <v>1.55</v>
      </c>
      <c r="S58" s="129">
        <v>1.55</v>
      </c>
      <c r="T58" s="129">
        <v>1.55</v>
      </c>
      <c r="U58" s="129">
        <v>1.55</v>
      </c>
      <c r="V58" s="129">
        <v>1.55</v>
      </c>
      <c r="W58" s="129">
        <v>1.55</v>
      </c>
      <c r="X58" s="129">
        <v>1.55</v>
      </c>
      <c r="Y58" s="129">
        <v>1.55</v>
      </c>
      <c r="Z58" s="129">
        <v>1.55</v>
      </c>
      <c r="AA58" s="129">
        <v>1.55</v>
      </c>
      <c r="AB58" s="129">
        <v>1.55</v>
      </c>
      <c r="AC58" s="129">
        <v>1.55</v>
      </c>
      <c r="AD58" s="129">
        <v>1.55</v>
      </c>
      <c r="AE58" s="129">
        <v>1.55</v>
      </c>
      <c r="AF58" s="129">
        <v>1.55</v>
      </c>
      <c r="AG58" s="129">
        <v>1.55</v>
      </c>
      <c r="AH58" s="129">
        <v>1.55</v>
      </c>
      <c r="AI58" s="129">
        <v>1.55</v>
      </c>
      <c r="AJ58" s="129">
        <v>1.55</v>
      </c>
      <c r="AK58" s="129">
        <v>1.55</v>
      </c>
      <c r="AL58" s="129">
        <v>1.55</v>
      </c>
      <c r="AM58" s="129">
        <v>1.55</v>
      </c>
      <c r="AN58" s="129">
        <v>1.55</v>
      </c>
      <c r="AO58" s="129">
        <v>1.55</v>
      </c>
      <c r="AP58" s="129">
        <v>1.55</v>
      </c>
      <c r="AQ58" s="129">
        <v>1.55</v>
      </c>
      <c r="AR58" s="129">
        <v>1.55</v>
      </c>
      <c r="AS58" s="129">
        <v>1.55</v>
      </c>
      <c r="AT58" s="129">
        <v>1.55</v>
      </c>
      <c r="AU58" s="129">
        <v>1.55</v>
      </c>
      <c r="AV58" s="129">
        <v>1.55</v>
      </c>
      <c r="AW58" s="129">
        <v>1.54</v>
      </c>
      <c r="AX58" s="129">
        <v>1.54</v>
      </c>
      <c r="AY58" s="129">
        <v>1.53</v>
      </c>
      <c r="AZ58" s="129">
        <v>1.53</v>
      </c>
      <c r="BA58" s="129">
        <v>1.53</v>
      </c>
      <c r="BB58" s="129">
        <v>1.54</v>
      </c>
      <c r="BC58" s="129">
        <v>1.54</v>
      </c>
      <c r="BD58" s="129">
        <v>1.55</v>
      </c>
      <c r="BE58" s="129">
        <v>1.55</v>
      </c>
      <c r="BF58" s="129">
        <v>1.56</v>
      </c>
      <c r="BG58" s="129">
        <v>1.56</v>
      </c>
      <c r="BH58" s="129">
        <v>1.57</v>
      </c>
      <c r="BI58" s="129">
        <v>1.57</v>
      </c>
      <c r="BJ58" s="129">
        <v>1.58</v>
      </c>
      <c r="BK58" s="129">
        <v>1.59</v>
      </c>
      <c r="BL58" s="129">
        <v>1.59</v>
      </c>
      <c r="BM58" s="129">
        <v>1.6</v>
      </c>
      <c r="BN58" s="129">
        <v>1.6</v>
      </c>
      <c r="BO58" s="129">
        <v>1.61</v>
      </c>
      <c r="BP58" s="129">
        <v>1.62</v>
      </c>
      <c r="BQ58" s="129">
        <v>1.63</v>
      </c>
      <c r="BR58" s="129">
        <v>1.63</v>
      </c>
      <c r="BS58" s="129">
        <v>1.64</v>
      </c>
      <c r="BT58" s="129">
        <v>1.65</v>
      </c>
      <c r="BU58" s="129">
        <v>1.65</v>
      </c>
      <c r="BV58" s="129">
        <v>1.66</v>
      </c>
      <c r="BW58" s="129">
        <v>1.67</v>
      </c>
      <c r="BX58" s="129">
        <v>1.68</v>
      </c>
      <c r="BY58" s="129">
        <v>1.69</v>
      </c>
      <c r="BZ58" s="129">
        <v>1.7</v>
      </c>
      <c r="CA58" s="129">
        <v>1.71</v>
      </c>
      <c r="CB58" s="129">
        <v>1.71</v>
      </c>
      <c r="CC58" s="129">
        <v>1.72</v>
      </c>
      <c r="CD58" s="129">
        <v>1.73</v>
      </c>
      <c r="CE58" s="129">
        <v>1.74</v>
      </c>
      <c r="CF58" s="129">
        <v>1.75</v>
      </c>
      <c r="CG58" s="129">
        <v>1.76</v>
      </c>
      <c r="CH58" s="129">
        <v>1.77</v>
      </c>
      <c r="CI58" s="129">
        <v>1.79</v>
      </c>
      <c r="CJ58" s="129">
        <v>1.8</v>
      </c>
      <c r="CK58" s="129">
        <v>1.81</v>
      </c>
      <c r="CL58" s="129">
        <v>1.82</v>
      </c>
      <c r="CM58" s="129">
        <v>1.83</v>
      </c>
      <c r="CN58" s="129">
        <v>1.85</v>
      </c>
      <c r="CO58" s="129">
        <v>1.86</v>
      </c>
      <c r="CP58" s="129">
        <v>1.87</v>
      </c>
      <c r="CQ58" s="129">
        <v>1.89</v>
      </c>
      <c r="CR58" s="129">
        <v>1.9</v>
      </c>
      <c r="CS58" s="129">
        <v>1.92</v>
      </c>
      <c r="CT58" s="129">
        <v>1.93</v>
      </c>
      <c r="CU58" s="129">
        <v>1.95</v>
      </c>
      <c r="CV58" s="129">
        <v>1.96</v>
      </c>
      <c r="CW58" s="129">
        <v>1.98</v>
      </c>
      <c r="CX58" s="129">
        <v>2</v>
      </c>
      <c r="CZ58" s="126">
        <f>SUMIF(MatrixF4[[1]:[2]],MatrixF4[[#This Row],[Столбец1]])/MatrixF4[[#This Row],[Столбец1]]</f>
        <v>127.00000000000021</v>
      </c>
    </row>
    <row r="59" spans="1:104" ht="21" customHeight="1" x14ac:dyDescent="0.25">
      <c r="A59" s="127">
        <v>1.56</v>
      </c>
      <c r="B59" s="129">
        <v>1.56</v>
      </c>
      <c r="C59" s="129">
        <v>1.56</v>
      </c>
      <c r="D59" s="129">
        <v>1.56</v>
      </c>
      <c r="E59" s="129">
        <v>1.56</v>
      </c>
      <c r="F59" s="129">
        <v>1.56</v>
      </c>
      <c r="G59" s="129">
        <v>1.56</v>
      </c>
      <c r="H59" s="129">
        <v>1.56</v>
      </c>
      <c r="I59" s="129">
        <v>1.56</v>
      </c>
      <c r="J59" s="129">
        <v>1.56</v>
      </c>
      <c r="K59" s="129">
        <v>1.56</v>
      </c>
      <c r="L59" s="129">
        <v>1.56</v>
      </c>
      <c r="M59" s="129">
        <v>1.56</v>
      </c>
      <c r="N59" s="129">
        <v>1.56</v>
      </c>
      <c r="O59" s="129">
        <v>1.56</v>
      </c>
      <c r="P59" s="129">
        <v>1.56</v>
      </c>
      <c r="Q59" s="129">
        <v>1.56</v>
      </c>
      <c r="R59" s="129">
        <v>1.56</v>
      </c>
      <c r="S59" s="129">
        <v>1.56</v>
      </c>
      <c r="T59" s="129">
        <v>1.56</v>
      </c>
      <c r="U59" s="129">
        <v>1.56</v>
      </c>
      <c r="V59" s="129">
        <v>1.56</v>
      </c>
      <c r="W59" s="129">
        <v>1.56</v>
      </c>
      <c r="X59" s="129">
        <v>1.56</v>
      </c>
      <c r="Y59" s="129">
        <v>1.56</v>
      </c>
      <c r="Z59" s="129">
        <v>1.56</v>
      </c>
      <c r="AA59" s="129">
        <v>1.56</v>
      </c>
      <c r="AB59" s="129">
        <v>1.56</v>
      </c>
      <c r="AC59" s="129">
        <v>1.56</v>
      </c>
      <c r="AD59" s="129">
        <v>1.56</v>
      </c>
      <c r="AE59" s="129">
        <v>1.56</v>
      </c>
      <c r="AF59" s="129">
        <v>1.56</v>
      </c>
      <c r="AG59" s="129">
        <v>1.56</v>
      </c>
      <c r="AH59" s="129">
        <v>1.56</v>
      </c>
      <c r="AI59" s="129">
        <v>1.56</v>
      </c>
      <c r="AJ59" s="129">
        <v>1.56</v>
      </c>
      <c r="AK59" s="129">
        <v>1.56</v>
      </c>
      <c r="AL59" s="129">
        <v>1.56</v>
      </c>
      <c r="AM59" s="129">
        <v>1.56</v>
      </c>
      <c r="AN59" s="129">
        <v>1.56</v>
      </c>
      <c r="AO59" s="129">
        <v>1.56</v>
      </c>
      <c r="AP59" s="129">
        <v>1.56</v>
      </c>
      <c r="AQ59" s="129">
        <v>1.56</v>
      </c>
      <c r="AR59" s="129">
        <v>1.56</v>
      </c>
      <c r="AS59" s="129">
        <v>1.56</v>
      </c>
      <c r="AT59" s="129">
        <v>1.56</v>
      </c>
      <c r="AU59" s="129">
        <v>1.56</v>
      </c>
      <c r="AV59" s="129">
        <v>1.55</v>
      </c>
      <c r="AW59" s="129">
        <v>1.55</v>
      </c>
      <c r="AX59" s="129">
        <v>1.54</v>
      </c>
      <c r="AY59" s="129">
        <v>1.54</v>
      </c>
      <c r="AZ59" s="129">
        <v>1.53</v>
      </c>
      <c r="BA59" s="129">
        <v>1.54</v>
      </c>
      <c r="BB59" s="129">
        <v>1.54</v>
      </c>
      <c r="BC59" s="129">
        <v>1.55</v>
      </c>
      <c r="BD59" s="129">
        <v>1.55</v>
      </c>
      <c r="BE59" s="129">
        <v>1.56</v>
      </c>
      <c r="BF59" s="129">
        <v>1.56</v>
      </c>
      <c r="BG59" s="129">
        <v>1.57</v>
      </c>
      <c r="BH59" s="129">
        <v>1.57</v>
      </c>
      <c r="BI59" s="129">
        <v>1.58</v>
      </c>
      <c r="BJ59" s="129">
        <v>1.58</v>
      </c>
      <c r="BK59" s="129">
        <v>1.59</v>
      </c>
      <c r="BL59" s="129">
        <v>1.6</v>
      </c>
      <c r="BM59" s="129">
        <v>1.6</v>
      </c>
      <c r="BN59" s="129">
        <v>1.61</v>
      </c>
      <c r="BO59" s="129">
        <v>1.62</v>
      </c>
      <c r="BP59" s="129">
        <v>1.62</v>
      </c>
      <c r="BQ59" s="129">
        <v>1.63</v>
      </c>
      <c r="BR59" s="129">
        <v>1.64</v>
      </c>
      <c r="BS59" s="129">
        <v>1.64</v>
      </c>
      <c r="BT59" s="129">
        <v>1.65</v>
      </c>
      <c r="BU59" s="129">
        <v>1.66</v>
      </c>
      <c r="BV59" s="129">
        <v>1.67</v>
      </c>
      <c r="BW59" s="129">
        <v>1.67</v>
      </c>
      <c r="BX59" s="129">
        <v>1.68</v>
      </c>
      <c r="BY59" s="129">
        <v>1.69</v>
      </c>
      <c r="BZ59" s="129">
        <v>1.7</v>
      </c>
      <c r="CA59" s="129">
        <v>1.71</v>
      </c>
      <c r="CB59" s="129">
        <v>1.72</v>
      </c>
      <c r="CC59" s="129">
        <v>1.73</v>
      </c>
      <c r="CD59" s="129">
        <v>1.74</v>
      </c>
      <c r="CE59" s="129">
        <v>1.75</v>
      </c>
      <c r="CF59" s="129">
        <v>1.76</v>
      </c>
      <c r="CG59" s="129">
        <v>1.77</v>
      </c>
      <c r="CH59" s="129">
        <v>1.78</v>
      </c>
      <c r="CI59" s="129">
        <v>1.79</v>
      </c>
      <c r="CJ59" s="129">
        <v>1.8</v>
      </c>
      <c r="CK59" s="129">
        <v>1.81</v>
      </c>
      <c r="CL59" s="129">
        <v>1.82</v>
      </c>
      <c r="CM59" s="129">
        <v>1.84</v>
      </c>
      <c r="CN59" s="129">
        <v>1.85</v>
      </c>
      <c r="CO59" s="129">
        <v>1.86</v>
      </c>
      <c r="CP59" s="129">
        <v>1.88</v>
      </c>
      <c r="CQ59" s="129">
        <v>1.89</v>
      </c>
      <c r="CR59" s="129">
        <v>1.9</v>
      </c>
      <c r="CS59" s="129">
        <v>1.92</v>
      </c>
      <c r="CT59" s="129">
        <v>1.93</v>
      </c>
      <c r="CU59" s="129">
        <v>1.95</v>
      </c>
      <c r="CV59" s="129">
        <v>1.97</v>
      </c>
      <c r="CW59" s="129">
        <v>1.98</v>
      </c>
      <c r="CX59" s="129">
        <v>2</v>
      </c>
      <c r="CZ59" s="126">
        <f>SUMIF(MatrixF4[[1]:[2]],MatrixF4[[#This Row],[Столбец1]])/MatrixF4[[#This Row],[Столбец1]]</f>
        <v>127.00000000000014</v>
      </c>
    </row>
    <row r="60" spans="1:104" ht="21" customHeight="1" x14ac:dyDescent="0.25">
      <c r="A60" s="127">
        <v>1.57</v>
      </c>
      <c r="B60" s="129">
        <v>1.57</v>
      </c>
      <c r="C60" s="129">
        <v>1.57</v>
      </c>
      <c r="D60" s="129">
        <v>1.57</v>
      </c>
      <c r="E60" s="129">
        <v>1.57</v>
      </c>
      <c r="F60" s="129">
        <v>1.57</v>
      </c>
      <c r="G60" s="129">
        <v>1.57</v>
      </c>
      <c r="H60" s="129">
        <v>1.57</v>
      </c>
      <c r="I60" s="129">
        <v>1.57</v>
      </c>
      <c r="J60" s="129">
        <v>1.57</v>
      </c>
      <c r="K60" s="129">
        <v>1.57</v>
      </c>
      <c r="L60" s="129">
        <v>1.57</v>
      </c>
      <c r="M60" s="129">
        <v>1.57</v>
      </c>
      <c r="N60" s="129">
        <v>1.57</v>
      </c>
      <c r="O60" s="129">
        <v>1.57</v>
      </c>
      <c r="P60" s="129">
        <v>1.57</v>
      </c>
      <c r="Q60" s="129">
        <v>1.57</v>
      </c>
      <c r="R60" s="129">
        <v>1.57</v>
      </c>
      <c r="S60" s="129">
        <v>1.57</v>
      </c>
      <c r="T60" s="129">
        <v>1.57</v>
      </c>
      <c r="U60" s="129">
        <v>1.57</v>
      </c>
      <c r="V60" s="129">
        <v>1.57</v>
      </c>
      <c r="W60" s="129">
        <v>1.57</v>
      </c>
      <c r="X60" s="129">
        <v>1.57</v>
      </c>
      <c r="Y60" s="129">
        <v>1.57</v>
      </c>
      <c r="Z60" s="129">
        <v>1.57</v>
      </c>
      <c r="AA60" s="129">
        <v>1.57</v>
      </c>
      <c r="AB60" s="129">
        <v>1.57</v>
      </c>
      <c r="AC60" s="129">
        <v>1.57</v>
      </c>
      <c r="AD60" s="129">
        <v>1.57</v>
      </c>
      <c r="AE60" s="129">
        <v>1.57</v>
      </c>
      <c r="AF60" s="129">
        <v>1.57</v>
      </c>
      <c r="AG60" s="129">
        <v>1.57</v>
      </c>
      <c r="AH60" s="129">
        <v>1.57</v>
      </c>
      <c r="AI60" s="129">
        <v>1.57</v>
      </c>
      <c r="AJ60" s="129">
        <v>1.57</v>
      </c>
      <c r="AK60" s="129">
        <v>1.57</v>
      </c>
      <c r="AL60" s="129">
        <v>1.57</v>
      </c>
      <c r="AM60" s="129">
        <v>1.57</v>
      </c>
      <c r="AN60" s="129">
        <v>1.57</v>
      </c>
      <c r="AO60" s="129">
        <v>1.57</v>
      </c>
      <c r="AP60" s="129">
        <v>1.57</v>
      </c>
      <c r="AQ60" s="129">
        <v>1.57</v>
      </c>
      <c r="AR60" s="129">
        <v>1.57</v>
      </c>
      <c r="AS60" s="129">
        <v>1.57</v>
      </c>
      <c r="AT60" s="129">
        <v>1.57</v>
      </c>
      <c r="AU60" s="129">
        <v>1.56</v>
      </c>
      <c r="AV60" s="129">
        <v>1.56</v>
      </c>
      <c r="AW60" s="129">
        <v>1.55</v>
      </c>
      <c r="AX60" s="129">
        <v>1.55</v>
      </c>
      <c r="AY60" s="129">
        <v>1.54</v>
      </c>
      <c r="AZ60" s="129">
        <v>1.54</v>
      </c>
      <c r="BA60" s="129">
        <v>1.54</v>
      </c>
      <c r="BB60" s="129">
        <v>1.55</v>
      </c>
      <c r="BC60" s="129">
        <v>1.55</v>
      </c>
      <c r="BD60" s="129">
        <v>1.56</v>
      </c>
      <c r="BE60" s="129">
        <v>1.56</v>
      </c>
      <c r="BF60" s="129">
        <v>1.57</v>
      </c>
      <c r="BG60" s="129">
        <v>1.57</v>
      </c>
      <c r="BH60" s="129">
        <v>1.58</v>
      </c>
      <c r="BI60" s="129">
        <v>1.58</v>
      </c>
      <c r="BJ60" s="129">
        <v>1.59</v>
      </c>
      <c r="BK60" s="129">
        <v>1.59</v>
      </c>
      <c r="BL60" s="129">
        <v>1.6</v>
      </c>
      <c r="BM60" s="129">
        <v>1.61</v>
      </c>
      <c r="BN60" s="129">
        <v>1.61</v>
      </c>
      <c r="BO60" s="129">
        <v>1.62</v>
      </c>
      <c r="BP60" s="129">
        <v>1.63</v>
      </c>
      <c r="BQ60" s="129">
        <v>1.63</v>
      </c>
      <c r="BR60" s="129">
        <v>1.64</v>
      </c>
      <c r="BS60" s="129">
        <v>1.65</v>
      </c>
      <c r="BT60" s="129">
        <v>1.66</v>
      </c>
      <c r="BU60" s="129">
        <v>1.66</v>
      </c>
      <c r="BV60" s="129">
        <v>1.67</v>
      </c>
      <c r="BW60" s="129">
        <v>1.68</v>
      </c>
      <c r="BX60" s="129">
        <v>1.69</v>
      </c>
      <c r="BY60" s="129">
        <v>1.7</v>
      </c>
      <c r="BZ60" s="129">
        <v>1.7</v>
      </c>
      <c r="CA60" s="129">
        <v>1.71</v>
      </c>
      <c r="CB60" s="129">
        <v>1.72</v>
      </c>
      <c r="CC60" s="129">
        <v>1.73</v>
      </c>
      <c r="CD60" s="129">
        <v>1.74</v>
      </c>
      <c r="CE60" s="129">
        <v>1.75</v>
      </c>
      <c r="CF60" s="129">
        <v>1.76</v>
      </c>
      <c r="CG60" s="129">
        <v>1.77</v>
      </c>
      <c r="CH60" s="129">
        <v>1.78</v>
      </c>
      <c r="CI60" s="129">
        <v>1.79</v>
      </c>
      <c r="CJ60" s="129">
        <v>1.8</v>
      </c>
      <c r="CK60" s="129">
        <v>1.81</v>
      </c>
      <c r="CL60" s="129">
        <v>1.83</v>
      </c>
      <c r="CM60" s="129">
        <v>1.84</v>
      </c>
      <c r="CN60" s="129">
        <v>1.85</v>
      </c>
      <c r="CO60" s="129">
        <v>1.86</v>
      </c>
      <c r="CP60" s="129">
        <v>1.88</v>
      </c>
      <c r="CQ60" s="129">
        <v>1.89</v>
      </c>
      <c r="CR60" s="129">
        <v>1.9</v>
      </c>
      <c r="CS60" s="129">
        <v>1.92</v>
      </c>
      <c r="CT60" s="129">
        <v>1.93</v>
      </c>
      <c r="CU60" s="129">
        <v>1.95</v>
      </c>
      <c r="CV60" s="129">
        <v>1.97</v>
      </c>
      <c r="CW60" s="129">
        <v>1.98</v>
      </c>
      <c r="CX60" s="129">
        <v>2</v>
      </c>
      <c r="CZ60" s="126">
        <f>SUMIF(MatrixF4[[1]:[2]],MatrixF4[[#This Row],[Столбец1]])/MatrixF4[[#This Row],[Столбец1]]</f>
        <v>136.99999999999957</v>
      </c>
    </row>
    <row r="61" spans="1:104" ht="21" customHeight="1" x14ac:dyDescent="0.25">
      <c r="A61" s="127">
        <v>1.58</v>
      </c>
      <c r="B61" s="129">
        <v>1.58</v>
      </c>
      <c r="C61" s="129">
        <v>1.58</v>
      </c>
      <c r="D61" s="129">
        <v>1.58</v>
      </c>
      <c r="E61" s="129">
        <v>1.58</v>
      </c>
      <c r="F61" s="129">
        <v>1.58</v>
      </c>
      <c r="G61" s="129">
        <v>1.58</v>
      </c>
      <c r="H61" s="129">
        <v>1.58</v>
      </c>
      <c r="I61" s="129">
        <v>1.58</v>
      </c>
      <c r="J61" s="129">
        <v>1.58</v>
      </c>
      <c r="K61" s="129">
        <v>1.58</v>
      </c>
      <c r="L61" s="129">
        <v>1.58</v>
      </c>
      <c r="M61" s="129">
        <v>1.58</v>
      </c>
      <c r="N61" s="129">
        <v>1.58</v>
      </c>
      <c r="O61" s="129">
        <v>1.58</v>
      </c>
      <c r="P61" s="129">
        <v>1.58</v>
      </c>
      <c r="Q61" s="129">
        <v>1.58</v>
      </c>
      <c r="R61" s="129">
        <v>1.58</v>
      </c>
      <c r="S61" s="129">
        <v>1.58</v>
      </c>
      <c r="T61" s="129">
        <v>1.58</v>
      </c>
      <c r="U61" s="129">
        <v>1.58</v>
      </c>
      <c r="V61" s="129">
        <v>1.58</v>
      </c>
      <c r="W61" s="129">
        <v>1.58</v>
      </c>
      <c r="X61" s="129">
        <v>1.58</v>
      </c>
      <c r="Y61" s="129">
        <v>1.58</v>
      </c>
      <c r="Z61" s="129">
        <v>1.58</v>
      </c>
      <c r="AA61" s="129">
        <v>1.58</v>
      </c>
      <c r="AB61" s="129">
        <v>1.58</v>
      </c>
      <c r="AC61" s="129">
        <v>1.58</v>
      </c>
      <c r="AD61" s="129">
        <v>1.58</v>
      </c>
      <c r="AE61" s="129">
        <v>1.58</v>
      </c>
      <c r="AF61" s="129">
        <v>1.58</v>
      </c>
      <c r="AG61" s="129">
        <v>1.58</v>
      </c>
      <c r="AH61" s="129">
        <v>1.58</v>
      </c>
      <c r="AI61" s="129">
        <v>1.58</v>
      </c>
      <c r="AJ61" s="129">
        <v>1.58</v>
      </c>
      <c r="AK61" s="129">
        <v>1.58</v>
      </c>
      <c r="AL61" s="129">
        <v>1.58</v>
      </c>
      <c r="AM61" s="129">
        <v>1.58</v>
      </c>
      <c r="AN61" s="129">
        <v>1.58</v>
      </c>
      <c r="AO61" s="129">
        <v>1.58</v>
      </c>
      <c r="AP61" s="129">
        <v>1.58</v>
      </c>
      <c r="AQ61" s="129">
        <v>1.58</v>
      </c>
      <c r="AR61" s="129">
        <v>1.58</v>
      </c>
      <c r="AS61" s="129">
        <v>1.58</v>
      </c>
      <c r="AT61" s="129">
        <v>1.57</v>
      </c>
      <c r="AU61" s="129">
        <v>1.57</v>
      </c>
      <c r="AV61" s="129">
        <v>1.56</v>
      </c>
      <c r="AW61" s="129">
        <v>1.56</v>
      </c>
      <c r="AX61" s="129">
        <v>1.55</v>
      </c>
      <c r="AY61" s="129">
        <v>1.55</v>
      </c>
      <c r="AZ61" s="129">
        <v>1.54</v>
      </c>
      <c r="BA61" s="129">
        <v>1.55</v>
      </c>
      <c r="BB61" s="129">
        <v>1.55</v>
      </c>
      <c r="BC61" s="129">
        <v>1.56</v>
      </c>
      <c r="BD61" s="129">
        <v>1.56</v>
      </c>
      <c r="BE61" s="129">
        <v>1.57</v>
      </c>
      <c r="BF61" s="129">
        <v>1.57</v>
      </c>
      <c r="BG61" s="129">
        <v>1.58</v>
      </c>
      <c r="BH61" s="129">
        <v>1.58</v>
      </c>
      <c r="BI61" s="129">
        <v>1.59</v>
      </c>
      <c r="BJ61" s="129">
        <v>1.59</v>
      </c>
      <c r="BK61" s="129">
        <v>1.6</v>
      </c>
      <c r="BL61" s="129">
        <v>1.6</v>
      </c>
      <c r="BM61" s="129">
        <v>1.61</v>
      </c>
      <c r="BN61" s="129">
        <v>1.62</v>
      </c>
      <c r="BO61" s="129">
        <v>1.62</v>
      </c>
      <c r="BP61" s="129">
        <v>1.63</v>
      </c>
      <c r="BQ61" s="129">
        <v>1.64</v>
      </c>
      <c r="BR61" s="129">
        <v>1.64</v>
      </c>
      <c r="BS61" s="129">
        <v>1.65</v>
      </c>
      <c r="BT61" s="129">
        <v>1.66</v>
      </c>
      <c r="BU61" s="129">
        <v>1.67</v>
      </c>
      <c r="BV61" s="129">
        <v>1.67</v>
      </c>
      <c r="BW61" s="129">
        <v>1.68</v>
      </c>
      <c r="BX61" s="129">
        <v>1.69</v>
      </c>
      <c r="BY61" s="129">
        <v>1.7</v>
      </c>
      <c r="BZ61" s="129">
        <v>1.71</v>
      </c>
      <c r="CA61" s="129">
        <v>1.72</v>
      </c>
      <c r="CB61" s="129">
        <v>1.73</v>
      </c>
      <c r="CC61" s="129">
        <v>1.73</v>
      </c>
      <c r="CD61" s="129">
        <v>1.74</v>
      </c>
      <c r="CE61" s="129">
        <v>1.75</v>
      </c>
      <c r="CF61" s="129">
        <v>1.76</v>
      </c>
      <c r="CG61" s="129">
        <v>1.77</v>
      </c>
      <c r="CH61" s="129">
        <v>1.78</v>
      </c>
      <c r="CI61" s="129">
        <v>1.79</v>
      </c>
      <c r="CJ61" s="129">
        <v>1.81</v>
      </c>
      <c r="CK61" s="129">
        <v>1.82</v>
      </c>
      <c r="CL61" s="129">
        <v>1.83</v>
      </c>
      <c r="CM61" s="129">
        <v>1.84</v>
      </c>
      <c r="CN61" s="129">
        <v>1.85</v>
      </c>
      <c r="CO61" s="129">
        <v>1.87</v>
      </c>
      <c r="CP61" s="129">
        <v>1.88</v>
      </c>
      <c r="CQ61" s="129">
        <v>1.89</v>
      </c>
      <c r="CR61" s="129">
        <v>1.91</v>
      </c>
      <c r="CS61" s="129">
        <v>1.92</v>
      </c>
      <c r="CT61" s="129">
        <v>1.94</v>
      </c>
      <c r="CU61" s="129">
        <v>1.95</v>
      </c>
      <c r="CV61" s="129">
        <v>1.97</v>
      </c>
      <c r="CW61" s="129">
        <v>1.98</v>
      </c>
      <c r="CX61" s="129">
        <v>2</v>
      </c>
      <c r="CZ61" s="126">
        <f>SUMIF(MatrixF4[[1]:[2]],MatrixF4[[#This Row],[Столбец1]])/MatrixF4[[#This Row],[Столбец1]]</f>
        <v>133.00000000000034</v>
      </c>
    </row>
    <row r="62" spans="1:104" ht="21" customHeight="1" x14ac:dyDescent="0.25">
      <c r="A62" s="127">
        <v>1.59</v>
      </c>
      <c r="B62" s="129">
        <v>1.59</v>
      </c>
      <c r="C62" s="129">
        <v>1.59</v>
      </c>
      <c r="D62" s="129">
        <v>1.59</v>
      </c>
      <c r="E62" s="129">
        <v>1.59</v>
      </c>
      <c r="F62" s="129">
        <v>1.59</v>
      </c>
      <c r="G62" s="129">
        <v>1.59</v>
      </c>
      <c r="H62" s="129">
        <v>1.59</v>
      </c>
      <c r="I62" s="129">
        <v>1.59</v>
      </c>
      <c r="J62" s="129">
        <v>1.59</v>
      </c>
      <c r="K62" s="129">
        <v>1.59</v>
      </c>
      <c r="L62" s="129">
        <v>1.59</v>
      </c>
      <c r="M62" s="129">
        <v>1.59</v>
      </c>
      <c r="N62" s="129">
        <v>1.59</v>
      </c>
      <c r="O62" s="129">
        <v>1.59</v>
      </c>
      <c r="P62" s="129">
        <v>1.59</v>
      </c>
      <c r="Q62" s="129">
        <v>1.59</v>
      </c>
      <c r="R62" s="129">
        <v>1.59</v>
      </c>
      <c r="S62" s="129">
        <v>1.59</v>
      </c>
      <c r="T62" s="129">
        <v>1.59</v>
      </c>
      <c r="U62" s="129">
        <v>1.59</v>
      </c>
      <c r="V62" s="129">
        <v>1.59</v>
      </c>
      <c r="W62" s="129">
        <v>1.59</v>
      </c>
      <c r="X62" s="129">
        <v>1.59</v>
      </c>
      <c r="Y62" s="129">
        <v>1.59</v>
      </c>
      <c r="Z62" s="129">
        <v>1.59</v>
      </c>
      <c r="AA62" s="129">
        <v>1.59</v>
      </c>
      <c r="AB62" s="129">
        <v>1.59</v>
      </c>
      <c r="AC62" s="129">
        <v>1.59</v>
      </c>
      <c r="AD62" s="129">
        <v>1.59</v>
      </c>
      <c r="AE62" s="129">
        <v>1.59</v>
      </c>
      <c r="AF62" s="129">
        <v>1.59</v>
      </c>
      <c r="AG62" s="129">
        <v>1.59</v>
      </c>
      <c r="AH62" s="129">
        <v>1.59</v>
      </c>
      <c r="AI62" s="129">
        <v>1.59</v>
      </c>
      <c r="AJ62" s="129">
        <v>1.59</v>
      </c>
      <c r="AK62" s="129">
        <v>1.59</v>
      </c>
      <c r="AL62" s="129">
        <v>1.59</v>
      </c>
      <c r="AM62" s="129">
        <v>1.59</v>
      </c>
      <c r="AN62" s="129">
        <v>1.59</v>
      </c>
      <c r="AO62" s="129">
        <v>1.59</v>
      </c>
      <c r="AP62" s="129">
        <v>1.59</v>
      </c>
      <c r="AQ62" s="129">
        <v>1.59</v>
      </c>
      <c r="AR62" s="129">
        <v>1.59</v>
      </c>
      <c r="AS62" s="129">
        <v>1.58</v>
      </c>
      <c r="AT62" s="129">
        <v>1.58</v>
      </c>
      <c r="AU62" s="129">
        <v>1.57</v>
      </c>
      <c r="AV62" s="129">
        <v>1.57</v>
      </c>
      <c r="AW62" s="129">
        <v>1.56</v>
      </c>
      <c r="AX62" s="129">
        <v>1.56</v>
      </c>
      <c r="AY62" s="129">
        <v>1.55</v>
      </c>
      <c r="AZ62" s="129">
        <v>1.55</v>
      </c>
      <c r="BA62" s="129">
        <v>1.55</v>
      </c>
      <c r="BB62" s="129">
        <v>1.56</v>
      </c>
      <c r="BC62" s="129">
        <v>1.56</v>
      </c>
      <c r="BD62" s="129">
        <v>1.57</v>
      </c>
      <c r="BE62" s="129">
        <v>1.57</v>
      </c>
      <c r="BF62" s="129">
        <v>1.58</v>
      </c>
      <c r="BG62" s="129">
        <v>1.58</v>
      </c>
      <c r="BH62" s="129">
        <v>1.59</v>
      </c>
      <c r="BI62" s="129">
        <v>1.59</v>
      </c>
      <c r="BJ62" s="129">
        <v>1.6</v>
      </c>
      <c r="BK62" s="129">
        <v>1.6</v>
      </c>
      <c r="BL62" s="129">
        <v>1.61</v>
      </c>
      <c r="BM62" s="129">
        <v>1.61</v>
      </c>
      <c r="BN62" s="129">
        <v>1.62</v>
      </c>
      <c r="BO62" s="129">
        <v>1.63</v>
      </c>
      <c r="BP62" s="129">
        <v>1.63</v>
      </c>
      <c r="BQ62" s="129">
        <v>1.64</v>
      </c>
      <c r="BR62" s="129">
        <v>1.65</v>
      </c>
      <c r="BS62" s="129">
        <v>1.66</v>
      </c>
      <c r="BT62" s="129">
        <v>1.66</v>
      </c>
      <c r="BU62" s="129">
        <v>1.67</v>
      </c>
      <c r="BV62" s="129">
        <v>1.68</v>
      </c>
      <c r="BW62" s="129">
        <v>1.69</v>
      </c>
      <c r="BX62" s="129">
        <v>1.69</v>
      </c>
      <c r="BY62" s="129">
        <v>1.7</v>
      </c>
      <c r="BZ62" s="129">
        <v>1.71</v>
      </c>
      <c r="CA62" s="129">
        <v>1.72</v>
      </c>
      <c r="CB62" s="129">
        <v>1.73</v>
      </c>
      <c r="CC62" s="129">
        <v>1.74</v>
      </c>
      <c r="CD62" s="129">
        <v>1.75</v>
      </c>
      <c r="CE62" s="129">
        <v>1.76</v>
      </c>
      <c r="CF62" s="129">
        <v>1.77</v>
      </c>
      <c r="CG62" s="129">
        <v>1.78</v>
      </c>
      <c r="CH62" s="129">
        <v>1.79</v>
      </c>
      <c r="CI62" s="129">
        <v>1.8</v>
      </c>
      <c r="CJ62" s="129">
        <v>1.81</v>
      </c>
      <c r="CK62" s="129">
        <v>1.82</v>
      </c>
      <c r="CL62" s="129">
        <v>1.83</v>
      </c>
      <c r="CM62" s="129">
        <v>1.84</v>
      </c>
      <c r="CN62" s="129">
        <v>1.86</v>
      </c>
      <c r="CO62" s="129">
        <v>1.87</v>
      </c>
      <c r="CP62" s="129">
        <v>1.88</v>
      </c>
      <c r="CQ62" s="129">
        <v>1.89</v>
      </c>
      <c r="CR62" s="129">
        <v>1.91</v>
      </c>
      <c r="CS62" s="129">
        <v>1.92</v>
      </c>
      <c r="CT62" s="129">
        <v>1.94</v>
      </c>
      <c r="CU62" s="129">
        <v>1.95</v>
      </c>
      <c r="CV62" s="129">
        <v>1.97</v>
      </c>
      <c r="CW62" s="129">
        <v>1.98</v>
      </c>
      <c r="CX62" s="129">
        <v>2</v>
      </c>
      <c r="CZ62" s="126">
        <f>SUMIF(MatrixF4[[1]:[2]],MatrixF4[[#This Row],[Столбец1]])/MatrixF4[[#This Row],[Столбец1]]</f>
        <v>139.00000000000023</v>
      </c>
    </row>
    <row r="63" spans="1:104" ht="21" customHeight="1" x14ac:dyDescent="0.25">
      <c r="A63" s="127">
        <v>1.6</v>
      </c>
      <c r="B63" s="129">
        <v>1.6</v>
      </c>
      <c r="C63" s="129">
        <v>1.6</v>
      </c>
      <c r="D63" s="129">
        <v>1.6</v>
      </c>
      <c r="E63" s="129">
        <v>1.6</v>
      </c>
      <c r="F63" s="129">
        <v>1.6</v>
      </c>
      <c r="G63" s="129">
        <v>1.6</v>
      </c>
      <c r="H63" s="129">
        <v>1.6</v>
      </c>
      <c r="I63" s="129">
        <v>1.6</v>
      </c>
      <c r="J63" s="129">
        <v>1.6</v>
      </c>
      <c r="K63" s="129">
        <v>1.6</v>
      </c>
      <c r="L63" s="129">
        <v>1.6</v>
      </c>
      <c r="M63" s="129">
        <v>1.6</v>
      </c>
      <c r="N63" s="129">
        <v>1.6</v>
      </c>
      <c r="O63" s="129">
        <v>1.6</v>
      </c>
      <c r="P63" s="129">
        <v>1.6</v>
      </c>
      <c r="Q63" s="129">
        <v>1.6</v>
      </c>
      <c r="R63" s="129">
        <v>1.6</v>
      </c>
      <c r="S63" s="129">
        <v>1.6</v>
      </c>
      <c r="T63" s="129">
        <v>1.6</v>
      </c>
      <c r="U63" s="129">
        <v>1.6</v>
      </c>
      <c r="V63" s="129">
        <v>1.6</v>
      </c>
      <c r="W63" s="129">
        <v>1.6</v>
      </c>
      <c r="X63" s="129">
        <v>1.6</v>
      </c>
      <c r="Y63" s="129">
        <v>1.6</v>
      </c>
      <c r="Z63" s="129">
        <v>1.6</v>
      </c>
      <c r="AA63" s="129">
        <v>1.6</v>
      </c>
      <c r="AB63" s="129">
        <v>1.6</v>
      </c>
      <c r="AC63" s="129">
        <v>1.6</v>
      </c>
      <c r="AD63" s="129">
        <v>1.6</v>
      </c>
      <c r="AE63" s="129">
        <v>1.6</v>
      </c>
      <c r="AF63" s="129">
        <v>1.6</v>
      </c>
      <c r="AG63" s="129">
        <v>1.6</v>
      </c>
      <c r="AH63" s="129">
        <v>1.6</v>
      </c>
      <c r="AI63" s="129">
        <v>1.6</v>
      </c>
      <c r="AJ63" s="129">
        <v>1.6</v>
      </c>
      <c r="AK63" s="129">
        <v>1.6</v>
      </c>
      <c r="AL63" s="129">
        <v>1.6</v>
      </c>
      <c r="AM63" s="129">
        <v>1.6</v>
      </c>
      <c r="AN63" s="129">
        <v>1.6</v>
      </c>
      <c r="AO63" s="129">
        <v>1.6</v>
      </c>
      <c r="AP63" s="129">
        <v>1.6</v>
      </c>
      <c r="AQ63" s="129">
        <v>1.6</v>
      </c>
      <c r="AR63" s="129">
        <v>1.59</v>
      </c>
      <c r="AS63" s="129">
        <v>1.59</v>
      </c>
      <c r="AT63" s="129">
        <v>1.58</v>
      </c>
      <c r="AU63" s="129">
        <v>1.58</v>
      </c>
      <c r="AV63" s="129">
        <v>1.57</v>
      </c>
      <c r="AW63" s="129">
        <v>1.57</v>
      </c>
      <c r="AX63" s="129">
        <v>1.57</v>
      </c>
      <c r="AY63" s="129">
        <v>1.56</v>
      </c>
      <c r="AZ63" s="129">
        <v>1.56</v>
      </c>
      <c r="BA63" s="129">
        <v>1.56</v>
      </c>
      <c r="BB63" s="129">
        <v>1.57</v>
      </c>
      <c r="BC63" s="129">
        <v>1.57</v>
      </c>
      <c r="BD63" s="129">
        <v>1.57</v>
      </c>
      <c r="BE63" s="129">
        <v>1.58</v>
      </c>
      <c r="BF63" s="129">
        <v>1.58</v>
      </c>
      <c r="BG63" s="129">
        <v>1.59</v>
      </c>
      <c r="BH63" s="129">
        <v>1.59</v>
      </c>
      <c r="BI63" s="129">
        <v>1.6</v>
      </c>
      <c r="BJ63" s="129">
        <v>1.6</v>
      </c>
      <c r="BK63" s="129">
        <v>1.61</v>
      </c>
      <c r="BL63" s="129">
        <v>1.61</v>
      </c>
      <c r="BM63" s="129">
        <v>1.62</v>
      </c>
      <c r="BN63" s="129">
        <v>1.62</v>
      </c>
      <c r="BO63" s="129">
        <v>1.63</v>
      </c>
      <c r="BP63" s="129">
        <v>1.64</v>
      </c>
      <c r="BQ63" s="129">
        <v>1.65</v>
      </c>
      <c r="BR63" s="129">
        <v>1.65</v>
      </c>
      <c r="BS63" s="129">
        <v>1.66</v>
      </c>
      <c r="BT63" s="129">
        <v>1.67</v>
      </c>
      <c r="BU63" s="129">
        <v>1.67</v>
      </c>
      <c r="BV63" s="129">
        <v>1.68</v>
      </c>
      <c r="BW63" s="129">
        <v>1.69</v>
      </c>
      <c r="BX63" s="129">
        <v>1.7</v>
      </c>
      <c r="BY63" s="129">
        <v>1.71</v>
      </c>
      <c r="BZ63" s="129">
        <v>1.71</v>
      </c>
      <c r="CA63" s="129">
        <v>1.72</v>
      </c>
      <c r="CB63" s="129">
        <v>1.73</v>
      </c>
      <c r="CC63" s="129">
        <v>1.74</v>
      </c>
      <c r="CD63" s="129">
        <v>1.75</v>
      </c>
      <c r="CE63" s="129">
        <v>1.76</v>
      </c>
      <c r="CF63" s="129">
        <v>1.77</v>
      </c>
      <c r="CG63" s="129">
        <v>1.78</v>
      </c>
      <c r="CH63" s="129">
        <v>1.79</v>
      </c>
      <c r="CI63" s="129">
        <v>1.8</v>
      </c>
      <c r="CJ63" s="129">
        <v>1.81</v>
      </c>
      <c r="CK63" s="129">
        <v>1.82</v>
      </c>
      <c r="CL63" s="129">
        <v>1.83</v>
      </c>
      <c r="CM63" s="129">
        <v>1.85</v>
      </c>
      <c r="CN63" s="129">
        <v>1.86</v>
      </c>
      <c r="CO63" s="129">
        <v>1.87</v>
      </c>
      <c r="CP63" s="129">
        <v>1.88</v>
      </c>
      <c r="CQ63" s="129">
        <v>1.9</v>
      </c>
      <c r="CR63" s="129">
        <v>1.91</v>
      </c>
      <c r="CS63" s="129">
        <v>1.92</v>
      </c>
      <c r="CT63" s="129">
        <v>1.94</v>
      </c>
      <c r="CU63" s="129">
        <v>1.95</v>
      </c>
      <c r="CV63" s="129">
        <v>1.97</v>
      </c>
      <c r="CW63" s="129">
        <v>1.98</v>
      </c>
      <c r="CX63" s="129">
        <v>2</v>
      </c>
      <c r="CZ63" s="126">
        <f>SUMIF(MatrixF4[[1]:[2]],MatrixF4[[#This Row],[Столбец1]])/MatrixF4[[#This Row],[Столбец1]]</f>
        <v>146.99999999999963</v>
      </c>
    </row>
    <row r="64" spans="1:104" ht="21" customHeight="1" x14ac:dyDescent="0.25">
      <c r="A64" s="127">
        <v>1.61</v>
      </c>
      <c r="B64" s="129">
        <v>1.61</v>
      </c>
      <c r="C64" s="129">
        <v>1.61</v>
      </c>
      <c r="D64" s="129">
        <v>1.61</v>
      </c>
      <c r="E64" s="129">
        <v>1.61</v>
      </c>
      <c r="F64" s="129">
        <v>1.61</v>
      </c>
      <c r="G64" s="129">
        <v>1.61</v>
      </c>
      <c r="H64" s="129">
        <v>1.61</v>
      </c>
      <c r="I64" s="129">
        <v>1.61</v>
      </c>
      <c r="J64" s="129">
        <v>1.61</v>
      </c>
      <c r="K64" s="129">
        <v>1.61</v>
      </c>
      <c r="L64" s="129">
        <v>1.61</v>
      </c>
      <c r="M64" s="129">
        <v>1.61</v>
      </c>
      <c r="N64" s="129">
        <v>1.61</v>
      </c>
      <c r="O64" s="129">
        <v>1.61</v>
      </c>
      <c r="P64" s="129">
        <v>1.61</v>
      </c>
      <c r="Q64" s="129">
        <v>1.61</v>
      </c>
      <c r="R64" s="129">
        <v>1.61</v>
      </c>
      <c r="S64" s="129">
        <v>1.61</v>
      </c>
      <c r="T64" s="129">
        <v>1.61</v>
      </c>
      <c r="U64" s="129">
        <v>1.61</v>
      </c>
      <c r="V64" s="129">
        <v>1.61</v>
      </c>
      <c r="W64" s="129">
        <v>1.61</v>
      </c>
      <c r="X64" s="129">
        <v>1.61</v>
      </c>
      <c r="Y64" s="129">
        <v>1.61</v>
      </c>
      <c r="Z64" s="129">
        <v>1.61</v>
      </c>
      <c r="AA64" s="129">
        <v>1.61</v>
      </c>
      <c r="AB64" s="129">
        <v>1.61</v>
      </c>
      <c r="AC64" s="129">
        <v>1.61</v>
      </c>
      <c r="AD64" s="129">
        <v>1.61</v>
      </c>
      <c r="AE64" s="129">
        <v>1.61</v>
      </c>
      <c r="AF64" s="129">
        <v>1.61</v>
      </c>
      <c r="AG64" s="129">
        <v>1.61</v>
      </c>
      <c r="AH64" s="129">
        <v>1.61</v>
      </c>
      <c r="AI64" s="129">
        <v>1.61</v>
      </c>
      <c r="AJ64" s="129">
        <v>1.61</v>
      </c>
      <c r="AK64" s="129">
        <v>1.61</v>
      </c>
      <c r="AL64" s="129">
        <v>1.61</v>
      </c>
      <c r="AM64" s="129">
        <v>1.61</v>
      </c>
      <c r="AN64" s="129">
        <v>1.61</v>
      </c>
      <c r="AO64" s="129">
        <v>1.61</v>
      </c>
      <c r="AP64" s="129">
        <v>1.61</v>
      </c>
      <c r="AQ64" s="129">
        <v>1.6</v>
      </c>
      <c r="AR64" s="129">
        <v>1.6</v>
      </c>
      <c r="AS64" s="129">
        <v>1.59</v>
      </c>
      <c r="AT64" s="129">
        <v>1.59</v>
      </c>
      <c r="AU64" s="129">
        <v>1.59</v>
      </c>
      <c r="AV64" s="129">
        <v>1.58</v>
      </c>
      <c r="AW64" s="129">
        <v>1.58</v>
      </c>
      <c r="AX64" s="129">
        <v>1.57</v>
      </c>
      <c r="AY64" s="129">
        <v>1.57</v>
      </c>
      <c r="AZ64" s="129">
        <v>1.56</v>
      </c>
      <c r="BA64" s="129">
        <v>1.57</v>
      </c>
      <c r="BB64" s="129">
        <v>1.57</v>
      </c>
      <c r="BC64" s="129">
        <v>1.58</v>
      </c>
      <c r="BD64" s="129">
        <v>1.58</v>
      </c>
      <c r="BE64" s="129">
        <v>1.59</v>
      </c>
      <c r="BF64" s="129">
        <v>1.59</v>
      </c>
      <c r="BG64" s="129">
        <v>1.59</v>
      </c>
      <c r="BH64" s="129">
        <v>1.6</v>
      </c>
      <c r="BI64" s="129">
        <v>1.6</v>
      </c>
      <c r="BJ64" s="129">
        <v>1.61</v>
      </c>
      <c r="BK64" s="129">
        <v>1.61</v>
      </c>
      <c r="BL64" s="129">
        <v>1.62</v>
      </c>
      <c r="BM64" s="129">
        <v>1.62</v>
      </c>
      <c r="BN64" s="129">
        <v>1.63</v>
      </c>
      <c r="BO64" s="129">
        <v>1.64</v>
      </c>
      <c r="BP64" s="129">
        <v>1.64</v>
      </c>
      <c r="BQ64" s="129">
        <v>1.65</v>
      </c>
      <c r="BR64" s="129">
        <v>1.66</v>
      </c>
      <c r="BS64" s="129">
        <v>1.66</v>
      </c>
      <c r="BT64" s="129">
        <v>1.67</v>
      </c>
      <c r="BU64" s="129">
        <v>1.68</v>
      </c>
      <c r="BV64" s="129">
        <v>1.69</v>
      </c>
      <c r="BW64" s="129">
        <v>1.69</v>
      </c>
      <c r="BX64" s="129">
        <v>1.7</v>
      </c>
      <c r="BY64" s="129">
        <v>1.71</v>
      </c>
      <c r="BZ64" s="129">
        <v>1.72</v>
      </c>
      <c r="CA64" s="129">
        <v>1.73</v>
      </c>
      <c r="CB64" s="129">
        <v>1.73</v>
      </c>
      <c r="CC64" s="129">
        <v>1.74</v>
      </c>
      <c r="CD64" s="129">
        <v>1.75</v>
      </c>
      <c r="CE64" s="129">
        <v>1.76</v>
      </c>
      <c r="CF64" s="129">
        <v>1.77</v>
      </c>
      <c r="CG64" s="129">
        <v>1.78</v>
      </c>
      <c r="CH64" s="129">
        <v>1.79</v>
      </c>
      <c r="CI64" s="129">
        <v>1.8</v>
      </c>
      <c r="CJ64" s="129">
        <v>1.81</v>
      </c>
      <c r="CK64" s="129">
        <v>1.82</v>
      </c>
      <c r="CL64" s="129">
        <v>1.84</v>
      </c>
      <c r="CM64" s="129">
        <v>1.85</v>
      </c>
      <c r="CN64" s="129">
        <v>1.86</v>
      </c>
      <c r="CO64" s="129">
        <v>1.87</v>
      </c>
      <c r="CP64" s="129">
        <v>1.88</v>
      </c>
      <c r="CQ64" s="129">
        <v>1.9</v>
      </c>
      <c r="CR64" s="129">
        <v>1.91</v>
      </c>
      <c r="CS64" s="129">
        <v>1.92</v>
      </c>
      <c r="CT64" s="129">
        <v>1.94</v>
      </c>
      <c r="CU64" s="129">
        <v>1.95</v>
      </c>
      <c r="CV64" s="129">
        <v>1.97</v>
      </c>
      <c r="CW64" s="129">
        <v>1.98</v>
      </c>
      <c r="CX64" s="129">
        <v>2</v>
      </c>
      <c r="CZ64" s="126">
        <f>SUMIF(MatrixF4[[1]:[2]],MatrixF4[[#This Row],[Столбец1]])/MatrixF4[[#This Row],[Столбец1]]</f>
        <v>143.00000000000051</v>
      </c>
    </row>
    <row r="65" spans="1:104" ht="21" customHeight="1" x14ac:dyDescent="0.25">
      <c r="A65" s="127">
        <v>1.62</v>
      </c>
      <c r="B65" s="129">
        <v>1.62</v>
      </c>
      <c r="C65" s="129">
        <v>1.62</v>
      </c>
      <c r="D65" s="129">
        <v>1.62</v>
      </c>
      <c r="E65" s="129">
        <v>1.62</v>
      </c>
      <c r="F65" s="129">
        <v>1.62</v>
      </c>
      <c r="G65" s="129">
        <v>1.62</v>
      </c>
      <c r="H65" s="129">
        <v>1.62</v>
      </c>
      <c r="I65" s="129">
        <v>1.62</v>
      </c>
      <c r="J65" s="129">
        <v>1.62</v>
      </c>
      <c r="K65" s="129">
        <v>1.62</v>
      </c>
      <c r="L65" s="129">
        <v>1.62</v>
      </c>
      <c r="M65" s="129">
        <v>1.62</v>
      </c>
      <c r="N65" s="129">
        <v>1.62</v>
      </c>
      <c r="O65" s="129">
        <v>1.62</v>
      </c>
      <c r="P65" s="129">
        <v>1.62</v>
      </c>
      <c r="Q65" s="129">
        <v>1.62</v>
      </c>
      <c r="R65" s="129">
        <v>1.62</v>
      </c>
      <c r="S65" s="129">
        <v>1.62</v>
      </c>
      <c r="T65" s="129">
        <v>1.62</v>
      </c>
      <c r="U65" s="129">
        <v>1.62</v>
      </c>
      <c r="V65" s="129">
        <v>1.62</v>
      </c>
      <c r="W65" s="129">
        <v>1.62</v>
      </c>
      <c r="X65" s="129">
        <v>1.62</v>
      </c>
      <c r="Y65" s="129">
        <v>1.62</v>
      </c>
      <c r="Z65" s="129">
        <v>1.62</v>
      </c>
      <c r="AA65" s="129">
        <v>1.62</v>
      </c>
      <c r="AB65" s="129">
        <v>1.62</v>
      </c>
      <c r="AC65" s="129">
        <v>1.62</v>
      </c>
      <c r="AD65" s="129">
        <v>1.62</v>
      </c>
      <c r="AE65" s="129">
        <v>1.62</v>
      </c>
      <c r="AF65" s="129">
        <v>1.62</v>
      </c>
      <c r="AG65" s="129">
        <v>1.62</v>
      </c>
      <c r="AH65" s="129">
        <v>1.62</v>
      </c>
      <c r="AI65" s="129">
        <v>1.62</v>
      </c>
      <c r="AJ65" s="129">
        <v>1.62</v>
      </c>
      <c r="AK65" s="129">
        <v>1.62</v>
      </c>
      <c r="AL65" s="129">
        <v>1.62</v>
      </c>
      <c r="AM65" s="129">
        <v>1.62</v>
      </c>
      <c r="AN65" s="129">
        <v>1.62</v>
      </c>
      <c r="AO65" s="129">
        <v>1.62</v>
      </c>
      <c r="AP65" s="129">
        <v>1.61</v>
      </c>
      <c r="AQ65" s="129">
        <v>1.61</v>
      </c>
      <c r="AR65" s="129">
        <v>1.6</v>
      </c>
      <c r="AS65" s="129">
        <v>1.6</v>
      </c>
      <c r="AT65" s="129">
        <v>1.6</v>
      </c>
      <c r="AU65" s="129">
        <v>1.59</v>
      </c>
      <c r="AV65" s="129">
        <v>1.59</v>
      </c>
      <c r="AW65" s="129">
        <v>1.58</v>
      </c>
      <c r="AX65" s="129">
        <v>1.58</v>
      </c>
      <c r="AY65" s="129">
        <v>1.57</v>
      </c>
      <c r="AZ65" s="129">
        <v>1.57</v>
      </c>
      <c r="BA65" s="129">
        <v>1.57</v>
      </c>
      <c r="BB65" s="129">
        <v>1.58</v>
      </c>
      <c r="BC65" s="129">
        <v>1.58</v>
      </c>
      <c r="BD65" s="129">
        <v>1.59</v>
      </c>
      <c r="BE65" s="129">
        <v>1.59</v>
      </c>
      <c r="BF65" s="129">
        <v>1.6</v>
      </c>
      <c r="BG65" s="129">
        <v>1.6</v>
      </c>
      <c r="BH65" s="129">
        <v>1.6</v>
      </c>
      <c r="BI65" s="129">
        <v>1.61</v>
      </c>
      <c r="BJ65" s="129">
        <v>1.61</v>
      </c>
      <c r="BK65" s="129">
        <v>1.62</v>
      </c>
      <c r="BL65" s="129">
        <v>1.62</v>
      </c>
      <c r="BM65" s="129">
        <v>1.63</v>
      </c>
      <c r="BN65" s="129">
        <v>1.63</v>
      </c>
      <c r="BO65" s="129">
        <v>1.64</v>
      </c>
      <c r="BP65" s="129">
        <v>1.65</v>
      </c>
      <c r="BQ65" s="129">
        <v>1.65</v>
      </c>
      <c r="BR65" s="129">
        <v>1.66</v>
      </c>
      <c r="BS65" s="129">
        <v>1.67</v>
      </c>
      <c r="BT65" s="129">
        <v>1.67</v>
      </c>
      <c r="BU65" s="129">
        <v>1.68</v>
      </c>
      <c r="BV65" s="129">
        <v>1.69</v>
      </c>
      <c r="BW65" s="129">
        <v>1.7</v>
      </c>
      <c r="BX65" s="129">
        <v>1.7</v>
      </c>
      <c r="BY65" s="129">
        <v>1.71</v>
      </c>
      <c r="BZ65" s="129">
        <v>1.72</v>
      </c>
      <c r="CA65" s="129">
        <v>1.73</v>
      </c>
      <c r="CB65" s="129">
        <v>1.74</v>
      </c>
      <c r="CC65" s="129">
        <v>1.75</v>
      </c>
      <c r="CD65" s="129">
        <v>1.76</v>
      </c>
      <c r="CE65" s="129">
        <v>1.77</v>
      </c>
      <c r="CF65" s="129">
        <v>1.78</v>
      </c>
      <c r="CG65" s="129">
        <v>1.78</v>
      </c>
      <c r="CH65" s="129">
        <v>1.79</v>
      </c>
      <c r="CI65" s="129">
        <v>1.81</v>
      </c>
      <c r="CJ65" s="129">
        <v>1.82</v>
      </c>
      <c r="CK65" s="129">
        <v>1.83</v>
      </c>
      <c r="CL65" s="129">
        <v>1.84</v>
      </c>
      <c r="CM65" s="129">
        <v>1.85</v>
      </c>
      <c r="CN65" s="129">
        <v>1.86</v>
      </c>
      <c r="CO65" s="129">
        <v>1.87</v>
      </c>
      <c r="CP65" s="129">
        <v>1.89</v>
      </c>
      <c r="CQ65" s="129">
        <v>1.9</v>
      </c>
      <c r="CR65" s="129">
        <v>1.91</v>
      </c>
      <c r="CS65" s="129">
        <v>1.93</v>
      </c>
      <c r="CT65" s="129">
        <v>1.94</v>
      </c>
      <c r="CU65" s="129">
        <v>1.95</v>
      </c>
      <c r="CV65" s="129">
        <v>1.97</v>
      </c>
      <c r="CW65" s="129">
        <v>1.98</v>
      </c>
      <c r="CX65" s="129">
        <v>2</v>
      </c>
      <c r="CZ65" s="126">
        <f>SUMIF(MatrixF4[[1]:[2]],MatrixF4[[#This Row],[Столбец1]])/MatrixF4[[#This Row],[Столбец1]]</f>
        <v>147.00000000000026</v>
      </c>
    </row>
    <row r="66" spans="1:104" ht="21" customHeight="1" x14ac:dyDescent="0.25">
      <c r="A66" s="127">
        <v>1.63</v>
      </c>
      <c r="B66" s="129">
        <v>1.63</v>
      </c>
      <c r="C66" s="129">
        <v>1.63</v>
      </c>
      <c r="D66" s="129">
        <v>1.63</v>
      </c>
      <c r="E66" s="129">
        <v>1.63</v>
      </c>
      <c r="F66" s="129">
        <v>1.63</v>
      </c>
      <c r="G66" s="129">
        <v>1.63</v>
      </c>
      <c r="H66" s="129">
        <v>1.63</v>
      </c>
      <c r="I66" s="129">
        <v>1.63</v>
      </c>
      <c r="J66" s="129">
        <v>1.63</v>
      </c>
      <c r="K66" s="129">
        <v>1.63</v>
      </c>
      <c r="L66" s="129">
        <v>1.63</v>
      </c>
      <c r="M66" s="129">
        <v>1.63</v>
      </c>
      <c r="N66" s="129">
        <v>1.63</v>
      </c>
      <c r="O66" s="129">
        <v>1.63</v>
      </c>
      <c r="P66" s="129">
        <v>1.63</v>
      </c>
      <c r="Q66" s="129">
        <v>1.63</v>
      </c>
      <c r="R66" s="129">
        <v>1.63</v>
      </c>
      <c r="S66" s="129">
        <v>1.63</v>
      </c>
      <c r="T66" s="129">
        <v>1.63</v>
      </c>
      <c r="U66" s="129">
        <v>1.63</v>
      </c>
      <c r="V66" s="129">
        <v>1.63</v>
      </c>
      <c r="W66" s="129">
        <v>1.63</v>
      </c>
      <c r="X66" s="129">
        <v>1.63</v>
      </c>
      <c r="Y66" s="129">
        <v>1.63</v>
      </c>
      <c r="Z66" s="129">
        <v>1.63</v>
      </c>
      <c r="AA66" s="129">
        <v>1.63</v>
      </c>
      <c r="AB66" s="129">
        <v>1.63</v>
      </c>
      <c r="AC66" s="129">
        <v>1.63</v>
      </c>
      <c r="AD66" s="129">
        <v>1.63</v>
      </c>
      <c r="AE66" s="129">
        <v>1.63</v>
      </c>
      <c r="AF66" s="129">
        <v>1.63</v>
      </c>
      <c r="AG66" s="129">
        <v>1.63</v>
      </c>
      <c r="AH66" s="129">
        <v>1.63</v>
      </c>
      <c r="AI66" s="129">
        <v>1.63</v>
      </c>
      <c r="AJ66" s="129">
        <v>1.63</v>
      </c>
      <c r="AK66" s="129">
        <v>1.63</v>
      </c>
      <c r="AL66" s="129">
        <v>1.63</v>
      </c>
      <c r="AM66" s="129">
        <v>1.63</v>
      </c>
      <c r="AN66" s="129">
        <v>1.63</v>
      </c>
      <c r="AO66" s="129">
        <v>1.62</v>
      </c>
      <c r="AP66" s="129">
        <v>1.62</v>
      </c>
      <c r="AQ66" s="129">
        <v>1.61</v>
      </c>
      <c r="AR66" s="129">
        <v>1.61</v>
      </c>
      <c r="AS66" s="129">
        <v>1.61</v>
      </c>
      <c r="AT66" s="129">
        <v>1.6</v>
      </c>
      <c r="AU66" s="129">
        <v>1.6</v>
      </c>
      <c r="AV66" s="129">
        <v>1.59</v>
      </c>
      <c r="AW66" s="129">
        <v>1.59</v>
      </c>
      <c r="AX66" s="129">
        <v>1.58</v>
      </c>
      <c r="AY66" s="129">
        <v>1.58</v>
      </c>
      <c r="AZ66" s="129">
        <v>1.57</v>
      </c>
      <c r="BA66" s="129">
        <v>1.58</v>
      </c>
      <c r="BB66" s="129">
        <v>1.58</v>
      </c>
      <c r="BC66" s="129">
        <v>1.59</v>
      </c>
      <c r="BD66" s="129">
        <v>1.59</v>
      </c>
      <c r="BE66" s="129">
        <v>1.6</v>
      </c>
      <c r="BF66" s="129">
        <v>1.6</v>
      </c>
      <c r="BG66" s="129">
        <v>1.61</v>
      </c>
      <c r="BH66" s="129">
        <v>1.61</v>
      </c>
      <c r="BI66" s="129">
        <v>1.61</v>
      </c>
      <c r="BJ66" s="129">
        <v>1.62</v>
      </c>
      <c r="BK66" s="129">
        <v>1.62</v>
      </c>
      <c r="BL66" s="129">
        <v>1.63</v>
      </c>
      <c r="BM66" s="129">
        <v>1.63</v>
      </c>
      <c r="BN66" s="129">
        <v>1.64</v>
      </c>
      <c r="BO66" s="129">
        <v>1.64</v>
      </c>
      <c r="BP66" s="129">
        <v>1.65</v>
      </c>
      <c r="BQ66" s="129">
        <v>1.66</v>
      </c>
      <c r="BR66" s="129">
        <v>1.66</v>
      </c>
      <c r="BS66" s="129">
        <v>1.67</v>
      </c>
      <c r="BT66" s="129">
        <v>1.68</v>
      </c>
      <c r="BU66" s="129">
        <v>1.68</v>
      </c>
      <c r="BV66" s="129">
        <v>1.69</v>
      </c>
      <c r="BW66" s="129">
        <v>1.7</v>
      </c>
      <c r="BX66" s="129">
        <v>1.71</v>
      </c>
      <c r="BY66" s="129">
        <v>1.72</v>
      </c>
      <c r="BZ66" s="129">
        <v>1.72</v>
      </c>
      <c r="CA66" s="129">
        <v>1.73</v>
      </c>
      <c r="CB66" s="129">
        <v>1.74</v>
      </c>
      <c r="CC66" s="129">
        <v>1.75</v>
      </c>
      <c r="CD66" s="129">
        <v>1.76</v>
      </c>
      <c r="CE66" s="129">
        <v>1.77</v>
      </c>
      <c r="CF66" s="129">
        <v>1.78</v>
      </c>
      <c r="CG66" s="129">
        <v>1.79</v>
      </c>
      <c r="CH66" s="129">
        <v>1.8</v>
      </c>
      <c r="CI66" s="129">
        <v>1.81</v>
      </c>
      <c r="CJ66" s="129">
        <v>1.82</v>
      </c>
      <c r="CK66" s="129">
        <v>1.83</v>
      </c>
      <c r="CL66" s="129">
        <v>1.84</v>
      </c>
      <c r="CM66" s="129">
        <v>1.85</v>
      </c>
      <c r="CN66" s="129">
        <v>1.86</v>
      </c>
      <c r="CO66" s="129">
        <v>1.88</v>
      </c>
      <c r="CP66" s="129">
        <v>1.89</v>
      </c>
      <c r="CQ66" s="129">
        <v>1.9</v>
      </c>
      <c r="CR66" s="129">
        <v>1.91</v>
      </c>
      <c r="CS66" s="129">
        <v>1.93</v>
      </c>
      <c r="CT66" s="129">
        <v>1.94</v>
      </c>
      <c r="CU66" s="129">
        <v>1.95</v>
      </c>
      <c r="CV66" s="129">
        <v>1.97</v>
      </c>
      <c r="CW66" s="129">
        <v>1.98</v>
      </c>
      <c r="CX66" s="129">
        <v>2</v>
      </c>
      <c r="CZ66" s="126">
        <f>SUMIF(MatrixF4[[1]:[2]],MatrixF4[[#This Row],[Столбец1]])/MatrixF4[[#This Row],[Столбец1]]</f>
        <v>146.99999999999974</v>
      </c>
    </row>
    <row r="67" spans="1:104" ht="21" customHeight="1" x14ac:dyDescent="0.25">
      <c r="A67" s="127">
        <v>1.64</v>
      </c>
      <c r="B67" s="129">
        <v>1.64</v>
      </c>
      <c r="C67" s="129">
        <v>1.64</v>
      </c>
      <c r="D67" s="129">
        <v>1.64</v>
      </c>
      <c r="E67" s="129">
        <v>1.64</v>
      </c>
      <c r="F67" s="129">
        <v>1.64</v>
      </c>
      <c r="G67" s="129">
        <v>1.64</v>
      </c>
      <c r="H67" s="129">
        <v>1.64</v>
      </c>
      <c r="I67" s="129">
        <v>1.64</v>
      </c>
      <c r="J67" s="129">
        <v>1.64</v>
      </c>
      <c r="K67" s="129">
        <v>1.64</v>
      </c>
      <c r="L67" s="129">
        <v>1.64</v>
      </c>
      <c r="M67" s="129">
        <v>1.64</v>
      </c>
      <c r="N67" s="129">
        <v>1.64</v>
      </c>
      <c r="O67" s="129">
        <v>1.64</v>
      </c>
      <c r="P67" s="129">
        <v>1.64</v>
      </c>
      <c r="Q67" s="129">
        <v>1.64</v>
      </c>
      <c r="R67" s="129">
        <v>1.64</v>
      </c>
      <c r="S67" s="129">
        <v>1.64</v>
      </c>
      <c r="T67" s="129">
        <v>1.64</v>
      </c>
      <c r="U67" s="129">
        <v>1.64</v>
      </c>
      <c r="V67" s="129">
        <v>1.64</v>
      </c>
      <c r="W67" s="129">
        <v>1.64</v>
      </c>
      <c r="X67" s="129">
        <v>1.64</v>
      </c>
      <c r="Y67" s="129">
        <v>1.64</v>
      </c>
      <c r="Z67" s="129">
        <v>1.64</v>
      </c>
      <c r="AA67" s="129">
        <v>1.64</v>
      </c>
      <c r="AB67" s="129">
        <v>1.64</v>
      </c>
      <c r="AC67" s="129">
        <v>1.64</v>
      </c>
      <c r="AD67" s="129">
        <v>1.64</v>
      </c>
      <c r="AE67" s="129">
        <v>1.64</v>
      </c>
      <c r="AF67" s="129">
        <v>1.64</v>
      </c>
      <c r="AG67" s="129">
        <v>1.64</v>
      </c>
      <c r="AH67" s="129">
        <v>1.64</v>
      </c>
      <c r="AI67" s="129">
        <v>1.64</v>
      </c>
      <c r="AJ67" s="129">
        <v>1.64</v>
      </c>
      <c r="AK67" s="129">
        <v>1.64</v>
      </c>
      <c r="AL67" s="129">
        <v>1.64</v>
      </c>
      <c r="AM67" s="129">
        <v>1.64</v>
      </c>
      <c r="AN67" s="129">
        <v>1.63</v>
      </c>
      <c r="AO67" s="129">
        <v>1.63</v>
      </c>
      <c r="AP67" s="129">
        <v>1.62</v>
      </c>
      <c r="AQ67" s="129">
        <v>1.62</v>
      </c>
      <c r="AR67" s="129">
        <v>1.62</v>
      </c>
      <c r="AS67" s="129">
        <v>1.61</v>
      </c>
      <c r="AT67" s="129">
        <v>1.61</v>
      </c>
      <c r="AU67" s="129">
        <v>1.6</v>
      </c>
      <c r="AV67" s="129">
        <v>1.6</v>
      </c>
      <c r="AW67" s="129">
        <v>1.6</v>
      </c>
      <c r="AX67" s="129">
        <v>1.59</v>
      </c>
      <c r="AY67" s="129">
        <v>1.59</v>
      </c>
      <c r="AZ67" s="129">
        <v>1.58</v>
      </c>
      <c r="BA67" s="129">
        <v>1.59</v>
      </c>
      <c r="BB67" s="129">
        <v>1.59</v>
      </c>
      <c r="BC67" s="129">
        <v>1.6</v>
      </c>
      <c r="BD67" s="129">
        <v>1.6</v>
      </c>
      <c r="BE67" s="129">
        <v>1.6</v>
      </c>
      <c r="BF67" s="129">
        <v>1.61</v>
      </c>
      <c r="BG67" s="129">
        <v>1.61</v>
      </c>
      <c r="BH67" s="129">
        <v>1.62</v>
      </c>
      <c r="BI67" s="129">
        <v>1.62</v>
      </c>
      <c r="BJ67" s="129">
        <v>1.62</v>
      </c>
      <c r="BK67" s="129">
        <v>1.63</v>
      </c>
      <c r="BL67" s="129">
        <v>1.63</v>
      </c>
      <c r="BM67" s="129">
        <v>1.64</v>
      </c>
      <c r="BN67" s="129">
        <v>1.64</v>
      </c>
      <c r="BO67" s="129">
        <v>1.65</v>
      </c>
      <c r="BP67" s="129">
        <v>1.65</v>
      </c>
      <c r="BQ67" s="129">
        <v>1.66</v>
      </c>
      <c r="BR67" s="129">
        <v>1.67</v>
      </c>
      <c r="BS67" s="129">
        <v>1.67</v>
      </c>
      <c r="BT67" s="129">
        <v>1.68</v>
      </c>
      <c r="BU67" s="129">
        <v>1.69</v>
      </c>
      <c r="BV67" s="129">
        <v>1.7</v>
      </c>
      <c r="BW67" s="129">
        <v>1.7</v>
      </c>
      <c r="BX67" s="129">
        <v>1.71</v>
      </c>
      <c r="BY67" s="129">
        <v>1.72</v>
      </c>
      <c r="BZ67" s="129">
        <v>1.73</v>
      </c>
      <c r="CA67" s="129">
        <v>1.74</v>
      </c>
      <c r="CB67" s="129">
        <v>1.74</v>
      </c>
      <c r="CC67" s="129">
        <v>1.75</v>
      </c>
      <c r="CD67" s="129">
        <v>1.76</v>
      </c>
      <c r="CE67" s="129">
        <v>1.77</v>
      </c>
      <c r="CF67" s="129">
        <v>1.78</v>
      </c>
      <c r="CG67" s="129">
        <v>1.79</v>
      </c>
      <c r="CH67" s="129">
        <v>1.8</v>
      </c>
      <c r="CI67" s="129">
        <v>1.81</v>
      </c>
      <c r="CJ67" s="129">
        <v>1.82</v>
      </c>
      <c r="CK67" s="129">
        <v>1.83</v>
      </c>
      <c r="CL67" s="129">
        <v>1.84</v>
      </c>
      <c r="CM67" s="129">
        <v>1.85</v>
      </c>
      <c r="CN67" s="129">
        <v>1.86</v>
      </c>
      <c r="CO67" s="129">
        <v>1.88</v>
      </c>
      <c r="CP67" s="129">
        <v>1.89</v>
      </c>
      <c r="CQ67" s="129">
        <v>1.9</v>
      </c>
      <c r="CR67" s="129">
        <v>1.91</v>
      </c>
      <c r="CS67" s="129">
        <v>1.93</v>
      </c>
      <c r="CT67" s="129">
        <v>1.94</v>
      </c>
      <c r="CU67" s="129">
        <v>1.96</v>
      </c>
      <c r="CV67" s="129">
        <v>1.97</v>
      </c>
      <c r="CW67" s="129">
        <v>1.98</v>
      </c>
      <c r="CX67" s="129">
        <v>2</v>
      </c>
      <c r="CZ67" s="126">
        <f>SUMIF(MatrixF4[[1]:[2]],MatrixF4[[#This Row],[Столбец1]])/MatrixF4[[#This Row],[Столбец1]]</f>
        <v>148.99999999999943</v>
      </c>
    </row>
    <row r="68" spans="1:104" ht="21" customHeight="1" x14ac:dyDescent="0.25">
      <c r="A68" s="127">
        <v>1.65</v>
      </c>
      <c r="B68" s="129">
        <v>1.65</v>
      </c>
      <c r="C68" s="129">
        <v>1.65</v>
      </c>
      <c r="D68" s="129">
        <v>1.65</v>
      </c>
      <c r="E68" s="129">
        <v>1.65</v>
      </c>
      <c r="F68" s="129">
        <v>1.65</v>
      </c>
      <c r="G68" s="129">
        <v>1.65</v>
      </c>
      <c r="H68" s="129">
        <v>1.65</v>
      </c>
      <c r="I68" s="129">
        <v>1.65</v>
      </c>
      <c r="J68" s="129">
        <v>1.65</v>
      </c>
      <c r="K68" s="129">
        <v>1.65</v>
      </c>
      <c r="L68" s="129">
        <v>1.65</v>
      </c>
      <c r="M68" s="129">
        <v>1.65</v>
      </c>
      <c r="N68" s="129">
        <v>1.65</v>
      </c>
      <c r="O68" s="129">
        <v>1.65</v>
      </c>
      <c r="P68" s="129">
        <v>1.65</v>
      </c>
      <c r="Q68" s="129">
        <v>1.65</v>
      </c>
      <c r="R68" s="129">
        <v>1.65</v>
      </c>
      <c r="S68" s="129">
        <v>1.65</v>
      </c>
      <c r="T68" s="129">
        <v>1.65</v>
      </c>
      <c r="U68" s="129">
        <v>1.65</v>
      </c>
      <c r="V68" s="129">
        <v>1.65</v>
      </c>
      <c r="W68" s="129">
        <v>1.65</v>
      </c>
      <c r="X68" s="129">
        <v>1.65</v>
      </c>
      <c r="Y68" s="129">
        <v>1.65</v>
      </c>
      <c r="Z68" s="129">
        <v>1.65</v>
      </c>
      <c r="AA68" s="129">
        <v>1.65</v>
      </c>
      <c r="AB68" s="129">
        <v>1.65</v>
      </c>
      <c r="AC68" s="129">
        <v>1.65</v>
      </c>
      <c r="AD68" s="129">
        <v>1.65</v>
      </c>
      <c r="AE68" s="129">
        <v>1.65</v>
      </c>
      <c r="AF68" s="129">
        <v>1.65</v>
      </c>
      <c r="AG68" s="129">
        <v>1.65</v>
      </c>
      <c r="AH68" s="129">
        <v>1.65</v>
      </c>
      <c r="AI68" s="129">
        <v>1.65</v>
      </c>
      <c r="AJ68" s="129">
        <v>1.65</v>
      </c>
      <c r="AK68" s="129">
        <v>1.65</v>
      </c>
      <c r="AL68" s="129">
        <v>1.65</v>
      </c>
      <c r="AM68" s="129">
        <v>1.64</v>
      </c>
      <c r="AN68" s="129">
        <v>1.64</v>
      </c>
      <c r="AO68" s="129">
        <v>1.64</v>
      </c>
      <c r="AP68" s="129">
        <v>1.63</v>
      </c>
      <c r="AQ68" s="129">
        <v>1.63</v>
      </c>
      <c r="AR68" s="129">
        <v>1.62</v>
      </c>
      <c r="AS68" s="129">
        <v>1.62</v>
      </c>
      <c r="AT68" s="129">
        <v>1.62</v>
      </c>
      <c r="AU68" s="129">
        <v>1.61</v>
      </c>
      <c r="AV68" s="129">
        <v>1.61</v>
      </c>
      <c r="AW68" s="129">
        <v>1.6</v>
      </c>
      <c r="AX68" s="129">
        <v>1.6</v>
      </c>
      <c r="AY68" s="129">
        <v>1.59</v>
      </c>
      <c r="AZ68" s="129">
        <v>1.59</v>
      </c>
      <c r="BA68" s="129">
        <v>1.59</v>
      </c>
      <c r="BB68" s="129">
        <v>1.6</v>
      </c>
      <c r="BC68" s="129">
        <v>1.6</v>
      </c>
      <c r="BD68" s="129">
        <v>1.61</v>
      </c>
      <c r="BE68" s="129">
        <v>1.61</v>
      </c>
      <c r="BF68" s="129">
        <v>1.62</v>
      </c>
      <c r="BG68" s="129">
        <v>1.62</v>
      </c>
      <c r="BH68" s="129">
        <v>1.62</v>
      </c>
      <c r="BI68" s="129">
        <v>1.63</v>
      </c>
      <c r="BJ68" s="129">
        <v>1.63</v>
      </c>
      <c r="BK68" s="129">
        <v>1.64</v>
      </c>
      <c r="BL68" s="129">
        <v>1.64</v>
      </c>
      <c r="BM68" s="129">
        <v>1.64</v>
      </c>
      <c r="BN68" s="129">
        <v>1.65</v>
      </c>
      <c r="BO68" s="129">
        <v>1.65</v>
      </c>
      <c r="BP68" s="129">
        <v>1.66</v>
      </c>
      <c r="BQ68" s="129">
        <v>1.66</v>
      </c>
      <c r="BR68" s="129">
        <v>1.67</v>
      </c>
      <c r="BS68" s="129">
        <v>1.68</v>
      </c>
      <c r="BT68" s="129">
        <v>1.68</v>
      </c>
      <c r="BU68" s="129">
        <v>1.69</v>
      </c>
      <c r="BV68" s="129">
        <v>1.7</v>
      </c>
      <c r="BW68" s="129">
        <v>1.71</v>
      </c>
      <c r="BX68" s="129">
        <v>1.71</v>
      </c>
      <c r="BY68" s="129">
        <v>1.72</v>
      </c>
      <c r="BZ68" s="129">
        <v>1.73</v>
      </c>
      <c r="CA68" s="129">
        <v>1.74</v>
      </c>
      <c r="CB68" s="129">
        <v>1.75</v>
      </c>
      <c r="CC68" s="129">
        <v>1.76</v>
      </c>
      <c r="CD68" s="129">
        <v>1.76</v>
      </c>
      <c r="CE68" s="129">
        <v>1.77</v>
      </c>
      <c r="CF68" s="129">
        <v>1.78</v>
      </c>
      <c r="CG68" s="129">
        <v>1.79</v>
      </c>
      <c r="CH68" s="129">
        <v>1.8</v>
      </c>
      <c r="CI68" s="129">
        <v>1.81</v>
      </c>
      <c r="CJ68" s="129">
        <v>1.82</v>
      </c>
      <c r="CK68" s="129">
        <v>1.83</v>
      </c>
      <c r="CL68" s="129">
        <v>1.84</v>
      </c>
      <c r="CM68" s="129">
        <v>1.86</v>
      </c>
      <c r="CN68" s="129">
        <v>1.87</v>
      </c>
      <c r="CO68" s="129">
        <v>1.88</v>
      </c>
      <c r="CP68" s="129">
        <v>1.89</v>
      </c>
      <c r="CQ68" s="129">
        <v>1.9</v>
      </c>
      <c r="CR68" s="129">
        <v>1.92</v>
      </c>
      <c r="CS68" s="129">
        <v>1.93</v>
      </c>
      <c r="CT68" s="129">
        <v>1.94</v>
      </c>
      <c r="CU68" s="129">
        <v>1.96</v>
      </c>
      <c r="CV68" s="129">
        <v>1.97</v>
      </c>
      <c r="CW68" s="129">
        <v>1.98</v>
      </c>
      <c r="CX68" s="129">
        <v>2</v>
      </c>
      <c r="CZ68" s="126">
        <f>SUMIF(MatrixF4[[1]:[2]],MatrixF4[[#This Row],[Столбец1]])/MatrixF4[[#This Row],[Столбец1]]</f>
        <v>155.0000000000004</v>
      </c>
    </row>
    <row r="69" spans="1:104" ht="21" customHeight="1" x14ac:dyDescent="0.25">
      <c r="A69" s="127">
        <v>1.66</v>
      </c>
      <c r="B69" s="129">
        <v>1.66</v>
      </c>
      <c r="C69" s="129">
        <v>1.66</v>
      </c>
      <c r="D69" s="129">
        <v>1.66</v>
      </c>
      <c r="E69" s="129">
        <v>1.66</v>
      </c>
      <c r="F69" s="129">
        <v>1.66</v>
      </c>
      <c r="G69" s="129">
        <v>1.66</v>
      </c>
      <c r="H69" s="129">
        <v>1.66</v>
      </c>
      <c r="I69" s="129">
        <v>1.66</v>
      </c>
      <c r="J69" s="129">
        <v>1.66</v>
      </c>
      <c r="K69" s="129">
        <v>1.66</v>
      </c>
      <c r="L69" s="129">
        <v>1.66</v>
      </c>
      <c r="M69" s="129">
        <v>1.66</v>
      </c>
      <c r="N69" s="129">
        <v>1.66</v>
      </c>
      <c r="O69" s="129">
        <v>1.66</v>
      </c>
      <c r="P69" s="129">
        <v>1.66</v>
      </c>
      <c r="Q69" s="129">
        <v>1.66</v>
      </c>
      <c r="R69" s="129">
        <v>1.66</v>
      </c>
      <c r="S69" s="129">
        <v>1.66</v>
      </c>
      <c r="T69" s="129">
        <v>1.66</v>
      </c>
      <c r="U69" s="129">
        <v>1.66</v>
      </c>
      <c r="V69" s="129">
        <v>1.66</v>
      </c>
      <c r="W69" s="129">
        <v>1.66</v>
      </c>
      <c r="X69" s="129">
        <v>1.66</v>
      </c>
      <c r="Y69" s="129">
        <v>1.66</v>
      </c>
      <c r="Z69" s="129">
        <v>1.66</v>
      </c>
      <c r="AA69" s="129">
        <v>1.66</v>
      </c>
      <c r="AB69" s="129">
        <v>1.66</v>
      </c>
      <c r="AC69" s="129">
        <v>1.66</v>
      </c>
      <c r="AD69" s="129">
        <v>1.66</v>
      </c>
      <c r="AE69" s="129">
        <v>1.66</v>
      </c>
      <c r="AF69" s="129">
        <v>1.66</v>
      </c>
      <c r="AG69" s="129">
        <v>1.66</v>
      </c>
      <c r="AH69" s="129">
        <v>1.66</v>
      </c>
      <c r="AI69" s="129">
        <v>1.66</v>
      </c>
      <c r="AJ69" s="129">
        <v>1.66</v>
      </c>
      <c r="AK69" s="129">
        <v>1.66</v>
      </c>
      <c r="AL69" s="129">
        <v>1.65</v>
      </c>
      <c r="AM69" s="129">
        <v>1.65</v>
      </c>
      <c r="AN69" s="129">
        <v>1.65</v>
      </c>
      <c r="AO69" s="129">
        <v>1.64</v>
      </c>
      <c r="AP69" s="129">
        <v>1.64</v>
      </c>
      <c r="AQ69" s="129">
        <v>1.63</v>
      </c>
      <c r="AR69" s="129">
        <v>1.63</v>
      </c>
      <c r="AS69" s="129">
        <v>1.63</v>
      </c>
      <c r="AT69" s="129">
        <v>1.62</v>
      </c>
      <c r="AU69" s="129">
        <v>1.62</v>
      </c>
      <c r="AV69" s="129">
        <v>1.61</v>
      </c>
      <c r="AW69" s="129">
        <v>1.61</v>
      </c>
      <c r="AX69" s="129">
        <v>1.6</v>
      </c>
      <c r="AY69" s="129">
        <v>1.6</v>
      </c>
      <c r="AZ69" s="129">
        <v>1.6</v>
      </c>
      <c r="BA69" s="129">
        <v>1.6</v>
      </c>
      <c r="BB69" s="129">
        <v>1.6</v>
      </c>
      <c r="BC69" s="129">
        <v>1.61</v>
      </c>
      <c r="BD69" s="129">
        <v>1.61</v>
      </c>
      <c r="BE69" s="129">
        <v>1.62</v>
      </c>
      <c r="BF69" s="129">
        <v>1.62</v>
      </c>
      <c r="BG69" s="129">
        <v>1.63</v>
      </c>
      <c r="BH69" s="129">
        <v>1.63</v>
      </c>
      <c r="BI69" s="129">
        <v>1.63</v>
      </c>
      <c r="BJ69" s="129">
        <v>1.64</v>
      </c>
      <c r="BK69" s="129">
        <v>1.64</v>
      </c>
      <c r="BL69" s="129">
        <v>1.65</v>
      </c>
      <c r="BM69" s="129">
        <v>1.65</v>
      </c>
      <c r="BN69" s="129">
        <v>1.65</v>
      </c>
      <c r="BO69" s="129">
        <v>1.66</v>
      </c>
      <c r="BP69" s="129">
        <v>1.66</v>
      </c>
      <c r="BQ69" s="129">
        <v>1.67</v>
      </c>
      <c r="BR69" s="129">
        <v>1.67</v>
      </c>
      <c r="BS69" s="129">
        <v>1.68</v>
      </c>
      <c r="BT69" s="129">
        <v>1.69</v>
      </c>
      <c r="BU69" s="129">
        <v>1.69</v>
      </c>
      <c r="BV69" s="129">
        <v>1.7</v>
      </c>
      <c r="BW69" s="129">
        <v>1.71</v>
      </c>
      <c r="BX69" s="129">
        <v>1.72</v>
      </c>
      <c r="BY69" s="129">
        <v>1.73</v>
      </c>
      <c r="BZ69" s="129">
        <v>1.73</v>
      </c>
      <c r="CA69" s="129">
        <v>1.74</v>
      </c>
      <c r="CB69" s="129">
        <v>1.75</v>
      </c>
      <c r="CC69" s="129">
        <v>1.76</v>
      </c>
      <c r="CD69" s="129">
        <v>1.77</v>
      </c>
      <c r="CE69" s="129">
        <v>1.78</v>
      </c>
      <c r="CF69" s="129">
        <v>1.79</v>
      </c>
      <c r="CG69" s="129">
        <v>1.8</v>
      </c>
      <c r="CH69" s="129">
        <v>1.8</v>
      </c>
      <c r="CI69" s="129">
        <v>1.81</v>
      </c>
      <c r="CJ69" s="129">
        <v>1.82</v>
      </c>
      <c r="CK69" s="129">
        <v>1.84</v>
      </c>
      <c r="CL69" s="129">
        <v>1.85</v>
      </c>
      <c r="CM69" s="129">
        <v>1.86</v>
      </c>
      <c r="CN69" s="129">
        <v>1.87</v>
      </c>
      <c r="CO69" s="129">
        <v>1.88</v>
      </c>
      <c r="CP69" s="129">
        <v>1.89</v>
      </c>
      <c r="CQ69" s="129">
        <v>1.9</v>
      </c>
      <c r="CR69" s="129">
        <v>1.92</v>
      </c>
      <c r="CS69" s="129">
        <v>1.93</v>
      </c>
      <c r="CT69" s="129">
        <v>1.94</v>
      </c>
      <c r="CU69" s="129">
        <v>1.96</v>
      </c>
      <c r="CV69" s="129">
        <v>1.97</v>
      </c>
      <c r="CW69" s="129">
        <v>1.99</v>
      </c>
      <c r="CX69" s="129">
        <v>2</v>
      </c>
      <c r="CZ69" s="126">
        <f>SUMIF(MatrixF4[[1]:[2]],MatrixF4[[#This Row],[Столбец1]])/MatrixF4[[#This Row],[Столбец1]]</f>
        <v>152.99999999999974</v>
      </c>
    </row>
    <row r="70" spans="1:104" ht="21" customHeight="1" x14ac:dyDescent="0.25">
      <c r="A70" s="127">
        <v>1.67</v>
      </c>
      <c r="B70" s="129">
        <v>1.67</v>
      </c>
      <c r="C70" s="129">
        <v>1.67</v>
      </c>
      <c r="D70" s="129">
        <v>1.67</v>
      </c>
      <c r="E70" s="129">
        <v>1.67</v>
      </c>
      <c r="F70" s="129">
        <v>1.67</v>
      </c>
      <c r="G70" s="129">
        <v>1.67</v>
      </c>
      <c r="H70" s="129">
        <v>1.67</v>
      </c>
      <c r="I70" s="129">
        <v>1.67</v>
      </c>
      <c r="J70" s="129">
        <v>1.67</v>
      </c>
      <c r="K70" s="129">
        <v>1.67</v>
      </c>
      <c r="L70" s="129">
        <v>1.67</v>
      </c>
      <c r="M70" s="129">
        <v>1.67</v>
      </c>
      <c r="N70" s="129">
        <v>1.67</v>
      </c>
      <c r="O70" s="129">
        <v>1.67</v>
      </c>
      <c r="P70" s="129">
        <v>1.67</v>
      </c>
      <c r="Q70" s="129">
        <v>1.67</v>
      </c>
      <c r="R70" s="129">
        <v>1.67</v>
      </c>
      <c r="S70" s="129">
        <v>1.67</v>
      </c>
      <c r="T70" s="129">
        <v>1.67</v>
      </c>
      <c r="U70" s="129">
        <v>1.67</v>
      </c>
      <c r="V70" s="129">
        <v>1.67</v>
      </c>
      <c r="W70" s="129">
        <v>1.67</v>
      </c>
      <c r="X70" s="129">
        <v>1.67</v>
      </c>
      <c r="Y70" s="129">
        <v>1.67</v>
      </c>
      <c r="Z70" s="129">
        <v>1.67</v>
      </c>
      <c r="AA70" s="129">
        <v>1.67</v>
      </c>
      <c r="AB70" s="129">
        <v>1.67</v>
      </c>
      <c r="AC70" s="129">
        <v>1.67</v>
      </c>
      <c r="AD70" s="129">
        <v>1.67</v>
      </c>
      <c r="AE70" s="129">
        <v>1.67</v>
      </c>
      <c r="AF70" s="129">
        <v>1.67</v>
      </c>
      <c r="AG70" s="129">
        <v>1.67</v>
      </c>
      <c r="AH70" s="129">
        <v>1.67</v>
      </c>
      <c r="AI70" s="129">
        <v>1.67</v>
      </c>
      <c r="AJ70" s="129">
        <v>1.67</v>
      </c>
      <c r="AK70" s="129">
        <v>1.66</v>
      </c>
      <c r="AL70" s="129">
        <v>1.66</v>
      </c>
      <c r="AM70" s="129">
        <v>1.66</v>
      </c>
      <c r="AN70" s="129">
        <v>1.65</v>
      </c>
      <c r="AO70" s="129">
        <v>1.65</v>
      </c>
      <c r="AP70" s="129">
        <v>1.65</v>
      </c>
      <c r="AQ70" s="129">
        <v>1.64</v>
      </c>
      <c r="AR70" s="129">
        <v>1.64</v>
      </c>
      <c r="AS70" s="129">
        <v>1.63</v>
      </c>
      <c r="AT70" s="129">
        <v>1.63</v>
      </c>
      <c r="AU70" s="129">
        <v>1.63</v>
      </c>
      <c r="AV70" s="129">
        <v>1.62</v>
      </c>
      <c r="AW70" s="129">
        <v>1.62</v>
      </c>
      <c r="AX70" s="129">
        <v>1.61</v>
      </c>
      <c r="AY70" s="129">
        <v>1.61</v>
      </c>
      <c r="AZ70" s="129">
        <v>1.6</v>
      </c>
      <c r="BA70" s="129">
        <v>1.61</v>
      </c>
      <c r="BB70" s="129">
        <v>1.61</v>
      </c>
      <c r="BC70" s="129">
        <v>1.62</v>
      </c>
      <c r="BD70" s="129">
        <v>1.62</v>
      </c>
      <c r="BE70" s="129">
        <v>1.63</v>
      </c>
      <c r="BF70" s="129">
        <v>1.63</v>
      </c>
      <c r="BG70" s="129">
        <v>1.63</v>
      </c>
      <c r="BH70" s="129">
        <v>1.64</v>
      </c>
      <c r="BI70" s="129">
        <v>1.64</v>
      </c>
      <c r="BJ70" s="129">
        <v>1.65</v>
      </c>
      <c r="BK70" s="129">
        <v>1.65</v>
      </c>
      <c r="BL70" s="129">
        <v>1.65</v>
      </c>
      <c r="BM70" s="129">
        <v>1.66</v>
      </c>
      <c r="BN70" s="129">
        <v>1.66</v>
      </c>
      <c r="BO70" s="129">
        <v>1.66</v>
      </c>
      <c r="BP70" s="129">
        <v>1.67</v>
      </c>
      <c r="BQ70" s="129">
        <v>1.67</v>
      </c>
      <c r="BR70" s="129">
        <v>1.68</v>
      </c>
      <c r="BS70" s="129">
        <v>1.68</v>
      </c>
      <c r="BT70" s="129">
        <v>1.69</v>
      </c>
      <c r="BU70" s="129">
        <v>1.7</v>
      </c>
      <c r="BV70" s="129">
        <v>1.71</v>
      </c>
      <c r="BW70" s="129">
        <v>1.71</v>
      </c>
      <c r="BX70" s="129">
        <v>1.72</v>
      </c>
      <c r="BY70" s="129">
        <v>1.73</v>
      </c>
      <c r="BZ70" s="129">
        <v>1.74</v>
      </c>
      <c r="CA70" s="129">
        <v>1.74</v>
      </c>
      <c r="CB70" s="129">
        <v>1.75</v>
      </c>
      <c r="CC70" s="129">
        <v>1.76</v>
      </c>
      <c r="CD70" s="129">
        <v>1.77</v>
      </c>
      <c r="CE70" s="129">
        <v>1.78</v>
      </c>
      <c r="CF70" s="129">
        <v>1.79</v>
      </c>
      <c r="CG70" s="129">
        <v>1.8</v>
      </c>
      <c r="CH70" s="129">
        <v>1.81</v>
      </c>
      <c r="CI70" s="129">
        <v>1.82</v>
      </c>
      <c r="CJ70" s="129">
        <v>1.83</v>
      </c>
      <c r="CK70" s="129">
        <v>1.84</v>
      </c>
      <c r="CL70" s="129">
        <v>1.85</v>
      </c>
      <c r="CM70" s="129">
        <v>1.86</v>
      </c>
      <c r="CN70" s="129">
        <v>1.87</v>
      </c>
      <c r="CO70" s="129">
        <v>1.88</v>
      </c>
      <c r="CP70" s="129">
        <v>1.89</v>
      </c>
      <c r="CQ70" s="129">
        <v>1.91</v>
      </c>
      <c r="CR70" s="129">
        <v>1.92</v>
      </c>
      <c r="CS70" s="129">
        <v>1.93</v>
      </c>
      <c r="CT70" s="129">
        <v>1.94</v>
      </c>
      <c r="CU70" s="129">
        <v>1.96</v>
      </c>
      <c r="CV70" s="129">
        <v>1.97</v>
      </c>
      <c r="CW70" s="129">
        <v>1.99</v>
      </c>
      <c r="CX70" s="129">
        <v>2</v>
      </c>
      <c r="CZ70" s="126">
        <f>SUMIF(MatrixF4[[1]:[2]],MatrixF4[[#This Row],[Столбец1]])/MatrixF4[[#This Row],[Столбец1]]</f>
        <v>158.99999999999955</v>
      </c>
    </row>
    <row r="71" spans="1:104" ht="21" customHeight="1" x14ac:dyDescent="0.25">
      <c r="A71" s="127">
        <v>1.68</v>
      </c>
      <c r="B71" s="129">
        <v>1.68</v>
      </c>
      <c r="C71" s="129">
        <v>1.68</v>
      </c>
      <c r="D71" s="129">
        <v>1.68</v>
      </c>
      <c r="E71" s="129">
        <v>1.68</v>
      </c>
      <c r="F71" s="129">
        <v>1.68</v>
      </c>
      <c r="G71" s="129">
        <v>1.68</v>
      </c>
      <c r="H71" s="129">
        <v>1.68</v>
      </c>
      <c r="I71" s="129">
        <v>1.68</v>
      </c>
      <c r="J71" s="129">
        <v>1.68</v>
      </c>
      <c r="K71" s="129">
        <v>1.68</v>
      </c>
      <c r="L71" s="129">
        <v>1.68</v>
      </c>
      <c r="M71" s="129">
        <v>1.68</v>
      </c>
      <c r="N71" s="129">
        <v>1.68</v>
      </c>
      <c r="O71" s="129">
        <v>1.68</v>
      </c>
      <c r="P71" s="129">
        <v>1.68</v>
      </c>
      <c r="Q71" s="129">
        <v>1.68</v>
      </c>
      <c r="R71" s="129">
        <v>1.68</v>
      </c>
      <c r="S71" s="129">
        <v>1.68</v>
      </c>
      <c r="T71" s="129">
        <v>1.68</v>
      </c>
      <c r="U71" s="129">
        <v>1.68</v>
      </c>
      <c r="V71" s="129">
        <v>1.68</v>
      </c>
      <c r="W71" s="129">
        <v>1.68</v>
      </c>
      <c r="X71" s="129">
        <v>1.68</v>
      </c>
      <c r="Y71" s="129">
        <v>1.68</v>
      </c>
      <c r="Z71" s="129">
        <v>1.68</v>
      </c>
      <c r="AA71" s="129">
        <v>1.68</v>
      </c>
      <c r="AB71" s="129">
        <v>1.68</v>
      </c>
      <c r="AC71" s="129">
        <v>1.68</v>
      </c>
      <c r="AD71" s="129">
        <v>1.68</v>
      </c>
      <c r="AE71" s="129">
        <v>1.68</v>
      </c>
      <c r="AF71" s="129">
        <v>1.68</v>
      </c>
      <c r="AG71" s="129">
        <v>1.68</v>
      </c>
      <c r="AH71" s="129">
        <v>1.68</v>
      </c>
      <c r="AI71" s="129">
        <v>1.68</v>
      </c>
      <c r="AJ71" s="129">
        <v>1.67</v>
      </c>
      <c r="AK71" s="129">
        <v>1.67</v>
      </c>
      <c r="AL71" s="129">
        <v>1.67</v>
      </c>
      <c r="AM71" s="129">
        <v>1.66</v>
      </c>
      <c r="AN71" s="129">
        <v>1.66</v>
      </c>
      <c r="AO71" s="129">
        <v>1.66</v>
      </c>
      <c r="AP71" s="129">
        <v>1.65</v>
      </c>
      <c r="AQ71" s="129">
        <v>1.65</v>
      </c>
      <c r="AR71" s="129">
        <v>1.64</v>
      </c>
      <c r="AS71" s="129">
        <v>1.64</v>
      </c>
      <c r="AT71" s="129">
        <v>1.64</v>
      </c>
      <c r="AU71" s="129">
        <v>1.63</v>
      </c>
      <c r="AV71" s="129">
        <v>1.63</v>
      </c>
      <c r="AW71" s="129">
        <v>1.62</v>
      </c>
      <c r="AX71" s="129">
        <v>1.62</v>
      </c>
      <c r="AY71" s="129">
        <v>1.61</v>
      </c>
      <c r="AZ71" s="129">
        <v>1.61</v>
      </c>
      <c r="BA71" s="129">
        <v>1.61</v>
      </c>
      <c r="BB71" s="129">
        <v>1.62</v>
      </c>
      <c r="BC71" s="129">
        <v>1.62</v>
      </c>
      <c r="BD71" s="129">
        <v>1.63</v>
      </c>
      <c r="BE71" s="129">
        <v>1.63</v>
      </c>
      <c r="BF71" s="129">
        <v>1.64</v>
      </c>
      <c r="BG71" s="129">
        <v>1.64</v>
      </c>
      <c r="BH71" s="129">
        <v>1.64</v>
      </c>
      <c r="BI71" s="129">
        <v>1.65</v>
      </c>
      <c r="BJ71" s="129">
        <v>1.65</v>
      </c>
      <c r="BK71" s="129">
        <v>1.66</v>
      </c>
      <c r="BL71" s="129">
        <v>1.66</v>
      </c>
      <c r="BM71" s="129">
        <v>1.66</v>
      </c>
      <c r="BN71" s="129">
        <v>1.67</v>
      </c>
      <c r="BO71" s="129">
        <v>1.67</v>
      </c>
      <c r="BP71" s="129">
        <v>1.67</v>
      </c>
      <c r="BQ71" s="129">
        <v>1.68</v>
      </c>
      <c r="BR71" s="129">
        <v>1.68</v>
      </c>
      <c r="BS71" s="129">
        <v>1.69</v>
      </c>
      <c r="BT71" s="129">
        <v>1.69</v>
      </c>
      <c r="BU71" s="129">
        <v>1.7</v>
      </c>
      <c r="BV71" s="129">
        <v>1.71</v>
      </c>
      <c r="BW71" s="129">
        <v>1.72</v>
      </c>
      <c r="BX71" s="129">
        <v>1.72</v>
      </c>
      <c r="BY71" s="129">
        <v>1.73</v>
      </c>
      <c r="BZ71" s="129">
        <v>1.74</v>
      </c>
      <c r="CA71" s="129">
        <v>1.75</v>
      </c>
      <c r="CB71" s="129">
        <v>1.76</v>
      </c>
      <c r="CC71" s="129">
        <v>1.76</v>
      </c>
      <c r="CD71" s="129">
        <v>1.77</v>
      </c>
      <c r="CE71" s="129">
        <v>1.78</v>
      </c>
      <c r="CF71" s="129">
        <v>1.79</v>
      </c>
      <c r="CG71" s="129">
        <v>1.8</v>
      </c>
      <c r="CH71" s="129">
        <v>1.81</v>
      </c>
      <c r="CI71" s="129">
        <v>1.82</v>
      </c>
      <c r="CJ71" s="129">
        <v>1.83</v>
      </c>
      <c r="CK71" s="129">
        <v>1.84</v>
      </c>
      <c r="CL71" s="129">
        <v>1.85</v>
      </c>
      <c r="CM71" s="129">
        <v>1.86</v>
      </c>
      <c r="CN71" s="129">
        <v>1.87</v>
      </c>
      <c r="CO71" s="129">
        <v>1.88</v>
      </c>
      <c r="CP71" s="129">
        <v>1.89</v>
      </c>
      <c r="CQ71" s="129">
        <v>1.91</v>
      </c>
      <c r="CR71" s="129">
        <v>1.92</v>
      </c>
      <c r="CS71" s="129">
        <v>1.93</v>
      </c>
      <c r="CT71" s="129">
        <v>1.94</v>
      </c>
      <c r="CU71" s="129">
        <v>1.96</v>
      </c>
      <c r="CV71" s="129">
        <v>1.97</v>
      </c>
      <c r="CW71" s="129">
        <v>1.99</v>
      </c>
      <c r="CX71" s="129">
        <v>2</v>
      </c>
      <c r="CZ71" s="126">
        <f>SUMIF(MatrixF4[[1]:[2]],MatrixF4[[#This Row],[Столбец1]])/MatrixF4[[#This Row],[Столбец1]]</f>
        <v>159.00000000000048</v>
      </c>
    </row>
    <row r="72" spans="1:104" ht="21" customHeight="1" x14ac:dyDescent="0.25">
      <c r="A72" s="127">
        <v>1.69</v>
      </c>
      <c r="B72" s="129">
        <v>1.69</v>
      </c>
      <c r="C72" s="129">
        <v>1.69</v>
      </c>
      <c r="D72" s="129">
        <v>1.69</v>
      </c>
      <c r="E72" s="129">
        <v>1.69</v>
      </c>
      <c r="F72" s="129">
        <v>1.69</v>
      </c>
      <c r="G72" s="129">
        <v>1.69</v>
      </c>
      <c r="H72" s="129">
        <v>1.69</v>
      </c>
      <c r="I72" s="129">
        <v>1.69</v>
      </c>
      <c r="J72" s="129">
        <v>1.69</v>
      </c>
      <c r="K72" s="129">
        <v>1.69</v>
      </c>
      <c r="L72" s="129">
        <v>1.69</v>
      </c>
      <c r="M72" s="129">
        <v>1.69</v>
      </c>
      <c r="N72" s="129">
        <v>1.69</v>
      </c>
      <c r="O72" s="129">
        <v>1.69</v>
      </c>
      <c r="P72" s="129">
        <v>1.69</v>
      </c>
      <c r="Q72" s="129">
        <v>1.69</v>
      </c>
      <c r="R72" s="129">
        <v>1.69</v>
      </c>
      <c r="S72" s="129">
        <v>1.69</v>
      </c>
      <c r="T72" s="129">
        <v>1.69</v>
      </c>
      <c r="U72" s="129">
        <v>1.69</v>
      </c>
      <c r="V72" s="129">
        <v>1.69</v>
      </c>
      <c r="W72" s="129">
        <v>1.69</v>
      </c>
      <c r="X72" s="129">
        <v>1.69</v>
      </c>
      <c r="Y72" s="129">
        <v>1.69</v>
      </c>
      <c r="Z72" s="129">
        <v>1.69</v>
      </c>
      <c r="AA72" s="129">
        <v>1.69</v>
      </c>
      <c r="AB72" s="129">
        <v>1.69</v>
      </c>
      <c r="AC72" s="129">
        <v>1.69</v>
      </c>
      <c r="AD72" s="129">
        <v>1.69</v>
      </c>
      <c r="AE72" s="129">
        <v>1.69</v>
      </c>
      <c r="AF72" s="129">
        <v>1.69</v>
      </c>
      <c r="AG72" s="129">
        <v>1.69</v>
      </c>
      <c r="AH72" s="129">
        <v>1.69</v>
      </c>
      <c r="AI72" s="129">
        <v>1.68</v>
      </c>
      <c r="AJ72" s="129">
        <v>1.68</v>
      </c>
      <c r="AK72" s="129">
        <v>1.68</v>
      </c>
      <c r="AL72" s="129">
        <v>1.67</v>
      </c>
      <c r="AM72" s="129">
        <v>1.67</v>
      </c>
      <c r="AN72" s="129">
        <v>1.67</v>
      </c>
      <c r="AO72" s="129">
        <v>1.66</v>
      </c>
      <c r="AP72" s="129">
        <v>1.66</v>
      </c>
      <c r="AQ72" s="129">
        <v>1.66</v>
      </c>
      <c r="AR72" s="129">
        <v>1.65</v>
      </c>
      <c r="AS72" s="129">
        <v>1.65</v>
      </c>
      <c r="AT72" s="129">
        <v>1.64</v>
      </c>
      <c r="AU72" s="129">
        <v>1.64</v>
      </c>
      <c r="AV72" s="129">
        <v>1.64</v>
      </c>
      <c r="AW72" s="129">
        <v>1.63</v>
      </c>
      <c r="AX72" s="129">
        <v>1.63</v>
      </c>
      <c r="AY72" s="129">
        <v>1.62</v>
      </c>
      <c r="AZ72" s="129">
        <v>1.62</v>
      </c>
      <c r="BA72" s="129">
        <v>1.62</v>
      </c>
      <c r="BB72" s="129">
        <v>1.63</v>
      </c>
      <c r="BC72" s="129">
        <v>1.63</v>
      </c>
      <c r="BD72" s="129">
        <v>1.64</v>
      </c>
      <c r="BE72" s="129">
        <v>1.64</v>
      </c>
      <c r="BF72" s="129">
        <v>1.64</v>
      </c>
      <c r="BG72" s="129">
        <v>1.65</v>
      </c>
      <c r="BH72" s="129">
        <v>1.65</v>
      </c>
      <c r="BI72" s="129">
        <v>1.66</v>
      </c>
      <c r="BJ72" s="129">
        <v>1.66</v>
      </c>
      <c r="BK72" s="129">
        <v>1.66</v>
      </c>
      <c r="BL72" s="129">
        <v>1.67</v>
      </c>
      <c r="BM72" s="129">
        <v>1.67</v>
      </c>
      <c r="BN72" s="129">
        <v>1.67</v>
      </c>
      <c r="BO72" s="129">
        <v>1.68</v>
      </c>
      <c r="BP72" s="129">
        <v>1.68</v>
      </c>
      <c r="BQ72" s="129">
        <v>1.68</v>
      </c>
      <c r="BR72" s="129">
        <v>1.69</v>
      </c>
      <c r="BS72" s="129">
        <v>1.69</v>
      </c>
      <c r="BT72" s="129">
        <v>1.7</v>
      </c>
      <c r="BU72" s="129">
        <v>1.7</v>
      </c>
      <c r="BV72" s="129">
        <v>1.71</v>
      </c>
      <c r="BW72" s="129">
        <v>1.72</v>
      </c>
      <c r="BX72" s="129">
        <v>1.73</v>
      </c>
      <c r="BY72" s="129">
        <v>1.73</v>
      </c>
      <c r="BZ72" s="129">
        <v>1.74</v>
      </c>
      <c r="CA72" s="129">
        <v>1.75</v>
      </c>
      <c r="CB72" s="129">
        <v>1.76</v>
      </c>
      <c r="CC72" s="129">
        <v>1.77</v>
      </c>
      <c r="CD72" s="129">
        <v>1.78</v>
      </c>
      <c r="CE72" s="129">
        <v>1.78</v>
      </c>
      <c r="CF72" s="129">
        <v>1.79</v>
      </c>
      <c r="CG72" s="129">
        <v>1.8</v>
      </c>
      <c r="CH72" s="129">
        <v>1.81</v>
      </c>
      <c r="CI72" s="129">
        <v>1.82</v>
      </c>
      <c r="CJ72" s="129">
        <v>1.83</v>
      </c>
      <c r="CK72" s="129">
        <v>1.84</v>
      </c>
      <c r="CL72" s="129">
        <v>1.85</v>
      </c>
      <c r="CM72" s="129">
        <v>1.86</v>
      </c>
      <c r="CN72" s="129">
        <v>1.87</v>
      </c>
      <c r="CO72" s="129">
        <v>1.88</v>
      </c>
      <c r="CP72" s="129">
        <v>1.9</v>
      </c>
      <c r="CQ72" s="129">
        <v>1.91</v>
      </c>
      <c r="CR72" s="129">
        <v>1.92</v>
      </c>
      <c r="CS72" s="129">
        <v>1.93</v>
      </c>
      <c r="CT72" s="129">
        <v>1.95</v>
      </c>
      <c r="CU72" s="129">
        <v>1.96</v>
      </c>
      <c r="CV72" s="129">
        <v>1.97</v>
      </c>
      <c r="CW72" s="129">
        <v>1.99</v>
      </c>
      <c r="CX72" s="129">
        <v>2</v>
      </c>
      <c r="CZ72" s="126">
        <f>SUMIF(MatrixF4[[1]:[2]],MatrixF4[[#This Row],[Столбец1]])/MatrixF4[[#This Row],[Столбец1]]</f>
        <v>154.99999999999983</v>
      </c>
    </row>
    <row r="73" spans="1:104" ht="21" customHeight="1" x14ac:dyDescent="0.25">
      <c r="A73" s="127">
        <v>1.7</v>
      </c>
      <c r="B73" s="129">
        <v>1.7</v>
      </c>
      <c r="C73" s="129">
        <v>1.7</v>
      </c>
      <c r="D73" s="129">
        <v>1.7</v>
      </c>
      <c r="E73" s="129">
        <v>1.7</v>
      </c>
      <c r="F73" s="129">
        <v>1.7</v>
      </c>
      <c r="G73" s="129">
        <v>1.7</v>
      </c>
      <c r="H73" s="129">
        <v>1.7</v>
      </c>
      <c r="I73" s="129">
        <v>1.7</v>
      </c>
      <c r="J73" s="129">
        <v>1.7</v>
      </c>
      <c r="K73" s="129">
        <v>1.7</v>
      </c>
      <c r="L73" s="129">
        <v>1.7</v>
      </c>
      <c r="M73" s="129">
        <v>1.7</v>
      </c>
      <c r="N73" s="129">
        <v>1.7</v>
      </c>
      <c r="O73" s="129">
        <v>1.7</v>
      </c>
      <c r="P73" s="129">
        <v>1.7</v>
      </c>
      <c r="Q73" s="129">
        <v>1.7</v>
      </c>
      <c r="R73" s="129">
        <v>1.7</v>
      </c>
      <c r="S73" s="129">
        <v>1.7</v>
      </c>
      <c r="T73" s="129">
        <v>1.7</v>
      </c>
      <c r="U73" s="129">
        <v>1.7</v>
      </c>
      <c r="V73" s="129">
        <v>1.7</v>
      </c>
      <c r="W73" s="129">
        <v>1.7</v>
      </c>
      <c r="X73" s="129">
        <v>1.7</v>
      </c>
      <c r="Y73" s="129">
        <v>1.7</v>
      </c>
      <c r="Z73" s="129">
        <v>1.7</v>
      </c>
      <c r="AA73" s="129">
        <v>1.7</v>
      </c>
      <c r="AB73" s="129">
        <v>1.7</v>
      </c>
      <c r="AC73" s="129">
        <v>1.7</v>
      </c>
      <c r="AD73" s="129">
        <v>1.7</v>
      </c>
      <c r="AE73" s="129">
        <v>1.7</v>
      </c>
      <c r="AF73" s="129">
        <v>1.7</v>
      </c>
      <c r="AG73" s="129">
        <v>1.7</v>
      </c>
      <c r="AH73" s="129">
        <v>1.69</v>
      </c>
      <c r="AI73" s="129">
        <v>1.69</v>
      </c>
      <c r="AJ73" s="129">
        <v>1.69</v>
      </c>
      <c r="AK73" s="129">
        <v>1.68</v>
      </c>
      <c r="AL73" s="129">
        <v>1.68</v>
      </c>
      <c r="AM73" s="129">
        <v>1.68</v>
      </c>
      <c r="AN73" s="129">
        <v>1.67</v>
      </c>
      <c r="AO73" s="129">
        <v>1.67</v>
      </c>
      <c r="AP73" s="129">
        <v>1.67</v>
      </c>
      <c r="AQ73" s="129">
        <v>1.66</v>
      </c>
      <c r="AR73" s="129">
        <v>1.66</v>
      </c>
      <c r="AS73" s="129">
        <v>1.66</v>
      </c>
      <c r="AT73" s="129">
        <v>1.65</v>
      </c>
      <c r="AU73" s="129">
        <v>1.65</v>
      </c>
      <c r="AV73" s="129">
        <v>1.64</v>
      </c>
      <c r="AW73" s="129">
        <v>1.64</v>
      </c>
      <c r="AX73" s="129">
        <v>1.63</v>
      </c>
      <c r="AY73" s="129">
        <v>1.63</v>
      </c>
      <c r="AZ73" s="129">
        <v>1.62</v>
      </c>
      <c r="BA73" s="129">
        <v>1.63</v>
      </c>
      <c r="BB73" s="129">
        <v>1.63</v>
      </c>
      <c r="BC73" s="129">
        <v>1.64</v>
      </c>
      <c r="BD73" s="129">
        <v>1.64</v>
      </c>
      <c r="BE73" s="129">
        <v>1.65</v>
      </c>
      <c r="BF73" s="129">
        <v>1.65</v>
      </c>
      <c r="BG73" s="129">
        <v>1.66</v>
      </c>
      <c r="BH73" s="129">
        <v>1.66</v>
      </c>
      <c r="BI73" s="129">
        <v>1.66</v>
      </c>
      <c r="BJ73" s="129">
        <v>1.67</v>
      </c>
      <c r="BK73" s="129">
        <v>1.67</v>
      </c>
      <c r="BL73" s="129">
        <v>1.67</v>
      </c>
      <c r="BM73" s="129">
        <v>1.68</v>
      </c>
      <c r="BN73" s="129">
        <v>1.68</v>
      </c>
      <c r="BO73" s="129">
        <v>1.68</v>
      </c>
      <c r="BP73" s="129">
        <v>1.69</v>
      </c>
      <c r="BQ73" s="129">
        <v>1.69</v>
      </c>
      <c r="BR73" s="129">
        <v>1.69</v>
      </c>
      <c r="BS73" s="129">
        <v>1.7</v>
      </c>
      <c r="BT73" s="129">
        <v>1.7</v>
      </c>
      <c r="BU73" s="129">
        <v>1.71</v>
      </c>
      <c r="BV73" s="129">
        <v>1.71</v>
      </c>
      <c r="BW73" s="129">
        <v>1.72</v>
      </c>
      <c r="BX73" s="129">
        <v>1.73</v>
      </c>
      <c r="BY73" s="129">
        <v>1.74</v>
      </c>
      <c r="BZ73" s="129">
        <v>1.74</v>
      </c>
      <c r="CA73" s="129">
        <v>1.75</v>
      </c>
      <c r="CB73" s="129">
        <v>1.76</v>
      </c>
      <c r="CC73" s="129">
        <v>1.77</v>
      </c>
      <c r="CD73" s="129">
        <v>1.78</v>
      </c>
      <c r="CE73" s="129">
        <v>1.79</v>
      </c>
      <c r="CF73" s="129">
        <v>1.8</v>
      </c>
      <c r="CG73" s="129">
        <v>1.8</v>
      </c>
      <c r="CH73" s="129">
        <v>1.81</v>
      </c>
      <c r="CI73" s="129">
        <v>1.82</v>
      </c>
      <c r="CJ73" s="129">
        <v>1.83</v>
      </c>
      <c r="CK73" s="129">
        <v>1.84</v>
      </c>
      <c r="CL73" s="129">
        <v>1.85</v>
      </c>
      <c r="CM73" s="129">
        <v>1.86</v>
      </c>
      <c r="CN73" s="129">
        <v>1.88</v>
      </c>
      <c r="CO73" s="129">
        <v>1.89</v>
      </c>
      <c r="CP73" s="129">
        <v>1.9</v>
      </c>
      <c r="CQ73" s="129">
        <v>1.91</v>
      </c>
      <c r="CR73" s="129">
        <v>1.92</v>
      </c>
      <c r="CS73" s="129">
        <v>1.93</v>
      </c>
      <c r="CT73" s="129">
        <v>1.95</v>
      </c>
      <c r="CU73" s="129">
        <v>1.96</v>
      </c>
      <c r="CV73" s="129">
        <v>1.97</v>
      </c>
      <c r="CW73" s="129">
        <v>1.99</v>
      </c>
      <c r="CX73" s="129">
        <v>2</v>
      </c>
      <c r="CZ73" s="126">
        <f>SUMIF(MatrixF4[[1]:[2]],MatrixF4[[#This Row],[Столбец1]])/MatrixF4[[#This Row],[Столбец1]]</f>
        <v>156.99999999999955</v>
      </c>
    </row>
    <row r="74" spans="1:104" ht="21" customHeight="1" x14ac:dyDescent="0.25">
      <c r="A74" s="127">
        <v>1.71</v>
      </c>
      <c r="B74" s="129">
        <v>1.71</v>
      </c>
      <c r="C74" s="129">
        <v>1.71</v>
      </c>
      <c r="D74" s="129">
        <v>1.71</v>
      </c>
      <c r="E74" s="129">
        <v>1.71</v>
      </c>
      <c r="F74" s="129">
        <v>1.71</v>
      </c>
      <c r="G74" s="129">
        <v>1.71</v>
      </c>
      <c r="H74" s="129">
        <v>1.71</v>
      </c>
      <c r="I74" s="129">
        <v>1.71</v>
      </c>
      <c r="J74" s="129">
        <v>1.71</v>
      </c>
      <c r="K74" s="129">
        <v>1.71</v>
      </c>
      <c r="L74" s="129">
        <v>1.71</v>
      </c>
      <c r="M74" s="129">
        <v>1.71</v>
      </c>
      <c r="N74" s="129">
        <v>1.71</v>
      </c>
      <c r="O74" s="129">
        <v>1.71</v>
      </c>
      <c r="P74" s="129">
        <v>1.71</v>
      </c>
      <c r="Q74" s="129">
        <v>1.71</v>
      </c>
      <c r="R74" s="129">
        <v>1.71</v>
      </c>
      <c r="S74" s="129">
        <v>1.71</v>
      </c>
      <c r="T74" s="129">
        <v>1.71</v>
      </c>
      <c r="U74" s="129">
        <v>1.71</v>
      </c>
      <c r="V74" s="129">
        <v>1.71</v>
      </c>
      <c r="W74" s="129">
        <v>1.71</v>
      </c>
      <c r="X74" s="129">
        <v>1.71</v>
      </c>
      <c r="Y74" s="129">
        <v>1.71</v>
      </c>
      <c r="Z74" s="129">
        <v>1.71</v>
      </c>
      <c r="AA74" s="129">
        <v>1.71</v>
      </c>
      <c r="AB74" s="129">
        <v>1.71</v>
      </c>
      <c r="AC74" s="129">
        <v>1.71</v>
      </c>
      <c r="AD74" s="129">
        <v>1.71</v>
      </c>
      <c r="AE74" s="129">
        <v>1.71</v>
      </c>
      <c r="AF74" s="129">
        <v>1.71</v>
      </c>
      <c r="AG74" s="129">
        <v>1.7</v>
      </c>
      <c r="AH74" s="129">
        <v>1.7</v>
      </c>
      <c r="AI74" s="129">
        <v>1.7</v>
      </c>
      <c r="AJ74" s="129">
        <v>1.69</v>
      </c>
      <c r="AK74" s="129">
        <v>1.69</v>
      </c>
      <c r="AL74" s="129">
        <v>1.69</v>
      </c>
      <c r="AM74" s="129">
        <v>1.68</v>
      </c>
      <c r="AN74" s="129">
        <v>1.68</v>
      </c>
      <c r="AO74" s="129">
        <v>1.68</v>
      </c>
      <c r="AP74" s="129">
        <v>1.67</v>
      </c>
      <c r="AQ74" s="129">
        <v>1.67</v>
      </c>
      <c r="AR74" s="129">
        <v>1.67</v>
      </c>
      <c r="AS74" s="129">
        <v>1.66</v>
      </c>
      <c r="AT74" s="129">
        <v>1.66</v>
      </c>
      <c r="AU74" s="129">
        <v>1.65</v>
      </c>
      <c r="AV74" s="129">
        <v>1.65</v>
      </c>
      <c r="AW74" s="129">
        <v>1.65</v>
      </c>
      <c r="AX74" s="129">
        <v>1.64</v>
      </c>
      <c r="AY74" s="129">
        <v>1.64</v>
      </c>
      <c r="AZ74" s="129">
        <v>1.63</v>
      </c>
      <c r="BA74" s="129">
        <v>1.64</v>
      </c>
      <c r="BB74" s="129">
        <v>1.64</v>
      </c>
      <c r="BC74" s="129">
        <v>1.65</v>
      </c>
      <c r="BD74" s="129">
        <v>1.65</v>
      </c>
      <c r="BE74" s="129">
        <v>1.65</v>
      </c>
      <c r="BF74" s="129">
        <v>1.66</v>
      </c>
      <c r="BG74" s="129">
        <v>1.66</v>
      </c>
      <c r="BH74" s="129">
        <v>1.67</v>
      </c>
      <c r="BI74" s="129">
        <v>1.67</v>
      </c>
      <c r="BJ74" s="129">
        <v>1.67</v>
      </c>
      <c r="BK74" s="129">
        <v>1.68</v>
      </c>
      <c r="BL74" s="129">
        <v>1.68</v>
      </c>
      <c r="BM74" s="129">
        <v>1.68</v>
      </c>
      <c r="BN74" s="129">
        <v>1.69</v>
      </c>
      <c r="BO74" s="129">
        <v>1.69</v>
      </c>
      <c r="BP74" s="129">
        <v>1.69</v>
      </c>
      <c r="BQ74" s="129">
        <v>1.7</v>
      </c>
      <c r="BR74" s="129">
        <v>1.7</v>
      </c>
      <c r="BS74" s="129">
        <v>1.7</v>
      </c>
      <c r="BT74" s="129">
        <v>1.71</v>
      </c>
      <c r="BU74" s="129">
        <v>1.71</v>
      </c>
      <c r="BV74" s="129">
        <v>1.72</v>
      </c>
      <c r="BW74" s="129">
        <v>1.72</v>
      </c>
      <c r="BX74" s="129">
        <v>1.73</v>
      </c>
      <c r="BY74" s="129">
        <v>1.74</v>
      </c>
      <c r="BZ74" s="129">
        <v>1.75</v>
      </c>
      <c r="CA74" s="129">
        <v>1.76</v>
      </c>
      <c r="CB74" s="129">
        <v>1.76</v>
      </c>
      <c r="CC74" s="129">
        <v>1.77</v>
      </c>
      <c r="CD74" s="129">
        <v>1.78</v>
      </c>
      <c r="CE74" s="129">
        <v>1.79</v>
      </c>
      <c r="CF74" s="129">
        <v>1.8</v>
      </c>
      <c r="CG74" s="129">
        <v>1.81</v>
      </c>
      <c r="CH74" s="129">
        <v>1.82</v>
      </c>
      <c r="CI74" s="129">
        <v>1.83</v>
      </c>
      <c r="CJ74" s="129">
        <v>1.84</v>
      </c>
      <c r="CK74" s="129">
        <v>1.85</v>
      </c>
      <c r="CL74" s="129">
        <v>1.86</v>
      </c>
      <c r="CM74" s="129">
        <v>1.87</v>
      </c>
      <c r="CN74" s="129">
        <v>1.88</v>
      </c>
      <c r="CO74" s="129">
        <v>1.89</v>
      </c>
      <c r="CP74" s="129">
        <v>1.9</v>
      </c>
      <c r="CQ74" s="129">
        <v>1.91</v>
      </c>
      <c r="CR74" s="129">
        <v>1.92</v>
      </c>
      <c r="CS74" s="129">
        <v>1.93</v>
      </c>
      <c r="CT74" s="129">
        <v>1.95</v>
      </c>
      <c r="CU74" s="129">
        <v>1.96</v>
      </c>
      <c r="CV74" s="129">
        <v>1.97</v>
      </c>
      <c r="CW74" s="129">
        <v>1.99</v>
      </c>
      <c r="CX74" s="129">
        <v>2</v>
      </c>
      <c r="CZ74" s="126">
        <f>SUMIF(MatrixF4[[1]:[2]],MatrixF4[[#This Row],[Столбец1]])/MatrixF4[[#This Row],[Столбец1]]</f>
        <v>163.00000000000009</v>
      </c>
    </row>
    <row r="75" spans="1:104" ht="21" customHeight="1" x14ac:dyDescent="0.25">
      <c r="A75" s="127">
        <v>1.72</v>
      </c>
      <c r="B75" s="129">
        <v>1.72</v>
      </c>
      <c r="C75" s="129">
        <v>1.72</v>
      </c>
      <c r="D75" s="129">
        <v>1.72</v>
      </c>
      <c r="E75" s="129">
        <v>1.72</v>
      </c>
      <c r="F75" s="129">
        <v>1.72</v>
      </c>
      <c r="G75" s="129">
        <v>1.72</v>
      </c>
      <c r="H75" s="129">
        <v>1.72</v>
      </c>
      <c r="I75" s="129">
        <v>1.72</v>
      </c>
      <c r="J75" s="129">
        <v>1.72</v>
      </c>
      <c r="K75" s="129">
        <v>1.72</v>
      </c>
      <c r="L75" s="129">
        <v>1.72</v>
      </c>
      <c r="M75" s="129">
        <v>1.72</v>
      </c>
      <c r="N75" s="129">
        <v>1.72</v>
      </c>
      <c r="O75" s="129">
        <v>1.72</v>
      </c>
      <c r="P75" s="129">
        <v>1.72</v>
      </c>
      <c r="Q75" s="129">
        <v>1.72</v>
      </c>
      <c r="R75" s="129">
        <v>1.72</v>
      </c>
      <c r="S75" s="129">
        <v>1.72</v>
      </c>
      <c r="T75" s="129">
        <v>1.72</v>
      </c>
      <c r="U75" s="129">
        <v>1.72</v>
      </c>
      <c r="V75" s="129">
        <v>1.72</v>
      </c>
      <c r="W75" s="129">
        <v>1.72</v>
      </c>
      <c r="X75" s="129">
        <v>1.72</v>
      </c>
      <c r="Y75" s="129">
        <v>1.72</v>
      </c>
      <c r="Z75" s="129">
        <v>1.72</v>
      </c>
      <c r="AA75" s="129">
        <v>1.72</v>
      </c>
      <c r="AB75" s="129">
        <v>1.72</v>
      </c>
      <c r="AC75" s="129">
        <v>1.72</v>
      </c>
      <c r="AD75" s="129">
        <v>1.72</v>
      </c>
      <c r="AE75" s="129">
        <v>1.72</v>
      </c>
      <c r="AF75" s="129">
        <v>1.71</v>
      </c>
      <c r="AG75" s="129">
        <v>1.71</v>
      </c>
      <c r="AH75" s="129">
        <v>1.71</v>
      </c>
      <c r="AI75" s="129">
        <v>1.71</v>
      </c>
      <c r="AJ75" s="129">
        <v>1.7</v>
      </c>
      <c r="AK75" s="129">
        <v>1.7</v>
      </c>
      <c r="AL75" s="129">
        <v>1.7</v>
      </c>
      <c r="AM75" s="129">
        <v>1.69</v>
      </c>
      <c r="AN75" s="129">
        <v>1.69</v>
      </c>
      <c r="AO75" s="129">
        <v>1.69</v>
      </c>
      <c r="AP75" s="129">
        <v>1.68</v>
      </c>
      <c r="AQ75" s="129">
        <v>1.68</v>
      </c>
      <c r="AR75" s="129">
        <v>1.67</v>
      </c>
      <c r="AS75" s="129">
        <v>1.67</v>
      </c>
      <c r="AT75" s="129">
        <v>1.67</v>
      </c>
      <c r="AU75" s="129">
        <v>1.66</v>
      </c>
      <c r="AV75" s="129">
        <v>1.66</v>
      </c>
      <c r="AW75" s="129">
        <v>1.65</v>
      </c>
      <c r="AX75" s="129">
        <v>1.65</v>
      </c>
      <c r="AY75" s="129">
        <v>1.65</v>
      </c>
      <c r="AZ75" s="129">
        <v>1.64</v>
      </c>
      <c r="BA75" s="129">
        <v>1.65</v>
      </c>
      <c r="BB75" s="129">
        <v>1.65</v>
      </c>
      <c r="BC75" s="129">
        <v>1.65</v>
      </c>
      <c r="BD75" s="129">
        <v>1.66</v>
      </c>
      <c r="BE75" s="129">
        <v>1.66</v>
      </c>
      <c r="BF75" s="129">
        <v>1.67</v>
      </c>
      <c r="BG75" s="129">
        <v>1.67</v>
      </c>
      <c r="BH75" s="129">
        <v>1.67</v>
      </c>
      <c r="BI75" s="129">
        <v>1.68</v>
      </c>
      <c r="BJ75" s="129">
        <v>1.68</v>
      </c>
      <c r="BK75" s="129">
        <v>1.69</v>
      </c>
      <c r="BL75" s="129">
        <v>1.69</v>
      </c>
      <c r="BM75" s="129">
        <v>1.69</v>
      </c>
      <c r="BN75" s="129">
        <v>1.7</v>
      </c>
      <c r="BO75" s="129">
        <v>1.7</v>
      </c>
      <c r="BP75" s="129">
        <v>1.7</v>
      </c>
      <c r="BQ75" s="129">
        <v>1.71</v>
      </c>
      <c r="BR75" s="129">
        <v>1.71</v>
      </c>
      <c r="BS75" s="129">
        <v>1.71</v>
      </c>
      <c r="BT75" s="129">
        <v>1.71</v>
      </c>
      <c r="BU75" s="129">
        <v>1.72</v>
      </c>
      <c r="BV75" s="129">
        <v>1.72</v>
      </c>
      <c r="BW75" s="129">
        <v>1.73</v>
      </c>
      <c r="BX75" s="129">
        <v>1.73</v>
      </c>
      <c r="BY75" s="129">
        <v>1.74</v>
      </c>
      <c r="BZ75" s="129">
        <v>1.75</v>
      </c>
      <c r="CA75" s="129">
        <v>1.76</v>
      </c>
      <c r="CB75" s="129">
        <v>1.77</v>
      </c>
      <c r="CC75" s="129">
        <v>1.77</v>
      </c>
      <c r="CD75" s="129">
        <v>1.78</v>
      </c>
      <c r="CE75" s="129">
        <v>1.79</v>
      </c>
      <c r="CF75" s="129">
        <v>1.8</v>
      </c>
      <c r="CG75" s="129">
        <v>1.81</v>
      </c>
      <c r="CH75" s="129">
        <v>1.82</v>
      </c>
      <c r="CI75" s="129">
        <v>1.83</v>
      </c>
      <c r="CJ75" s="129">
        <v>1.84</v>
      </c>
      <c r="CK75" s="129">
        <v>1.85</v>
      </c>
      <c r="CL75" s="129">
        <v>1.86</v>
      </c>
      <c r="CM75" s="129">
        <v>1.87</v>
      </c>
      <c r="CN75" s="129">
        <v>1.88</v>
      </c>
      <c r="CO75" s="129">
        <v>1.89</v>
      </c>
      <c r="CP75" s="129">
        <v>1.9</v>
      </c>
      <c r="CQ75" s="129">
        <v>1.91</v>
      </c>
      <c r="CR75" s="129">
        <v>1.92</v>
      </c>
      <c r="CS75" s="129">
        <v>1.94</v>
      </c>
      <c r="CT75" s="129">
        <v>1.95</v>
      </c>
      <c r="CU75" s="129">
        <v>1.96</v>
      </c>
      <c r="CV75" s="129">
        <v>1.97</v>
      </c>
      <c r="CW75" s="129">
        <v>1.99</v>
      </c>
      <c r="CX75" s="129">
        <v>2</v>
      </c>
      <c r="CZ75" s="126">
        <f>SUMIF(MatrixF4[[1]:[2]],MatrixF4[[#This Row],[Столбец1]])/MatrixF4[[#This Row],[Столбец1]]</f>
        <v>157.00000000000006</v>
      </c>
    </row>
    <row r="76" spans="1:104" ht="21" customHeight="1" x14ac:dyDescent="0.25">
      <c r="A76" s="127">
        <v>1.73</v>
      </c>
      <c r="B76" s="129">
        <v>1.73</v>
      </c>
      <c r="C76" s="129">
        <v>1.73</v>
      </c>
      <c r="D76" s="129">
        <v>1.73</v>
      </c>
      <c r="E76" s="129">
        <v>1.73</v>
      </c>
      <c r="F76" s="129">
        <v>1.73</v>
      </c>
      <c r="G76" s="129">
        <v>1.73</v>
      </c>
      <c r="H76" s="129">
        <v>1.73</v>
      </c>
      <c r="I76" s="129">
        <v>1.73</v>
      </c>
      <c r="J76" s="129">
        <v>1.73</v>
      </c>
      <c r="K76" s="129">
        <v>1.73</v>
      </c>
      <c r="L76" s="129">
        <v>1.73</v>
      </c>
      <c r="M76" s="129">
        <v>1.73</v>
      </c>
      <c r="N76" s="129">
        <v>1.73</v>
      </c>
      <c r="O76" s="129">
        <v>1.73</v>
      </c>
      <c r="P76" s="129">
        <v>1.73</v>
      </c>
      <c r="Q76" s="129">
        <v>1.73</v>
      </c>
      <c r="R76" s="129">
        <v>1.73</v>
      </c>
      <c r="S76" s="129">
        <v>1.73</v>
      </c>
      <c r="T76" s="129">
        <v>1.73</v>
      </c>
      <c r="U76" s="129">
        <v>1.73</v>
      </c>
      <c r="V76" s="129">
        <v>1.73</v>
      </c>
      <c r="W76" s="129">
        <v>1.73</v>
      </c>
      <c r="X76" s="129">
        <v>1.73</v>
      </c>
      <c r="Y76" s="129">
        <v>1.73</v>
      </c>
      <c r="Z76" s="129">
        <v>1.73</v>
      </c>
      <c r="AA76" s="129">
        <v>1.73</v>
      </c>
      <c r="AB76" s="129">
        <v>1.73</v>
      </c>
      <c r="AC76" s="129">
        <v>1.73</v>
      </c>
      <c r="AD76" s="129">
        <v>1.73</v>
      </c>
      <c r="AE76" s="129">
        <v>1.72</v>
      </c>
      <c r="AF76" s="129">
        <v>1.72</v>
      </c>
      <c r="AG76" s="129">
        <v>1.72</v>
      </c>
      <c r="AH76" s="129">
        <v>1.72</v>
      </c>
      <c r="AI76" s="129">
        <v>1.71</v>
      </c>
      <c r="AJ76" s="129">
        <v>1.71</v>
      </c>
      <c r="AK76" s="129">
        <v>1.71</v>
      </c>
      <c r="AL76" s="129">
        <v>1.7</v>
      </c>
      <c r="AM76" s="129">
        <v>1.7</v>
      </c>
      <c r="AN76" s="129">
        <v>1.7</v>
      </c>
      <c r="AO76" s="129">
        <v>1.69</v>
      </c>
      <c r="AP76" s="129">
        <v>1.69</v>
      </c>
      <c r="AQ76" s="129">
        <v>1.69</v>
      </c>
      <c r="AR76" s="129">
        <v>1.68</v>
      </c>
      <c r="AS76" s="129">
        <v>1.68</v>
      </c>
      <c r="AT76" s="129">
        <v>1.67</v>
      </c>
      <c r="AU76" s="129">
        <v>1.67</v>
      </c>
      <c r="AV76" s="129">
        <v>1.67</v>
      </c>
      <c r="AW76" s="129">
        <v>1.66</v>
      </c>
      <c r="AX76" s="129">
        <v>1.66</v>
      </c>
      <c r="AY76" s="129">
        <v>1.65</v>
      </c>
      <c r="AZ76" s="129">
        <v>1.65</v>
      </c>
      <c r="BA76" s="129">
        <v>1.65</v>
      </c>
      <c r="BB76" s="129">
        <v>1.66</v>
      </c>
      <c r="BC76" s="129">
        <v>1.66</v>
      </c>
      <c r="BD76" s="129">
        <v>1.67</v>
      </c>
      <c r="BE76" s="129">
        <v>1.67</v>
      </c>
      <c r="BF76" s="129">
        <v>1.67</v>
      </c>
      <c r="BG76" s="129">
        <v>1.68</v>
      </c>
      <c r="BH76" s="129">
        <v>1.68</v>
      </c>
      <c r="BI76" s="129">
        <v>1.69</v>
      </c>
      <c r="BJ76" s="129">
        <v>1.69</v>
      </c>
      <c r="BK76" s="129">
        <v>1.69</v>
      </c>
      <c r="BL76" s="129">
        <v>1.7</v>
      </c>
      <c r="BM76" s="129">
        <v>1.7</v>
      </c>
      <c r="BN76" s="129">
        <v>1.7</v>
      </c>
      <c r="BO76" s="129">
        <v>1.71</v>
      </c>
      <c r="BP76" s="129">
        <v>1.71</v>
      </c>
      <c r="BQ76" s="129">
        <v>1.71</v>
      </c>
      <c r="BR76" s="129">
        <v>1.72</v>
      </c>
      <c r="BS76" s="129">
        <v>1.72</v>
      </c>
      <c r="BT76" s="129">
        <v>1.72</v>
      </c>
      <c r="BU76" s="129">
        <v>1.72</v>
      </c>
      <c r="BV76" s="129">
        <v>1.73</v>
      </c>
      <c r="BW76" s="129">
        <v>1.73</v>
      </c>
      <c r="BX76" s="129">
        <v>1.74</v>
      </c>
      <c r="BY76" s="129">
        <v>1.74</v>
      </c>
      <c r="BZ76" s="129">
        <v>1.75</v>
      </c>
      <c r="CA76" s="129">
        <v>1.76</v>
      </c>
      <c r="CB76" s="129">
        <v>1.77</v>
      </c>
      <c r="CC76" s="129">
        <v>1.78</v>
      </c>
      <c r="CD76" s="129">
        <v>1.78</v>
      </c>
      <c r="CE76" s="129">
        <v>1.79</v>
      </c>
      <c r="CF76" s="129">
        <v>1.8</v>
      </c>
      <c r="CG76" s="129">
        <v>1.81</v>
      </c>
      <c r="CH76" s="129">
        <v>1.82</v>
      </c>
      <c r="CI76" s="129">
        <v>1.83</v>
      </c>
      <c r="CJ76" s="129">
        <v>1.84</v>
      </c>
      <c r="CK76" s="129">
        <v>1.85</v>
      </c>
      <c r="CL76" s="129">
        <v>1.86</v>
      </c>
      <c r="CM76" s="129">
        <v>1.87</v>
      </c>
      <c r="CN76" s="129">
        <v>1.88</v>
      </c>
      <c r="CO76" s="129">
        <v>1.89</v>
      </c>
      <c r="CP76" s="129">
        <v>1.9</v>
      </c>
      <c r="CQ76" s="129">
        <v>1.91</v>
      </c>
      <c r="CR76" s="129">
        <v>1.92</v>
      </c>
      <c r="CS76" s="129">
        <v>1.94</v>
      </c>
      <c r="CT76" s="129">
        <v>1.95</v>
      </c>
      <c r="CU76" s="129">
        <v>1.96</v>
      </c>
      <c r="CV76" s="129">
        <v>1.97</v>
      </c>
      <c r="CW76" s="129">
        <v>1.99</v>
      </c>
      <c r="CX76" s="129">
        <v>2</v>
      </c>
      <c r="CZ76" s="126">
        <f>SUMIF(MatrixF4[[1]:[2]],MatrixF4[[#This Row],[Столбец1]])/MatrixF4[[#This Row],[Столбец1]]</f>
        <v>164.9999999999998</v>
      </c>
    </row>
    <row r="77" spans="1:104" ht="21" customHeight="1" x14ac:dyDescent="0.25">
      <c r="A77" s="127">
        <v>1.74</v>
      </c>
      <c r="B77" s="129">
        <v>1.74</v>
      </c>
      <c r="C77" s="129">
        <v>1.74</v>
      </c>
      <c r="D77" s="129">
        <v>1.74</v>
      </c>
      <c r="E77" s="129">
        <v>1.74</v>
      </c>
      <c r="F77" s="129">
        <v>1.74</v>
      </c>
      <c r="G77" s="129">
        <v>1.74</v>
      </c>
      <c r="H77" s="129">
        <v>1.74</v>
      </c>
      <c r="I77" s="129">
        <v>1.74</v>
      </c>
      <c r="J77" s="129">
        <v>1.74</v>
      </c>
      <c r="K77" s="129">
        <v>1.74</v>
      </c>
      <c r="L77" s="129">
        <v>1.74</v>
      </c>
      <c r="M77" s="129">
        <v>1.74</v>
      </c>
      <c r="N77" s="129">
        <v>1.74</v>
      </c>
      <c r="O77" s="129">
        <v>1.74</v>
      </c>
      <c r="P77" s="129">
        <v>1.74</v>
      </c>
      <c r="Q77" s="129">
        <v>1.74</v>
      </c>
      <c r="R77" s="129">
        <v>1.74</v>
      </c>
      <c r="S77" s="129">
        <v>1.74</v>
      </c>
      <c r="T77" s="129">
        <v>1.74</v>
      </c>
      <c r="U77" s="129">
        <v>1.74</v>
      </c>
      <c r="V77" s="129">
        <v>1.74</v>
      </c>
      <c r="W77" s="129">
        <v>1.74</v>
      </c>
      <c r="X77" s="129">
        <v>1.74</v>
      </c>
      <c r="Y77" s="129">
        <v>1.74</v>
      </c>
      <c r="Z77" s="129">
        <v>1.74</v>
      </c>
      <c r="AA77" s="129">
        <v>1.74</v>
      </c>
      <c r="AB77" s="129">
        <v>1.74</v>
      </c>
      <c r="AC77" s="129">
        <v>1.74</v>
      </c>
      <c r="AD77" s="129">
        <v>1.73</v>
      </c>
      <c r="AE77" s="129">
        <v>1.73</v>
      </c>
      <c r="AF77" s="129">
        <v>1.73</v>
      </c>
      <c r="AG77" s="129">
        <v>1.73</v>
      </c>
      <c r="AH77" s="129">
        <v>1.72</v>
      </c>
      <c r="AI77" s="129">
        <v>1.72</v>
      </c>
      <c r="AJ77" s="129">
        <v>1.72</v>
      </c>
      <c r="AK77" s="129">
        <v>1.71</v>
      </c>
      <c r="AL77" s="129">
        <v>1.71</v>
      </c>
      <c r="AM77" s="129">
        <v>1.71</v>
      </c>
      <c r="AN77" s="129">
        <v>1.7</v>
      </c>
      <c r="AO77" s="129">
        <v>1.7</v>
      </c>
      <c r="AP77" s="129">
        <v>1.7</v>
      </c>
      <c r="AQ77" s="129">
        <v>1.69</v>
      </c>
      <c r="AR77" s="129">
        <v>1.69</v>
      </c>
      <c r="AS77" s="129">
        <v>1.69</v>
      </c>
      <c r="AT77" s="129">
        <v>1.68</v>
      </c>
      <c r="AU77" s="129">
        <v>1.68</v>
      </c>
      <c r="AV77" s="129">
        <v>1.68</v>
      </c>
      <c r="AW77" s="129">
        <v>1.67</v>
      </c>
      <c r="AX77" s="129">
        <v>1.67</v>
      </c>
      <c r="AY77" s="129">
        <v>1.66</v>
      </c>
      <c r="AZ77" s="129">
        <v>1.66</v>
      </c>
      <c r="BA77" s="129">
        <v>1.66</v>
      </c>
      <c r="BB77" s="129">
        <v>1.67</v>
      </c>
      <c r="BC77" s="129">
        <v>1.67</v>
      </c>
      <c r="BD77" s="129">
        <v>1.68</v>
      </c>
      <c r="BE77" s="129">
        <v>1.68</v>
      </c>
      <c r="BF77" s="129">
        <v>1.68</v>
      </c>
      <c r="BG77" s="129">
        <v>1.69</v>
      </c>
      <c r="BH77" s="129">
        <v>1.69</v>
      </c>
      <c r="BI77" s="129">
        <v>1.69</v>
      </c>
      <c r="BJ77" s="129">
        <v>1.7</v>
      </c>
      <c r="BK77" s="129">
        <v>1.7</v>
      </c>
      <c r="BL77" s="129">
        <v>1.7</v>
      </c>
      <c r="BM77" s="129">
        <v>1.71</v>
      </c>
      <c r="BN77" s="129">
        <v>1.71</v>
      </c>
      <c r="BO77" s="129">
        <v>1.71</v>
      </c>
      <c r="BP77" s="129">
        <v>1.72</v>
      </c>
      <c r="BQ77" s="129">
        <v>1.72</v>
      </c>
      <c r="BR77" s="129">
        <v>1.72</v>
      </c>
      <c r="BS77" s="129">
        <v>1.73</v>
      </c>
      <c r="BT77" s="129">
        <v>1.73</v>
      </c>
      <c r="BU77" s="129">
        <v>1.73</v>
      </c>
      <c r="BV77" s="129">
        <v>1.73</v>
      </c>
      <c r="BW77" s="129">
        <v>1.74</v>
      </c>
      <c r="BX77" s="129">
        <v>1.74</v>
      </c>
      <c r="BY77" s="129">
        <v>1.75</v>
      </c>
      <c r="BZ77" s="129">
        <v>1.76</v>
      </c>
      <c r="CA77" s="129">
        <v>1.76</v>
      </c>
      <c r="CB77" s="129">
        <v>1.77</v>
      </c>
      <c r="CC77" s="129">
        <v>1.78</v>
      </c>
      <c r="CD77" s="129">
        <v>1.79</v>
      </c>
      <c r="CE77" s="129">
        <v>1.8</v>
      </c>
      <c r="CF77" s="129">
        <v>1.8</v>
      </c>
      <c r="CG77" s="129">
        <v>1.81</v>
      </c>
      <c r="CH77" s="129">
        <v>1.82</v>
      </c>
      <c r="CI77" s="129">
        <v>1.83</v>
      </c>
      <c r="CJ77" s="129">
        <v>1.84</v>
      </c>
      <c r="CK77" s="129">
        <v>1.85</v>
      </c>
      <c r="CL77" s="129">
        <v>1.86</v>
      </c>
      <c r="CM77" s="129">
        <v>1.87</v>
      </c>
      <c r="CN77" s="129">
        <v>1.88</v>
      </c>
      <c r="CO77" s="129">
        <v>1.89</v>
      </c>
      <c r="CP77" s="129">
        <v>1.9</v>
      </c>
      <c r="CQ77" s="129">
        <v>1.91</v>
      </c>
      <c r="CR77" s="129">
        <v>1.92</v>
      </c>
      <c r="CS77" s="129">
        <v>1.94</v>
      </c>
      <c r="CT77" s="129">
        <v>1.95</v>
      </c>
      <c r="CU77" s="129">
        <v>1.96</v>
      </c>
      <c r="CV77" s="129">
        <v>1.97</v>
      </c>
      <c r="CW77" s="129">
        <v>1.99</v>
      </c>
      <c r="CX77" s="129">
        <v>2</v>
      </c>
      <c r="CZ77" s="126">
        <f>SUMIF(MatrixF4[[1]:[2]],MatrixF4[[#This Row],[Столбец1]])/MatrixF4[[#This Row],[Столбец1]]</f>
        <v>165.00000000000037</v>
      </c>
    </row>
    <row r="78" spans="1:104" ht="21" customHeight="1" x14ac:dyDescent="0.25">
      <c r="A78" s="127">
        <v>1.75</v>
      </c>
      <c r="B78" s="129">
        <v>1.75</v>
      </c>
      <c r="C78" s="129">
        <v>1.75</v>
      </c>
      <c r="D78" s="129">
        <v>1.75</v>
      </c>
      <c r="E78" s="129">
        <v>1.75</v>
      </c>
      <c r="F78" s="129">
        <v>1.75</v>
      </c>
      <c r="G78" s="129">
        <v>1.75</v>
      </c>
      <c r="H78" s="129">
        <v>1.75</v>
      </c>
      <c r="I78" s="129">
        <v>1.75</v>
      </c>
      <c r="J78" s="129">
        <v>1.75</v>
      </c>
      <c r="K78" s="129">
        <v>1.75</v>
      </c>
      <c r="L78" s="129">
        <v>1.75</v>
      </c>
      <c r="M78" s="129">
        <v>1.75</v>
      </c>
      <c r="N78" s="129">
        <v>1.75</v>
      </c>
      <c r="O78" s="129">
        <v>1.75</v>
      </c>
      <c r="P78" s="129">
        <v>1.75</v>
      </c>
      <c r="Q78" s="129">
        <v>1.75</v>
      </c>
      <c r="R78" s="129">
        <v>1.75</v>
      </c>
      <c r="S78" s="129">
        <v>1.75</v>
      </c>
      <c r="T78" s="129">
        <v>1.75</v>
      </c>
      <c r="U78" s="129">
        <v>1.75</v>
      </c>
      <c r="V78" s="129">
        <v>1.75</v>
      </c>
      <c r="W78" s="129">
        <v>1.75</v>
      </c>
      <c r="X78" s="129">
        <v>1.75</v>
      </c>
      <c r="Y78" s="129">
        <v>1.75</v>
      </c>
      <c r="Z78" s="129">
        <v>1.75</v>
      </c>
      <c r="AA78" s="129">
        <v>1.75</v>
      </c>
      <c r="AB78" s="129">
        <v>1.75</v>
      </c>
      <c r="AC78" s="129">
        <v>1.74</v>
      </c>
      <c r="AD78" s="129">
        <v>1.74</v>
      </c>
      <c r="AE78" s="129">
        <v>1.74</v>
      </c>
      <c r="AF78" s="129">
        <v>1.74</v>
      </c>
      <c r="AG78" s="129">
        <v>1.73</v>
      </c>
      <c r="AH78" s="129">
        <v>1.73</v>
      </c>
      <c r="AI78" s="129">
        <v>1.73</v>
      </c>
      <c r="AJ78" s="129">
        <v>1.73</v>
      </c>
      <c r="AK78" s="129">
        <v>1.72</v>
      </c>
      <c r="AL78" s="129">
        <v>1.72</v>
      </c>
      <c r="AM78" s="129">
        <v>1.72</v>
      </c>
      <c r="AN78" s="129">
        <v>1.71</v>
      </c>
      <c r="AO78" s="129">
        <v>1.71</v>
      </c>
      <c r="AP78" s="129">
        <v>1.71</v>
      </c>
      <c r="AQ78" s="129">
        <v>1.7</v>
      </c>
      <c r="AR78" s="129">
        <v>1.7</v>
      </c>
      <c r="AS78" s="129">
        <v>1.7</v>
      </c>
      <c r="AT78" s="129">
        <v>1.69</v>
      </c>
      <c r="AU78" s="129">
        <v>1.69</v>
      </c>
      <c r="AV78" s="129">
        <v>1.68</v>
      </c>
      <c r="AW78" s="129">
        <v>1.68</v>
      </c>
      <c r="AX78" s="129">
        <v>1.68</v>
      </c>
      <c r="AY78" s="129">
        <v>1.67</v>
      </c>
      <c r="AZ78" s="129">
        <v>1.67</v>
      </c>
      <c r="BA78" s="129">
        <v>1.67</v>
      </c>
      <c r="BB78" s="129">
        <v>1.68</v>
      </c>
      <c r="BC78" s="129">
        <v>1.68</v>
      </c>
      <c r="BD78" s="129">
        <v>1.68</v>
      </c>
      <c r="BE78" s="129">
        <v>1.69</v>
      </c>
      <c r="BF78" s="129">
        <v>1.69</v>
      </c>
      <c r="BG78" s="129">
        <v>1.7</v>
      </c>
      <c r="BH78" s="129">
        <v>1.7</v>
      </c>
      <c r="BI78" s="129">
        <v>1.7</v>
      </c>
      <c r="BJ78" s="129">
        <v>1.71</v>
      </c>
      <c r="BK78" s="129">
        <v>1.71</v>
      </c>
      <c r="BL78" s="129">
        <v>1.71</v>
      </c>
      <c r="BM78" s="129">
        <v>1.72</v>
      </c>
      <c r="BN78" s="129">
        <v>1.72</v>
      </c>
      <c r="BO78" s="129">
        <v>1.72</v>
      </c>
      <c r="BP78" s="129">
        <v>1.73</v>
      </c>
      <c r="BQ78" s="129">
        <v>1.73</v>
      </c>
      <c r="BR78" s="129">
        <v>1.73</v>
      </c>
      <c r="BS78" s="129">
        <v>1.73</v>
      </c>
      <c r="BT78" s="129">
        <v>1.74</v>
      </c>
      <c r="BU78" s="129">
        <v>1.74</v>
      </c>
      <c r="BV78" s="129">
        <v>1.74</v>
      </c>
      <c r="BW78" s="129">
        <v>1.74</v>
      </c>
      <c r="BX78" s="129">
        <v>1.75</v>
      </c>
      <c r="BY78" s="129">
        <v>1.75</v>
      </c>
      <c r="BZ78" s="129">
        <v>1.76</v>
      </c>
      <c r="CA78" s="129">
        <v>1.77</v>
      </c>
      <c r="CB78" s="129">
        <v>1.77</v>
      </c>
      <c r="CC78" s="129">
        <v>1.78</v>
      </c>
      <c r="CD78" s="129">
        <v>1.79</v>
      </c>
      <c r="CE78" s="129">
        <v>1.8</v>
      </c>
      <c r="CF78" s="129">
        <v>1.81</v>
      </c>
      <c r="CG78" s="129">
        <v>1.82</v>
      </c>
      <c r="CH78" s="129">
        <v>1.82</v>
      </c>
      <c r="CI78" s="129">
        <v>1.83</v>
      </c>
      <c r="CJ78" s="129">
        <v>1.84</v>
      </c>
      <c r="CK78" s="129">
        <v>1.85</v>
      </c>
      <c r="CL78" s="129">
        <v>1.86</v>
      </c>
      <c r="CM78" s="129">
        <v>1.87</v>
      </c>
      <c r="CN78" s="129">
        <v>1.88</v>
      </c>
      <c r="CO78" s="129">
        <v>1.89</v>
      </c>
      <c r="CP78" s="129">
        <v>1.9</v>
      </c>
      <c r="CQ78" s="129">
        <v>1.91</v>
      </c>
      <c r="CR78" s="129">
        <v>1.93</v>
      </c>
      <c r="CS78" s="129">
        <v>1.94</v>
      </c>
      <c r="CT78" s="129">
        <v>1.95</v>
      </c>
      <c r="CU78" s="129">
        <v>1.96</v>
      </c>
      <c r="CV78" s="129">
        <v>1.97</v>
      </c>
      <c r="CW78" s="129">
        <v>1.99</v>
      </c>
      <c r="CX78" s="129">
        <v>2</v>
      </c>
      <c r="CZ78" s="126">
        <f>SUMIF(MatrixF4[[1]:[2]],MatrixF4[[#This Row],[Столбец1]])/MatrixF4[[#This Row],[Столбец1]]</f>
        <v>151</v>
      </c>
    </row>
    <row r="79" spans="1:104" ht="21" customHeight="1" x14ac:dyDescent="0.25">
      <c r="A79" s="127">
        <v>1.76</v>
      </c>
      <c r="B79" s="129">
        <v>1.76</v>
      </c>
      <c r="C79" s="129">
        <v>1.76</v>
      </c>
      <c r="D79" s="129">
        <v>1.76</v>
      </c>
      <c r="E79" s="129">
        <v>1.76</v>
      </c>
      <c r="F79" s="129">
        <v>1.76</v>
      </c>
      <c r="G79" s="129">
        <v>1.76</v>
      </c>
      <c r="H79" s="129">
        <v>1.76</v>
      </c>
      <c r="I79" s="129">
        <v>1.76</v>
      </c>
      <c r="J79" s="129">
        <v>1.76</v>
      </c>
      <c r="K79" s="129">
        <v>1.76</v>
      </c>
      <c r="L79" s="129">
        <v>1.76</v>
      </c>
      <c r="M79" s="129">
        <v>1.76</v>
      </c>
      <c r="N79" s="129">
        <v>1.76</v>
      </c>
      <c r="O79" s="129">
        <v>1.76</v>
      </c>
      <c r="P79" s="129">
        <v>1.76</v>
      </c>
      <c r="Q79" s="129">
        <v>1.76</v>
      </c>
      <c r="R79" s="129">
        <v>1.76</v>
      </c>
      <c r="S79" s="129">
        <v>1.76</v>
      </c>
      <c r="T79" s="129">
        <v>1.76</v>
      </c>
      <c r="U79" s="129">
        <v>1.76</v>
      </c>
      <c r="V79" s="129">
        <v>1.76</v>
      </c>
      <c r="W79" s="129">
        <v>1.76</v>
      </c>
      <c r="X79" s="129">
        <v>1.76</v>
      </c>
      <c r="Y79" s="129">
        <v>1.76</v>
      </c>
      <c r="Z79" s="129">
        <v>1.76</v>
      </c>
      <c r="AA79" s="129">
        <v>1.76</v>
      </c>
      <c r="AB79" s="129">
        <v>1.76</v>
      </c>
      <c r="AC79" s="129">
        <v>1.75</v>
      </c>
      <c r="AD79" s="129">
        <v>1.75</v>
      </c>
      <c r="AE79" s="129">
        <v>1.75</v>
      </c>
      <c r="AF79" s="129">
        <v>1.74</v>
      </c>
      <c r="AG79" s="129">
        <v>1.74</v>
      </c>
      <c r="AH79" s="129">
        <v>1.74</v>
      </c>
      <c r="AI79" s="129">
        <v>1.74</v>
      </c>
      <c r="AJ79" s="129">
        <v>1.73</v>
      </c>
      <c r="AK79" s="129">
        <v>1.73</v>
      </c>
      <c r="AL79" s="129">
        <v>1.73</v>
      </c>
      <c r="AM79" s="129">
        <v>1.72</v>
      </c>
      <c r="AN79" s="129">
        <v>1.72</v>
      </c>
      <c r="AO79" s="129">
        <v>1.72</v>
      </c>
      <c r="AP79" s="129">
        <v>1.71</v>
      </c>
      <c r="AQ79" s="129">
        <v>1.71</v>
      </c>
      <c r="AR79" s="129">
        <v>1.71</v>
      </c>
      <c r="AS79" s="129">
        <v>1.7</v>
      </c>
      <c r="AT79" s="129">
        <v>1.7</v>
      </c>
      <c r="AU79" s="129">
        <v>1.7</v>
      </c>
      <c r="AV79" s="129">
        <v>1.69</v>
      </c>
      <c r="AW79" s="129">
        <v>1.69</v>
      </c>
      <c r="AX79" s="129">
        <v>1.68</v>
      </c>
      <c r="AY79" s="129">
        <v>1.68</v>
      </c>
      <c r="AZ79" s="129">
        <v>1.68</v>
      </c>
      <c r="BA79" s="129">
        <v>1.68</v>
      </c>
      <c r="BB79" s="129">
        <v>1.68</v>
      </c>
      <c r="BC79" s="129">
        <v>1.69</v>
      </c>
      <c r="BD79" s="129">
        <v>1.69</v>
      </c>
      <c r="BE79" s="129">
        <v>1.7</v>
      </c>
      <c r="BF79" s="129">
        <v>1.7</v>
      </c>
      <c r="BG79" s="129">
        <v>1.7</v>
      </c>
      <c r="BH79" s="129">
        <v>1.71</v>
      </c>
      <c r="BI79" s="129">
        <v>1.71</v>
      </c>
      <c r="BJ79" s="129">
        <v>1.71</v>
      </c>
      <c r="BK79" s="129">
        <v>1.72</v>
      </c>
      <c r="BL79" s="129">
        <v>1.72</v>
      </c>
      <c r="BM79" s="129">
        <v>1.72</v>
      </c>
      <c r="BN79" s="129">
        <v>1.73</v>
      </c>
      <c r="BO79" s="129">
        <v>1.73</v>
      </c>
      <c r="BP79" s="129">
        <v>1.73</v>
      </c>
      <c r="BQ79" s="129">
        <v>1.74</v>
      </c>
      <c r="BR79" s="129">
        <v>1.74</v>
      </c>
      <c r="BS79" s="129">
        <v>1.74</v>
      </c>
      <c r="BT79" s="129">
        <v>1.74</v>
      </c>
      <c r="BU79" s="129">
        <v>1.75</v>
      </c>
      <c r="BV79" s="129">
        <v>1.75</v>
      </c>
      <c r="BW79" s="129">
        <v>1.75</v>
      </c>
      <c r="BX79" s="129">
        <v>1.76</v>
      </c>
      <c r="BY79" s="129">
        <v>1.76</v>
      </c>
      <c r="BZ79" s="129">
        <v>1.76</v>
      </c>
      <c r="CA79" s="129">
        <v>1.77</v>
      </c>
      <c r="CB79" s="129">
        <v>1.78</v>
      </c>
      <c r="CC79" s="129">
        <v>1.78</v>
      </c>
      <c r="CD79" s="129">
        <v>1.79</v>
      </c>
      <c r="CE79" s="129">
        <v>1.8</v>
      </c>
      <c r="CF79" s="129">
        <v>1.81</v>
      </c>
      <c r="CG79" s="129">
        <v>1.82</v>
      </c>
      <c r="CH79" s="129">
        <v>1.83</v>
      </c>
      <c r="CI79" s="129">
        <v>1.84</v>
      </c>
      <c r="CJ79" s="129">
        <v>1.84</v>
      </c>
      <c r="CK79" s="129">
        <v>1.85</v>
      </c>
      <c r="CL79" s="129">
        <v>1.86</v>
      </c>
      <c r="CM79" s="129">
        <v>1.87</v>
      </c>
      <c r="CN79" s="129">
        <v>1.88</v>
      </c>
      <c r="CO79" s="129">
        <v>1.89</v>
      </c>
      <c r="CP79" s="129">
        <v>1.9</v>
      </c>
      <c r="CQ79" s="129">
        <v>1.92</v>
      </c>
      <c r="CR79" s="129">
        <v>1.93</v>
      </c>
      <c r="CS79" s="129">
        <v>1.94</v>
      </c>
      <c r="CT79" s="129">
        <v>1.95</v>
      </c>
      <c r="CU79" s="129">
        <v>1.96</v>
      </c>
      <c r="CV79" s="129">
        <v>1.97</v>
      </c>
      <c r="CW79" s="129">
        <v>1.99</v>
      </c>
      <c r="CX79" s="129">
        <v>2</v>
      </c>
      <c r="CZ79" s="126">
        <f>SUMIF(MatrixF4[[1]:[2]],MatrixF4[[#This Row],[Столбец1]])/MatrixF4[[#This Row],[Столбец1]]</f>
        <v>168.9999999999996</v>
      </c>
    </row>
    <row r="80" spans="1:104" ht="21" customHeight="1" x14ac:dyDescent="0.25">
      <c r="A80" s="127">
        <v>1.77</v>
      </c>
      <c r="B80" s="129">
        <v>1.77</v>
      </c>
      <c r="C80" s="129">
        <v>1.77</v>
      </c>
      <c r="D80" s="129">
        <v>1.77</v>
      </c>
      <c r="E80" s="129">
        <v>1.77</v>
      </c>
      <c r="F80" s="129">
        <v>1.77</v>
      </c>
      <c r="G80" s="129">
        <v>1.77</v>
      </c>
      <c r="H80" s="129">
        <v>1.77</v>
      </c>
      <c r="I80" s="129">
        <v>1.77</v>
      </c>
      <c r="J80" s="129">
        <v>1.77</v>
      </c>
      <c r="K80" s="129">
        <v>1.77</v>
      </c>
      <c r="L80" s="129">
        <v>1.77</v>
      </c>
      <c r="M80" s="129">
        <v>1.77</v>
      </c>
      <c r="N80" s="129">
        <v>1.77</v>
      </c>
      <c r="O80" s="129">
        <v>1.77</v>
      </c>
      <c r="P80" s="129">
        <v>1.77</v>
      </c>
      <c r="Q80" s="129">
        <v>1.77</v>
      </c>
      <c r="R80" s="129">
        <v>1.77</v>
      </c>
      <c r="S80" s="129">
        <v>1.77</v>
      </c>
      <c r="T80" s="129">
        <v>1.77</v>
      </c>
      <c r="U80" s="129">
        <v>1.77</v>
      </c>
      <c r="V80" s="129">
        <v>1.77</v>
      </c>
      <c r="W80" s="129">
        <v>1.77</v>
      </c>
      <c r="X80" s="129">
        <v>1.77</v>
      </c>
      <c r="Y80" s="129">
        <v>1.77</v>
      </c>
      <c r="Z80" s="129">
        <v>1.77</v>
      </c>
      <c r="AA80" s="129">
        <v>1.77</v>
      </c>
      <c r="AB80" s="129">
        <v>1.76</v>
      </c>
      <c r="AC80" s="129">
        <v>1.76</v>
      </c>
      <c r="AD80" s="129">
        <v>1.76</v>
      </c>
      <c r="AE80" s="129">
        <v>1.76</v>
      </c>
      <c r="AF80" s="129">
        <v>1.75</v>
      </c>
      <c r="AG80" s="129">
        <v>1.75</v>
      </c>
      <c r="AH80" s="129">
        <v>1.75</v>
      </c>
      <c r="AI80" s="129">
        <v>1.74</v>
      </c>
      <c r="AJ80" s="129">
        <v>1.74</v>
      </c>
      <c r="AK80" s="129">
        <v>1.74</v>
      </c>
      <c r="AL80" s="129">
        <v>1.74</v>
      </c>
      <c r="AM80" s="129">
        <v>1.73</v>
      </c>
      <c r="AN80" s="129">
        <v>1.73</v>
      </c>
      <c r="AO80" s="129">
        <v>1.73</v>
      </c>
      <c r="AP80" s="129">
        <v>1.72</v>
      </c>
      <c r="AQ80" s="129">
        <v>1.72</v>
      </c>
      <c r="AR80" s="129">
        <v>1.72</v>
      </c>
      <c r="AS80" s="129">
        <v>1.71</v>
      </c>
      <c r="AT80" s="129">
        <v>1.71</v>
      </c>
      <c r="AU80" s="129">
        <v>1.71</v>
      </c>
      <c r="AV80" s="129">
        <v>1.7</v>
      </c>
      <c r="AW80" s="129">
        <v>1.7</v>
      </c>
      <c r="AX80" s="129">
        <v>1.69</v>
      </c>
      <c r="AY80" s="129">
        <v>1.69</v>
      </c>
      <c r="AZ80" s="129">
        <v>1.68</v>
      </c>
      <c r="BA80" s="129">
        <v>1.69</v>
      </c>
      <c r="BB80" s="129">
        <v>1.69</v>
      </c>
      <c r="BC80" s="129">
        <v>1.7</v>
      </c>
      <c r="BD80" s="129">
        <v>1.7</v>
      </c>
      <c r="BE80" s="129">
        <v>1.71</v>
      </c>
      <c r="BF80" s="129">
        <v>1.71</v>
      </c>
      <c r="BG80" s="129">
        <v>1.71</v>
      </c>
      <c r="BH80" s="129">
        <v>1.72</v>
      </c>
      <c r="BI80" s="129">
        <v>1.72</v>
      </c>
      <c r="BJ80" s="129">
        <v>1.72</v>
      </c>
      <c r="BK80" s="129">
        <v>1.73</v>
      </c>
      <c r="BL80" s="129">
        <v>1.73</v>
      </c>
      <c r="BM80" s="129">
        <v>1.73</v>
      </c>
      <c r="BN80" s="129">
        <v>1.74</v>
      </c>
      <c r="BO80" s="129">
        <v>1.74</v>
      </c>
      <c r="BP80" s="129">
        <v>1.74</v>
      </c>
      <c r="BQ80" s="129">
        <v>1.74</v>
      </c>
      <c r="BR80" s="129">
        <v>1.75</v>
      </c>
      <c r="BS80" s="129">
        <v>1.75</v>
      </c>
      <c r="BT80" s="129">
        <v>1.75</v>
      </c>
      <c r="BU80" s="129">
        <v>1.76</v>
      </c>
      <c r="BV80" s="129">
        <v>1.76</v>
      </c>
      <c r="BW80" s="129">
        <v>1.76</v>
      </c>
      <c r="BX80" s="129">
        <v>1.76</v>
      </c>
      <c r="BY80" s="129">
        <v>1.77</v>
      </c>
      <c r="BZ80" s="129">
        <v>1.77</v>
      </c>
      <c r="CA80" s="129">
        <v>1.77</v>
      </c>
      <c r="CB80" s="129">
        <v>1.78</v>
      </c>
      <c r="CC80" s="129">
        <v>1.79</v>
      </c>
      <c r="CD80" s="129">
        <v>1.79</v>
      </c>
      <c r="CE80" s="129">
        <v>1.8</v>
      </c>
      <c r="CF80" s="129">
        <v>1.81</v>
      </c>
      <c r="CG80" s="129">
        <v>1.82</v>
      </c>
      <c r="CH80" s="129">
        <v>1.83</v>
      </c>
      <c r="CI80" s="129">
        <v>1.84</v>
      </c>
      <c r="CJ80" s="129">
        <v>1.85</v>
      </c>
      <c r="CK80" s="129">
        <v>1.86</v>
      </c>
      <c r="CL80" s="129">
        <v>1.87</v>
      </c>
      <c r="CM80" s="129">
        <v>1.88</v>
      </c>
      <c r="CN80" s="129">
        <v>1.89</v>
      </c>
      <c r="CO80" s="129">
        <v>1.9</v>
      </c>
      <c r="CP80" s="129">
        <v>1.91</v>
      </c>
      <c r="CQ80" s="129">
        <v>1.92</v>
      </c>
      <c r="CR80" s="129">
        <v>1.93</v>
      </c>
      <c r="CS80" s="129">
        <v>1.94</v>
      </c>
      <c r="CT80" s="129">
        <v>1.95</v>
      </c>
      <c r="CU80" s="129">
        <v>1.96</v>
      </c>
      <c r="CV80" s="129">
        <v>1.97</v>
      </c>
      <c r="CW80" s="129">
        <v>1.99</v>
      </c>
      <c r="CX80" s="129">
        <v>2</v>
      </c>
      <c r="CZ80" s="126">
        <f>SUMIF(MatrixF4[[1]:[2]],MatrixF4[[#This Row],[Столбец1]])/MatrixF4[[#This Row],[Столбец1]]</f>
        <v>159.00000000000023</v>
      </c>
    </row>
    <row r="81" spans="1:104" ht="21" customHeight="1" x14ac:dyDescent="0.25">
      <c r="A81" s="127">
        <v>1.78</v>
      </c>
      <c r="B81" s="129">
        <v>1.78</v>
      </c>
      <c r="C81" s="129">
        <v>1.78</v>
      </c>
      <c r="D81" s="129">
        <v>1.78</v>
      </c>
      <c r="E81" s="129">
        <v>1.78</v>
      </c>
      <c r="F81" s="129">
        <v>1.78</v>
      </c>
      <c r="G81" s="129">
        <v>1.78</v>
      </c>
      <c r="H81" s="129">
        <v>1.78</v>
      </c>
      <c r="I81" s="129">
        <v>1.78</v>
      </c>
      <c r="J81" s="129">
        <v>1.78</v>
      </c>
      <c r="K81" s="129">
        <v>1.78</v>
      </c>
      <c r="L81" s="129">
        <v>1.78</v>
      </c>
      <c r="M81" s="129">
        <v>1.78</v>
      </c>
      <c r="N81" s="129">
        <v>1.78</v>
      </c>
      <c r="O81" s="129">
        <v>1.78</v>
      </c>
      <c r="P81" s="129">
        <v>1.78</v>
      </c>
      <c r="Q81" s="129">
        <v>1.78</v>
      </c>
      <c r="R81" s="129">
        <v>1.78</v>
      </c>
      <c r="S81" s="129">
        <v>1.78</v>
      </c>
      <c r="T81" s="129">
        <v>1.78</v>
      </c>
      <c r="U81" s="129">
        <v>1.78</v>
      </c>
      <c r="V81" s="129">
        <v>1.78</v>
      </c>
      <c r="W81" s="129">
        <v>1.78</v>
      </c>
      <c r="X81" s="129">
        <v>1.78</v>
      </c>
      <c r="Y81" s="129">
        <v>1.78</v>
      </c>
      <c r="Z81" s="129">
        <v>1.78</v>
      </c>
      <c r="AA81" s="129">
        <v>1.77</v>
      </c>
      <c r="AB81" s="129">
        <v>1.77</v>
      </c>
      <c r="AC81" s="129">
        <v>1.77</v>
      </c>
      <c r="AD81" s="129">
        <v>1.77</v>
      </c>
      <c r="AE81" s="129">
        <v>1.76</v>
      </c>
      <c r="AF81" s="129">
        <v>1.76</v>
      </c>
      <c r="AG81" s="129">
        <v>1.76</v>
      </c>
      <c r="AH81" s="129">
        <v>1.76</v>
      </c>
      <c r="AI81" s="129">
        <v>1.75</v>
      </c>
      <c r="AJ81" s="129">
        <v>1.75</v>
      </c>
      <c r="AK81" s="129">
        <v>1.75</v>
      </c>
      <c r="AL81" s="129">
        <v>1.74</v>
      </c>
      <c r="AM81" s="129">
        <v>1.74</v>
      </c>
      <c r="AN81" s="129">
        <v>1.74</v>
      </c>
      <c r="AO81" s="129">
        <v>1.73</v>
      </c>
      <c r="AP81" s="129">
        <v>1.73</v>
      </c>
      <c r="AQ81" s="129">
        <v>1.73</v>
      </c>
      <c r="AR81" s="129">
        <v>1.73</v>
      </c>
      <c r="AS81" s="129">
        <v>1.72</v>
      </c>
      <c r="AT81" s="129">
        <v>1.72</v>
      </c>
      <c r="AU81" s="129">
        <v>1.71</v>
      </c>
      <c r="AV81" s="129">
        <v>1.71</v>
      </c>
      <c r="AW81" s="129">
        <v>1.71</v>
      </c>
      <c r="AX81" s="129">
        <v>1.7</v>
      </c>
      <c r="AY81" s="129">
        <v>1.7</v>
      </c>
      <c r="AZ81" s="129">
        <v>1.69</v>
      </c>
      <c r="BA81" s="129">
        <v>1.7</v>
      </c>
      <c r="BB81" s="129">
        <v>1.7</v>
      </c>
      <c r="BC81" s="129">
        <v>1.71</v>
      </c>
      <c r="BD81" s="129">
        <v>1.71</v>
      </c>
      <c r="BE81" s="129">
        <v>1.71</v>
      </c>
      <c r="BF81" s="129">
        <v>1.72</v>
      </c>
      <c r="BG81" s="129">
        <v>1.72</v>
      </c>
      <c r="BH81" s="129">
        <v>1.73</v>
      </c>
      <c r="BI81" s="129">
        <v>1.73</v>
      </c>
      <c r="BJ81" s="129">
        <v>1.73</v>
      </c>
      <c r="BK81" s="129">
        <v>1.73</v>
      </c>
      <c r="BL81" s="129">
        <v>1.74</v>
      </c>
      <c r="BM81" s="129">
        <v>1.74</v>
      </c>
      <c r="BN81" s="129">
        <v>1.74</v>
      </c>
      <c r="BO81" s="129">
        <v>1.75</v>
      </c>
      <c r="BP81" s="129">
        <v>1.75</v>
      </c>
      <c r="BQ81" s="129">
        <v>1.75</v>
      </c>
      <c r="BR81" s="129">
        <v>1.76</v>
      </c>
      <c r="BS81" s="129">
        <v>1.76</v>
      </c>
      <c r="BT81" s="129">
        <v>1.76</v>
      </c>
      <c r="BU81" s="129">
        <v>1.76</v>
      </c>
      <c r="BV81" s="129">
        <v>1.77</v>
      </c>
      <c r="BW81" s="129">
        <v>1.77</v>
      </c>
      <c r="BX81" s="129">
        <v>1.77</v>
      </c>
      <c r="BY81" s="129">
        <v>1.77</v>
      </c>
      <c r="BZ81" s="129">
        <v>1.78</v>
      </c>
      <c r="CA81" s="129">
        <v>1.78</v>
      </c>
      <c r="CB81" s="129">
        <v>1.78</v>
      </c>
      <c r="CC81" s="129">
        <v>1.79</v>
      </c>
      <c r="CD81" s="129">
        <v>1.8</v>
      </c>
      <c r="CE81" s="129">
        <v>1.8</v>
      </c>
      <c r="CF81" s="129">
        <v>1.81</v>
      </c>
      <c r="CG81" s="129">
        <v>1.82</v>
      </c>
      <c r="CH81" s="129">
        <v>1.83</v>
      </c>
      <c r="CI81" s="129">
        <v>1.84</v>
      </c>
      <c r="CJ81" s="129">
        <v>1.85</v>
      </c>
      <c r="CK81" s="129">
        <v>1.86</v>
      </c>
      <c r="CL81" s="129">
        <v>1.87</v>
      </c>
      <c r="CM81" s="129">
        <v>1.88</v>
      </c>
      <c r="CN81" s="129">
        <v>1.89</v>
      </c>
      <c r="CO81" s="129">
        <v>1.9</v>
      </c>
      <c r="CP81" s="129">
        <v>1.91</v>
      </c>
      <c r="CQ81" s="129">
        <v>1.92</v>
      </c>
      <c r="CR81" s="129">
        <v>1.93</v>
      </c>
      <c r="CS81" s="129">
        <v>1.94</v>
      </c>
      <c r="CT81" s="129">
        <v>1.95</v>
      </c>
      <c r="CU81" s="129">
        <v>1.96</v>
      </c>
      <c r="CV81" s="129">
        <v>1.98</v>
      </c>
      <c r="CW81" s="129">
        <v>1.99</v>
      </c>
      <c r="CX81" s="129">
        <v>2</v>
      </c>
      <c r="CZ81" s="126">
        <f>SUMIF(MatrixF4[[1]:[2]],MatrixF4[[#This Row],[Столбец1]])/MatrixF4[[#This Row],[Столбец1]]</f>
        <v>168.99999999999969</v>
      </c>
    </row>
    <row r="82" spans="1:104" ht="21" customHeight="1" x14ac:dyDescent="0.25">
      <c r="A82" s="127">
        <v>1.79</v>
      </c>
      <c r="B82" s="129">
        <v>1.79</v>
      </c>
      <c r="C82" s="129">
        <v>1.79</v>
      </c>
      <c r="D82" s="129">
        <v>1.79</v>
      </c>
      <c r="E82" s="129">
        <v>1.79</v>
      </c>
      <c r="F82" s="129">
        <v>1.79</v>
      </c>
      <c r="G82" s="129">
        <v>1.79</v>
      </c>
      <c r="H82" s="129">
        <v>1.79</v>
      </c>
      <c r="I82" s="129">
        <v>1.79</v>
      </c>
      <c r="J82" s="129">
        <v>1.79</v>
      </c>
      <c r="K82" s="129">
        <v>1.79</v>
      </c>
      <c r="L82" s="129">
        <v>1.79</v>
      </c>
      <c r="M82" s="129">
        <v>1.79</v>
      </c>
      <c r="N82" s="129">
        <v>1.79</v>
      </c>
      <c r="O82" s="129">
        <v>1.79</v>
      </c>
      <c r="P82" s="129">
        <v>1.79</v>
      </c>
      <c r="Q82" s="129">
        <v>1.79</v>
      </c>
      <c r="R82" s="129">
        <v>1.79</v>
      </c>
      <c r="S82" s="129">
        <v>1.79</v>
      </c>
      <c r="T82" s="129">
        <v>1.79</v>
      </c>
      <c r="U82" s="129">
        <v>1.79</v>
      </c>
      <c r="V82" s="129">
        <v>1.79</v>
      </c>
      <c r="W82" s="129">
        <v>1.79</v>
      </c>
      <c r="X82" s="129">
        <v>1.79</v>
      </c>
      <c r="Y82" s="129">
        <v>1.79</v>
      </c>
      <c r="Z82" s="129">
        <v>1.78</v>
      </c>
      <c r="AA82" s="129">
        <v>1.78</v>
      </c>
      <c r="AB82" s="129">
        <v>1.78</v>
      </c>
      <c r="AC82" s="129">
        <v>1.78</v>
      </c>
      <c r="AD82" s="129">
        <v>1.77</v>
      </c>
      <c r="AE82" s="129">
        <v>1.77</v>
      </c>
      <c r="AF82" s="129">
        <v>1.77</v>
      </c>
      <c r="AG82" s="129">
        <v>1.77</v>
      </c>
      <c r="AH82" s="129">
        <v>1.76</v>
      </c>
      <c r="AI82" s="129">
        <v>1.76</v>
      </c>
      <c r="AJ82" s="129">
        <v>1.76</v>
      </c>
      <c r="AK82" s="129">
        <v>1.76</v>
      </c>
      <c r="AL82" s="129">
        <v>1.75</v>
      </c>
      <c r="AM82" s="129">
        <v>1.75</v>
      </c>
      <c r="AN82" s="129">
        <v>1.75</v>
      </c>
      <c r="AO82" s="129">
        <v>1.74</v>
      </c>
      <c r="AP82" s="129">
        <v>1.74</v>
      </c>
      <c r="AQ82" s="129">
        <v>1.74</v>
      </c>
      <c r="AR82" s="129">
        <v>1.73</v>
      </c>
      <c r="AS82" s="129">
        <v>1.73</v>
      </c>
      <c r="AT82" s="129">
        <v>1.73</v>
      </c>
      <c r="AU82" s="129">
        <v>1.72</v>
      </c>
      <c r="AV82" s="129">
        <v>1.72</v>
      </c>
      <c r="AW82" s="129">
        <v>1.72</v>
      </c>
      <c r="AX82" s="129">
        <v>1.71</v>
      </c>
      <c r="AY82" s="129">
        <v>1.71</v>
      </c>
      <c r="AZ82" s="129">
        <v>1.7</v>
      </c>
      <c r="BA82" s="129">
        <v>1.71</v>
      </c>
      <c r="BB82" s="129">
        <v>1.71</v>
      </c>
      <c r="BC82" s="129">
        <v>1.72</v>
      </c>
      <c r="BD82" s="129">
        <v>1.72</v>
      </c>
      <c r="BE82" s="129">
        <v>1.72</v>
      </c>
      <c r="BF82" s="129">
        <v>1.73</v>
      </c>
      <c r="BG82" s="129">
        <v>1.73</v>
      </c>
      <c r="BH82" s="129">
        <v>1.73</v>
      </c>
      <c r="BI82" s="129">
        <v>1.74</v>
      </c>
      <c r="BJ82" s="129">
        <v>1.74</v>
      </c>
      <c r="BK82" s="129">
        <v>1.74</v>
      </c>
      <c r="BL82" s="129">
        <v>1.75</v>
      </c>
      <c r="BM82" s="129">
        <v>1.75</v>
      </c>
      <c r="BN82" s="129">
        <v>1.75</v>
      </c>
      <c r="BO82" s="129">
        <v>1.76</v>
      </c>
      <c r="BP82" s="129">
        <v>1.76</v>
      </c>
      <c r="BQ82" s="129">
        <v>1.76</v>
      </c>
      <c r="BR82" s="129">
        <v>1.76</v>
      </c>
      <c r="BS82" s="129">
        <v>1.77</v>
      </c>
      <c r="BT82" s="129">
        <v>1.77</v>
      </c>
      <c r="BU82" s="129">
        <v>1.77</v>
      </c>
      <c r="BV82" s="129">
        <v>1.77</v>
      </c>
      <c r="BW82" s="129">
        <v>1.78</v>
      </c>
      <c r="BX82" s="129">
        <v>1.78</v>
      </c>
      <c r="BY82" s="129">
        <v>1.78</v>
      </c>
      <c r="BZ82" s="129">
        <v>1.78</v>
      </c>
      <c r="CA82" s="129">
        <v>1.79</v>
      </c>
      <c r="CB82" s="129">
        <v>1.79</v>
      </c>
      <c r="CC82" s="129">
        <v>1.79</v>
      </c>
      <c r="CD82" s="129">
        <v>1.8</v>
      </c>
      <c r="CE82" s="129">
        <v>1.81</v>
      </c>
      <c r="CF82" s="129">
        <v>1.81</v>
      </c>
      <c r="CG82" s="129">
        <v>1.82</v>
      </c>
      <c r="CH82" s="129">
        <v>1.83</v>
      </c>
      <c r="CI82" s="129">
        <v>1.84</v>
      </c>
      <c r="CJ82" s="129">
        <v>1.85</v>
      </c>
      <c r="CK82" s="129">
        <v>1.86</v>
      </c>
      <c r="CL82" s="129">
        <v>1.87</v>
      </c>
      <c r="CM82" s="129">
        <v>1.88</v>
      </c>
      <c r="CN82" s="129">
        <v>1.89</v>
      </c>
      <c r="CO82" s="129">
        <v>1.9</v>
      </c>
      <c r="CP82" s="129">
        <v>1.91</v>
      </c>
      <c r="CQ82" s="129">
        <v>1.92</v>
      </c>
      <c r="CR82" s="129">
        <v>1.93</v>
      </c>
      <c r="CS82" s="129">
        <v>1.94</v>
      </c>
      <c r="CT82" s="129">
        <v>1.95</v>
      </c>
      <c r="CU82" s="129">
        <v>1.96</v>
      </c>
      <c r="CV82" s="129">
        <v>1.98</v>
      </c>
      <c r="CW82" s="129">
        <v>1.99</v>
      </c>
      <c r="CX82" s="129">
        <v>2</v>
      </c>
      <c r="CZ82" s="126">
        <f>SUMIF(MatrixF4[[1]:[2]],MatrixF4[[#This Row],[Столбец1]])/MatrixF4[[#This Row],[Столбец1]]</f>
        <v>158.99999999999997</v>
      </c>
    </row>
    <row r="83" spans="1:104" ht="21" customHeight="1" x14ac:dyDescent="0.25">
      <c r="A83" s="127">
        <v>1.8</v>
      </c>
      <c r="B83" s="129">
        <v>1.8</v>
      </c>
      <c r="C83" s="129">
        <v>1.8</v>
      </c>
      <c r="D83" s="129">
        <v>1.8</v>
      </c>
      <c r="E83" s="129">
        <v>1.8</v>
      </c>
      <c r="F83" s="129">
        <v>1.8</v>
      </c>
      <c r="G83" s="129">
        <v>1.8</v>
      </c>
      <c r="H83" s="129">
        <v>1.8</v>
      </c>
      <c r="I83" s="129">
        <v>1.8</v>
      </c>
      <c r="J83" s="129">
        <v>1.8</v>
      </c>
      <c r="K83" s="129">
        <v>1.8</v>
      </c>
      <c r="L83" s="129">
        <v>1.8</v>
      </c>
      <c r="M83" s="129">
        <v>1.8</v>
      </c>
      <c r="N83" s="129">
        <v>1.8</v>
      </c>
      <c r="O83" s="129">
        <v>1.8</v>
      </c>
      <c r="P83" s="129">
        <v>1.8</v>
      </c>
      <c r="Q83" s="129">
        <v>1.8</v>
      </c>
      <c r="R83" s="129">
        <v>1.8</v>
      </c>
      <c r="S83" s="129">
        <v>1.8</v>
      </c>
      <c r="T83" s="129">
        <v>1.8</v>
      </c>
      <c r="U83" s="129">
        <v>1.8</v>
      </c>
      <c r="V83" s="129">
        <v>1.8</v>
      </c>
      <c r="W83" s="129">
        <v>1.8</v>
      </c>
      <c r="X83" s="129">
        <v>1.8</v>
      </c>
      <c r="Y83" s="129">
        <v>1.79</v>
      </c>
      <c r="Z83" s="129">
        <v>1.79</v>
      </c>
      <c r="AA83" s="129">
        <v>1.79</v>
      </c>
      <c r="AB83" s="129">
        <v>1.79</v>
      </c>
      <c r="AC83" s="129">
        <v>1.78</v>
      </c>
      <c r="AD83" s="129">
        <v>1.78</v>
      </c>
      <c r="AE83" s="129">
        <v>1.78</v>
      </c>
      <c r="AF83" s="129">
        <v>1.78</v>
      </c>
      <c r="AG83" s="129">
        <v>1.78</v>
      </c>
      <c r="AH83" s="129">
        <v>1.77</v>
      </c>
      <c r="AI83" s="129">
        <v>1.77</v>
      </c>
      <c r="AJ83" s="129">
        <v>1.77</v>
      </c>
      <c r="AK83" s="129">
        <v>1.76</v>
      </c>
      <c r="AL83" s="129">
        <v>1.76</v>
      </c>
      <c r="AM83" s="129">
        <v>1.76</v>
      </c>
      <c r="AN83" s="129">
        <v>1.76</v>
      </c>
      <c r="AO83" s="129">
        <v>1.75</v>
      </c>
      <c r="AP83" s="129">
        <v>1.75</v>
      </c>
      <c r="AQ83" s="129">
        <v>1.75</v>
      </c>
      <c r="AR83" s="129">
        <v>1.74</v>
      </c>
      <c r="AS83" s="129">
        <v>1.74</v>
      </c>
      <c r="AT83" s="129">
        <v>1.74</v>
      </c>
      <c r="AU83" s="129">
        <v>1.73</v>
      </c>
      <c r="AV83" s="129">
        <v>1.73</v>
      </c>
      <c r="AW83" s="129">
        <v>1.73</v>
      </c>
      <c r="AX83" s="129">
        <v>1.72</v>
      </c>
      <c r="AY83" s="129">
        <v>1.72</v>
      </c>
      <c r="AZ83" s="129">
        <v>1.71</v>
      </c>
      <c r="BA83" s="129">
        <v>1.72</v>
      </c>
      <c r="BB83" s="129">
        <v>1.72</v>
      </c>
      <c r="BC83" s="129">
        <v>1.73</v>
      </c>
      <c r="BD83" s="129">
        <v>1.73</v>
      </c>
      <c r="BE83" s="129">
        <v>1.73</v>
      </c>
      <c r="BF83" s="129">
        <v>1.74</v>
      </c>
      <c r="BG83" s="129">
        <v>1.74</v>
      </c>
      <c r="BH83" s="129">
        <v>1.74</v>
      </c>
      <c r="BI83" s="129">
        <v>1.75</v>
      </c>
      <c r="BJ83" s="129">
        <v>1.75</v>
      </c>
      <c r="BK83" s="129">
        <v>1.75</v>
      </c>
      <c r="BL83" s="129">
        <v>1.76</v>
      </c>
      <c r="BM83" s="129">
        <v>1.76</v>
      </c>
      <c r="BN83" s="129">
        <v>1.76</v>
      </c>
      <c r="BO83" s="129">
        <v>1.76</v>
      </c>
      <c r="BP83" s="129">
        <v>1.77</v>
      </c>
      <c r="BQ83" s="129">
        <v>1.77</v>
      </c>
      <c r="BR83" s="129">
        <v>1.77</v>
      </c>
      <c r="BS83" s="129">
        <v>1.78</v>
      </c>
      <c r="BT83" s="129">
        <v>1.78</v>
      </c>
      <c r="BU83" s="129">
        <v>1.78</v>
      </c>
      <c r="BV83" s="129">
        <v>1.78</v>
      </c>
      <c r="BW83" s="129">
        <v>1.78</v>
      </c>
      <c r="BX83" s="129">
        <v>1.79</v>
      </c>
      <c r="BY83" s="129">
        <v>1.79</v>
      </c>
      <c r="BZ83" s="129">
        <v>1.79</v>
      </c>
      <c r="CA83" s="129">
        <v>1.79</v>
      </c>
      <c r="CB83" s="129">
        <v>1.8</v>
      </c>
      <c r="CC83" s="129">
        <v>1.8</v>
      </c>
      <c r="CD83" s="129">
        <v>1.8</v>
      </c>
      <c r="CE83" s="129">
        <v>1.81</v>
      </c>
      <c r="CF83" s="129">
        <v>1.82</v>
      </c>
      <c r="CG83" s="129">
        <v>1.82</v>
      </c>
      <c r="CH83" s="129">
        <v>1.83</v>
      </c>
      <c r="CI83" s="129">
        <v>1.84</v>
      </c>
      <c r="CJ83" s="129">
        <v>1.85</v>
      </c>
      <c r="CK83" s="129">
        <v>1.86</v>
      </c>
      <c r="CL83" s="129">
        <v>1.87</v>
      </c>
      <c r="CM83" s="129">
        <v>1.88</v>
      </c>
      <c r="CN83" s="129">
        <v>1.89</v>
      </c>
      <c r="CO83" s="129">
        <v>1.9</v>
      </c>
      <c r="CP83" s="129">
        <v>1.91</v>
      </c>
      <c r="CQ83" s="129">
        <v>1.92</v>
      </c>
      <c r="CR83" s="129">
        <v>1.93</v>
      </c>
      <c r="CS83" s="129">
        <v>1.94</v>
      </c>
      <c r="CT83" s="129">
        <v>1.95</v>
      </c>
      <c r="CU83" s="129">
        <v>1.96</v>
      </c>
      <c r="CV83" s="129">
        <v>1.98</v>
      </c>
      <c r="CW83" s="129">
        <v>1.99</v>
      </c>
      <c r="CX83" s="129">
        <v>2</v>
      </c>
      <c r="CZ83" s="126">
        <f>SUMIF(MatrixF4[[1]:[2]],MatrixF4[[#This Row],[Столбец1]])/MatrixF4[[#This Row],[Столбец1]]</f>
        <v>163.00000000000048</v>
      </c>
    </row>
    <row r="84" spans="1:104" ht="21" customHeight="1" x14ac:dyDescent="0.25">
      <c r="A84" s="127">
        <v>1.81</v>
      </c>
      <c r="B84" s="129">
        <v>1.81</v>
      </c>
      <c r="C84" s="129">
        <v>1.81</v>
      </c>
      <c r="D84" s="129">
        <v>1.81</v>
      </c>
      <c r="E84" s="129">
        <v>1.81</v>
      </c>
      <c r="F84" s="129">
        <v>1.81</v>
      </c>
      <c r="G84" s="129">
        <v>1.81</v>
      </c>
      <c r="H84" s="129">
        <v>1.81</v>
      </c>
      <c r="I84" s="129">
        <v>1.81</v>
      </c>
      <c r="J84" s="129">
        <v>1.81</v>
      </c>
      <c r="K84" s="129">
        <v>1.81</v>
      </c>
      <c r="L84" s="129">
        <v>1.81</v>
      </c>
      <c r="M84" s="129">
        <v>1.81</v>
      </c>
      <c r="N84" s="129">
        <v>1.81</v>
      </c>
      <c r="O84" s="129">
        <v>1.81</v>
      </c>
      <c r="P84" s="129">
        <v>1.81</v>
      </c>
      <c r="Q84" s="129">
        <v>1.81</v>
      </c>
      <c r="R84" s="129">
        <v>1.81</v>
      </c>
      <c r="S84" s="129">
        <v>1.81</v>
      </c>
      <c r="T84" s="129">
        <v>1.81</v>
      </c>
      <c r="U84" s="129">
        <v>1.81</v>
      </c>
      <c r="V84" s="129">
        <v>1.81</v>
      </c>
      <c r="W84" s="129">
        <v>1.81</v>
      </c>
      <c r="X84" s="129">
        <v>1.8</v>
      </c>
      <c r="Y84" s="129">
        <v>1.8</v>
      </c>
      <c r="Z84" s="129">
        <v>1.8</v>
      </c>
      <c r="AA84" s="129">
        <v>1.8</v>
      </c>
      <c r="AB84" s="129">
        <v>1.8</v>
      </c>
      <c r="AC84" s="129">
        <v>1.79</v>
      </c>
      <c r="AD84" s="129">
        <v>1.79</v>
      </c>
      <c r="AE84" s="129">
        <v>1.79</v>
      </c>
      <c r="AF84" s="129">
        <v>1.79</v>
      </c>
      <c r="AG84" s="129">
        <v>1.78</v>
      </c>
      <c r="AH84" s="129">
        <v>1.78</v>
      </c>
      <c r="AI84" s="129">
        <v>1.78</v>
      </c>
      <c r="AJ84" s="129">
        <v>1.78</v>
      </c>
      <c r="AK84" s="129">
        <v>1.77</v>
      </c>
      <c r="AL84" s="129">
        <v>1.77</v>
      </c>
      <c r="AM84" s="129">
        <v>1.77</v>
      </c>
      <c r="AN84" s="129">
        <v>1.77</v>
      </c>
      <c r="AO84" s="129">
        <v>1.76</v>
      </c>
      <c r="AP84" s="129">
        <v>1.76</v>
      </c>
      <c r="AQ84" s="129">
        <v>1.76</v>
      </c>
      <c r="AR84" s="129">
        <v>1.75</v>
      </c>
      <c r="AS84" s="129">
        <v>1.75</v>
      </c>
      <c r="AT84" s="129">
        <v>1.75</v>
      </c>
      <c r="AU84" s="129">
        <v>1.74</v>
      </c>
      <c r="AV84" s="129">
        <v>1.74</v>
      </c>
      <c r="AW84" s="129">
        <v>1.74</v>
      </c>
      <c r="AX84" s="129">
        <v>1.73</v>
      </c>
      <c r="AY84" s="129">
        <v>1.73</v>
      </c>
      <c r="AZ84" s="129">
        <v>1.72</v>
      </c>
      <c r="BA84" s="129">
        <v>1.73</v>
      </c>
      <c r="BB84" s="129">
        <v>1.73</v>
      </c>
      <c r="BC84" s="129">
        <v>1.74</v>
      </c>
      <c r="BD84" s="129">
        <v>1.74</v>
      </c>
      <c r="BE84" s="129">
        <v>1.74</v>
      </c>
      <c r="BF84" s="129">
        <v>1.75</v>
      </c>
      <c r="BG84" s="129">
        <v>1.75</v>
      </c>
      <c r="BH84" s="129">
        <v>1.75</v>
      </c>
      <c r="BI84" s="129">
        <v>1.76</v>
      </c>
      <c r="BJ84" s="129">
        <v>1.76</v>
      </c>
      <c r="BK84" s="129">
        <v>1.76</v>
      </c>
      <c r="BL84" s="129">
        <v>1.77</v>
      </c>
      <c r="BM84" s="129">
        <v>1.77</v>
      </c>
      <c r="BN84" s="129">
        <v>1.77</v>
      </c>
      <c r="BO84" s="129">
        <v>1.77</v>
      </c>
      <c r="BP84" s="129">
        <v>1.78</v>
      </c>
      <c r="BQ84" s="129">
        <v>1.78</v>
      </c>
      <c r="BR84" s="129">
        <v>1.78</v>
      </c>
      <c r="BS84" s="129">
        <v>1.78</v>
      </c>
      <c r="BT84" s="129">
        <v>1.79</v>
      </c>
      <c r="BU84" s="129">
        <v>1.79</v>
      </c>
      <c r="BV84" s="129">
        <v>1.79</v>
      </c>
      <c r="BW84" s="129">
        <v>1.79</v>
      </c>
      <c r="BX84" s="129">
        <v>1.8</v>
      </c>
      <c r="BY84" s="129">
        <v>1.8</v>
      </c>
      <c r="BZ84" s="129">
        <v>1.8</v>
      </c>
      <c r="CA84" s="129">
        <v>1.8</v>
      </c>
      <c r="CB84" s="129">
        <v>1.8</v>
      </c>
      <c r="CC84" s="129">
        <v>1.81</v>
      </c>
      <c r="CD84" s="129">
        <v>1.81</v>
      </c>
      <c r="CE84" s="129">
        <v>1.81</v>
      </c>
      <c r="CF84" s="129">
        <v>1.82</v>
      </c>
      <c r="CG84" s="129">
        <v>1.83</v>
      </c>
      <c r="CH84" s="129">
        <v>1.84</v>
      </c>
      <c r="CI84" s="129">
        <v>1.84</v>
      </c>
      <c r="CJ84" s="129">
        <v>1.85</v>
      </c>
      <c r="CK84" s="129">
        <v>1.86</v>
      </c>
      <c r="CL84" s="129">
        <v>1.87</v>
      </c>
      <c r="CM84" s="129">
        <v>1.88</v>
      </c>
      <c r="CN84" s="129">
        <v>1.89</v>
      </c>
      <c r="CO84" s="129">
        <v>1.9</v>
      </c>
      <c r="CP84" s="129">
        <v>1.91</v>
      </c>
      <c r="CQ84" s="129">
        <v>1.92</v>
      </c>
      <c r="CR84" s="129">
        <v>1.93</v>
      </c>
      <c r="CS84" s="129">
        <v>1.94</v>
      </c>
      <c r="CT84" s="129">
        <v>1.95</v>
      </c>
      <c r="CU84" s="129">
        <v>1.96</v>
      </c>
      <c r="CV84" s="129">
        <v>1.98</v>
      </c>
      <c r="CW84" s="129">
        <v>1.99</v>
      </c>
      <c r="CX84" s="129">
        <v>2</v>
      </c>
      <c r="CZ84" s="126">
        <f>SUMIF(MatrixF4[[1]:[2]],MatrixF4[[#This Row],[Столбец1]])/MatrixF4[[#This Row],[Столбец1]]</f>
        <v>163.00000000000017</v>
      </c>
    </row>
    <row r="85" spans="1:104" ht="21" customHeight="1" x14ac:dyDescent="0.25">
      <c r="A85" s="127">
        <v>1.82</v>
      </c>
      <c r="B85" s="129">
        <v>1.82</v>
      </c>
      <c r="C85" s="129">
        <v>1.82</v>
      </c>
      <c r="D85" s="129">
        <v>1.82</v>
      </c>
      <c r="E85" s="129">
        <v>1.82</v>
      </c>
      <c r="F85" s="129">
        <v>1.82</v>
      </c>
      <c r="G85" s="129">
        <v>1.82</v>
      </c>
      <c r="H85" s="129">
        <v>1.82</v>
      </c>
      <c r="I85" s="129">
        <v>1.82</v>
      </c>
      <c r="J85" s="129">
        <v>1.82</v>
      </c>
      <c r="K85" s="129">
        <v>1.82</v>
      </c>
      <c r="L85" s="129">
        <v>1.82</v>
      </c>
      <c r="M85" s="129">
        <v>1.82</v>
      </c>
      <c r="N85" s="129">
        <v>1.82</v>
      </c>
      <c r="O85" s="129">
        <v>1.82</v>
      </c>
      <c r="P85" s="129">
        <v>1.82</v>
      </c>
      <c r="Q85" s="129">
        <v>1.82</v>
      </c>
      <c r="R85" s="129">
        <v>1.82</v>
      </c>
      <c r="S85" s="129">
        <v>1.82</v>
      </c>
      <c r="T85" s="129">
        <v>1.82</v>
      </c>
      <c r="U85" s="129">
        <v>1.82</v>
      </c>
      <c r="V85" s="129">
        <v>1.82</v>
      </c>
      <c r="W85" s="129">
        <v>1.81</v>
      </c>
      <c r="X85" s="129">
        <v>1.81</v>
      </c>
      <c r="Y85" s="129">
        <v>1.81</v>
      </c>
      <c r="Z85" s="129">
        <v>1.81</v>
      </c>
      <c r="AA85" s="129">
        <v>1.81</v>
      </c>
      <c r="AB85" s="129">
        <v>1.8</v>
      </c>
      <c r="AC85" s="129">
        <v>1.8</v>
      </c>
      <c r="AD85" s="129">
        <v>1.8</v>
      </c>
      <c r="AE85" s="129">
        <v>1.8</v>
      </c>
      <c r="AF85" s="129">
        <v>1.8</v>
      </c>
      <c r="AG85" s="129">
        <v>1.79</v>
      </c>
      <c r="AH85" s="129">
        <v>1.79</v>
      </c>
      <c r="AI85" s="129">
        <v>1.79</v>
      </c>
      <c r="AJ85" s="129">
        <v>1.79</v>
      </c>
      <c r="AK85" s="129">
        <v>1.78</v>
      </c>
      <c r="AL85" s="129">
        <v>1.78</v>
      </c>
      <c r="AM85" s="129">
        <v>1.78</v>
      </c>
      <c r="AN85" s="129">
        <v>1.78</v>
      </c>
      <c r="AO85" s="129">
        <v>1.77</v>
      </c>
      <c r="AP85" s="129">
        <v>1.77</v>
      </c>
      <c r="AQ85" s="129">
        <v>1.77</v>
      </c>
      <c r="AR85" s="129">
        <v>1.76</v>
      </c>
      <c r="AS85" s="129">
        <v>1.76</v>
      </c>
      <c r="AT85" s="129">
        <v>1.76</v>
      </c>
      <c r="AU85" s="129">
        <v>1.75</v>
      </c>
      <c r="AV85" s="129">
        <v>1.75</v>
      </c>
      <c r="AW85" s="129">
        <v>1.75</v>
      </c>
      <c r="AX85" s="129">
        <v>1.74</v>
      </c>
      <c r="AY85" s="129">
        <v>1.74</v>
      </c>
      <c r="AZ85" s="129">
        <v>1.74</v>
      </c>
      <c r="BA85" s="129">
        <v>1.74</v>
      </c>
      <c r="BB85" s="129">
        <v>1.74</v>
      </c>
      <c r="BC85" s="129">
        <v>1.75</v>
      </c>
      <c r="BD85" s="129">
        <v>1.75</v>
      </c>
      <c r="BE85" s="129">
        <v>1.75</v>
      </c>
      <c r="BF85" s="129">
        <v>1.76</v>
      </c>
      <c r="BG85" s="129">
        <v>1.76</v>
      </c>
      <c r="BH85" s="129">
        <v>1.76</v>
      </c>
      <c r="BI85" s="129">
        <v>1.77</v>
      </c>
      <c r="BJ85" s="129">
        <v>1.77</v>
      </c>
      <c r="BK85" s="129">
        <v>1.77</v>
      </c>
      <c r="BL85" s="129">
        <v>1.78</v>
      </c>
      <c r="BM85" s="129">
        <v>1.78</v>
      </c>
      <c r="BN85" s="129">
        <v>1.78</v>
      </c>
      <c r="BO85" s="129">
        <v>1.78</v>
      </c>
      <c r="BP85" s="129">
        <v>1.79</v>
      </c>
      <c r="BQ85" s="129">
        <v>1.79</v>
      </c>
      <c r="BR85" s="129">
        <v>1.79</v>
      </c>
      <c r="BS85" s="129">
        <v>1.79</v>
      </c>
      <c r="BT85" s="129">
        <v>1.8</v>
      </c>
      <c r="BU85" s="129">
        <v>1.8</v>
      </c>
      <c r="BV85" s="129">
        <v>1.8</v>
      </c>
      <c r="BW85" s="129">
        <v>1.8</v>
      </c>
      <c r="BX85" s="129">
        <v>1.8</v>
      </c>
      <c r="BY85" s="129">
        <v>1.81</v>
      </c>
      <c r="BZ85" s="129">
        <v>1.81</v>
      </c>
      <c r="CA85" s="129">
        <v>1.81</v>
      </c>
      <c r="CB85" s="129">
        <v>1.81</v>
      </c>
      <c r="CC85" s="129">
        <v>1.81</v>
      </c>
      <c r="CD85" s="129">
        <v>1.82</v>
      </c>
      <c r="CE85" s="129">
        <v>1.82</v>
      </c>
      <c r="CF85" s="129">
        <v>1.82</v>
      </c>
      <c r="CG85" s="129">
        <v>1.83</v>
      </c>
      <c r="CH85" s="129">
        <v>1.84</v>
      </c>
      <c r="CI85" s="129">
        <v>1.85</v>
      </c>
      <c r="CJ85" s="129">
        <v>1.85</v>
      </c>
      <c r="CK85" s="129">
        <v>1.86</v>
      </c>
      <c r="CL85" s="129">
        <v>1.87</v>
      </c>
      <c r="CM85" s="129">
        <v>1.88</v>
      </c>
      <c r="CN85" s="129">
        <v>1.89</v>
      </c>
      <c r="CO85" s="129">
        <v>1.9</v>
      </c>
      <c r="CP85" s="129">
        <v>1.91</v>
      </c>
      <c r="CQ85" s="129">
        <v>1.92</v>
      </c>
      <c r="CR85" s="129">
        <v>1.93</v>
      </c>
      <c r="CS85" s="129">
        <v>1.94</v>
      </c>
      <c r="CT85" s="129">
        <v>1.95</v>
      </c>
      <c r="CU85" s="129">
        <v>1.96</v>
      </c>
      <c r="CV85" s="129">
        <v>1.98</v>
      </c>
      <c r="CW85" s="129">
        <v>1.99</v>
      </c>
      <c r="CX85" s="129">
        <v>2</v>
      </c>
      <c r="CZ85" s="126">
        <f>SUMIF(MatrixF4[[1]:[2]],MatrixF4[[#This Row],[Столбец1]])/MatrixF4[[#This Row],[Столбец1]]</f>
        <v>164.99999999999955</v>
      </c>
    </row>
    <row r="86" spans="1:104" ht="21" customHeight="1" x14ac:dyDescent="0.25">
      <c r="A86" s="127">
        <v>1.83</v>
      </c>
      <c r="B86" s="129">
        <v>1.83</v>
      </c>
      <c r="C86" s="129">
        <v>1.83</v>
      </c>
      <c r="D86" s="129">
        <v>1.83</v>
      </c>
      <c r="E86" s="129">
        <v>1.83</v>
      </c>
      <c r="F86" s="129">
        <v>1.83</v>
      </c>
      <c r="G86" s="129">
        <v>1.83</v>
      </c>
      <c r="H86" s="129">
        <v>1.83</v>
      </c>
      <c r="I86" s="129">
        <v>1.83</v>
      </c>
      <c r="J86" s="129">
        <v>1.83</v>
      </c>
      <c r="K86" s="129">
        <v>1.83</v>
      </c>
      <c r="L86" s="129">
        <v>1.83</v>
      </c>
      <c r="M86" s="129">
        <v>1.83</v>
      </c>
      <c r="N86" s="129">
        <v>1.83</v>
      </c>
      <c r="O86" s="129">
        <v>1.83</v>
      </c>
      <c r="P86" s="129">
        <v>1.83</v>
      </c>
      <c r="Q86" s="129">
        <v>1.83</v>
      </c>
      <c r="R86" s="129">
        <v>1.83</v>
      </c>
      <c r="S86" s="129">
        <v>1.83</v>
      </c>
      <c r="T86" s="129">
        <v>1.83</v>
      </c>
      <c r="U86" s="129">
        <v>1.83</v>
      </c>
      <c r="V86" s="129">
        <v>1.82</v>
      </c>
      <c r="W86" s="129">
        <v>1.82</v>
      </c>
      <c r="X86" s="129">
        <v>1.82</v>
      </c>
      <c r="Y86" s="129">
        <v>1.82</v>
      </c>
      <c r="Z86" s="129">
        <v>1.82</v>
      </c>
      <c r="AA86" s="129">
        <v>1.82</v>
      </c>
      <c r="AB86" s="129">
        <v>1.81</v>
      </c>
      <c r="AC86" s="129">
        <v>1.81</v>
      </c>
      <c r="AD86" s="129">
        <v>1.81</v>
      </c>
      <c r="AE86" s="129">
        <v>1.81</v>
      </c>
      <c r="AF86" s="129">
        <v>1.8</v>
      </c>
      <c r="AG86" s="129">
        <v>1.8</v>
      </c>
      <c r="AH86" s="129">
        <v>1.8</v>
      </c>
      <c r="AI86" s="129">
        <v>1.8</v>
      </c>
      <c r="AJ86" s="129">
        <v>1.8</v>
      </c>
      <c r="AK86" s="129">
        <v>1.79</v>
      </c>
      <c r="AL86" s="129">
        <v>1.79</v>
      </c>
      <c r="AM86" s="129">
        <v>1.79</v>
      </c>
      <c r="AN86" s="129">
        <v>1.78</v>
      </c>
      <c r="AO86" s="129">
        <v>1.78</v>
      </c>
      <c r="AP86" s="129">
        <v>1.78</v>
      </c>
      <c r="AQ86" s="129">
        <v>1.78</v>
      </c>
      <c r="AR86" s="129">
        <v>1.77</v>
      </c>
      <c r="AS86" s="129">
        <v>1.77</v>
      </c>
      <c r="AT86" s="129">
        <v>1.77</v>
      </c>
      <c r="AU86" s="129">
        <v>1.76</v>
      </c>
      <c r="AV86" s="129">
        <v>1.76</v>
      </c>
      <c r="AW86" s="129">
        <v>1.76</v>
      </c>
      <c r="AX86" s="129">
        <v>1.75</v>
      </c>
      <c r="AY86" s="129">
        <v>1.75</v>
      </c>
      <c r="AZ86" s="129">
        <v>1.75</v>
      </c>
      <c r="BA86" s="129">
        <v>1.75</v>
      </c>
      <c r="BB86" s="129">
        <v>1.75</v>
      </c>
      <c r="BC86" s="129">
        <v>1.76</v>
      </c>
      <c r="BD86" s="129">
        <v>1.76</v>
      </c>
      <c r="BE86" s="129">
        <v>1.76</v>
      </c>
      <c r="BF86" s="129">
        <v>1.77</v>
      </c>
      <c r="BG86" s="129">
        <v>1.77</v>
      </c>
      <c r="BH86" s="129">
        <v>1.77</v>
      </c>
      <c r="BI86" s="129">
        <v>1.78</v>
      </c>
      <c r="BJ86" s="129">
        <v>1.78</v>
      </c>
      <c r="BK86" s="129">
        <v>1.78</v>
      </c>
      <c r="BL86" s="129">
        <v>1.78</v>
      </c>
      <c r="BM86" s="129">
        <v>1.79</v>
      </c>
      <c r="BN86" s="129">
        <v>1.79</v>
      </c>
      <c r="BO86" s="129">
        <v>1.79</v>
      </c>
      <c r="BP86" s="129">
        <v>1.8</v>
      </c>
      <c r="BQ86" s="129">
        <v>1.8</v>
      </c>
      <c r="BR86" s="129">
        <v>1.8</v>
      </c>
      <c r="BS86" s="129">
        <v>1.8</v>
      </c>
      <c r="BT86" s="129">
        <v>1.8</v>
      </c>
      <c r="BU86" s="129">
        <v>1.81</v>
      </c>
      <c r="BV86" s="129">
        <v>1.81</v>
      </c>
      <c r="BW86" s="129">
        <v>1.81</v>
      </c>
      <c r="BX86" s="129">
        <v>1.81</v>
      </c>
      <c r="BY86" s="129">
        <v>1.82</v>
      </c>
      <c r="BZ86" s="129">
        <v>1.82</v>
      </c>
      <c r="CA86" s="129">
        <v>1.82</v>
      </c>
      <c r="CB86" s="129">
        <v>1.82</v>
      </c>
      <c r="CC86" s="129">
        <v>1.82</v>
      </c>
      <c r="CD86" s="129">
        <v>1.82</v>
      </c>
      <c r="CE86" s="129">
        <v>1.83</v>
      </c>
      <c r="CF86" s="129">
        <v>1.83</v>
      </c>
      <c r="CG86" s="129">
        <v>1.83</v>
      </c>
      <c r="CH86" s="129">
        <v>1.84</v>
      </c>
      <c r="CI86" s="129">
        <v>1.85</v>
      </c>
      <c r="CJ86" s="129">
        <v>1.86</v>
      </c>
      <c r="CK86" s="129">
        <v>1.86</v>
      </c>
      <c r="CL86" s="129">
        <v>1.87</v>
      </c>
      <c r="CM86" s="129">
        <v>1.88</v>
      </c>
      <c r="CN86" s="129">
        <v>1.89</v>
      </c>
      <c r="CO86" s="129">
        <v>1.9</v>
      </c>
      <c r="CP86" s="129">
        <v>1.91</v>
      </c>
      <c r="CQ86" s="129">
        <v>1.92</v>
      </c>
      <c r="CR86" s="129">
        <v>1.93</v>
      </c>
      <c r="CS86" s="129">
        <v>1.94</v>
      </c>
      <c r="CT86" s="129">
        <v>1.95</v>
      </c>
      <c r="CU86" s="129">
        <v>1.97</v>
      </c>
      <c r="CV86" s="129">
        <v>1.98</v>
      </c>
      <c r="CW86" s="129">
        <v>1.99</v>
      </c>
      <c r="CX86" s="129">
        <v>2</v>
      </c>
      <c r="CZ86" s="126">
        <f>SUMIF(MatrixF4[[1]:[2]],MatrixF4[[#This Row],[Столбец1]])/MatrixF4[[#This Row],[Столбец1]]</f>
        <v>151.00000000000034</v>
      </c>
    </row>
    <row r="87" spans="1:104" ht="21" customHeight="1" x14ac:dyDescent="0.25">
      <c r="A87" s="127">
        <v>1.84</v>
      </c>
      <c r="B87" s="129">
        <v>1.84</v>
      </c>
      <c r="C87" s="129">
        <v>1.84</v>
      </c>
      <c r="D87" s="129">
        <v>1.84</v>
      </c>
      <c r="E87" s="129">
        <v>1.84</v>
      </c>
      <c r="F87" s="129">
        <v>1.84</v>
      </c>
      <c r="G87" s="129">
        <v>1.84</v>
      </c>
      <c r="H87" s="129">
        <v>1.84</v>
      </c>
      <c r="I87" s="129">
        <v>1.84</v>
      </c>
      <c r="J87" s="129">
        <v>1.84</v>
      </c>
      <c r="K87" s="129">
        <v>1.84</v>
      </c>
      <c r="L87" s="129">
        <v>1.84</v>
      </c>
      <c r="M87" s="129">
        <v>1.84</v>
      </c>
      <c r="N87" s="129">
        <v>1.84</v>
      </c>
      <c r="O87" s="129">
        <v>1.84</v>
      </c>
      <c r="P87" s="129">
        <v>1.84</v>
      </c>
      <c r="Q87" s="129">
        <v>1.84</v>
      </c>
      <c r="R87" s="129">
        <v>1.84</v>
      </c>
      <c r="S87" s="129">
        <v>1.84</v>
      </c>
      <c r="T87" s="129">
        <v>1.84</v>
      </c>
      <c r="U87" s="129">
        <v>1.84</v>
      </c>
      <c r="V87" s="129">
        <v>1.83</v>
      </c>
      <c r="W87" s="129">
        <v>1.83</v>
      </c>
      <c r="X87" s="129">
        <v>1.83</v>
      </c>
      <c r="Y87" s="129">
        <v>1.83</v>
      </c>
      <c r="Z87" s="129">
        <v>1.83</v>
      </c>
      <c r="AA87" s="129">
        <v>1.82</v>
      </c>
      <c r="AB87" s="129">
        <v>1.82</v>
      </c>
      <c r="AC87" s="129">
        <v>1.82</v>
      </c>
      <c r="AD87" s="129">
        <v>1.82</v>
      </c>
      <c r="AE87" s="129">
        <v>1.82</v>
      </c>
      <c r="AF87" s="129">
        <v>1.81</v>
      </c>
      <c r="AG87" s="129">
        <v>1.81</v>
      </c>
      <c r="AH87" s="129">
        <v>1.81</v>
      </c>
      <c r="AI87" s="129">
        <v>1.81</v>
      </c>
      <c r="AJ87" s="129">
        <v>1.8</v>
      </c>
      <c r="AK87" s="129">
        <v>1.8</v>
      </c>
      <c r="AL87" s="129">
        <v>1.8</v>
      </c>
      <c r="AM87" s="129">
        <v>1.8</v>
      </c>
      <c r="AN87" s="129">
        <v>1.79</v>
      </c>
      <c r="AO87" s="129">
        <v>1.79</v>
      </c>
      <c r="AP87" s="129">
        <v>1.79</v>
      </c>
      <c r="AQ87" s="129">
        <v>1.79</v>
      </c>
      <c r="AR87" s="129">
        <v>1.78</v>
      </c>
      <c r="AS87" s="129">
        <v>1.78</v>
      </c>
      <c r="AT87" s="129">
        <v>1.78</v>
      </c>
      <c r="AU87" s="129">
        <v>1.77</v>
      </c>
      <c r="AV87" s="129">
        <v>1.77</v>
      </c>
      <c r="AW87" s="129">
        <v>1.77</v>
      </c>
      <c r="AX87" s="129">
        <v>1.76</v>
      </c>
      <c r="AY87" s="129">
        <v>1.76</v>
      </c>
      <c r="AZ87" s="129">
        <v>1.76</v>
      </c>
      <c r="BA87" s="129">
        <v>1.76</v>
      </c>
      <c r="BB87" s="129">
        <v>1.76</v>
      </c>
      <c r="BC87" s="129">
        <v>1.77</v>
      </c>
      <c r="BD87" s="129">
        <v>1.77</v>
      </c>
      <c r="BE87" s="129">
        <v>1.77</v>
      </c>
      <c r="BF87" s="129">
        <v>1.78</v>
      </c>
      <c r="BG87" s="129">
        <v>1.78</v>
      </c>
      <c r="BH87" s="129">
        <v>1.78</v>
      </c>
      <c r="BI87" s="129">
        <v>1.79</v>
      </c>
      <c r="BJ87" s="129">
        <v>1.79</v>
      </c>
      <c r="BK87" s="129">
        <v>1.79</v>
      </c>
      <c r="BL87" s="129">
        <v>1.79</v>
      </c>
      <c r="BM87" s="129">
        <v>1.8</v>
      </c>
      <c r="BN87" s="129">
        <v>1.8</v>
      </c>
      <c r="BO87" s="129">
        <v>1.8</v>
      </c>
      <c r="BP87" s="129">
        <v>1.8</v>
      </c>
      <c r="BQ87" s="129">
        <v>1.81</v>
      </c>
      <c r="BR87" s="129">
        <v>1.81</v>
      </c>
      <c r="BS87" s="129">
        <v>1.81</v>
      </c>
      <c r="BT87" s="129">
        <v>1.81</v>
      </c>
      <c r="BU87" s="129">
        <v>1.82</v>
      </c>
      <c r="BV87" s="129">
        <v>1.82</v>
      </c>
      <c r="BW87" s="129">
        <v>1.82</v>
      </c>
      <c r="BX87" s="129">
        <v>1.82</v>
      </c>
      <c r="BY87" s="129">
        <v>1.82</v>
      </c>
      <c r="BZ87" s="129">
        <v>1.83</v>
      </c>
      <c r="CA87" s="129">
        <v>1.83</v>
      </c>
      <c r="CB87" s="129">
        <v>1.83</v>
      </c>
      <c r="CC87" s="129">
        <v>1.83</v>
      </c>
      <c r="CD87" s="129">
        <v>1.83</v>
      </c>
      <c r="CE87" s="129">
        <v>1.84</v>
      </c>
      <c r="CF87" s="129">
        <v>1.84</v>
      </c>
      <c r="CG87" s="129">
        <v>1.84</v>
      </c>
      <c r="CH87" s="129">
        <v>1.84</v>
      </c>
      <c r="CI87" s="129">
        <v>1.85</v>
      </c>
      <c r="CJ87" s="129">
        <v>1.86</v>
      </c>
      <c r="CK87" s="129">
        <v>1.87</v>
      </c>
      <c r="CL87" s="129">
        <v>1.88</v>
      </c>
      <c r="CM87" s="129">
        <v>1.88</v>
      </c>
      <c r="CN87" s="129">
        <v>1.89</v>
      </c>
      <c r="CO87" s="129">
        <v>1.9</v>
      </c>
      <c r="CP87" s="129">
        <v>1.91</v>
      </c>
      <c r="CQ87" s="129">
        <v>1.92</v>
      </c>
      <c r="CR87" s="129">
        <v>1.93</v>
      </c>
      <c r="CS87" s="129">
        <v>1.94</v>
      </c>
      <c r="CT87" s="129">
        <v>1.95</v>
      </c>
      <c r="CU87" s="129">
        <v>1.97</v>
      </c>
      <c r="CV87" s="129">
        <v>1.98</v>
      </c>
      <c r="CW87" s="129">
        <v>1.99</v>
      </c>
      <c r="CX87" s="129">
        <v>2</v>
      </c>
      <c r="CZ87" s="126">
        <f>SUMIF(MatrixF4[[1]:[2]],MatrixF4[[#This Row],[Столбец1]])/MatrixF4[[#This Row],[Столбец1]]</f>
        <v>166.99999999999986</v>
      </c>
    </row>
    <row r="88" spans="1:104" ht="21" customHeight="1" x14ac:dyDescent="0.25">
      <c r="A88" s="127">
        <v>1.85</v>
      </c>
      <c r="B88" s="129">
        <v>1.85</v>
      </c>
      <c r="C88" s="129">
        <v>1.85</v>
      </c>
      <c r="D88" s="129">
        <v>1.85</v>
      </c>
      <c r="E88" s="129">
        <v>1.85</v>
      </c>
      <c r="F88" s="129">
        <v>1.85</v>
      </c>
      <c r="G88" s="129">
        <v>1.85</v>
      </c>
      <c r="H88" s="129">
        <v>1.85</v>
      </c>
      <c r="I88" s="129">
        <v>1.85</v>
      </c>
      <c r="J88" s="129">
        <v>1.85</v>
      </c>
      <c r="K88" s="129">
        <v>1.85</v>
      </c>
      <c r="L88" s="129">
        <v>1.85</v>
      </c>
      <c r="M88" s="129">
        <v>1.85</v>
      </c>
      <c r="N88" s="129">
        <v>1.85</v>
      </c>
      <c r="O88" s="129">
        <v>1.85</v>
      </c>
      <c r="P88" s="129">
        <v>1.85</v>
      </c>
      <c r="Q88" s="129">
        <v>1.85</v>
      </c>
      <c r="R88" s="129">
        <v>1.85</v>
      </c>
      <c r="S88" s="129">
        <v>1.85</v>
      </c>
      <c r="T88" s="129">
        <v>1.85</v>
      </c>
      <c r="U88" s="129">
        <v>1.84</v>
      </c>
      <c r="V88" s="129">
        <v>1.84</v>
      </c>
      <c r="W88" s="129">
        <v>1.84</v>
      </c>
      <c r="X88" s="129">
        <v>1.84</v>
      </c>
      <c r="Y88" s="129">
        <v>1.84</v>
      </c>
      <c r="Z88" s="129">
        <v>1.84</v>
      </c>
      <c r="AA88" s="129">
        <v>1.83</v>
      </c>
      <c r="AB88" s="129">
        <v>1.83</v>
      </c>
      <c r="AC88" s="129">
        <v>1.83</v>
      </c>
      <c r="AD88" s="129">
        <v>1.83</v>
      </c>
      <c r="AE88" s="129">
        <v>1.83</v>
      </c>
      <c r="AF88" s="129">
        <v>1.82</v>
      </c>
      <c r="AG88" s="129">
        <v>1.82</v>
      </c>
      <c r="AH88" s="129">
        <v>1.82</v>
      </c>
      <c r="AI88" s="129">
        <v>1.82</v>
      </c>
      <c r="AJ88" s="129">
        <v>1.81</v>
      </c>
      <c r="AK88" s="129">
        <v>1.81</v>
      </c>
      <c r="AL88" s="129">
        <v>1.81</v>
      </c>
      <c r="AM88" s="129">
        <v>1.81</v>
      </c>
      <c r="AN88" s="129">
        <v>1.81</v>
      </c>
      <c r="AO88" s="129">
        <v>1.8</v>
      </c>
      <c r="AP88" s="129">
        <v>1.8</v>
      </c>
      <c r="AQ88" s="129">
        <v>1.8</v>
      </c>
      <c r="AR88" s="129">
        <v>1.79</v>
      </c>
      <c r="AS88" s="129">
        <v>1.79</v>
      </c>
      <c r="AT88" s="129">
        <v>1.79</v>
      </c>
      <c r="AU88" s="129">
        <v>1.79</v>
      </c>
      <c r="AV88" s="129">
        <v>1.78</v>
      </c>
      <c r="AW88" s="129">
        <v>1.78</v>
      </c>
      <c r="AX88" s="129">
        <v>1.78</v>
      </c>
      <c r="AY88" s="129">
        <v>1.77</v>
      </c>
      <c r="AZ88" s="129">
        <v>1.77</v>
      </c>
      <c r="BA88" s="129">
        <v>1.77</v>
      </c>
      <c r="BB88" s="129">
        <v>1.78</v>
      </c>
      <c r="BC88" s="129">
        <v>1.78</v>
      </c>
      <c r="BD88" s="129">
        <v>1.78</v>
      </c>
      <c r="BE88" s="129">
        <v>1.79</v>
      </c>
      <c r="BF88" s="129">
        <v>1.79</v>
      </c>
      <c r="BG88" s="129">
        <v>1.79</v>
      </c>
      <c r="BH88" s="129">
        <v>1.79</v>
      </c>
      <c r="BI88" s="129">
        <v>1.8</v>
      </c>
      <c r="BJ88" s="129">
        <v>1.8</v>
      </c>
      <c r="BK88" s="129">
        <v>1.8</v>
      </c>
      <c r="BL88" s="129">
        <v>1.81</v>
      </c>
      <c r="BM88" s="129">
        <v>1.81</v>
      </c>
      <c r="BN88" s="129">
        <v>1.81</v>
      </c>
      <c r="BO88" s="129">
        <v>1.81</v>
      </c>
      <c r="BP88" s="129">
        <v>1.81</v>
      </c>
      <c r="BQ88" s="129">
        <v>1.82</v>
      </c>
      <c r="BR88" s="129">
        <v>1.82</v>
      </c>
      <c r="BS88" s="129">
        <v>1.82</v>
      </c>
      <c r="BT88" s="129">
        <v>1.82</v>
      </c>
      <c r="BU88" s="129">
        <v>1.83</v>
      </c>
      <c r="BV88" s="129">
        <v>1.83</v>
      </c>
      <c r="BW88" s="129">
        <v>1.83</v>
      </c>
      <c r="BX88" s="129">
        <v>1.83</v>
      </c>
      <c r="BY88" s="129">
        <v>1.83</v>
      </c>
      <c r="BZ88" s="129">
        <v>1.84</v>
      </c>
      <c r="CA88" s="129">
        <v>1.84</v>
      </c>
      <c r="CB88" s="129">
        <v>1.84</v>
      </c>
      <c r="CC88" s="129">
        <v>1.84</v>
      </c>
      <c r="CD88" s="129">
        <v>1.84</v>
      </c>
      <c r="CE88" s="129">
        <v>1.84</v>
      </c>
      <c r="CF88" s="129">
        <v>1.85</v>
      </c>
      <c r="CG88" s="129">
        <v>1.85</v>
      </c>
      <c r="CH88" s="129">
        <v>1.85</v>
      </c>
      <c r="CI88" s="129">
        <v>1.85</v>
      </c>
      <c r="CJ88" s="129">
        <v>1.86</v>
      </c>
      <c r="CK88" s="129">
        <v>1.87</v>
      </c>
      <c r="CL88" s="129">
        <v>1.88</v>
      </c>
      <c r="CM88" s="129">
        <v>1.89</v>
      </c>
      <c r="CN88" s="129">
        <v>1.89</v>
      </c>
      <c r="CO88" s="129">
        <v>1.9</v>
      </c>
      <c r="CP88" s="129">
        <v>1.91</v>
      </c>
      <c r="CQ88" s="129">
        <v>1.92</v>
      </c>
      <c r="CR88" s="129">
        <v>1.93</v>
      </c>
      <c r="CS88" s="129">
        <v>1.94</v>
      </c>
      <c r="CT88" s="129">
        <v>1.96</v>
      </c>
      <c r="CU88" s="129">
        <v>1.97</v>
      </c>
      <c r="CV88" s="129">
        <v>1.98</v>
      </c>
      <c r="CW88" s="129">
        <v>1.99</v>
      </c>
      <c r="CX88" s="129">
        <v>2</v>
      </c>
      <c r="CZ88" s="126">
        <f>SUMIF(MatrixF4[[1]:[2]],MatrixF4[[#This Row],[Столбец1]])/MatrixF4[[#This Row],[Столбец1]]</f>
        <v>163</v>
      </c>
    </row>
    <row r="89" spans="1:104" ht="21" customHeight="1" x14ac:dyDescent="0.25">
      <c r="A89" s="127">
        <v>1.86</v>
      </c>
      <c r="B89" s="129">
        <v>1.86</v>
      </c>
      <c r="C89" s="129">
        <v>1.86</v>
      </c>
      <c r="D89" s="129">
        <v>1.86</v>
      </c>
      <c r="E89" s="129">
        <v>1.86</v>
      </c>
      <c r="F89" s="129">
        <v>1.86</v>
      </c>
      <c r="G89" s="129">
        <v>1.86</v>
      </c>
      <c r="H89" s="129">
        <v>1.86</v>
      </c>
      <c r="I89" s="129">
        <v>1.86</v>
      </c>
      <c r="J89" s="129">
        <v>1.86</v>
      </c>
      <c r="K89" s="129">
        <v>1.86</v>
      </c>
      <c r="L89" s="129">
        <v>1.86</v>
      </c>
      <c r="M89" s="129">
        <v>1.86</v>
      </c>
      <c r="N89" s="129">
        <v>1.86</v>
      </c>
      <c r="O89" s="129">
        <v>1.86</v>
      </c>
      <c r="P89" s="129">
        <v>1.86</v>
      </c>
      <c r="Q89" s="129">
        <v>1.86</v>
      </c>
      <c r="R89" s="129">
        <v>1.86</v>
      </c>
      <c r="S89" s="129">
        <v>1.86</v>
      </c>
      <c r="T89" s="129">
        <v>1.85</v>
      </c>
      <c r="U89" s="129">
        <v>1.85</v>
      </c>
      <c r="V89" s="129">
        <v>1.85</v>
      </c>
      <c r="W89" s="129">
        <v>1.85</v>
      </c>
      <c r="X89" s="129">
        <v>1.85</v>
      </c>
      <c r="Y89" s="129">
        <v>1.85</v>
      </c>
      <c r="Z89" s="129">
        <v>1.84</v>
      </c>
      <c r="AA89" s="129">
        <v>1.84</v>
      </c>
      <c r="AB89" s="129">
        <v>1.84</v>
      </c>
      <c r="AC89" s="129">
        <v>1.84</v>
      </c>
      <c r="AD89" s="129">
        <v>1.84</v>
      </c>
      <c r="AE89" s="129">
        <v>1.84</v>
      </c>
      <c r="AF89" s="129">
        <v>1.83</v>
      </c>
      <c r="AG89" s="129">
        <v>1.83</v>
      </c>
      <c r="AH89" s="129">
        <v>1.83</v>
      </c>
      <c r="AI89" s="129">
        <v>1.83</v>
      </c>
      <c r="AJ89" s="129">
        <v>1.82</v>
      </c>
      <c r="AK89" s="129">
        <v>1.82</v>
      </c>
      <c r="AL89" s="129">
        <v>1.82</v>
      </c>
      <c r="AM89" s="129">
        <v>1.82</v>
      </c>
      <c r="AN89" s="129">
        <v>1.82</v>
      </c>
      <c r="AO89" s="129">
        <v>1.81</v>
      </c>
      <c r="AP89" s="129">
        <v>1.81</v>
      </c>
      <c r="AQ89" s="129">
        <v>1.81</v>
      </c>
      <c r="AR89" s="129">
        <v>1.81</v>
      </c>
      <c r="AS89" s="129">
        <v>1.8</v>
      </c>
      <c r="AT89" s="129">
        <v>1.8</v>
      </c>
      <c r="AU89" s="129">
        <v>1.8</v>
      </c>
      <c r="AV89" s="129">
        <v>1.79</v>
      </c>
      <c r="AW89" s="129">
        <v>1.79</v>
      </c>
      <c r="AX89" s="129">
        <v>1.79</v>
      </c>
      <c r="AY89" s="129">
        <v>1.78</v>
      </c>
      <c r="AZ89" s="129">
        <v>1.78</v>
      </c>
      <c r="BA89" s="129">
        <v>1.78</v>
      </c>
      <c r="BB89" s="129">
        <v>1.79</v>
      </c>
      <c r="BC89" s="129">
        <v>1.79</v>
      </c>
      <c r="BD89" s="129">
        <v>1.79</v>
      </c>
      <c r="BE89" s="129">
        <v>1.8</v>
      </c>
      <c r="BF89" s="129">
        <v>1.8</v>
      </c>
      <c r="BG89" s="129">
        <v>1.8</v>
      </c>
      <c r="BH89" s="129">
        <v>1.81</v>
      </c>
      <c r="BI89" s="129">
        <v>1.81</v>
      </c>
      <c r="BJ89" s="129">
        <v>1.81</v>
      </c>
      <c r="BK89" s="129">
        <v>1.81</v>
      </c>
      <c r="BL89" s="129">
        <v>1.82</v>
      </c>
      <c r="BM89" s="129">
        <v>1.82</v>
      </c>
      <c r="BN89" s="129">
        <v>1.82</v>
      </c>
      <c r="BO89" s="129">
        <v>1.82</v>
      </c>
      <c r="BP89" s="129">
        <v>1.82</v>
      </c>
      <c r="BQ89" s="129">
        <v>1.83</v>
      </c>
      <c r="BR89" s="129">
        <v>1.83</v>
      </c>
      <c r="BS89" s="129">
        <v>1.83</v>
      </c>
      <c r="BT89" s="129">
        <v>1.83</v>
      </c>
      <c r="BU89" s="129">
        <v>1.84</v>
      </c>
      <c r="BV89" s="129">
        <v>1.84</v>
      </c>
      <c r="BW89" s="129">
        <v>1.84</v>
      </c>
      <c r="BX89" s="129">
        <v>1.84</v>
      </c>
      <c r="BY89" s="129">
        <v>1.84</v>
      </c>
      <c r="BZ89" s="129">
        <v>1.84</v>
      </c>
      <c r="CA89" s="129">
        <v>1.85</v>
      </c>
      <c r="CB89" s="129">
        <v>1.85</v>
      </c>
      <c r="CC89" s="129">
        <v>1.85</v>
      </c>
      <c r="CD89" s="129">
        <v>1.85</v>
      </c>
      <c r="CE89" s="129">
        <v>1.85</v>
      </c>
      <c r="CF89" s="129">
        <v>1.85</v>
      </c>
      <c r="CG89" s="129">
        <v>1.86</v>
      </c>
      <c r="CH89" s="129">
        <v>1.86</v>
      </c>
      <c r="CI89" s="129">
        <v>1.86</v>
      </c>
      <c r="CJ89" s="129">
        <v>1.86</v>
      </c>
      <c r="CK89" s="129">
        <v>1.87</v>
      </c>
      <c r="CL89" s="129">
        <v>1.88</v>
      </c>
      <c r="CM89" s="129">
        <v>1.89</v>
      </c>
      <c r="CN89" s="129">
        <v>1.9</v>
      </c>
      <c r="CO89" s="129">
        <v>1.91</v>
      </c>
      <c r="CP89" s="129">
        <v>1.91</v>
      </c>
      <c r="CQ89" s="129">
        <v>1.92</v>
      </c>
      <c r="CR89" s="129">
        <v>1.93</v>
      </c>
      <c r="CS89" s="129">
        <v>1.95</v>
      </c>
      <c r="CT89" s="129">
        <v>1.96</v>
      </c>
      <c r="CU89" s="129">
        <v>1.97</v>
      </c>
      <c r="CV89" s="129">
        <v>1.98</v>
      </c>
      <c r="CW89" s="129">
        <v>1.99</v>
      </c>
      <c r="CX89" s="129">
        <v>2</v>
      </c>
      <c r="CZ89" s="126">
        <f>SUMIF(MatrixF4[[1]:[2]],MatrixF4[[#This Row],[Столбец1]])/MatrixF4[[#This Row],[Столбец1]]</f>
        <v>165.00000000000068</v>
      </c>
    </row>
    <row r="90" spans="1:104" ht="21" customHeight="1" x14ac:dyDescent="0.25">
      <c r="A90" s="127">
        <v>1.87</v>
      </c>
      <c r="B90" s="129">
        <v>1.87</v>
      </c>
      <c r="C90" s="129">
        <v>1.87</v>
      </c>
      <c r="D90" s="129">
        <v>1.87</v>
      </c>
      <c r="E90" s="129">
        <v>1.87</v>
      </c>
      <c r="F90" s="129">
        <v>1.87</v>
      </c>
      <c r="G90" s="129">
        <v>1.87</v>
      </c>
      <c r="H90" s="129">
        <v>1.87</v>
      </c>
      <c r="I90" s="129">
        <v>1.87</v>
      </c>
      <c r="J90" s="129">
        <v>1.87</v>
      </c>
      <c r="K90" s="129">
        <v>1.87</v>
      </c>
      <c r="L90" s="129">
        <v>1.87</v>
      </c>
      <c r="M90" s="129">
        <v>1.87</v>
      </c>
      <c r="N90" s="129">
        <v>1.87</v>
      </c>
      <c r="O90" s="129">
        <v>1.87</v>
      </c>
      <c r="P90" s="129">
        <v>1.87</v>
      </c>
      <c r="Q90" s="129">
        <v>1.87</v>
      </c>
      <c r="R90" s="129">
        <v>1.87</v>
      </c>
      <c r="S90" s="129">
        <v>1.86</v>
      </c>
      <c r="T90" s="129">
        <v>1.86</v>
      </c>
      <c r="U90" s="129">
        <v>1.86</v>
      </c>
      <c r="V90" s="129">
        <v>1.86</v>
      </c>
      <c r="W90" s="129">
        <v>1.86</v>
      </c>
      <c r="X90" s="129">
        <v>1.86</v>
      </c>
      <c r="Y90" s="129">
        <v>1.86</v>
      </c>
      <c r="Z90" s="129">
        <v>1.85</v>
      </c>
      <c r="AA90" s="129">
        <v>1.85</v>
      </c>
      <c r="AB90" s="129">
        <v>1.85</v>
      </c>
      <c r="AC90" s="129">
        <v>1.85</v>
      </c>
      <c r="AD90" s="129">
        <v>1.85</v>
      </c>
      <c r="AE90" s="129">
        <v>1.85</v>
      </c>
      <c r="AF90" s="129">
        <v>1.84</v>
      </c>
      <c r="AG90" s="129">
        <v>1.84</v>
      </c>
      <c r="AH90" s="129">
        <v>1.84</v>
      </c>
      <c r="AI90" s="129">
        <v>1.84</v>
      </c>
      <c r="AJ90" s="129">
        <v>1.84</v>
      </c>
      <c r="AK90" s="129">
        <v>1.83</v>
      </c>
      <c r="AL90" s="129">
        <v>1.83</v>
      </c>
      <c r="AM90" s="129">
        <v>1.83</v>
      </c>
      <c r="AN90" s="129">
        <v>1.83</v>
      </c>
      <c r="AO90" s="129">
        <v>1.82</v>
      </c>
      <c r="AP90" s="129">
        <v>1.82</v>
      </c>
      <c r="AQ90" s="129">
        <v>1.82</v>
      </c>
      <c r="AR90" s="129">
        <v>1.82</v>
      </c>
      <c r="AS90" s="129">
        <v>1.81</v>
      </c>
      <c r="AT90" s="129">
        <v>1.81</v>
      </c>
      <c r="AU90" s="129">
        <v>1.81</v>
      </c>
      <c r="AV90" s="129">
        <v>1.81</v>
      </c>
      <c r="AW90" s="129">
        <v>1.8</v>
      </c>
      <c r="AX90" s="129">
        <v>1.8</v>
      </c>
      <c r="AY90" s="129">
        <v>1.8</v>
      </c>
      <c r="AZ90" s="129">
        <v>1.79</v>
      </c>
      <c r="BA90" s="129">
        <v>1.8</v>
      </c>
      <c r="BB90" s="129">
        <v>1.8</v>
      </c>
      <c r="BC90" s="129">
        <v>1.8</v>
      </c>
      <c r="BD90" s="129">
        <v>1.81</v>
      </c>
      <c r="BE90" s="129">
        <v>1.81</v>
      </c>
      <c r="BF90" s="129">
        <v>1.81</v>
      </c>
      <c r="BG90" s="129">
        <v>1.81</v>
      </c>
      <c r="BH90" s="129">
        <v>1.82</v>
      </c>
      <c r="BI90" s="129">
        <v>1.82</v>
      </c>
      <c r="BJ90" s="129">
        <v>1.82</v>
      </c>
      <c r="BK90" s="129">
        <v>1.82</v>
      </c>
      <c r="BL90" s="129">
        <v>1.83</v>
      </c>
      <c r="BM90" s="129">
        <v>1.83</v>
      </c>
      <c r="BN90" s="129">
        <v>1.83</v>
      </c>
      <c r="BO90" s="129">
        <v>1.83</v>
      </c>
      <c r="BP90" s="129">
        <v>1.84</v>
      </c>
      <c r="BQ90" s="129">
        <v>1.84</v>
      </c>
      <c r="BR90" s="129">
        <v>1.84</v>
      </c>
      <c r="BS90" s="129">
        <v>1.84</v>
      </c>
      <c r="BT90" s="129">
        <v>1.84</v>
      </c>
      <c r="BU90" s="129">
        <v>1.85</v>
      </c>
      <c r="BV90" s="129">
        <v>1.85</v>
      </c>
      <c r="BW90" s="129">
        <v>1.85</v>
      </c>
      <c r="BX90" s="129">
        <v>1.85</v>
      </c>
      <c r="BY90" s="129">
        <v>1.85</v>
      </c>
      <c r="BZ90" s="129">
        <v>1.85</v>
      </c>
      <c r="CA90" s="129">
        <v>1.86</v>
      </c>
      <c r="CB90" s="129">
        <v>1.86</v>
      </c>
      <c r="CC90" s="129">
        <v>1.86</v>
      </c>
      <c r="CD90" s="129">
        <v>1.86</v>
      </c>
      <c r="CE90" s="129">
        <v>1.86</v>
      </c>
      <c r="CF90" s="129">
        <v>1.86</v>
      </c>
      <c r="CG90" s="129">
        <v>1.86</v>
      </c>
      <c r="CH90" s="129">
        <v>1.87</v>
      </c>
      <c r="CI90" s="129">
        <v>1.87</v>
      </c>
      <c r="CJ90" s="129">
        <v>1.87</v>
      </c>
      <c r="CK90" s="129">
        <v>1.87</v>
      </c>
      <c r="CL90" s="129">
        <v>1.88</v>
      </c>
      <c r="CM90" s="129">
        <v>1.89</v>
      </c>
      <c r="CN90" s="129">
        <v>1.9</v>
      </c>
      <c r="CO90" s="129">
        <v>1.91</v>
      </c>
      <c r="CP90" s="129">
        <v>1.92</v>
      </c>
      <c r="CQ90" s="129">
        <v>1.93</v>
      </c>
      <c r="CR90" s="129">
        <v>1.94</v>
      </c>
      <c r="CS90" s="129">
        <v>1.95</v>
      </c>
      <c r="CT90" s="129">
        <v>1.96</v>
      </c>
      <c r="CU90" s="129">
        <v>1.97</v>
      </c>
      <c r="CV90" s="129">
        <v>1.98</v>
      </c>
      <c r="CW90" s="129">
        <v>1.99</v>
      </c>
      <c r="CX90" s="129">
        <v>2</v>
      </c>
      <c r="CZ90" s="126">
        <f>SUMIF(MatrixF4[[1]:[2]],MatrixF4[[#This Row],[Столбец1]])/MatrixF4[[#This Row],[Столбец1]]</f>
        <v>149.00000000000023</v>
      </c>
    </row>
    <row r="91" spans="1:104" ht="21" customHeight="1" x14ac:dyDescent="0.25">
      <c r="A91" s="127">
        <v>1.88</v>
      </c>
      <c r="B91" s="129">
        <v>1.88</v>
      </c>
      <c r="C91" s="129">
        <v>1.88</v>
      </c>
      <c r="D91" s="129">
        <v>1.88</v>
      </c>
      <c r="E91" s="129">
        <v>1.88</v>
      </c>
      <c r="F91" s="129">
        <v>1.88</v>
      </c>
      <c r="G91" s="129">
        <v>1.88</v>
      </c>
      <c r="H91" s="129">
        <v>1.88</v>
      </c>
      <c r="I91" s="129">
        <v>1.88</v>
      </c>
      <c r="J91" s="129">
        <v>1.88</v>
      </c>
      <c r="K91" s="129">
        <v>1.88</v>
      </c>
      <c r="L91" s="129">
        <v>1.88</v>
      </c>
      <c r="M91" s="129">
        <v>1.88</v>
      </c>
      <c r="N91" s="129">
        <v>1.88</v>
      </c>
      <c r="O91" s="129">
        <v>1.88</v>
      </c>
      <c r="P91" s="129">
        <v>1.88</v>
      </c>
      <c r="Q91" s="129">
        <v>1.88</v>
      </c>
      <c r="R91" s="129">
        <v>1.88</v>
      </c>
      <c r="S91" s="129">
        <v>1.87</v>
      </c>
      <c r="T91" s="129">
        <v>1.87</v>
      </c>
      <c r="U91" s="129">
        <v>1.87</v>
      </c>
      <c r="V91" s="129">
        <v>1.87</v>
      </c>
      <c r="W91" s="129">
        <v>1.87</v>
      </c>
      <c r="X91" s="129">
        <v>1.87</v>
      </c>
      <c r="Y91" s="129">
        <v>1.87</v>
      </c>
      <c r="Z91" s="129">
        <v>1.86</v>
      </c>
      <c r="AA91" s="129">
        <v>1.86</v>
      </c>
      <c r="AB91" s="129">
        <v>1.86</v>
      </c>
      <c r="AC91" s="129">
        <v>1.86</v>
      </c>
      <c r="AD91" s="129">
        <v>1.86</v>
      </c>
      <c r="AE91" s="129">
        <v>1.86</v>
      </c>
      <c r="AF91" s="129">
        <v>1.85</v>
      </c>
      <c r="AG91" s="129">
        <v>1.85</v>
      </c>
      <c r="AH91" s="129">
        <v>1.85</v>
      </c>
      <c r="AI91" s="129">
        <v>1.85</v>
      </c>
      <c r="AJ91" s="129">
        <v>1.85</v>
      </c>
      <c r="AK91" s="129">
        <v>1.84</v>
      </c>
      <c r="AL91" s="129">
        <v>1.84</v>
      </c>
      <c r="AM91" s="129">
        <v>1.84</v>
      </c>
      <c r="AN91" s="129">
        <v>1.84</v>
      </c>
      <c r="AO91" s="129">
        <v>1.84</v>
      </c>
      <c r="AP91" s="129">
        <v>1.83</v>
      </c>
      <c r="AQ91" s="129">
        <v>1.83</v>
      </c>
      <c r="AR91" s="129">
        <v>1.83</v>
      </c>
      <c r="AS91" s="129">
        <v>1.83</v>
      </c>
      <c r="AT91" s="129">
        <v>1.82</v>
      </c>
      <c r="AU91" s="129">
        <v>1.82</v>
      </c>
      <c r="AV91" s="129">
        <v>1.82</v>
      </c>
      <c r="AW91" s="129">
        <v>1.82</v>
      </c>
      <c r="AX91" s="129">
        <v>1.81</v>
      </c>
      <c r="AY91" s="129">
        <v>1.81</v>
      </c>
      <c r="AZ91" s="129">
        <v>1.81</v>
      </c>
      <c r="BA91" s="129">
        <v>1.81</v>
      </c>
      <c r="BB91" s="129">
        <v>1.81</v>
      </c>
      <c r="BC91" s="129">
        <v>1.82</v>
      </c>
      <c r="BD91" s="129">
        <v>1.82</v>
      </c>
      <c r="BE91" s="129">
        <v>1.82</v>
      </c>
      <c r="BF91" s="129">
        <v>1.82</v>
      </c>
      <c r="BG91" s="129">
        <v>1.83</v>
      </c>
      <c r="BH91" s="129">
        <v>1.83</v>
      </c>
      <c r="BI91" s="129">
        <v>1.83</v>
      </c>
      <c r="BJ91" s="129">
        <v>1.83</v>
      </c>
      <c r="BK91" s="129">
        <v>1.84</v>
      </c>
      <c r="BL91" s="129">
        <v>1.84</v>
      </c>
      <c r="BM91" s="129">
        <v>1.84</v>
      </c>
      <c r="BN91" s="129">
        <v>1.84</v>
      </c>
      <c r="BO91" s="129">
        <v>1.84</v>
      </c>
      <c r="BP91" s="129">
        <v>1.85</v>
      </c>
      <c r="BQ91" s="129">
        <v>1.85</v>
      </c>
      <c r="BR91" s="129">
        <v>1.85</v>
      </c>
      <c r="BS91" s="129">
        <v>1.85</v>
      </c>
      <c r="BT91" s="129">
        <v>1.85</v>
      </c>
      <c r="BU91" s="129">
        <v>1.86</v>
      </c>
      <c r="BV91" s="129">
        <v>1.86</v>
      </c>
      <c r="BW91" s="129">
        <v>1.86</v>
      </c>
      <c r="BX91" s="129">
        <v>1.86</v>
      </c>
      <c r="BY91" s="129">
        <v>1.86</v>
      </c>
      <c r="BZ91" s="129">
        <v>1.86</v>
      </c>
      <c r="CA91" s="129">
        <v>1.87</v>
      </c>
      <c r="CB91" s="129">
        <v>1.87</v>
      </c>
      <c r="CC91" s="129">
        <v>1.87</v>
      </c>
      <c r="CD91" s="129">
        <v>1.87</v>
      </c>
      <c r="CE91" s="129">
        <v>1.87</v>
      </c>
      <c r="CF91" s="129">
        <v>1.87</v>
      </c>
      <c r="CG91" s="129">
        <v>1.87</v>
      </c>
      <c r="CH91" s="129">
        <v>1.88</v>
      </c>
      <c r="CI91" s="129">
        <v>1.88</v>
      </c>
      <c r="CJ91" s="129">
        <v>1.88</v>
      </c>
      <c r="CK91" s="129">
        <v>1.88</v>
      </c>
      <c r="CL91" s="129">
        <v>1.88</v>
      </c>
      <c r="CM91" s="129">
        <v>1.89</v>
      </c>
      <c r="CN91" s="129">
        <v>1.9</v>
      </c>
      <c r="CO91" s="129">
        <v>1.91</v>
      </c>
      <c r="CP91" s="129">
        <v>1.92</v>
      </c>
      <c r="CQ91" s="129">
        <v>1.93</v>
      </c>
      <c r="CR91" s="129">
        <v>1.94</v>
      </c>
      <c r="CS91" s="129">
        <v>1.95</v>
      </c>
      <c r="CT91" s="129">
        <v>1.96</v>
      </c>
      <c r="CU91" s="129">
        <v>1.97</v>
      </c>
      <c r="CV91" s="129">
        <v>1.98</v>
      </c>
      <c r="CW91" s="129">
        <v>1.99</v>
      </c>
      <c r="CX91" s="129">
        <v>2</v>
      </c>
      <c r="CZ91" s="126">
        <f>SUMIF(MatrixF4[[1]:[2]],MatrixF4[[#This Row],[Столбец1]])/MatrixF4[[#This Row],[Столбец1]]</f>
        <v>168.99999999999972</v>
      </c>
    </row>
    <row r="92" spans="1:104" ht="21" customHeight="1" x14ac:dyDescent="0.25">
      <c r="A92" s="127">
        <v>1.89</v>
      </c>
      <c r="B92" s="129">
        <v>1.89</v>
      </c>
      <c r="C92" s="129">
        <v>1.89</v>
      </c>
      <c r="D92" s="129">
        <v>1.89</v>
      </c>
      <c r="E92" s="129">
        <v>1.89</v>
      </c>
      <c r="F92" s="129">
        <v>1.89</v>
      </c>
      <c r="G92" s="129">
        <v>1.89</v>
      </c>
      <c r="H92" s="129">
        <v>1.89</v>
      </c>
      <c r="I92" s="129">
        <v>1.89</v>
      </c>
      <c r="J92" s="129">
        <v>1.89</v>
      </c>
      <c r="K92" s="129">
        <v>1.89</v>
      </c>
      <c r="L92" s="129">
        <v>1.89</v>
      </c>
      <c r="M92" s="129">
        <v>1.89</v>
      </c>
      <c r="N92" s="129">
        <v>1.89</v>
      </c>
      <c r="O92" s="129">
        <v>1.89</v>
      </c>
      <c r="P92" s="129">
        <v>1.89</v>
      </c>
      <c r="Q92" s="129">
        <v>1.89</v>
      </c>
      <c r="R92" s="129">
        <v>1.88</v>
      </c>
      <c r="S92" s="129">
        <v>1.88</v>
      </c>
      <c r="T92" s="129">
        <v>1.88</v>
      </c>
      <c r="U92" s="129">
        <v>1.88</v>
      </c>
      <c r="V92" s="129">
        <v>1.88</v>
      </c>
      <c r="W92" s="129">
        <v>1.88</v>
      </c>
      <c r="X92" s="129">
        <v>1.88</v>
      </c>
      <c r="Y92" s="129">
        <v>1.88</v>
      </c>
      <c r="Z92" s="129">
        <v>1.87</v>
      </c>
      <c r="AA92" s="129">
        <v>1.87</v>
      </c>
      <c r="AB92" s="129">
        <v>1.87</v>
      </c>
      <c r="AC92" s="129">
        <v>1.87</v>
      </c>
      <c r="AD92" s="129">
        <v>1.87</v>
      </c>
      <c r="AE92" s="129">
        <v>1.87</v>
      </c>
      <c r="AF92" s="129">
        <v>1.86</v>
      </c>
      <c r="AG92" s="129">
        <v>1.86</v>
      </c>
      <c r="AH92" s="129">
        <v>1.86</v>
      </c>
      <c r="AI92" s="129">
        <v>1.86</v>
      </c>
      <c r="AJ92" s="129">
        <v>1.86</v>
      </c>
      <c r="AK92" s="129">
        <v>1.86</v>
      </c>
      <c r="AL92" s="129">
        <v>1.85</v>
      </c>
      <c r="AM92" s="129">
        <v>1.85</v>
      </c>
      <c r="AN92" s="129">
        <v>1.85</v>
      </c>
      <c r="AO92" s="129">
        <v>1.85</v>
      </c>
      <c r="AP92" s="129">
        <v>1.85</v>
      </c>
      <c r="AQ92" s="129">
        <v>1.84</v>
      </c>
      <c r="AR92" s="129">
        <v>1.84</v>
      </c>
      <c r="AS92" s="129">
        <v>1.84</v>
      </c>
      <c r="AT92" s="129">
        <v>1.84</v>
      </c>
      <c r="AU92" s="129">
        <v>1.83</v>
      </c>
      <c r="AV92" s="129">
        <v>1.83</v>
      </c>
      <c r="AW92" s="129">
        <v>1.83</v>
      </c>
      <c r="AX92" s="129">
        <v>1.83</v>
      </c>
      <c r="AY92" s="129">
        <v>1.82</v>
      </c>
      <c r="AZ92" s="129">
        <v>1.82</v>
      </c>
      <c r="BA92" s="129">
        <v>1.82</v>
      </c>
      <c r="BB92" s="129">
        <v>1.83</v>
      </c>
      <c r="BC92" s="129">
        <v>1.83</v>
      </c>
      <c r="BD92" s="129">
        <v>1.83</v>
      </c>
      <c r="BE92" s="129">
        <v>1.83</v>
      </c>
      <c r="BF92" s="129">
        <v>1.84</v>
      </c>
      <c r="BG92" s="129">
        <v>1.84</v>
      </c>
      <c r="BH92" s="129">
        <v>1.84</v>
      </c>
      <c r="BI92" s="129">
        <v>1.84</v>
      </c>
      <c r="BJ92" s="129">
        <v>1.85</v>
      </c>
      <c r="BK92" s="129">
        <v>1.85</v>
      </c>
      <c r="BL92" s="129">
        <v>1.85</v>
      </c>
      <c r="BM92" s="129">
        <v>1.85</v>
      </c>
      <c r="BN92" s="129">
        <v>1.85</v>
      </c>
      <c r="BO92" s="129">
        <v>1.86</v>
      </c>
      <c r="BP92" s="129">
        <v>1.86</v>
      </c>
      <c r="BQ92" s="129">
        <v>1.86</v>
      </c>
      <c r="BR92" s="129">
        <v>1.86</v>
      </c>
      <c r="BS92" s="129">
        <v>1.86</v>
      </c>
      <c r="BT92" s="129">
        <v>1.86</v>
      </c>
      <c r="BU92" s="129">
        <v>1.87</v>
      </c>
      <c r="BV92" s="129">
        <v>1.87</v>
      </c>
      <c r="BW92" s="129">
        <v>1.87</v>
      </c>
      <c r="BX92" s="129">
        <v>1.87</v>
      </c>
      <c r="BY92" s="129">
        <v>1.87</v>
      </c>
      <c r="BZ92" s="129">
        <v>1.87</v>
      </c>
      <c r="CA92" s="129">
        <v>1.88</v>
      </c>
      <c r="CB92" s="129">
        <v>1.88</v>
      </c>
      <c r="CC92" s="129">
        <v>1.88</v>
      </c>
      <c r="CD92" s="129">
        <v>1.88</v>
      </c>
      <c r="CE92" s="129">
        <v>1.88</v>
      </c>
      <c r="CF92" s="129">
        <v>1.88</v>
      </c>
      <c r="CG92" s="129">
        <v>1.88</v>
      </c>
      <c r="CH92" s="129">
        <v>1.88</v>
      </c>
      <c r="CI92" s="129">
        <v>1.89</v>
      </c>
      <c r="CJ92" s="129">
        <v>1.89</v>
      </c>
      <c r="CK92" s="129">
        <v>1.89</v>
      </c>
      <c r="CL92" s="129">
        <v>1.89</v>
      </c>
      <c r="CM92" s="129">
        <v>1.89</v>
      </c>
      <c r="CN92" s="129">
        <v>1.9</v>
      </c>
      <c r="CO92" s="129">
        <v>1.91</v>
      </c>
      <c r="CP92" s="129">
        <v>1.92</v>
      </c>
      <c r="CQ92" s="129">
        <v>1.93</v>
      </c>
      <c r="CR92" s="129">
        <v>1.94</v>
      </c>
      <c r="CS92" s="129">
        <v>1.95</v>
      </c>
      <c r="CT92" s="129">
        <v>1.96</v>
      </c>
      <c r="CU92" s="129">
        <v>1.97</v>
      </c>
      <c r="CV92" s="129">
        <v>1.98</v>
      </c>
      <c r="CW92" s="129">
        <v>1.99</v>
      </c>
      <c r="CX92" s="129">
        <v>2</v>
      </c>
      <c r="CZ92" s="126">
        <f>SUMIF(MatrixF4[[1]:[2]],MatrixF4[[#This Row],[Столбец1]])/MatrixF4[[#This Row],[Столбец1]]</f>
        <v>162.99999999999935</v>
      </c>
    </row>
    <row r="93" spans="1:104" ht="21" customHeight="1" x14ac:dyDescent="0.25">
      <c r="A93" s="127">
        <v>1.9</v>
      </c>
      <c r="B93" s="129">
        <v>1.9</v>
      </c>
      <c r="C93" s="129">
        <v>1.9</v>
      </c>
      <c r="D93" s="129">
        <v>1.9</v>
      </c>
      <c r="E93" s="129">
        <v>1.9</v>
      </c>
      <c r="F93" s="129">
        <v>1.9</v>
      </c>
      <c r="G93" s="129">
        <v>1.9</v>
      </c>
      <c r="H93" s="129">
        <v>1.9</v>
      </c>
      <c r="I93" s="129">
        <v>1.9</v>
      </c>
      <c r="J93" s="129">
        <v>1.9</v>
      </c>
      <c r="K93" s="129">
        <v>1.9</v>
      </c>
      <c r="L93" s="129">
        <v>1.9</v>
      </c>
      <c r="M93" s="129">
        <v>1.9</v>
      </c>
      <c r="N93" s="129">
        <v>1.9</v>
      </c>
      <c r="O93" s="129">
        <v>1.9</v>
      </c>
      <c r="P93" s="129">
        <v>1.9</v>
      </c>
      <c r="Q93" s="129">
        <v>1.89</v>
      </c>
      <c r="R93" s="129">
        <v>1.89</v>
      </c>
      <c r="S93" s="129">
        <v>1.89</v>
      </c>
      <c r="T93" s="129">
        <v>1.89</v>
      </c>
      <c r="U93" s="129">
        <v>1.89</v>
      </c>
      <c r="V93" s="129">
        <v>1.89</v>
      </c>
      <c r="W93" s="129">
        <v>1.89</v>
      </c>
      <c r="X93" s="129">
        <v>1.89</v>
      </c>
      <c r="Y93" s="129">
        <v>1.89</v>
      </c>
      <c r="Z93" s="129">
        <v>1.88</v>
      </c>
      <c r="AA93" s="129">
        <v>1.88</v>
      </c>
      <c r="AB93" s="129">
        <v>1.88</v>
      </c>
      <c r="AC93" s="129">
        <v>1.88</v>
      </c>
      <c r="AD93" s="129">
        <v>1.88</v>
      </c>
      <c r="AE93" s="129">
        <v>1.88</v>
      </c>
      <c r="AF93" s="129">
        <v>1.88</v>
      </c>
      <c r="AG93" s="129">
        <v>1.87</v>
      </c>
      <c r="AH93" s="129">
        <v>1.87</v>
      </c>
      <c r="AI93" s="129">
        <v>1.87</v>
      </c>
      <c r="AJ93" s="129">
        <v>1.87</v>
      </c>
      <c r="AK93" s="129">
        <v>1.87</v>
      </c>
      <c r="AL93" s="129">
        <v>1.86</v>
      </c>
      <c r="AM93" s="129">
        <v>1.86</v>
      </c>
      <c r="AN93" s="129">
        <v>1.86</v>
      </c>
      <c r="AO93" s="129">
        <v>1.86</v>
      </c>
      <c r="AP93" s="129">
        <v>1.86</v>
      </c>
      <c r="AQ93" s="129">
        <v>1.86</v>
      </c>
      <c r="AR93" s="129">
        <v>1.85</v>
      </c>
      <c r="AS93" s="129">
        <v>1.85</v>
      </c>
      <c r="AT93" s="129">
        <v>1.85</v>
      </c>
      <c r="AU93" s="129">
        <v>1.85</v>
      </c>
      <c r="AV93" s="129">
        <v>1.84</v>
      </c>
      <c r="AW93" s="129">
        <v>1.84</v>
      </c>
      <c r="AX93" s="129">
        <v>1.84</v>
      </c>
      <c r="AY93" s="129">
        <v>1.84</v>
      </c>
      <c r="AZ93" s="129">
        <v>1.83</v>
      </c>
      <c r="BA93" s="129">
        <v>1.84</v>
      </c>
      <c r="BB93" s="129">
        <v>1.84</v>
      </c>
      <c r="BC93" s="129">
        <v>1.84</v>
      </c>
      <c r="BD93" s="129">
        <v>1.84</v>
      </c>
      <c r="BE93" s="129">
        <v>1.85</v>
      </c>
      <c r="BF93" s="129">
        <v>1.85</v>
      </c>
      <c r="BG93" s="129">
        <v>1.85</v>
      </c>
      <c r="BH93" s="129">
        <v>1.85</v>
      </c>
      <c r="BI93" s="129">
        <v>1.86</v>
      </c>
      <c r="BJ93" s="129">
        <v>1.86</v>
      </c>
      <c r="BK93" s="129">
        <v>1.86</v>
      </c>
      <c r="BL93" s="129">
        <v>1.86</v>
      </c>
      <c r="BM93" s="129">
        <v>1.86</v>
      </c>
      <c r="BN93" s="129">
        <v>1.86</v>
      </c>
      <c r="BO93" s="129">
        <v>1.87</v>
      </c>
      <c r="BP93" s="129">
        <v>1.87</v>
      </c>
      <c r="BQ93" s="129">
        <v>1.87</v>
      </c>
      <c r="BR93" s="129">
        <v>1.87</v>
      </c>
      <c r="BS93" s="129">
        <v>1.87</v>
      </c>
      <c r="BT93" s="129">
        <v>1.88</v>
      </c>
      <c r="BU93" s="129">
        <v>1.88</v>
      </c>
      <c r="BV93" s="129">
        <v>1.88</v>
      </c>
      <c r="BW93" s="129">
        <v>1.88</v>
      </c>
      <c r="BX93" s="129">
        <v>1.88</v>
      </c>
      <c r="BY93" s="129">
        <v>1.88</v>
      </c>
      <c r="BZ93" s="129">
        <v>1.88</v>
      </c>
      <c r="CA93" s="129">
        <v>1.89</v>
      </c>
      <c r="CB93" s="129">
        <v>1.89</v>
      </c>
      <c r="CC93" s="129">
        <v>1.89</v>
      </c>
      <c r="CD93" s="129">
        <v>1.89</v>
      </c>
      <c r="CE93" s="129">
        <v>1.89</v>
      </c>
      <c r="CF93" s="129">
        <v>1.89</v>
      </c>
      <c r="CG93" s="129">
        <v>1.89</v>
      </c>
      <c r="CH93" s="129">
        <v>1.89</v>
      </c>
      <c r="CI93" s="129">
        <v>1.89</v>
      </c>
      <c r="CJ93" s="129">
        <v>1.9</v>
      </c>
      <c r="CK93" s="129">
        <v>1.9</v>
      </c>
      <c r="CL93" s="129">
        <v>1.9</v>
      </c>
      <c r="CM93" s="129">
        <v>1.9</v>
      </c>
      <c r="CN93" s="129">
        <v>1.9</v>
      </c>
      <c r="CO93" s="129">
        <v>1.91</v>
      </c>
      <c r="CP93" s="129">
        <v>1.92</v>
      </c>
      <c r="CQ93" s="129">
        <v>1.93</v>
      </c>
      <c r="CR93" s="129">
        <v>1.94</v>
      </c>
      <c r="CS93" s="129">
        <v>1.95</v>
      </c>
      <c r="CT93" s="129">
        <v>1.96</v>
      </c>
      <c r="CU93" s="129">
        <v>1.97</v>
      </c>
      <c r="CV93" s="129">
        <v>1.98</v>
      </c>
      <c r="CW93" s="129">
        <v>1.99</v>
      </c>
      <c r="CX93" s="129">
        <v>2</v>
      </c>
      <c r="CZ93" s="126">
        <f>SUMIF(MatrixF4[[1]:[2]],MatrixF4[[#This Row],[Столбец1]])/MatrixF4[[#This Row],[Столбец1]]</f>
        <v>159</v>
      </c>
    </row>
    <row r="94" spans="1:104" ht="21" customHeight="1" x14ac:dyDescent="0.25">
      <c r="A94" s="127">
        <v>1.91</v>
      </c>
      <c r="B94" s="129">
        <v>1.91</v>
      </c>
      <c r="C94" s="129">
        <v>1.91</v>
      </c>
      <c r="D94" s="129">
        <v>1.91</v>
      </c>
      <c r="E94" s="129">
        <v>1.91</v>
      </c>
      <c r="F94" s="129">
        <v>1.91</v>
      </c>
      <c r="G94" s="129">
        <v>1.91</v>
      </c>
      <c r="H94" s="129">
        <v>1.91</v>
      </c>
      <c r="I94" s="129">
        <v>1.91</v>
      </c>
      <c r="J94" s="129">
        <v>1.91</v>
      </c>
      <c r="K94" s="129">
        <v>1.91</v>
      </c>
      <c r="L94" s="129">
        <v>1.91</v>
      </c>
      <c r="M94" s="129">
        <v>1.91</v>
      </c>
      <c r="N94" s="129">
        <v>1.91</v>
      </c>
      <c r="O94" s="129">
        <v>1.91</v>
      </c>
      <c r="P94" s="129">
        <v>1.91</v>
      </c>
      <c r="Q94" s="129">
        <v>1.9</v>
      </c>
      <c r="R94" s="129">
        <v>1.9</v>
      </c>
      <c r="S94" s="129">
        <v>1.9</v>
      </c>
      <c r="T94" s="129">
        <v>1.9</v>
      </c>
      <c r="U94" s="129">
        <v>1.9</v>
      </c>
      <c r="V94" s="129">
        <v>1.9</v>
      </c>
      <c r="W94" s="129">
        <v>1.9</v>
      </c>
      <c r="X94" s="129">
        <v>1.9</v>
      </c>
      <c r="Y94" s="129">
        <v>1.9</v>
      </c>
      <c r="Z94" s="129">
        <v>1.89</v>
      </c>
      <c r="AA94" s="129">
        <v>1.89</v>
      </c>
      <c r="AB94" s="129">
        <v>1.89</v>
      </c>
      <c r="AC94" s="129">
        <v>1.89</v>
      </c>
      <c r="AD94" s="129">
        <v>1.89</v>
      </c>
      <c r="AE94" s="129">
        <v>1.89</v>
      </c>
      <c r="AF94" s="129">
        <v>1.89</v>
      </c>
      <c r="AG94" s="129">
        <v>1.88</v>
      </c>
      <c r="AH94" s="129">
        <v>1.88</v>
      </c>
      <c r="AI94" s="129">
        <v>1.88</v>
      </c>
      <c r="AJ94" s="129">
        <v>1.88</v>
      </c>
      <c r="AK94" s="129">
        <v>1.88</v>
      </c>
      <c r="AL94" s="129">
        <v>1.88</v>
      </c>
      <c r="AM94" s="129">
        <v>1.88</v>
      </c>
      <c r="AN94" s="129">
        <v>1.87</v>
      </c>
      <c r="AO94" s="129">
        <v>1.87</v>
      </c>
      <c r="AP94" s="129">
        <v>1.87</v>
      </c>
      <c r="AQ94" s="129">
        <v>1.87</v>
      </c>
      <c r="AR94" s="129">
        <v>1.87</v>
      </c>
      <c r="AS94" s="129">
        <v>1.86</v>
      </c>
      <c r="AT94" s="129">
        <v>1.86</v>
      </c>
      <c r="AU94" s="129">
        <v>1.86</v>
      </c>
      <c r="AV94" s="129">
        <v>1.86</v>
      </c>
      <c r="AW94" s="129">
        <v>1.85</v>
      </c>
      <c r="AX94" s="129">
        <v>1.85</v>
      </c>
      <c r="AY94" s="129">
        <v>1.85</v>
      </c>
      <c r="AZ94" s="129">
        <v>1.85</v>
      </c>
      <c r="BA94" s="129">
        <v>1.85</v>
      </c>
      <c r="BB94" s="129">
        <v>1.85</v>
      </c>
      <c r="BC94" s="129">
        <v>1.85</v>
      </c>
      <c r="BD94" s="129">
        <v>1.86</v>
      </c>
      <c r="BE94" s="129">
        <v>1.86</v>
      </c>
      <c r="BF94" s="129">
        <v>1.86</v>
      </c>
      <c r="BG94" s="129">
        <v>1.86</v>
      </c>
      <c r="BH94" s="129">
        <v>1.87</v>
      </c>
      <c r="BI94" s="129">
        <v>1.87</v>
      </c>
      <c r="BJ94" s="129">
        <v>1.87</v>
      </c>
      <c r="BK94" s="129">
        <v>1.87</v>
      </c>
      <c r="BL94" s="129">
        <v>1.87</v>
      </c>
      <c r="BM94" s="129">
        <v>1.88</v>
      </c>
      <c r="BN94" s="129">
        <v>1.88</v>
      </c>
      <c r="BO94" s="129">
        <v>1.88</v>
      </c>
      <c r="BP94" s="129">
        <v>1.88</v>
      </c>
      <c r="BQ94" s="129">
        <v>1.88</v>
      </c>
      <c r="BR94" s="129">
        <v>1.88</v>
      </c>
      <c r="BS94" s="129">
        <v>1.88</v>
      </c>
      <c r="BT94" s="129">
        <v>1.89</v>
      </c>
      <c r="BU94" s="129">
        <v>1.89</v>
      </c>
      <c r="BV94" s="129">
        <v>1.89</v>
      </c>
      <c r="BW94" s="129">
        <v>1.89</v>
      </c>
      <c r="BX94" s="129">
        <v>1.89</v>
      </c>
      <c r="BY94" s="129">
        <v>1.89</v>
      </c>
      <c r="BZ94" s="129">
        <v>1.89</v>
      </c>
      <c r="CA94" s="129">
        <v>1.9</v>
      </c>
      <c r="CB94" s="129">
        <v>1.9</v>
      </c>
      <c r="CC94" s="129">
        <v>1.9</v>
      </c>
      <c r="CD94" s="129">
        <v>1.9</v>
      </c>
      <c r="CE94" s="129">
        <v>1.9</v>
      </c>
      <c r="CF94" s="129">
        <v>1.9</v>
      </c>
      <c r="CG94" s="129">
        <v>1.9</v>
      </c>
      <c r="CH94" s="129">
        <v>1.9</v>
      </c>
      <c r="CI94" s="129">
        <v>1.9</v>
      </c>
      <c r="CJ94" s="129">
        <v>1.91</v>
      </c>
      <c r="CK94" s="129">
        <v>1.91</v>
      </c>
      <c r="CL94" s="129">
        <v>1.91</v>
      </c>
      <c r="CM94" s="129">
        <v>1.91</v>
      </c>
      <c r="CN94" s="129">
        <v>1.91</v>
      </c>
      <c r="CO94" s="129">
        <v>1.91</v>
      </c>
      <c r="CP94" s="129">
        <v>1.92</v>
      </c>
      <c r="CQ94" s="129">
        <v>1.93</v>
      </c>
      <c r="CR94" s="129">
        <v>1.94</v>
      </c>
      <c r="CS94" s="129">
        <v>1.95</v>
      </c>
      <c r="CT94" s="129">
        <v>1.96</v>
      </c>
      <c r="CU94" s="129">
        <v>1.97</v>
      </c>
      <c r="CV94" s="129">
        <v>1.98</v>
      </c>
      <c r="CW94" s="129">
        <v>1.99</v>
      </c>
      <c r="CX94" s="129">
        <v>2</v>
      </c>
      <c r="CZ94" s="126">
        <f>SUMIF(MatrixF4[[1]:[2]],MatrixF4[[#This Row],[Столбец1]])/MatrixF4[[#This Row],[Столбец1]]</f>
        <v>159.00000000000011</v>
      </c>
    </row>
    <row r="95" spans="1:104" ht="21" customHeight="1" x14ac:dyDescent="0.25">
      <c r="A95" s="127">
        <v>1.92</v>
      </c>
      <c r="B95" s="129">
        <v>1.92</v>
      </c>
      <c r="C95" s="129">
        <v>1.92</v>
      </c>
      <c r="D95" s="129">
        <v>1.92</v>
      </c>
      <c r="E95" s="129">
        <v>1.92</v>
      </c>
      <c r="F95" s="129">
        <v>1.92</v>
      </c>
      <c r="G95" s="129">
        <v>1.92</v>
      </c>
      <c r="H95" s="129">
        <v>1.92</v>
      </c>
      <c r="I95" s="129">
        <v>1.92</v>
      </c>
      <c r="J95" s="129">
        <v>1.92</v>
      </c>
      <c r="K95" s="129">
        <v>1.92</v>
      </c>
      <c r="L95" s="129">
        <v>1.92</v>
      </c>
      <c r="M95" s="129">
        <v>1.92</v>
      </c>
      <c r="N95" s="129">
        <v>1.92</v>
      </c>
      <c r="O95" s="129">
        <v>1.92</v>
      </c>
      <c r="P95" s="129">
        <v>1.91</v>
      </c>
      <c r="Q95" s="129">
        <v>1.91</v>
      </c>
      <c r="R95" s="129">
        <v>1.91</v>
      </c>
      <c r="S95" s="129">
        <v>1.91</v>
      </c>
      <c r="T95" s="129">
        <v>1.91</v>
      </c>
      <c r="U95" s="129">
        <v>1.91</v>
      </c>
      <c r="V95" s="129">
        <v>1.91</v>
      </c>
      <c r="W95" s="129">
        <v>1.91</v>
      </c>
      <c r="X95" s="129">
        <v>1.91</v>
      </c>
      <c r="Y95" s="129">
        <v>1.91</v>
      </c>
      <c r="Z95" s="129">
        <v>1.9</v>
      </c>
      <c r="AA95" s="129">
        <v>1.9</v>
      </c>
      <c r="AB95" s="129">
        <v>1.9</v>
      </c>
      <c r="AC95" s="129">
        <v>1.9</v>
      </c>
      <c r="AD95" s="129">
        <v>1.9</v>
      </c>
      <c r="AE95" s="129">
        <v>1.9</v>
      </c>
      <c r="AF95" s="129">
        <v>1.9</v>
      </c>
      <c r="AG95" s="129">
        <v>1.9</v>
      </c>
      <c r="AH95" s="129">
        <v>1.89</v>
      </c>
      <c r="AI95" s="129">
        <v>1.89</v>
      </c>
      <c r="AJ95" s="129">
        <v>1.89</v>
      </c>
      <c r="AK95" s="129">
        <v>1.89</v>
      </c>
      <c r="AL95" s="129">
        <v>1.89</v>
      </c>
      <c r="AM95" s="129">
        <v>1.89</v>
      </c>
      <c r="AN95" s="129">
        <v>1.89</v>
      </c>
      <c r="AO95" s="129">
        <v>1.88</v>
      </c>
      <c r="AP95" s="129">
        <v>1.88</v>
      </c>
      <c r="AQ95" s="129">
        <v>1.88</v>
      </c>
      <c r="AR95" s="129">
        <v>1.88</v>
      </c>
      <c r="AS95" s="129">
        <v>1.88</v>
      </c>
      <c r="AT95" s="129">
        <v>1.88</v>
      </c>
      <c r="AU95" s="129">
        <v>1.87</v>
      </c>
      <c r="AV95" s="129">
        <v>1.87</v>
      </c>
      <c r="AW95" s="129">
        <v>1.87</v>
      </c>
      <c r="AX95" s="129">
        <v>1.87</v>
      </c>
      <c r="AY95" s="129">
        <v>1.86</v>
      </c>
      <c r="AZ95" s="129">
        <v>1.86</v>
      </c>
      <c r="BA95" s="129">
        <v>1.86</v>
      </c>
      <c r="BB95" s="129">
        <v>1.87</v>
      </c>
      <c r="BC95" s="129">
        <v>1.87</v>
      </c>
      <c r="BD95" s="129">
        <v>1.87</v>
      </c>
      <c r="BE95" s="129">
        <v>1.87</v>
      </c>
      <c r="BF95" s="129">
        <v>1.88</v>
      </c>
      <c r="BG95" s="129">
        <v>1.88</v>
      </c>
      <c r="BH95" s="129">
        <v>1.88</v>
      </c>
      <c r="BI95" s="129">
        <v>1.88</v>
      </c>
      <c r="BJ95" s="129">
        <v>1.88</v>
      </c>
      <c r="BK95" s="129">
        <v>1.88</v>
      </c>
      <c r="BL95" s="129">
        <v>1.89</v>
      </c>
      <c r="BM95" s="129">
        <v>1.89</v>
      </c>
      <c r="BN95" s="129">
        <v>1.89</v>
      </c>
      <c r="BO95" s="129">
        <v>1.89</v>
      </c>
      <c r="BP95" s="129">
        <v>1.89</v>
      </c>
      <c r="BQ95" s="129">
        <v>1.89</v>
      </c>
      <c r="BR95" s="129">
        <v>1.89</v>
      </c>
      <c r="BS95" s="129">
        <v>1.9</v>
      </c>
      <c r="BT95" s="129">
        <v>1.9</v>
      </c>
      <c r="BU95" s="129">
        <v>1.9</v>
      </c>
      <c r="BV95" s="129">
        <v>1.9</v>
      </c>
      <c r="BW95" s="129">
        <v>1.9</v>
      </c>
      <c r="BX95" s="129">
        <v>1.9</v>
      </c>
      <c r="BY95" s="129">
        <v>1.9</v>
      </c>
      <c r="BZ95" s="129">
        <v>1.9</v>
      </c>
      <c r="CA95" s="129">
        <v>1.91</v>
      </c>
      <c r="CB95" s="129">
        <v>1.91</v>
      </c>
      <c r="CC95" s="129">
        <v>1.91</v>
      </c>
      <c r="CD95" s="129">
        <v>1.91</v>
      </c>
      <c r="CE95" s="129">
        <v>1.91</v>
      </c>
      <c r="CF95" s="129">
        <v>1.91</v>
      </c>
      <c r="CG95" s="129">
        <v>1.91</v>
      </c>
      <c r="CH95" s="129">
        <v>1.91</v>
      </c>
      <c r="CI95" s="129">
        <v>1.91</v>
      </c>
      <c r="CJ95" s="129">
        <v>1.91</v>
      </c>
      <c r="CK95" s="129">
        <v>1.92</v>
      </c>
      <c r="CL95" s="129">
        <v>1.92</v>
      </c>
      <c r="CM95" s="129">
        <v>1.92</v>
      </c>
      <c r="CN95" s="129">
        <v>1.92</v>
      </c>
      <c r="CO95" s="129">
        <v>1.92</v>
      </c>
      <c r="CP95" s="129">
        <v>1.92</v>
      </c>
      <c r="CQ95" s="129">
        <v>1.93</v>
      </c>
      <c r="CR95" s="129">
        <v>1.94</v>
      </c>
      <c r="CS95" s="129">
        <v>1.95</v>
      </c>
      <c r="CT95" s="129">
        <v>1.96</v>
      </c>
      <c r="CU95" s="129">
        <v>1.97</v>
      </c>
      <c r="CV95" s="129">
        <v>1.98</v>
      </c>
      <c r="CW95" s="129">
        <v>1.99</v>
      </c>
      <c r="CX95" s="129">
        <v>2</v>
      </c>
      <c r="CZ95" s="126">
        <f>SUMIF(MatrixF4[[1]:[2]],MatrixF4[[#This Row],[Столбец1]])/MatrixF4[[#This Row],[Столбец1]]</f>
        <v>154.9999999999998</v>
      </c>
    </row>
    <row r="96" spans="1:104" ht="21" customHeight="1" x14ac:dyDescent="0.25">
      <c r="A96" s="127">
        <v>1.93</v>
      </c>
      <c r="B96" s="129">
        <v>1.93</v>
      </c>
      <c r="C96" s="129">
        <v>1.93</v>
      </c>
      <c r="D96" s="129">
        <v>1.93</v>
      </c>
      <c r="E96" s="129">
        <v>1.93</v>
      </c>
      <c r="F96" s="129">
        <v>1.93</v>
      </c>
      <c r="G96" s="129">
        <v>1.93</v>
      </c>
      <c r="H96" s="129">
        <v>1.93</v>
      </c>
      <c r="I96" s="129">
        <v>1.93</v>
      </c>
      <c r="J96" s="129">
        <v>1.93</v>
      </c>
      <c r="K96" s="129">
        <v>1.93</v>
      </c>
      <c r="L96" s="129">
        <v>1.93</v>
      </c>
      <c r="M96" s="129">
        <v>1.93</v>
      </c>
      <c r="N96" s="129">
        <v>1.93</v>
      </c>
      <c r="O96" s="129">
        <v>1.93</v>
      </c>
      <c r="P96" s="129">
        <v>1.92</v>
      </c>
      <c r="Q96" s="129">
        <v>1.92</v>
      </c>
      <c r="R96" s="129">
        <v>1.92</v>
      </c>
      <c r="S96" s="129">
        <v>1.92</v>
      </c>
      <c r="T96" s="129">
        <v>1.92</v>
      </c>
      <c r="U96" s="129">
        <v>1.92</v>
      </c>
      <c r="V96" s="129">
        <v>1.92</v>
      </c>
      <c r="W96" s="129">
        <v>1.92</v>
      </c>
      <c r="X96" s="129">
        <v>1.92</v>
      </c>
      <c r="Y96" s="129">
        <v>1.92</v>
      </c>
      <c r="Z96" s="129">
        <v>1.92</v>
      </c>
      <c r="AA96" s="129">
        <v>1.91</v>
      </c>
      <c r="AB96" s="129">
        <v>1.91</v>
      </c>
      <c r="AC96" s="129">
        <v>1.91</v>
      </c>
      <c r="AD96" s="129">
        <v>1.91</v>
      </c>
      <c r="AE96" s="129">
        <v>1.91</v>
      </c>
      <c r="AF96" s="129">
        <v>1.91</v>
      </c>
      <c r="AG96" s="129">
        <v>1.91</v>
      </c>
      <c r="AH96" s="129">
        <v>1.91</v>
      </c>
      <c r="AI96" s="129">
        <v>1.91</v>
      </c>
      <c r="AJ96" s="129">
        <v>1.9</v>
      </c>
      <c r="AK96" s="129">
        <v>1.9</v>
      </c>
      <c r="AL96" s="129">
        <v>1.9</v>
      </c>
      <c r="AM96" s="129">
        <v>1.9</v>
      </c>
      <c r="AN96" s="129">
        <v>1.9</v>
      </c>
      <c r="AO96" s="129">
        <v>1.9</v>
      </c>
      <c r="AP96" s="129">
        <v>1.9</v>
      </c>
      <c r="AQ96" s="129">
        <v>1.89</v>
      </c>
      <c r="AR96" s="129">
        <v>1.89</v>
      </c>
      <c r="AS96" s="129">
        <v>1.89</v>
      </c>
      <c r="AT96" s="129">
        <v>1.89</v>
      </c>
      <c r="AU96" s="129">
        <v>1.89</v>
      </c>
      <c r="AV96" s="129">
        <v>1.89</v>
      </c>
      <c r="AW96" s="129">
        <v>1.88</v>
      </c>
      <c r="AX96" s="129">
        <v>1.88</v>
      </c>
      <c r="AY96" s="129">
        <v>1.88</v>
      </c>
      <c r="AZ96" s="129">
        <v>1.88</v>
      </c>
      <c r="BA96" s="129">
        <v>1.88</v>
      </c>
      <c r="BB96" s="129">
        <v>1.88</v>
      </c>
      <c r="BC96" s="129">
        <v>1.88</v>
      </c>
      <c r="BD96" s="129">
        <v>1.89</v>
      </c>
      <c r="BE96" s="129">
        <v>1.89</v>
      </c>
      <c r="BF96" s="129">
        <v>1.89</v>
      </c>
      <c r="BG96" s="129">
        <v>1.89</v>
      </c>
      <c r="BH96" s="129">
        <v>1.89</v>
      </c>
      <c r="BI96" s="129">
        <v>1.89</v>
      </c>
      <c r="BJ96" s="129">
        <v>1.9</v>
      </c>
      <c r="BK96" s="129">
        <v>1.9</v>
      </c>
      <c r="BL96" s="129">
        <v>1.9</v>
      </c>
      <c r="BM96" s="129">
        <v>1.9</v>
      </c>
      <c r="BN96" s="129">
        <v>1.9</v>
      </c>
      <c r="BO96" s="129">
        <v>1.9</v>
      </c>
      <c r="BP96" s="129">
        <v>1.9</v>
      </c>
      <c r="BQ96" s="129">
        <v>1.91</v>
      </c>
      <c r="BR96" s="129">
        <v>1.91</v>
      </c>
      <c r="BS96" s="129">
        <v>1.91</v>
      </c>
      <c r="BT96" s="129">
        <v>1.91</v>
      </c>
      <c r="BU96" s="129">
        <v>1.91</v>
      </c>
      <c r="BV96" s="129">
        <v>1.91</v>
      </c>
      <c r="BW96" s="129">
        <v>1.91</v>
      </c>
      <c r="BX96" s="129">
        <v>1.91</v>
      </c>
      <c r="BY96" s="129">
        <v>1.91</v>
      </c>
      <c r="BZ96" s="129">
        <v>1.92</v>
      </c>
      <c r="CA96" s="129">
        <v>1.92</v>
      </c>
      <c r="CB96" s="129">
        <v>1.92</v>
      </c>
      <c r="CC96" s="129">
        <v>1.92</v>
      </c>
      <c r="CD96" s="129">
        <v>1.92</v>
      </c>
      <c r="CE96" s="129">
        <v>1.92</v>
      </c>
      <c r="CF96" s="129">
        <v>1.92</v>
      </c>
      <c r="CG96" s="129">
        <v>1.92</v>
      </c>
      <c r="CH96" s="129">
        <v>1.92</v>
      </c>
      <c r="CI96" s="129">
        <v>1.92</v>
      </c>
      <c r="CJ96" s="129">
        <v>1.92</v>
      </c>
      <c r="CK96" s="129">
        <v>1.93</v>
      </c>
      <c r="CL96" s="129">
        <v>1.93</v>
      </c>
      <c r="CM96" s="129">
        <v>1.93</v>
      </c>
      <c r="CN96" s="129">
        <v>1.93</v>
      </c>
      <c r="CO96" s="129">
        <v>1.93</v>
      </c>
      <c r="CP96" s="129">
        <v>1.93</v>
      </c>
      <c r="CQ96" s="129">
        <v>1.93</v>
      </c>
      <c r="CR96" s="129">
        <v>1.94</v>
      </c>
      <c r="CS96" s="129">
        <v>1.95</v>
      </c>
      <c r="CT96" s="129">
        <v>1.96</v>
      </c>
      <c r="CU96" s="129">
        <v>1.97</v>
      </c>
      <c r="CV96" s="129">
        <v>1.98</v>
      </c>
      <c r="CW96" s="129">
        <v>1.99</v>
      </c>
      <c r="CX96" s="129">
        <v>2</v>
      </c>
      <c r="CZ96" s="126">
        <f>SUMIF(MatrixF4[[1]:[2]],MatrixF4[[#This Row],[Столбец1]])/MatrixF4[[#This Row],[Столбец1]]</f>
        <v>159.00000000000045</v>
      </c>
    </row>
    <row r="97" spans="1:104" ht="21" customHeight="1" x14ac:dyDescent="0.25">
      <c r="A97" s="127">
        <v>1.94</v>
      </c>
      <c r="B97" s="129">
        <v>1.94</v>
      </c>
      <c r="C97" s="129">
        <v>1.94</v>
      </c>
      <c r="D97" s="129">
        <v>1.94</v>
      </c>
      <c r="E97" s="129">
        <v>1.94</v>
      </c>
      <c r="F97" s="129">
        <v>1.94</v>
      </c>
      <c r="G97" s="129">
        <v>1.94</v>
      </c>
      <c r="H97" s="129">
        <v>1.94</v>
      </c>
      <c r="I97" s="129">
        <v>1.94</v>
      </c>
      <c r="J97" s="129">
        <v>1.94</v>
      </c>
      <c r="K97" s="129">
        <v>1.94</v>
      </c>
      <c r="L97" s="129">
        <v>1.94</v>
      </c>
      <c r="M97" s="129">
        <v>1.94</v>
      </c>
      <c r="N97" s="129">
        <v>1.94</v>
      </c>
      <c r="O97" s="129">
        <v>1.94</v>
      </c>
      <c r="P97" s="129">
        <v>1.93</v>
      </c>
      <c r="Q97" s="129">
        <v>1.93</v>
      </c>
      <c r="R97" s="129">
        <v>1.93</v>
      </c>
      <c r="S97" s="129">
        <v>1.93</v>
      </c>
      <c r="T97" s="129">
        <v>1.93</v>
      </c>
      <c r="U97" s="129">
        <v>1.93</v>
      </c>
      <c r="V97" s="129">
        <v>1.93</v>
      </c>
      <c r="W97" s="129">
        <v>1.93</v>
      </c>
      <c r="X97" s="129">
        <v>1.93</v>
      </c>
      <c r="Y97" s="129">
        <v>1.93</v>
      </c>
      <c r="Z97" s="129">
        <v>1.93</v>
      </c>
      <c r="AA97" s="129">
        <v>1.93</v>
      </c>
      <c r="AB97" s="129">
        <v>1.92</v>
      </c>
      <c r="AC97" s="129">
        <v>1.92</v>
      </c>
      <c r="AD97" s="129">
        <v>1.92</v>
      </c>
      <c r="AE97" s="129">
        <v>1.92</v>
      </c>
      <c r="AF97" s="129">
        <v>1.92</v>
      </c>
      <c r="AG97" s="129">
        <v>1.92</v>
      </c>
      <c r="AH97" s="129">
        <v>1.92</v>
      </c>
      <c r="AI97" s="129">
        <v>1.92</v>
      </c>
      <c r="AJ97" s="129">
        <v>1.92</v>
      </c>
      <c r="AK97" s="129">
        <v>1.92</v>
      </c>
      <c r="AL97" s="129">
        <v>1.91</v>
      </c>
      <c r="AM97" s="129">
        <v>1.91</v>
      </c>
      <c r="AN97" s="129">
        <v>1.91</v>
      </c>
      <c r="AO97" s="129">
        <v>1.91</v>
      </c>
      <c r="AP97" s="129">
        <v>1.91</v>
      </c>
      <c r="AQ97" s="129">
        <v>1.91</v>
      </c>
      <c r="AR97" s="129">
        <v>1.91</v>
      </c>
      <c r="AS97" s="129">
        <v>1.9</v>
      </c>
      <c r="AT97" s="129">
        <v>1.9</v>
      </c>
      <c r="AU97" s="129">
        <v>1.9</v>
      </c>
      <c r="AV97" s="129">
        <v>1.9</v>
      </c>
      <c r="AW97" s="129">
        <v>1.9</v>
      </c>
      <c r="AX97" s="129">
        <v>1.9</v>
      </c>
      <c r="AY97" s="129">
        <v>1.89</v>
      </c>
      <c r="AZ97" s="129">
        <v>1.89</v>
      </c>
      <c r="BA97" s="129">
        <v>1.89</v>
      </c>
      <c r="BB97" s="129">
        <v>1.9</v>
      </c>
      <c r="BC97" s="129">
        <v>1.9</v>
      </c>
      <c r="BD97" s="129">
        <v>1.9</v>
      </c>
      <c r="BE97" s="129">
        <v>1.9</v>
      </c>
      <c r="BF97" s="129">
        <v>1.9</v>
      </c>
      <c r="BG97" s="129">
        <v>1.9</v>
      </c>
      <c r="BH97" s="129">
        <v>1.91</v>
      </c>
      <c r="BI97" s="129">
        <v>1.91</v>
      </c>
      <c r="BJ97" s="129">
        <v>1.91</v>
      </c>
      <c r="BK97" s="129">
        <v>1.91</v>
      </c>
      <c r="BL97" s="129">
        <v>1.91</v>
      </c>
      <c r="BM97" s="129">
        <v>1.91</v>
      </c>
      <c r="BN97" s="129">
        <v>1.91</v>
      </c>
      <c r="BO97" s="129">
        <v>1.92</v>
      </c>
      <c r="BP97" s="129">
        <v>1.92</v>
      </c>
      <c r="BQ97" s="129">
        <v>1.92</v>
      </c>
      <c r="BR97" s="129">
        <v>1.92</v>
      </c>
      <c r="BS97" s="129">
        <v>1.92</v>
      </c>
      <c r="BT97" s="129">
        <v>1.92</v>
      </c>
      <c r="BU97" s="129">
        <v>1.92</v>
      </c>
      <c r="BV97" s="129">
        <v>1.92</v>
      </c>
      <c r="BW97" s="129">
        <v>1.92</v>
      </c>
      <c r="BX97" s="129">
        <v>1.92</v>
      </c>
      <c r="BY97" s="129">
        <v>1.93</v>
      </c>
      <c r="BZ97" s="129">
        <v>1.93</v>
      </c>
      <c r="CA97" s="129">
        <v>1.93</v>
      </c>
      <c r="CB97" s="129">
        <v>1.93</v>
      </c>
      <c r="CC97" s="129">
        <v>1.93</v>
      </c>
      <c r="CD97" s="129">
        <v>1.93</v>
      </c>
      <c r="CE97" s="129">
        <v>1.93</v>
      </c>
      <c r="CF97" s="129">
        <v>1.93</v>
      </c>
      <c r="CG97" s="129">
        <v>1.93</v>
      </c>
      <c r="CH97" s="129">
        <v>1.93</v>
      </c>
      <c r="CI97" s="129">
        <v>1.93</v>
      </c>
      <c r="CJ97" s="129">
        <v>1.93</v>
      </c>
      <c r="CK97" s="129">
        <v>1.94</v>
      </c>
      <c r="CL97" s="129">
        <v>1.94</v>
      </c>
      <c r="CM97" s="129">
        <v>1.94</v>
      </c>
      <c r="CN97" s="129">
        <v>1.94</v>
      </c>
      <c r="CO97" s="129">
        <v>1.94</v>
      </c>
      <c r="CP97" s="129">
        <v>1.94</v>
      </c>
      <c r="CQ97" s="129">
        <v>1.94</v>
      </c>
      <c r="CR97" s="129">
        <v>1.94</v>
      </c>
      <c r="CS97" s="129">
        <v>1.95</v>
      </c>
      <c r="CT97" s="129">
        <v>1.96</v>
      </c>
      <c r="CU97" s="129">
        <v>1.97</v>
      </c>
      <c r="CV97" s="129">
        <v>1.98</v>
      </c>
      <c r="CW97" s="129">
        <v>1.99</v>
      </c>
      <c r="CX97" s="129">
        <v>2</v>
      </c>
      <c r="CZ97" s="126">
        <f>SUMIF(MatrixF4[[1]:[2]],MatrixF4[[#This Row],[Столбец1]])/MatrixF4[[#This Row],[Столбец1]]</f>
        <v>148.99999999999986</v>
      </c>
    </row>
    <row r="98" spans="1:104" ht="21" customHeight="1" x14ac:dyDescent="0.25">
      <c r="A98" s="127">
        <v>1.95</v>
      </c>
      <c r="B98" s="129">
        <v>1.95</v>
      </c>
      <c r="C98" s="129">
        <v>1.95</v>
      </c>
      <c r="D98" s="129">
        <v>1.95</v>
      </c>
      <c r="E98" s="129">
        <v>1.95</v>
      </c>
      <c r="F98" s="129">
        <v>1.95</v>
      </c>
      <c r="G98" s="129">
        <v>1.95</v>
      </c>
      <c r="H98" s="129">
        <v>1.95</v>
      </c>
      <c r="I98" s="129">
        <v>1.95</v>
      </c>
      <c r="J98" s="129">
        <v>1.95</v>
      </c>
      <c r="K98" s="129">
        <v>1.95</v>
      </c>
      <c r="L98" s="129">
        <v>1.95</v>
      </c>
      <c r="M98" s="129">
        <v>1.95</v>
      </c>
      <c r="N98" s="129">
        <v>1.95</v>
      </c>
      <c r="O98" s="129">
        <v>1.95</v>
      </c>
      <c r="P98" s="129">
        <v>1.95</v>
      </c>
      <c r="Q98" s="129">
        <v>1.94</v>
      </c>
      <c r="R98" s="129">
        <v>1.94</v>
      </c>
      <c r="S98" s="129">
        <v>1.94</v>
      </c>
      <c r="T98" s="129">
        <v>1.94</v>
      </c>
      <c r="U98" s="129">
        <v>1.94</v>
      </c>
      <c r="V98" s="129">
        <v>1.94</v>
      </c>
      <c r="W98" s="129">
        <v>1.94</v>
      </c>
      <c r="X98" s="129">
        <v>1.94</v>
      </c>
      <c r="Y98" s="129">
        <v>1.94</v>
      </c>
      <c r="Z98" s="129">
        <v>1.94</v>
      </c>
      <c r="AA98" s="129">
        <v>1.94</v>
      </c>
      <c r="AB98" s="129">
        <v>1.94</v>
      </c>
      <c r="AC98" s="129">
        <v>1.94</v>
      </c>
      <c r="AD98" s="129">
        <v>1.94</v>
      </c>
      <c r="AE98" s="129">
        <v>1.93</v>
      </c>
      <c r="AF98" s="129">
        <v>1.93</v>
      </c>
      <c r="AG98" s="129">
        <v>1.93</v>
      </c>
      <c r="AH98" s="129">
        <v>1.93</v>
      </c>
      <c r="AI98" s="129">
        <v>1.93</v>
      </c>
      <c r="AJ98" s="129">
        <v>1.93</v>
      </c>
      <c r="AK98" s="129">
        <v>1.93</v>
      </c>
      <c r="AL98" s="129">
        <v>1.93</v>
      </c>
      <c r="AM98" s="129">
        <v>1.93</v>
      </c>
      <c r="AN98" s="129">
        <v>1.93</v>
      </c>
      <c r="AO98" s="129">
        <v>1.92</v>
      </c>
      <c r="AP98" s="129">
        <v>1.92</v>
      </c>
      <c r="AQ98" s="129">
        <v>1.92</v>
      </c>
      <c r="AR98" s="129">
        <v>1.92</v>
      </c>
      <c r="AS98" s="129">
        <v>1.92</v>
      </c>
      <c r="AT98" s="129">
        <v>1.92</v>
      </c>
      <c r="AU98" s="129">
        <v>1.92</v>
      </c>
      <c r="AV98" s="129">
        <v>1.92</v>
      </c>
      <c r="AW98" s="129">
        <v>1.91</v>
      </c>
      <c r="AX98" s="129">
        <v>1.91</v>
      </c>
      <c r="AY98" s="129">
        <v>1.91</v>
      </c>
      <c r="AZ98" s="129">
        <v>1.91</v>
      </c>
      <c r="BA98" s="129">
        <v>1.91</v>
      </c>
      <c r="BB98" s="129">
        <v>1.91</v>
      </c>
      <c r="BC98" s="129">
        <v>1.91</v>
      </c>
      <c r="BD98" s="129">
        <v>1.92</v>
      </c>
      <c r="BE98" s="129">
        <v>1.92</v>
      </c>
      <c r="BF98" s="129">
        <v>1.92</v>
      </c>
      <c r="BG98" s="129">
        <v>1.92</v>
      </c>
      <c r="BH98" s="129">
        <v>1.92</v>
      </c>
      <c r="BI98" s="129">
        <v>1.92</v>
      </c>
      <c r="BJ98" s="129">
        <v>1.92</v>
      </c>
      <c r="BK98" s="129">
        <v>1.92</v>
      </c>
      <c r="BL98" s="129">
        <v>1.93</v>
      </c>
      <c r="BM98" s="129">
        <v>1.93</v>
      </c>
      <c r="BN98" s="129">
        <v>1.93</v>
      </c>
      <c r="BO98" s="129">
        <v>1.93</v>
      </c>
      <c r="BP98" s="129">
        <v>1.93</v>
      </c>
      <c r="BQ98" s="129">
        <v>1.93</v>
      </c>
      <c r="BR98" s="129">
        <v>1.93</v>
      </c>
      <c r="BS98" s="129">
        <v>1.93</v>
      </c>
      <c r="BT98" s="129">
        <v>1.93</v>
      </c>
      <c r="BU98" s="129">
        <v>1.93</v>
      </c>
      <c r="BV98" s="129">
        <v>1.94</v>
      </c>
      <c r="BW98" s="129">
        <v>1.94</v>
      </c>
      <c r="BX98" s="129">
        <v>1.94</v>
      </c>
      <c r="BY98" s="129">
        <v>1.94</v>
      </c>
      <c r="BZ98" s="129">
        <v>1.94</v>
      </c>
      <c r="CA98" s="129">
        <v>1.94</v>
      </c>
      <c r="CB98" s="129">
        <v>1.94</v>
      </c>
      <c r="CC98" s="129">
        <v>1.94</v>
      </c>
      <c r="CD98" s="129">
        <v>1.94</v>
      </c>
      <c r="CE98" s="129">
        <v>1.94</v>
      </c>
      <c r="CF98" s="129">
        <v>1.94</v>
      </c>
      <c r="CG98" s="129">
        <v>1.94</v>
      </c>
      <c r="CH98" s="129">
        <v>1.94</v>
      </c>
      <c r="CI98" s="129">
        <v>1.94</v>
      </c>
      <c r="CJ98" s="129">
        <v>1.95</v>
      </c>
      <c r="CK98" s="129">
        <v>1.95</v>
      </c>
      <c r="CL98" s="129">
        <v>1.95</v>
      </c>
      <c r="CM98" s="129">
        <v>1.95</v>
      </c>
      <c r="CN98" s="129">
        <v>1.95</v>
      </c>
      <c r="CO98" s="129">
        <v>1.95</v>
      </c>
      <c r="CP98" s="129">
        <v>1.95</v>
      </c>
      <c r="CQ98" s="129">
        <v>1.95</v>
      </c>
      <c r="CR98" s="129">
        <v>1.95</v>
      </c>
      <c r="CS98" s="129">
        <v>1.95</v>
      </c>
      <c r="CT98" s="129">
        <v>1.96</v>
      </c>
      <c r="CU98" s="129">
        <v>1.97</v>
      </c>
      <c r="CV98" s="129">
        <v>1.98</v>
      </c>
      <c r="CW98" s="129">
        <v>1.99</v>
      </c>
      <c r="CX98" s="129">
        <v>2</v>
      </c>
      <c r="CZ98" s="126">
        <f>SUMIF(MatrixF4[[1]:[2]],MatrixF4[[#This Row],[Столбец1]])/MatrixF4[[#This Row],[Столбец1]]</f>
        <v>160.99999999999955</v>
      </c>
    </row>
    <row r="99" spans="1:104" ht="21" customHeight="1" x14ac:dyDescent="0.25">
      <c r="A99" s="127">
        <v>1.96</v>
      </c>
      <c r="B99" s="129">
        <v>1.96</v>
      </c>
      <c r="C99" s="129">
        <v>1.96</v>
      </c>
      <c r="D99" s="129">
        <v>1.96</v>
      </c>
      <c r="E99" s="129">
        <v>1.96</v>
      </c>
      <c r="F99" s="129">
        <v>1.96</v>
      </c>
      <c r="G99" s="129">
        <v>1.96</v>
      </c>
      <c r="H99" s="129">
        <v>1.96</v>
      </c>
      <c r="I99" s="129">
        <v>1.96</v>
      </c>
      <c r="J99" s="129">
        <v>1.96</v>
      </c>
      <c r="K99" s="129">
        <v>1.96</v>
      </c>
      <c r="L99" s="129">
        <v>1.96</v>
      </c>
      <c r="M99" s="129">
        <v>1.96</v>
      </c>
      <c r="N99" s="129">
        <v>1.96</v>
      </c>
      <c r="O99" s="129">
        <v>1.96</v>
      </c>
      <c r="P99" s="129">
        <v>1.96</v>
      </c>
      <c r="Q99" s="129">
        <v>1.96</v>
      </c>
      <c r="R99" s="129">
        <v>1.95</v>
      </c>
      <c r="S99" s="129">
        <v>1.95</v>
      </c>
      <c r="T99" s="129">
        <v>1.95</v>
      </c>
      <c r="U99" s="129">
        <v>1.95</v>
      </c>
      <c r="V99" s="129">
        <v>1.95</v>
      </c>
      <c r="W99" s="129">
        <v>1.95</v>
      </c>
      <c r="X99" s="129">
        <v>1.95</v>
      </c>
      <c r="Y99" s="129">
        <v>1.95</v>
      </c>
      <c r="Z99" s="129">
        <v>1.95</v>
      </c>
      <c r="AA99" s="129">
        <v>1.95</v>
      </c>
      <c r="AB99" s="129">
        <v>1.95</v>
      </c>
      <c r="AC99" s="129">
        <v>1.95</v>
      </c>
      <c r="AD99" s="129">
        <v>1.95</v>
      </c>
      <c r="AE99" s="129">
        <v>1.95</v>
      </c>
      <c r="AF99" s="129">
        <v>1.95</v>
      </c>
      <c r="AG99" s="129">
        <v>1.95</v>
      </c>
      <c r="AH99" s="129">
        <v>1.94</v>
      </c>
      <c r="AI99" s="129">
        <v>1.94</v>
      </c>
      <c r="AJ99" s="129">
        <v>1.94</v>
      </c>
      <c r="AK99" s="129">
        <v>1.94</v>
      </c>
      <c r="AL99" s="129">
        <v>1.94</v>
      </c>
      <c r="AM99" s="129">
        <v>1.94</v>
      </c>
      <c r="AN99" s="129">
        <v>1.94</v>
      </c>
      <c r="AO99" s="129">
        <v>1.94</v>
      </c>
      <c r="AP99" s="129">
        <v>1.94</v>
      </c>
      <c r="AQ99" s="129">
        <v>1.94</v>
      </c>
      <c r="AR99" s="129">
        <v>1.94</v>
      </c>
      <c r="AS99" s="129">
        <v>1.93</v>
      </c>
      <c r="AT99" s="129">
        <v>1.93</v>
      </c>
      <c r="AU99" s="129">
        <v>1.93</v>
      </c>
      <c r="AV99" s="129">
        <v>1.93</v>
      </c>
      <c r="AW99" s="129">
        <v>1.93</v>
      </c>
      <c r="AX99" s="129">
        <v>1.93</v>
      </c>
      <c r="AY99" s="129">
        <v>1.93</v>
      </c>
      <c r="AZ99" s="129">
        <v>1.93</v>
      </c>
      <c r="BA99" s="129">
        <v>1.93</v>
      </c>
      <c r="BB99" s="129">
        <v>1.93</v>
      </c>
      <c r="BC99" s="129">
        <v>1.93</v>
      </c>
      <c r="BD99" s="129">
        <v>1.93</v>
      </c>
      <c r="BE99" s="129">
        <v>1.93</v>
      </c>
      <c r="BF99" s="129">
        <v>1.93</v>
      </c>
      <c r="BG99" s="129">
        <v>1.93</v>
      </c>
      <c r="BH99" s="129">
        <v>1.94</v>
      </c>
      <c r="BI99" s="129">
        <v>1.94</v>
      </c>
      <c r="BJ99" s="129">
        <v>1.94</v>
      </c>
      <c r="BK99" s="129">
        <v>1.94</v>
      </c>
      <c r="BL99" s="129">
        <v>1.94</v>
      </c>
      <c r="BM99" s="129">
        <v>1.94</v>
      </c>
      <c r="BN99" s="129">
        <v>1.94</v>
      </c>
      <c r="BO99" s="129">
        <v>1.94</v>
      </c>
      <c r="BP99" s="129">
        <v>1.94</v>
      </c>
      <c r="BQ99" s="129">
        <v>1.94</v>
      </c>
      <c r="BR99" s="129">
        <v>1.94</v>
      </c>
      <c r="BS99" s="129">
        <v>1.95</v>
      </c>
      <c r="BT99" s="129">
        <v>1.95</v>
      </c>
      <c r="BU99" s="129">
        <v>1.95</v>
      </c>
      <c r="BV99" s="129">
        <v>1.95</v>
      </c>
      <c r="BW99" s="129">
        <v>1.95</v>
      </c>
      <c r="BX99" s="129">
        <v>1.95</v>
      </c>
      <c r="BY99" s="129">
        <v>1.95</v>
      </c>
      <c r="BZ99" s="129">
        <v>1.95</v>
      </c>
      <c r="CA99" s="129">
        <v>1.95</v>
      </c>
      <c r="CB99" s="129">
        <v>1.95</v>
      </c>
      <c r="CC99" s="129">
        <v>1.95</v>
      </c>
      <c r="CD99" s="129">
        <v>1.95</v>
      </c>
      <c r="CE99" s="129">
        <v>1.95</v>
      </c>
      <c r="CF99" s="129">
        <v>1.95</v>
      </c>
      <c r="CG99" s="129">
        <v>1.95</v>
      </c>
      <c r="CH99" s="129">
        <v>1.95</v>
      </c>
      <c r="CI99" s="129">
        <v>1.96</v>
      </c>
      <c r="CJ99" s="129">
        <v>1.96</v>
      </c>
      <c r="CK99" s="129">
        <v>1.96</v>
      </c>
      <c r="CL99" s="129">
        <v>1.96</v>
      </c>
      <c r="CM99" s="129">
        <v>1.96</v>
      </c>
      <c r="CN99" s="129">
        <v>1.96</v>
      </c>
      <c r="CO99" s="129">
        <v>1.96</v>
      </c>
      <c r="CP99" s="129">
        <v>1.96</v>
      </c>
      <c r="CQ99" s="129">
        <v>1.96</v>
      </c>
      <c r="CR99" s="129">
        <v>1.96</v>
      </c>
      <c r="CS99" s="129">
        <v>1.96</v>
      </c>
      <c r="CT99" s="129">
        <v>1.96</v>
      </c>
      <c r="CU99" s="129">
        <v>1.97</v>
      </c>
      <c r="CV99" s="129">
        <v>1.98</v>
      </c>
      <c r="CW99" s="129">
        <v>1.99</v>
      </c>
      <c r="CX99" s="129">
        <v>2</v>
      </c>
      <c r="CZ99" s="126">
        <f>SUMIF(MatrixF4[[1]:[2]],MatrixF4[[#This Row],[Столбец1]])/MatrixF4[[#This Row],[Столбец1]]</f>
        <v>152.99999999999994</v>
      </c>
    </row>
    <row r="100" spans="1:104" ht="21" customHeight="1" x14ac:dyDescent="0.25">
      <c r="A100" s="127">
        <v>1.97</v>
      </c>
      <c r="B100" s="129">
        <v>1.97</v>
      </c>
      <c r="C100" s="129">
        <v>1.97</v>
      </c>
      <c r="D100" s="129">
        <v>1.97</v>
      </c>
      <c r="E100" s="129">
        <v>1.97</v>
      </c>
      <c r="F100" s="129">
        <v>1.97</v>
      </c>
      <c r="G100" s="129">
        <v>1.97</v>
      </c>
      <c r="H100" s="129">
        <v>1.97</v>
      </c>
      <c r="I100" s="129">
        <v>1.97</v>
      </c>
      <c r="J100" s="129">
        <v>1.97</v>
      </c>
      <c r="K100" s="129">
        <v>1.97</v>
      </c>
      <c r="L100" s="129">
        <v>1.97</v>
      </c>
      <c r="M100" s="129">
        <v>1.97</v>
      </c>
      <c r="N100" s="129">
        <v>1.97</v>
      </c>
      <c r="O100" s="129">
        <v>1.97</v>
      </c>
      <c r="P100" s="129">
        <v>1.97</v>
      </c>
      <c r="Q100" s="129">
        <v>1.97</v>
      </c>
      <c r="R100" s="129">
        <v>1.97</v>
      </c>
      <c r="S100" s="129">
        <v>1.97</v>
      </c>
      <c r="T100" s="129">
        <v>1.96</v>
      </c>
      <c r="U100" s="129">
        <v>1.96</v>
      </c>
      <c r="V100" s="129">
        <v>1.96</v>
      </c>
      <c r="W100" s="129">
        <v>1.96</v>
      </c>
      <c r="X100" s="129">
        <v>1.96</v>
      </c>
      <c r="Y100" s="129">
        <v>1.96</v>
      </c>
      <c r="Z100" s="129">
        <v>1.96</v>
      </c>
      <c r="AA100" s="129">
        <v>1.96</v>
      </c>
      <c r="AB100" s="129">
        <v>1.96</v>
      </c>
      <c r="AC100" s="129">
        <v>1.96</v>
      </c>
      <c r="AD100" s="129">
        <v>1.96</v>
      </c>
      <c r="AE100" s="129">
        <v>1.96</v>
      </c>
      <c r="AF100" s="129">
        <v>1.96</v>
      </c>
      <c r="AG100" s="129">
        <v>1.96</v>
      </c>
      <c r="AH100" s="129">
        <v>1.96</v>
      </c>
      <c r="AI100" s="129">
        <v>1.96</v>
      </c>
      <c r="AJ100" s="129">
        <v>1.96</v>
      </c>
      <c r="AK100" s="129">
        <v>1.96</v>
      </c>
      <c r="AL100" s="129">
        <v>1.96</v>
      </c>
      <c r="AM100" s="129">
        <v>1.95</v>
      </c>
      <c r="AN100" s="129">
        <v>1.95</v>
      </c>
      <c r="AO100" s="129">
        <v>1.95</v>
      </c>
      <c r="AP100" s="129">
        <v>1.95</v>
      </c>
      <c r="AQ100" s="129">
        <v>1.95</v>
      </c>
      <c r="AR100" s="129">
        <v>1.95</v>
      </c>
      <c r="AS100" s="129">
        <v>1.95</v>
      </c>
      <c r="AT100" s="129">
        <v>1.95</v>
      </c>
      <c r="AU100" s="129">
        <v>1.95</v>
      </c>
      <c r="AV100" s="129">
        <v>1.95</v>
      </c>
      <c r="AW100" s="129">
        <v>1.95</v>
      </c>
      <c r="AX100" s="129">
        <v>1.95</v>
      </c>
      <c r="AY100" s="129">
        <v>1.94</v>
      </c>
      <c r="AZ100" s="129">
        <v>1.94</v>
      </c>
      <c r="BA100" s="129">
        <v>1.94</v>
      </c>
      <c r="BB100" s="129">
        <v>1.95</v>
      </c>
      <c r="BC100" s="129">
        <v>1.95</v>
      </c>
      <c r="BD100" s="129">
        <v>1.95</v>
      </c>
      <c r="BE100" s="129">
        <v>1.95</v>
      </c>
      <c r="BF100" s="129">
        <v>1.95</v>
      </c>
      <c r="BG100" s="129">
        <v>1.95</v>
      </c>
      <c r="BH100" s="129">
        <v>1.95</v>
      </c>
      <c r="BI100" s="129">
        <v>1.95</v>
      </c>
      <c r="BJ100" s="129">
        <v>1.95</v>
      </c>
      <c r="BK100" s="129">
        <v>1.95</v>
      </c>
      <c r="BL100" s="129">
        <v>1.95</v>
      </c>
      <c r="BM100" s="129">
        <v>1.95</v>
      </c>
      <c r="BN100" s="129">
        <v>1.96</v>
      </c>
      <c r="BO100" s="129">
        <v>1.96</v>
      </c>
      <c r="BP100" s="129">
        <v>1.96</v>
      </c>
      <c r="BQ100" s="129">
        <v>1.96</v>
      </c>
      <c r="BR100" s="129">
        <v>1.96</v>
      </c>
      <c r="BS100" s="129">
        <v>1.96</v>
      </c>
      <c r="BT100" s="129">
        <v>1.96</v>
      </c>
      <c r="BU100" s="129">
        <v>1.96</v>
      </c>
      <c r="BV100" s="129">
        <v>1.96</v>
      </c>
      <c r="BW100" s="129">
        <v>1.96</v>
      </c>
      <c r="BX100" s="129">
        <v>1.96</v>
      </c>
      <c r="BY100" s="129">
        <v>1.96</v>
      </c>
      <c r="BZ100" s="129">
        <v>1.96</v>
      </c>
      <c r="CA100" s="129">
        <v>1.96</v>
      </c>
      <c r="CB100" s="129">
        <v>1.96</v>
      </c>
      <c r="CC100" s="129">
        <v>1.96</v>
      </c>
      <c r="CD100" s="129">
        <v>1.96</v>
      </c>
      <c r="CE100" s="129">
        <v>1.96</v>
      </c>
      <c r="CF100" s="129">
        <v>1.96</v>
      </c>
      <c r="CG100" s="129">
        <v>1.97</v>
      </c>
      <c r="CH100" s="129">
        <v>1.97</v>
      </c>
      <c r="CI100" s="129">
        <v>1.97</v>
      </c>
      <c r="CJ100" s="129">
        <v>1.97</v>
      </c>
      <c r="CK100" s="129">
        <v>1.97</v>
      </c>
      <c r="CL100" s="129">
        <v>1.97</v>
      </c>
      <c r="CM100" s="129">
        <v>1.97</v>
      </c>
      <c r="CN100" s="129">
        <v>1.97</v>
      </c>
      <c r="CO100" s="129">
        <v>1.97</v>
      </c>
      <c r="CP100" s="129">
        <v>1.97</v>
      </c>
      <c r="CQ100" s="129">
        <v>1.97</v>
      </c>
      <c r="CR100" s="129">
        <v>1.97</v>
      </c>
      <c r="CS100" s="129">
        <v>1.97</v>
      </c>
      <c r="CT100" s="129">
        <v>1.97</v>
      </c>
      <c r="CU100" s="129">
        <v>1.97</v>
      </c>
      <c r="CV100" s="129">
        <v>1.98</v>
      </c>
      <c r="CW100" s="129">
        <v>1.99</v>
      </c>
      <c r="CX100" s="129">
        <v>2</v>
      </c>
      <c r="CZ100" s="126">
        <f>SUMIF(MatrixF4[[1]:[2]],MatrixF4[[#This Row],[Столбец1]])/MatrixF4[[#This Row],[Столбец1]]</f>
        <v>153.00000000000028</v>
      </c>
    </row>
    <row r="101" spans="1:104" ht="21" customHeight="1" x14ac:dyDescent="0.25">
      <c r="A101" s="127">
        <v>1.98</v>
      </c>
      <c r="B101" s="129">
        <v>1.98</v>
      </c>
      <c r="C101" s="129">
        <v>1.98</v>
      </c>
      <c r="D101" s="129">
        <v>1.98</v>
      </c>
      <c r="E101" s="129">
        <v>1.98</v>
      </c>
      <c r="F101" s="129">
        <v>1.98</v>
      </c>
      <c r="G101" s="129">
        <v>1.98</v>
      </c>
      <c r="H101" s="129">
        <v>1.98</v>
      </c>
      <c r="I101" s="129">
        <v>1.98</v>
      </c>
      <c r="J101" s="129">
        <v>1.98</v>
      </c>
      <c r="K101" s="129">
        <v>1.98</v>
      </c>
      <c r="L101" s="129">
        <v>1.98</v>
      </c>
      <c r="M101" s="129">
        <v>1.98</v>
      </c>
      <c r="N101" s="129">
        <v>1.98</v>
      </c>
      <c r="O101" s="129">
        <v>1.98</v>
      </c>
      <c r="P101" s="129">
        <v>1.98</v>
      </c>
      <c r="Q101" s="129">
        <v>1.98</v>
      </c>
      <c r="R101" s="129">
        <v>1.98</v>
      </c>
      <c r="S101" s="129">
        <v>1.98</v>
      </c>
      <c r="T101" s="129">
        <v>1.98</v>
      </c>
      <c r="U101" s="129">
        <v>1.98</v>
      </c>
      <c r="V101" s="129">
        <v>1.98</v>
      </c>
      <c r="W101" s="129">
        <v>1.98</v>
      </c>
      <c r="X101" s="129">
        <v>1.98</v>
      </c>
      <c r="Y101" s="129">
        <v>1.97</v>
      </c>
      <c r="Z101" s="129">
        <v>1.97</v>
      </c>
      <c r="AA101" s="129">
        <v>1.97</v>
      </c>
      <c r="AB101" s="129">
        <v>1.97</v>
      </c>
      <c r="AC101" s="129">
        <v>1.97</v>
      </c>
      <c r="AD101" s="129">
        <v>1.97</v>
      </c>
      <c r="AE101" s="129">
        <v>1.97</v>
      </c>
      <c r="AF101" s="129">
        <v>1.97</v>
      </c>
      <c r="AG101" s="129">
        <v>1.97</v>
      </c>
      <c r="AH101" s="129">
        <v>1.97</v>
      </c>
      <c r="AI101" s="129">
        <v>1.97</v>
      </c>
      <c r="AJ101" s="129">
        <v>1.97</v>
      </c>
      <c r="AK101" s="129">
        <v>1.97</v>
      </c>
      <c r="AL101" s="129">
        <v>1.97</v>
      </c>
      <c r="AM101" s="129">
        <v>1.97</v>
      </c>
      <c r="AN101" s="129">
        <v>1.97</v>
      </c>
      <c r="AO101" s="129">
        <v>1.97</v>
      </c>
      <c r="AP101" s="129">
        <v>1.97</v>
      </c>
      <c r="AQ101" s="129">
        <v>1.97</v>
      </c>
      <c r="AR101" s="129">
        <v>1.97</v>
      </c>
      <c r="AS101" s="129">
        <v>1.97</v>
      </c>
      <c r="AT101" s="129">
        <v>1.97</v>
      </c>
      <c r="AU101" s="129">
        <v>1.96</v>
      </c>
      <c r="AV101" s="129">
        <v>1.96</v>
      </c>
      <c r="AW101" s="129">
        <v>1.96</v>
      </c>
      <c r="AX101" s="129">
        <v>1.96</v>
      </c>
      <c r="AY101" s="129">
        <v>1.96</v>
      </c>
      <c r="AZ101" s="129">
        <v>1.96</v>
      </c>
      <c r="BA101" s="129">
        <v>1.96</v>
      </c>
      <c r="BB101" s="129">
        <v>1.96</v>
      </c>
      <c r="BC101" s="129">
        <v>1.96</v>
      </c>
      <c r="BD101" s="129">
        <v>1.96</v>
      </c>
      <c r="BE101" s="129">
        <v>1.96</v>
      </c>
      <c r="BF101" s="129">
        <v>1.97</v>
      </c>
      <c r="BG101" s="129">
        <v>1.97</v>
      </c>
      <c r="BH101" s="129">
        <v>1.97</v>
      </c>
      <c r="BI101" s="129">
        <v>1.97</v>
      </c>
      <c r="BJ101" s="129">
        <v>1.97</v>
      </c>
      <c r="BK101" s="129">
        <v>1.97</v>
      </c>
      <c r="BL101" s="129">
        <v>1.97</v>
      </c>
      <c r="BM101" s="129">
        <v>1.97</v>
      </c>
      <c r="BN101" s="129">
        <v>1.97</v>
      </c>
      <c r="BO101" s="129">
        <v>1.97</v>
      </c>
      <c r="BP101" s="129">
        <v>1.97</v>
      </c>
      <c r="BQ101" s="129">
        <v>1.97</v>
      </c>
      <c r="BR101" s="129">
        <v>1.97</v>
      </c>
      <c r="BS101" s="129">
        <v>1.97</v>
      </c>
      <c r="BT101" s="129">
        <v>1.97</v>
      </c>
      <c r="BU101" s="129">
        <v>1.97</v>
      </c>
      <c r="BV101" s="129">
        <v>1.97</v>
      </c>
      <c r="BW101" s="129">
        <v>1.97</v>
      </c>
      <c r="BX101" s="129">
        <v>1.97</v>
      </c>
      <c r="BY101" s="129">
        <v>1.97</v>
      </c>
      <c r="BZ101" s="129">
        <v>1.97</v>
      </c>
      <c r="CA101" s="129">
        <v>1.97</v>
      </c>
      <c r="CB101" s="129">
        <v>1.98</v>
      </c>
      <c r="CC101" s="129">
        <v>1.98</v>
      </c>
      <c r="CD101" s="129">
        <v>1.98</v>
      </c>
      <c r="CE101" s="129">
        <v>1.98</v>
      </c>
      <c r="CF101" s="129">
        <v>1.98</v>
      </c>
      <c r="CG101" s="129">
        <v>1.98</v>
      </c>
      <c r="CH101" s="129">
        <v>1.98</v>
      </c>
      <c r="CI101" s="129">
        <v>1.98</v>
      </c>
      <c r="CJ101" s="129">
        <v>1.98</v>
      </c>
      <c r="CK101" s="129">
        <v>1.98</v>
      </c>
      <c r="CL101" s="129">
        <v>1.98</v>
      </c>
      <c r="CM101" s="129">
        <v>1.98</v>
      </c>
      <c r="CN101" s="129">
        <v>1.98</v>
      </c>
      <c r="CO101" s="129">
        <v>1.98</v>
      </c>
      <c r="CP101" s="129">
        <v>1.98</v>
      </c>
      <c r="CQ101" s="129">
        <v>1.98</v>
      </c>
      <c r="CR101" s="129">
        <v>1.98</v>
      </c>
      <c r="CS101" s="129">
        <v>1.98</v>
      </c>
      <c r="CT101" s="129">
        <v>1.98</v>
      </c>
      <c r="CU101" s="129">
        <v>1.98</v>
      </c>
      <c r="CV101" s="129">
        <v>1.98</v>
      </c>
      <c r="CW101" s="129">
        <v>1.99</v>
      </c>
      <c r="CX101" s="129">
        <v>2</v>
      </c>
      <c r="CZ101" s="126">
        <f>SUMIF(MatrixF4[[1]:[2]],MatrixF4[[#This Row],[Столбец1]])/MatrixF4[[#This Row],[Столбец1]]</f>
        <v>148.99999999999989</v>
      </c>
    </row>
    <row r="102" spans="1:104" ht="21" customHeight="1" x14ac:dyDescent="0.25">
      <c r="A102" s="127">
        <v>1.99</v>
      </c>
      <c r="B102" s="129">
        <v>1.99</v>
      </c>
      <c r="C102" s="129">
        <v>1.99</v>
      </c>
      <c r="D102" s="129">
        <v>1.99</v>
      </c>
      <c r="E102" s="129">
        <v>1.99</v>
      </c>
      <c r="F102" s="129">
        <v>1.99</v>
      </c>
      <c r="G102" s="129">
        <v>1.99</v>
      </c>
      <c r="H102" s="129">
        <v>1.99</v>
      </c>
      <c r="I102" s="129">
        <v>1.99</v>
      </c>
      <c r="J102" s="129">
        <v>1.99</v>
      </c>
      <c r="K102" s="129">
        <v>1.99</v>
      </c>
      <c r="L102" s="129">
        <v>1.99</v>
      </c>
      <c r="M102" s="129">
        <v>1.99</v>
      </c>
      <c r="N102" s="129">
        <v>1.99</v>
      </c>
      <c r="O102" s="129">
        <v>1.99</v>
      </c>
      <c r="P102" s="129">
        <v>1.99</v>
      </c>
      <c r="Q102" s="129">
        <v>1.99</v>
      </c>
      <c r="R102" s="129">
        <v>1.99</v>
      </c>
      <c r="S102" s="129">
        <v>1.99</v>
      </c>
      <c r="T102" s="129">
        <v>1.99</v>
      </c>
      <c r="U102" s="129">
        <v>1.99</v>
      </c>
      <c r="V102" s="129">
        <v>1.99</v>
      </c>
      <c r="W102" s="129">
        <v>1.99</v>
      </c>
      <c r="X102" s="129">
        <v>1.99</v>
      </c>
      <c r="Y102" s="129">
        <v>1.99</v>
      </c>
      <c r="Z102" s="129">
        <v>1.99</v>
      </c>
      <c r="AA102" s="129">
        <v>1.99</v>
      </c>
      <c r="AB102" s="129">
        <v>1.99</v>
      </c>
      <c r="AC102" s="129">
        <v>1.99</v>
      </c>
      <c r="AD102" s="129">
        <v>1.99</v>
      </c>
      <c r="AE102" s="129">
        <v>1.99</v>
      </c>
      <c r="AF102" s="129">
        <v>1.99</v>
      </c>
      <c r="AG102" s="129">
        <v>1.99</v>
      </c>
      <c r="AH102" s="129">
        <v>1.99</v>
      </c>
      <c r="AI102" s="129">
        <v>1.99</v>
      </c>
      <c r="AJ102" s="129">
        <v>1.99</v>
      </c>
      <c r="AK102" s="129">
        <v>1.98</v>
      </c>
      <c r="AL102" s="129">
        <v>1.98</v>
      </c>
      <c r="AM102" s="129">
        <v>1.98</v>
      </c>
      <c r="AN102" s="129">
        <v>1.98</v>
      </c>
      <c r="AO102" s="129">
        <v>1.98</v>
      </c>
      <c r="AP102" s="129">
        <v>1.98</v>
      </c>
      <c r="AQ102" s="129">
        <v>1.98</v>
      </c>
      <c r="AR102" s="129">
        <v>1.98</v>
      </c>
      <c r="AS102" s="129">
        <v>1.98</v>
      </c>
      <c r="AT102" s="129">
        <v>1.98</v>
      </c>
      <c r="AU102" s="129">
        <v>1.98</v>
      </c>
      <c r="AV102" s="129">
        <v>1.98</v>
      </c>
      <c r="AW102" s="129">
        <v>1.98</v>
      </c>
      <c r="AX102" s="129">
        <v>1.98</v>
      </c>
      <c r="AY102" s="129">
        <v>1.98</v>
      </c>
      <c r="AZ102" s="129">
        <v>1.98</v>
      </c>
      <c r="BA102" s="129">
        <v>1.98</v>
      </c>
      <c r="BB102" s="129">
        <v>1.98</v>
      </c>
      <c r="BC102" s="129">
        <v>1.98</v>
      </c>
      <c r="BD102" s="129">
        <v>1.98</v>
      </c>
      <c r="BE102" s="129">
        <v>1.98</v>
      </c>
      <c r="BF102" s="129">
        <v>1.98</v>
      </c>
      <c r="BG102" s="129">
        <v>1.98</v>
      </c>
      <c r="BH102" s="129">
        <v>1.98</v>
      </c>
      <c r="BI102" s="129">
        <v>1.98</v>
      </c>
      <c r="BJ102" s="129">
        <v>1.98</v>
      </c>
      <c r="BK102" s="129">
        <v>1.98</v>
      </c>
      <c r="BL102" s="129">
        <v>1.98</v>
      </c>
      <c r="BM102" s="129">
        <v>1.98</v>
      </c>
      <c r="BN102" s="129">
        <v>1.98</v>
      </c>
      <c r="BO102" s="129">
        <v>1.98</v>
      </c>
      <c r="BP102" s="129">
        <v>1.99</v>
      </c>
      <c r="BQ102" s="129">
        <v>1.99</v>
      </c>
      <c r="BR102" s="129">
        <v>1.99</v>
      </c>
      <c r="BS102" s="129">
        <v>1.99</v>
      </c>
      <c r="BT102" s="129">
        <v>1.99</v>
      </c>
      <c r="BU102" s="129">
        <v>1.99</v>
      </c>
      <c r="BV102" s="129">
        <v>1.99</v>
      </c>
      <c r="BW102" s="129">
        <v>1.99</v>
      </c>
      <c r="BX102" s="129">
        <v>1.99</v>
      </c>
      <c r="BY102" s="129">
        <v>1.99</v>
      </c>
      <c r="BZ102" s="129">
        <v>1.99</v>
      </c>
      <c r="CA102" s="129">
        <v>1.99</v>
      </c>
      <c r="CB102" s="129">
        <v>1.99</v>
      </c>
      <c r="CC102" s="129">
        <v>1.99</v>
      </c>
      <c r="CD102" s="129">
        <v>1.99</v>
      </c>
      <c r="CE102" s="129">
        <v>1.99</v>
      </c>
      <c r="CF102" s="129">
        <v>1.99</v>
      </c>
      <c r="CG102" s="129">
        <v>1.99</v>
      </c>
      <c r="CH102" s="129">
        <v>1.99</v>
      </c>
      <c r="CI102" s="129">
        <v>1.99</v>
      </c>
      <c r="CJ102" s="129">
        <v>1.99</v>
      </c>
      <c r="CK102" s="129">
        <v>1.99</v>
      </c>
      <c r="CL102" s="129">
        <v>1.99</v>
      </c>
      <c r="CM102" s="129">
        <v>1.99</v>
      </c>
      <c r="CN102" s="129">
        <v>1.99</v>
      </c>
      <c r="CO102" s="129">
        <v>1.99</v>
      </c>
      <c r="CP102" s="129">
        <v>1.99</v>
      </c>
      <c r="CQ102" s="129">
        <v>1.99</v>
      </c>
      <c r="CR102" s="129">
        <v>1.99</v>
      </c>
      <c r="CS102" s="129">
        <v>1.99</v>
      </c>
      <c r="CT102" s="129">
        <v>1.99</v>
      </c>
      <c r="CU102" s="129">
        <v>1.99</v>
      </c>
      <c r="CV102" s="129">
        <v>1.99</v>
      </c>
      <c r="CW102" s="129">
        <v>1.99</v>
      </c>
      <c r="CX102" s="129">
        <v>2</v>
      </c>
      <c r="CZ102" s="126">
        <f>SUMIF(MatrixF4[[1]:[2]],MatrixF4[[#This Row],[Столбец1]])/MatrixF4[[#This Row],[Столбец1]]</f>
        <v>137.00000000000026</v>
      </c>
    </row>
    <row r="103" spans="1:104" ht="21" customHeight="1" x14ac:dyDescent="0.25">
      <c r="A103" s="127">
        <v>2</v>
      </c>
      <c r="B103" s="129">
        <v>2</v>
      </c>
      <c r="C103" s="129">
        <v>2</v>
      </c>
      <c r="D103" s="129">
        <v>2</v>
      </c>
      <c r="E103" s="129">
        <v>2</v>
      </c>
      <c r="F103" s="129">
        <v>2</v>
      </c>
      <c r="G103" s="129">
        <v>2</v>
      </c>
      <c r="H103" s="129">
        <v>2</v>
      </c>
      <c r="I103" s="129">
        <v>2</v>
      </c>
      <c r="J103" s="129">
        <v>2</v>
      </c>
      <c r="K103" s="129">
        <v>2</v>
      </c>
      <c r="L103" s="129">
        <v>2</v>
      </c>
      <c r="M103" s="129">
        <v>2</v>
      </c>
      <c r="N103" s="129">
        <v>2</v>
      </c>
      <c r="O103" s="129">
        <v>2</v>
      </c>
      <c r="P103" s="129">
        <v>2</v>
      </c>
      <c r="Q103" s="129">
        <v>2</v>
      </c>
      <c r="R103" s="129">
        <v>2</v>
      </c>
      <c r="S103" s="129">
        <v>2</v>
      </c>
      <c r="T103" s="129">
        <v>2</v>
      </c>
      <c r="U103" s="129">
        <v>2</v>
      </c>
      <c r="V103" s="129">
        <v>2</v>
      </c>
      <c r="W103" s="129">
        <v>2</v>
      </c>
      <c r="X103" s="129">
        <v>2</v>
      </c>
      <c r="Y103" s="129">
        <v>2</v>
      </c>
      <c r="Z103" s="129">
        <v>2</v>
      </c>
      <c r="AA103" s="129">
        <v>2</v>
      </c>
      <c r="AB103" s="129">
        <v>2</v>
      </c>
      <c r="AC103" s="129">
        <v>2</v>
      </c>
      <c r="AD103" s="129">
        <v>2</v>
      </c>
      <c r="AE103" s="129">
        <v>2</v>
      </c>
      <c r="AF103" s="129">
        <v>2</v>
      </c>
      <c r="AG103" s="129">
        <v>2</v>
      </c>
      <c r="AH103" s="129">
        <v>2</v>
      </c>
      <c r="AI103" s="129">
        <v>2</v>
      </c>
      <c r="AJ103" s="129">
        <v>2</v>
      </c>
      <c r="AK103" s="129">
        <v>2</v>
      </c>
      <c r="AL103" s="129">
        <v>2</v>
      </c>
      <c r="AM103" s="129">
        <v>2</v>
      </c>
      <c r="AN103" s="129">
        <v>2</v>
      </c>
      <c r="AO103" s="129">
        <v>2</v>
      </c>
      <c r="AP103" s="129">
        <v>2</v>
      </c>
      <c r="AQ103" s="129">
        <v>2</v>
      </c>
      <c r="AR103" s="129">
        <v>2</v>
      </c>
      <c r="AS103" s="129">
        <v>2</v>
      </c>
      <c r="AT103" s="129">
        <v>2</v>
      </c>
      <c r="AU103" s="129">
        <v>2</v>
      </c>
      <c r="AV103" s="129">
        <v>2</v>
      </c>
      <c r="AW103" s="129">
        <v>2</v>
      </c>
      <c r="AX103" s="129">
        <v>2</v>
      </c>
      <c r="AY103" s="129">
        <v>2</v>
      </c>
      <c r="AZ103" s="129">
        <v>2</v>
      </c>
      <c r="BA103" s="129">
        <v>2</v>
      </c>
      <c r="BB103" s="129">
        <v>2</v>
      </c>
      <c r="BC103" s="129">
        <v>2</v>
      </c>
      <c r="BD103" s="129">
        <v>2</v>
      </c>
      <c r="BE103" s="129">
        <v>2</v>
      </c>
      <c r="BF103" s="129">
        <v>2</v>
      </c>
      <c r="BG103" s="129">
        <v>2</v>
      </c>
      <c r="BH103" s="129">
        <v>2</v>
      </c>
      <c r="BI103" s="129">
        <v>2</v>
      </c>
      <c r="BJ103" s="129">
        <v>2</v>
      </c>
      <c r="BK103" s="129">
        <v>2</v>
      </c>
      <c r="BL103" s="129">
        <v>2</v>
      </c>
      <c r="BM103" s="129">
        <v>2</v>
      </c>
      <c r="BN103" s="129">
        <v>2</v>
      </c>
      <c r="BO103" s="129">
        <v>2</v>
      </c>
      <c r="BP103" s="129">
        <v>2</v>
      </c>
      <c r="BQ103" s="129">
        <v>2</v>
      </c>
      <c r="BR103" s="129">
        <v>2</v>
      </c>
      <c r="BS103" s="129">
        <v>2</v>
      </c>
      <c r="BT103" s="129">
        <v>2</v>
      </c>
      <c r="BU103" s="129">
        <v>2</v>
      </c>
      <c r="BV103" s="129">
        <v>2</v>
      </c>
      <c r="BW103" s="129">
        <v>2</v>
      </c>
      <c r="BX103" s="129">
        <v>2</v>
      </c>
      <c r="BY103" s="129">
        <v>2</v>
      </c>
      <c r="BZ103" s="129">
        <v>2</v>
      </c>
      <c r="CA103" s="129">
        <v>2</v>
      </c>
      <c r="CB103" s="129">
        <v>2</v>
      </c>
      <c r="CC103" s="129">
        <v>2</v>
      </c>
      <c r="CD103" s="129">
        <v>2</v>
      </c>
      <c r="CE103" s="129">
        <v>2</v>
      </c>
      <c r="CF103" s="129">
        <v>2</v>
      </c>
      <c r="CG103" s="129">
        <v>2</v>
      </c>
      <c r="CH103" s="129">
        <v>2</v>
      </c>
      <c r="CI103" s="129">
        <v>2</v>
      </c>
      <c r="CJ103" s="129">
        <v>2</v>
      </c>
      <c r="CK103" s="129">
        <v>2</v>
      </c>
      <c r="CL103" s="129">
        <v>2</v>
      </c>
      <c r="CM103" s="129">
        <v>2</v>
      </c>
      <c r="CN103" s="129">
        <v>2</v>
      </c>
      <c r="CO103" s="129">
        <v>2</v>
      </c>
      <c r="CP103" s="129">
        <v>2</v>
      </c>
      <c r="CQ103" s="129">
        <v>2</v>
      </c>
      <c r="CR103" s="129">
        <v>2</v>
      </c>
      <c r="CS103" s="129">
        <v>2</v>
      </c>
      <c r="CT103" s="129">
        <v>2</v>
      </c>
      <c r="CU103" s="129">
        <v>2</v>
      </c>
      <c r="CV103" s="129">
        <v>2</v>
      </c>
      <c r="CW103" s="129">
        <v>2</v>
      </c>
      <c r="CX103" s="129">
        <v>2</v>
      </c>
      <c r="CZ103" s="126">
        <f>SUMIF(MatrixF4[[1]:[2]],MatrixF4[[#This Row],[Столбец1]])/MatrixF4[[#This Row],[Столбец1]]</f>
        <v>201</v>
      </c>
    </row>
    <row r="105" spans="1:104" s="126" customFormat="1" ht="21" customHeight="1" x14ac:dyDescent="0.25">
      <c r="B105" s="126">
        <f>SUMIF(MatrixF4[[1]:[2]],MatrixF4[[#Headers],[1]])/MatrixF4[[#Headers],[1]]</f>
        <v>1</v>
      </c>
      <c r="C105" s="126">
        <f>SUMIF(MatrixF4[[1]:[2]],MatrixF4[[#Headers],[1,01]])/MatrixF4[[#Headers],[1,01]]</f>
        <v>3</v>
      </c>
      <c r="D105" s="126">
        <f>SUMIF(MatrixF4[[1]:[2]],MatrixF4[[#Headers],[1,02]])/MatrixF4[[#Headers],[1,02]]</f>
        <v>5</v>
      </c>
      <c r="E105" s="126">
        <f>SUMIF(MatrixF4[[1]:[2]],MatrixF4[[#Headers],[1,03]])/MatrixF4[[#Headers],[1,03]]</f>
        <v>7.0000000000000009</v>
      </c>
      <c r="F105" s="126">
        <f>SUMIF(MatrixF4[[1]:[2]],MatrixF4[[#Headers],[1,04]])/MatrixF4[[#Headers],[1,04]]</f>
        <v>9</v>
      </c>
      <c r="G105" s="126">
        <f>SUMIF(MatrixF4[[1]:[2]],MatrixF4[[#Headers],[1,05]])/MatrixF4[[#Headers],[1,05]]</f>
        <v>11.000000000000002</v>
      </c>
      <c r="H105" s="126">
        <f>SUMIF(MatrixF4[[1]:[2]],MatrixF4[[#Headers],[1,06]])/MatrixF4[[#Headers],[1,06]]</f>
        <v>13.000000000000004</v>
      </c>
      <c r="I105" s="126">
        <f>SUMIF(MatrixF4[[1]:[2]],MatrixF4[[#Headers],[1,07]])/MatrixF4[[#Headers],[1,07]]</f>
        <v>15</v>
      </c>
      <c r="J105" s="126">
        <f>SUMIF(MatrixF4[[1]:[2]],MatrixF4[[#Headers],[1,08]])/MatrixF4[[#Headers],[1,08]]</f>
        <v>17</v>
      </c>
      <c r="K105" s="126">
        <f>SUMIF(MatrixF4[[1]:[2]],MatrixF4[[#Headers],[1,09]])/MatrixF4[[#Headers],[1,09]]</f>
        <v>19</v>
      </c>
      <c r="L105" s="126">
        <f>SUMIF(MatrixF4[[1]:[2]],MatrixF4[[#Headers],[1,1]])/MatrixF4[[#Headers],[1,1]]</f>
        <v>21.000000000000004</v>
      </c>
      <c r="M105" s="126">
        <f>SUMIF(MatrixF4[[1]:[2]],MatrixF4[[#Headers],[1,11]])/MatrixF4[[#Headers],[1,11]]</f>
        <v>22.999999999999993</v>
      </c>
      <c r="N105" s="126">
        <f>SUMIF(MatrixF4[[1]:[2]],MatrixF4[[#Headers],[1,12]])/MatrixF4[[#Headers],[1,12]]</f>
        <v>25.000000000000014</v>
      </c>
      <c r="O105" s="126">
        <f>SUMIF(MatrixF4[[1]:[2]],MatrixF4[[#Headers],[1,13]])/MatrixF4[[#Headers],[1,13]]</f>
        <v>26.999999999999986</v>
      </c>
      <c r="P105" s="126">
        <f>SUMIF(MatrixF4[[1]:[2]],MatrixF4[[#Headers],[1,14]])/MatrixF4[[#Headers],[1,14]]</f>
        <v>29.000000000000011</v>
      </c>
      <c r="Q105" s="126">
        <f>SUMIF(MatrixF4[[1]:[2]],MatrixF4[[#Headers],[1,15]])/MatrixF4[[#Headers],[1,15]]</f>
        <v>30.999999999999982</v>
      </c>
      <c r="R105" s="126">
        <f>SUMIF(MatrixF4[[1]:[2]],MatrixF4[[#Headers],[1,16]])/MatrixF4[[#Headers],[1,16]]</f>
        <v>32.999999999999986</v>
      </c>
      <c r="S105" s="126">
        <f>SUMIF(MatrixF4[[1]:[2]],MatrixF4[[#Headers],[1,17]])/MatrixF4[[#Headers],[1,17]]</f>
        <v>35.000000000000028</v>
      </c>
      <c r="T105" s="126">
        <f>SUMIF(MatrixF4[[1]:[2]],MatrixF4[[#Headers],[1,18]])/MatrixF4[[#Headers],[1,18]]</f>
        <v>37</v>
      </c>
      <c r="U105" s="126">
        <f>SUMIF(MatrixF4[[1]:[2]],MatrixF4[[#Headers],[1,19]])/MatrixF4[[#Headers],[1,19]]</f>
        <v>38.999999999999986</v>
      </c>
      <c r="V105" s="126">
        <f>SUMIF(MatrixF4[[1]:[2]],MatrixF4[[#Headers],[1,2]])/MatrixF4[[#Headers],[1,2]]</f>
        <v>41.000000000000028</v>
      </c>
      <c r="W105" s="126">
        <f>SUMIF(MatrixF4[[1]:[2]],MatrixF4[[#Headers],[1,21]])/MatrixF4[[#Headers],[1,21]]</f>
        <v>43.000000000000028</v>
      </c>
      <c r="X105" s="126">
        <f>SUMIF(MatrixF4[[1]:[2]],MatrixF4[[#Headers],[1,22]])/MatrixF4[[#Headers],[1,22]]</f>
        <v>44.999999999999979</v>
      </c>
      <c r="Y105" s="126">
        <f>SUMIF(MatrixF4[[1]:[2]],MatrixF4[[#Headers],[1,23]])/MatrixF4[[#Headers],[1,23]]</f>
        <v>46.999999999999957</v>
      </c>
      <c r="Z105" s="126">
        <f>SUMIF(MatrixF4[[1]:[2]],MatrixF4[[#Headers],[1,24]])/MatrixF4[[#Headers],[1,24]]</f>
        <v>49.000000000000021</v>
      </c>
      <c r="AA105" s="126">
        <f>SUMIF(MatrixF4[[1]:[2]],MatrixF4[[#Headers],[1,25]])/MatrixF4[[#Headers],[1,25]]</f>
        <v>51</v>
      </c>
      <c r="AB105" s="126">
        <f>SUMIF(MatrixF4[[1]:[2]],MatrixF4[[#Headers],[1,26]])/MatrixF4[[#Headers],[1,26]]</f>
        <v>52.999999999999986</v>
      </c>
      <c r="AC105" s="126">
        <f>SUMIF(MatrixF4[[1]:[2]],MatrixF4[[#Headers],[1,27]])/MatrixF4[[#Headers],[1,27]]</f>
        <v>55.000000000000043</v>
      </c>
      <c r="AD105" s="126">
        <f>SUMIF(MatrixF4[[1]:[2]],MatrixF4[[#Headers],[1,28]])/MatrixF4[[#Headers],[1,28]]</f>
        <v>57.000000000000028</v>
      </c>
      <c r="AE105" s="126">
        <f>SUMIF(MatrixF4[[1]:[2]],MatrixF4[[#Headers],[1,29]])/MatrixF4[[#Headers],[1,29]]</f>
        <v>59.000000000000021</v>
      </c>
      <c r="AF105" s="126">
        <f>SUMIF(MatrixF4[[1]:[2]],MatrixF4[[#Headers],[1,3]])/MatrixF4[[#Headers],[1,3]]</f>
        <v>60.999999999999929</v>
      </c>
      <c r="AG105" s="126">
        <f>SUMIF(MatrixF4[[1]:[2]],MatrixF4[[#Headers],[1,31]])/MatrixF4[[#Headers],[1,31]]</f>
        <v>63.00000000000005</v>
      </c>
      <c r="AH105" s="126">
        <f>SUMIF(MatrixF4[[1]:[2]],MatrixF4[[#Headers],[1,32]])/MatrixF4[[#Headers],[1,32]]</f>
        <v>64.999999999999915</v>
      </c>
      <c r="AI105" s="126">
        <f>SUMIF(MatrixF4[[1]:[2]],MatrixF4[[#Headers],[1,33]])/MatrixF4[[#Headers],[1,33]]</f>
        <v>66.999999999999929</v>
      </c>
      <c r="AJ105" s="126">
        <f>SUMIF(MatrixF4[[1]:[2]],MatrixF4[[#Headers],[1,34]])/MatrixF4[[#Headers],[1,34]]</f>
        <v>69.000000000000114</v>
      </c>
      <c r="AK105" s="126">
        <f>SUMIF(MatrixF4[[1]:[2]],MatrixF4[[#Headers],[1,35]])/MatrixF4[[#Headers],[1,35]]</f>
        <v>70.999999999999929</v>
      </c>
      <c r="AL105" s="126">
        <f>SUMIF(MatrixF4[[1]:[2]],MatrixF4[[#Headers],[1,36]])/MatrixF4[[#Headers],[1,36]]</f>
        <v>72.999999999999972</v>
      </c>
      <c r="AM105" s="126">
        <f>SUMIF(MatrixF4[[1]:[2]],MatrixF4[[#Headers],[1,37]])/MatrixF4[[#Headers],[1,37]]</f>
        <v>75.000000000000057</v>
      </c>
      <c r="AN105" s="126">
        <f>SUMIF(MatrixF4[[1]:[2]],MatrixF4[[#Headers],[1,38]])/MatrixF4[[#Headers],[1,38]]</f>
        <v>76.999999999999943</v>
      </c>
      <c r="AO105" s="126">
        <f>SUMIF(MatrixF4[[1]:[2]],MatrixF4[[#Headers],[1,39]])/MatrixF4[[#Headers],[1,39]]</f>
        <v>79.000000000000028</v>
      </c>
      <c r="AP105" s="126">
        <f>SUMIF(MatrixF4[[1]:[2]],MatrixF4[[#Headers],[1,4]])/MatrixF4[[#Headers],[1,4]]</f>
        <v>81.000000000000128</v>
      </c>
      <c r="AQ105" s="126">
        <f>SUMIF(MatrixF4[[1]:[2]],MatrixF4[[#Headers],[1,41]])/MatrixF4[[#Headers],[1,41]]</f>
        <v>82.999999999999858</v>
      </c>
      <c r="AR105" s="126">
        <f>SUMIF(MatrixF4[[1]:[2]],MatrixF4[[#Headers],[1,42]])/MatrixF4[[#Headers],[1,42]]</f>
        <v>85.000000000000085</v>
      </c>
      <c r="AS105" s="126">
        <f>SUMIF(MatrixF4[[1]:[2]],MatrixF4[[#Headers],[1,43]])/MatrixF4[[#Headers],[1,43]]</f>
        <v>87.000000000000199</v>
      </c>
      <c r="AT105" s="126">
        <f>SUMIF(MatrixF4[[1]:[2]],MatrixF4[[#Headers],[1,44]])/MatrixF4[[#Headers],[1,44]]</f>
        <v>88.999999999999929</v>
      </c>
      <c r="AU105" s="126">
        <f>SUMIF(MatrixF4[[1]:[2]],MatrixF4[[#Headers],[1,45]])/MatrixF4[[#Headers],[1,45]]</f>
        <v>91.000000000000099</v>
      </c>
      <c r="AV105" s="126">
        <f>SUMIF(MatrixF4[[1]:[2]],MatrixF4[[#Headers],[1,46]])/MatrixF4[[#Headers],[1,46]]</f>
        <v>92.999999999999872</v>
      </c>
      <c r="AW105" s="126">
        <f>SUMIF(MatrixF4[[1]:[2]],MatrixF4[[#Headers],[1,47]])/MatrixF4[[#Headers],[1,47]]</f>
        <v>94.999999999999943</v>
      </c>
      <c r="AX105" s="126">
        <f>SUMIF(MatrixF4[[1]:[2]],MatrixF4[[#Headers],[1,48]])/MatrixF4[[#Headers],[1,48]]</f>
        <v>97</v>
      </c>
      <c r="AY105" s="126">
        <f>SUMIF(MatrixF4[[1]:[2]],MatrixF4[[#Headers],[1,49]])/MatrixF4[[#Headers],[1,49]]</f>
        <v>98.999999999999957</v>
      </c>
      <c r="AZ105" s="126">
        <f>SUMIF(MatrixF4[[1]:[2]],MatrixF4[[#Headers],[1,5]])/MatrixF4[[#Headers],[1,5]]</f>
        <v>101</v>
      </c>
      <c r="BA105" s="126">
        <f>SUMIF(MatrixF4[[1]:[2]],MatrixF4[[#Headers],[1,51]])/MatrixF4[[#Headers],[1,51]]</f>
        <v>105</v>
      </c>
      <c r="BB105" s="126">
        <f>SUMIF(MatrixF4[[1]:[2]],MatrixF4[[#Headers],[1,52]])/MatrixF4[[#Headers],[1,52]]</f>
        <v>111.00000000000011</v>
      </c>
      <c r="BC105" s="126">
        <f>SUMIF(MatrixF4[[1]:[2]],MatrixF4[[#Headers],[1,53]])/MatrixF4[[#Headers],[1,53]]</f>
        <v>117.00000000000007</v>
      </c>
      <c r="BD105" s="126">
        <f>SUMIF(MatrixF4[[1]:[2]],MatrixF4[[#Headers],[1,54]])/MatrixF4[[#Headers],[1,54]]</f>
        <v>122.99999999999996</v>
      </c>
      <c r="BE105" s="126">
        <f>SUMIF(MatrixF4[[1]:[2]],MatrixF4[[#Headers],[1,55]])/MatrixF4[[#Headers],[1,55]]</f>
        <v>127.00000000000021</v>
      </c>
      <c r="BF105" s="126">
        <f>SUMIF(MatrixF4[[1]:[2]],MatrixF4[[#Headers],[1,56]])/MatrixF4[[#Headers],[1,56]]</f>
        <v>127.00000000000014</v>
      </c>
      <c r="BG105" s="126">
        <f>SUMIF(MatrixF4[[1]:[2]],MatrixF4[[#Headers],[1,57]])/MatrixF4[[#Headers],[1,57]]</f>
        <v>136.99999999999957</v>
      </c>
      <c r="BH105" s="126">
        <f>SUMIF(MatrixF4[[1]:[2]],MatrixF4[[#Headers],[1,58]])/MatrixF4[[#Headers],[1,58]]</f>
        <v>133.00000000000034</v>
      </c>
      <c r="BI105" s="126">
        <f>SUMIF(MatrixF4[[1]:[2]],MatrixF4[[#Headers],[1,59]])/MatrixF4[[#Headers],[1,59]]</f>
        <v>139.00000000000023</v>
      </c>
      <c r="BJ105" s="126">
        <f>SUMIF(MatrixF4[[1]:[2]],MatrixF4[[#Headers],[1,6]])/MatrixF4[[#Headers],[1,6]]</f>
        <v>146.99999999999963</v>
      </c>
      <c r="BK105" s="126">
        <f>SUMIF(MatrixF4[[1]:[2]],MatrixF4[[#Headers],[1,61]])/MatrixF4[[#Headers],[1,61]]</f>
        <v>143.00000000000051</v>
      </c>
      <c r="BL105" s="126">
        <f>SUMIF(MatrixF4[[1]:[2]],MatrixF4[[#Headers],[1,62]])/MatrixF4[[#Headers],[1,62]]</f>
        <v>147.00000000000026</v>
      </c>
      <c r="BM105" s="126">
        <f>SUMIF(MatrixF4[[1]:[2]],MatrixF4[[#Headers],[1,63]])/MatrixF4[[#Headers],[1,63]]</f>
        <v>146.99999999999974</v>
      </c>
      <c r="BN105" s="126">
        <f>SUMIF(MatrixF4[[1]:[2]],MatrixF4[[#Headers],[1,64]])/MatrixF4[[#Headers],[1,64]]</f>
        <v>148.99999999999943</v>
      </c>
      <c r="BO105" s="126">
        <f>SUMIF(MatrixF4[[1]:[2]],MatrixF4[[#Headers],[1,65]])/MatrixF4[[#Headers],[1,65]]</f>
        <v>155.0000000000004</v>
      </c>
      <c r="BP105" s="126">
        <f>SUMIF(MatrixF4[[1]:[2]],MatrixF4[[#Headers],[1,66]])/MatrixF4[[#Headers],[1,66]]</f>
        <v>152.99999999999974</v>
      </c>
      <c r="BQ105" s="126">
        <f>SUMIF(MatrixF4[[1]:[2]],MatrixF4[[#Headers],[1,67]])/MatrixF4[[#Headers],[1,67]]</f>
        <v>158.99999999999955</v>
      </c>
      <c r="BR105" s="126">
        <f>SUMIF(MatrixF4[[1]:[2]],MatrixF4[[#Headers],[1,68]])/MatrixF4[[#Headers],[1,68]]</f>
        <v>159.00000000000048</v>
      </c>
      <c r="BS105" s="126">
        <f>SUMIF(MatrixF4[[1]:[2]],MatrixF4[[#Headers],[1,69]])/MatrixF4[[#Headers],[1,69]]</f>
        <v>154.99999999999983</v>
      </c>
      <c r="BT105" s="126">
        <f>SUMIF(MatrixF4[[1]:[2]],MatrixF4[[#Headers],[1,7]])/MatrixF4[[#Headers],[1,7]]</f>
        <v>156.99999999999955</v>
      </c>
      <c r="BU105" s="126">
        <f>SUMIF(MatrixF4[[1]:[2]],MatrixF4[[#Headers],[1,71]])/MatrixF4[[#Headers],[1,71]]</f>
        <v>163.00000000000009</v>
      </c>
      <c r="BV105" s="126">
        <f>SUMIF(MatrixF4[[1]:[2]],MatrixF4[[#Headers],[1,72]])/MatrixF4[[#Headers],[1,72]]</f>
        <v>157.00000000000006</v>
      </c>
      <c r="BW105" s="126">
        <f>SUMIF(MatrixF4[[1]:[2]],MatrixF4[[#Headers],[1,73]])/MatrixF4[[#Headers],[1,73]]</f>
        <v>164.9999999999998</v>
      </c>
      <c r="BX105" s="126">
        <f>SUMIF(MatrixF4[[1]:[2]],MatrixF4[[#Headers],[1,74]])/MatrixF4[[#Headers],[1,74]]</f>
        <v>165.00000000000037</v>
      </c>
      <c r="BY105" s="126">
        <f>SUMIF(MatrixF4[[1]:[2]],MatrixF4[[#Headers],[1,75]])/MatrixF4[[#Headers],[1,75]]</f>
        <v>151</v>
      </c>
      <c r="BZ105" s="126">
        <f>SUMIF(MatrixF4[[1]:[2]],MatrixF4[[#Headers],[1,76]])/MatrixF4[[#Headers],[1,76]]</f>
        <v>168.9999999999996</v>
      </c>
      <c r="CA105" s="126">
        <f>SUMIF(MatrixF4[[1]:[2]],MatrixF4[[#Headers],[1,77]])/MatrixF4[[#Headers],[1,77]]</f>
        <v>159.00000000000023</v>
      </c>
      <c r="CB105" s="126">
        <f>SUMIF(MatrixF4[[1]:[2]],MatrixF4[[#Headers],[1,78]])/MatrixF4[[#Headers],[1,78]]</f>
        <v>168.99999999999969</v>
      </c>
      <c r="CC105" s="126">
        <f>SUMIF(MatrixF4[[1]:[2]],MatrixF4[[#Headers],[1,79]])/MatrixF4[[#Headers],[1,79]]</f>
        <v>158.99999999999997</v>
      </c>
      <c r="CD105" s="126">
        <f>SUMIF(MatrixF4[[1]:[2]],MatrixF4[[#Headers],[1,8]])/MatrixF4[[#Headers],[1,8]]</f>
        <v>163.00000000000048</v>
      </c>
      <c r="CE105" s="126">
        <f>SUMIF(MatrixF4[[1]:[2]],MatrixF4[[#Headers],[1,81]])/MatrixF4[[#Headers],[1,81]]</f>
        <v>163.00000000000017</v>
      </c>
      <c r="CF105" s="126">
        <f>SUMIF(MatrixF4[[1]:[2]],MatrixF4[[#Headers],[1,82]])/MatrixF4[[#Headers],[1,82]]</f>
        <v>164.99999999999955</v>
      </c>
      <c r="CG105" s="126">
        <f>SUMIF(MatrixF4[[1]:[2]],MatrixF4[[#Headers],[1,83]])/MatrixF4[[#Headers],[1,83]]</f>
        <v>151.00000000000034</v>
      </c>
      <c r="CH105" s="126">
        <f>SUMIF(MatrixF4[[1]:[2]],MatrixF4[[#Headers],[1,84]])/MatrixF4[[#Headers],[1,84]]</f>
        <v>166.99999999999986</v>
      </c>
      <c r="CI105" s="126">
        <f>SUMIF(MatrixF4[[1]:[2]],MatrixF4[[#Headers],[1,85]])/MatrixF4[[#Headers],[1,85]]</f>
        <v>163</v>
      </c>
      <c r="CJ105" s="126">
        <f>SUMIF(MatrixF4[[1]:[2]],MatrixF4[[#Headers],[1,86]])/MatrixF4[[#Headers],[1,86]]</f>
        <v>165.00000000000068</v>
      </c>
      <c r="CK105" s="126">
        <f>SUMIF(MatrixF4[[1]:[2]],MatrixF4[[#Headers],[1,87]])/MatrixF4[[#Headers],[1,87]]</f>
        <v>149.00000000000023</v>
      </c>
      <c r="CL105" s="126">
        <f>SUMIF(MatrixF4[[1]:[2]],MatrixF4[[#Headers],[1,88]])/MatrixF4[[#Headers],[1,88]]</f>
        <v>168.99999999999972</v>
      </c>
      <c r="CM105" s="126">
        <f>SUMIF(MatrixF4[[1]:[2]],MatrixF4[[#Headers],[1,89]])/MatrixF4[[#Headers],[1,89]]</f>
        <v>162.99999999999935</v>
      </c>
      <c r="CN105" s="126">
        <f>SUMIF(MatrixF4[[1]:[2]],MatrixF4[[#Headers],[1,9]])/MatrixF4[[#Headers],[1,9]]</f>
        <v>159</v>
      </c>
      <c r="CO105" s="126">
        <f>SUMIF(MatrixF4[[1]:[2]],MatrixF4[[#Headers],[1,91]])/MatrixF4[[#Headers],[1,91]]</f>
        <v>159.00000000000011</v>
      </c>
      <c r="CP105" s="126">
        <f>SUMIF(MatrixF4[[1]:[2]],MatrixF4[[#Headers],[1,92]])/MatrixF4[[#Headers],[1,92]]</f>
        <v>154.9999999999998</v>
      </c>
      <c r="CQ105" s="126">
        <f>SUMIF(MatrixF4[[1]:[2]],MatrixF4[[#Headers],[1,93]])/MatrixF4[[#Headers],[1,93]]</f>
        <v>159.00000000000045</v>
      </c>
      <c r="CR105" s="126">
        <f>SUMIF(MatrixF4[[1]:[2]],MatrixF4[[#Headers],[1,94]])/MatrixF4[[#Headers],[1,94]]</f>
        <v>148.99999999999986</v>
      </c>
      <c r="CS105" s="126">
        <f>SUMIF(MatrixF4[[1]:[2]],MatrixF4[[#Headers],[1,95]])/MatrixF4[[#Headers],[1,95]]</f>
        <v>160.99999999999955</v>
      </c>
      <c r="CT105" s="126">
        <f>SUMIF(MatrixF4[[1]:[2]],MatrixF4[[#Headers],[1,96]])/MatrixF4[[#Headers],[1,96]]</f>
        <v>152.99999999999994</v>
      </c>
      <c r="CU105" s="126">
        <f>SUMIF(MatrixF4[[1]:[2]],MatrixF4[[#Headers],[1,97]])/MatrixF4[[#Headers],[1,97]]</f>
        <v>153.00000000000028</v>
      </c>
      <c r="CV105" s="126">
        <f>SUMIF(MatrixF4[[1]:[2]],MatrixF4[[#Headers],[1,98]])/MatrixF4[[#Headers],[1,98]]</f>
        <v>148.99999999999989</v>
      </c>
      <c r="CW105" s="126">
        <f>SUMIF(MatrixF4[[1]:[2]],MatrixF4[[#Headers],[1,99]])/MatrixF4[[#Headers],[1,99]]</f>
        <v>137.00000000000026</v>
      </c>
      <c r="CX105" s="126">
        <f>SUMIF(MatrixF4[[1]:[2]],MatrixF4[[#Headers],[2]])/MatrixF4[[#Headers],[2]]</f>
        <v>201</v>
      </c>
      <c r="CZ105" s="126">
        <f>SUM(CZ3:CZ103)</f>
        <v>10201</v>
      </c>
    </row>
  </sheetData>
  <mergeCells count="1">
    <mergeCell ref="A1:C1"/>
  </mergeCells>
  <conditionalFormatting sqref="B3:CX103">
    <cfRule type="colorScale" priority="1">
      <colorScale>
        <cfvo type="min"/>
        <cfvo type="percentile" val="50"/>
        <cfvo type="max"/>
        <color rgb="FFF8696B"/>
        <color rgb="FFFFEB84"/>
        <color rgb="FF63BE7B"/>
      </colorScale>
    </cfRule>
  </conditionalFormatting>
  <hyperlinks>
    <hyperlink ref="A1:C1" location="Содержание!A1" display="&lt;&lt;НАЗАД" xr:uid="{00000000-0004-0000-1000-000000000000}"/>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1011"/>
  <dimension ref="A1:DA106"/>
  <sheetViews>
    <sheetView zoomScaleNormal="100" workbookViewId="0">
      <pane xSplit="1" ySplit="2" topLeftCell="B33" activePane="bottomRight" state="frozen"/>
      <selection pane="topRight" activeCell="B1" sqref="B1"/>
      <selection pane="bottomLeft" activeCell="A3" sqref="A3"/>
      <selection pane="bottomRight" activeCell="J49" sqref="J49"/>
    </sheetView>
  </sheetViews>
  <sheetFormatPr defaultColWidth="4.7109375" defaultRowHeight="21" customHeight="1" x14ac:dyDescent="0.25"/>
  <cols>
    <col min="1" max="16384" width="4.7109375" style="2"/>
  </cols>
  <sheetData>
    <row r="1" spans="1:105" ht="21" customHeight="1" x14ac:dyDescent="0.25">
      <c r="A1" s="261" t="s">
        <v>109</v>
      </c>
      <c r="B1" s="261"/>
      <c r="C1" s="261"/>
      <c r="E1" s="205">
        <v>1.57</v>
      </c>
      <c r="F1" s="206" t="s">
        <v>614</v>
      </c>
      <c r="G1" s="205">
        <f>COUNTIF(MatrixF5[[1]:[2]],"="&amp;E1)</f>
        <v>52</v>
      </c>
    </row>
    <row r="2" spans="1:105"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5" ht="21" customHeight="1" x14ac:dyDescent="0.25">
      <c r="A3" s="127">
        <v>1</v>
      </c>
      <c r="B3" s="128">
        <v>1</v>
      </c>
      <c r="C3" s="128">
        <v>1.01</v>
      </c>
      <c r="D3" s="128">
        <v>1.02</v>
      </c>
      <c r="E3" s="128">
        <v>1.03</v>
      </c>
      <c r="F3" s="128">
        <v>1.04</v>
      </c>
      <c r="G3" s="128">
        <v>1.05</v>
      </c>
      <c r="H3" s="128">
        <v>1.06</v>
      </c>
      <c r="I3" s="128">
        <v>1.07</v>
      </c>
      <c r="J3" s="128">
        <v>1.08</v>
      </c>
      <c r="K3" s="128">
        <v>1.0900000000000001</v>
      </c>
      <c r="L3" s="128">
        <v>1.1000000000000001</v>
      </c>
      <c r="M3" s="128">
        <v>1.1100000000000001</v>
      </c>
      <c r="N3" s="128">
        <v>1.1200000000000001</v>
      </c>
      <c r="O3" s="128">
        <v>1.1299999999999999</v>
      </c>
      <c r="P3" s="128">
        <v>1.1399999999999999</v>
      </c>
      <c r="Q3" s="128">
        <v>1.1499999999999999</v>
      </c>
      <c r="R3" s="128">
        <v>1.1599999999999999</v>
      </c>
      <c r="S3" s="128">
        <v>1.17</v>
      </c>
      <c r="T3" s="128">
        <v>1.18</v>
      </c>
      <c r="U3" s="128">
        <v>1.19</v>
      </c>
      <c r="V3" s="128">
        <v>1.2</v>
      </c>
      <c r="W3" s="128">
        <v>1.21</v>
      </c>
      <c r="X3" s="128">
        <v>1.22</v>
      </c>
      <c r="Y3" s="128">
        <v>1.23</v>
      </c>
      <c r="Z3" s="128">
        <v>1.24</v>
      </c>
      <c r="AA3" s="128">
        <v>1.25</v>
      </c>
      <c r="AB3" s="128">
        <v>1.26</v>
      </c>
      <c r="AC3" s="128">
        <v>1.27</v>
      </c>
      <c r="AD3" s="128">
        <v>1.28</v>
      </c>
      <c r="AE3" s="128">
        <v>1.29</v>
      </c>
      <c r="AF3" s="128">
        <v>1.3</v>
      </c>
      <c r="AG3" s="128">
        <v>1.31</v>
      </c>
      <c r="AH3" s="128">
        <v>1.32</v>
      </c>
      <c r="AI3" s="128">
        <v>1.33</v>
      </c>
      <c r="AJ3" s="128">
        <v>1.34</v>
      </c>
      <c r="AK3" s="128">
        <v>1.35</v>
      </c>
      <c r="AL3" s="128">
        <v>1.36</v>
      </c>
      <c r="AM3" s="128">
        <v>1.37</v>
      </c>
      <c r="AN3" s="128">
        <v>1.38</v>
      </c>
      <c r="AO3" s="128">
        <v>1.39</v>
      </c>
      <c r="AP3" s="128">
        <v>1.4</v>
      </c>
      <c r="AQ3" s="128">
        <v>1.41</v>
      </c>
      <c r="AR3" s="128">
        <v>1.42</v>
      </c>
      <c r="AS3" s="128">
        <v>1.43</v>
      </c>
      <c r="AT3" s="128">
        <v>1.44</v>
      </c>
      <c r="AU3" s="128">
        <v>1.45</v>
      </c>
      <c r="AV3" s="128">
        <v>1.46</v>
      </c>
      <c r="AW3" s="128">
        <v>1.47</v>
      </c>
      <c r="AX3" s="128">
        <v>1.48</v>
      </c>
      <c r="AY3" s="128">
        <v>1.49</v>
      </c>
      <c r="AZ3" s="128">
        <v>1.5</v>
      </c>
      <c r="BA3" s="128">
        <v>1.51</v>
      </c>
      <c r="BB3" s="128">
        <v>1.52</v>
      </c>
      <c r="BC3" s="128">
        <v>1.53</v>
      </c>
      <c r="BD3" s="128">
        <v>1.54</v>
      </c>
      <c r="BE3" s="128">
        <v>1.55</v>
      </c>
      <c r="BF3" s="128">
        <v>1.56</v>
      </c>
      <c r="BG3" s="128">
        <v>1.57</v>
      </c>
      <c r="BH3" s="128">
        <v>1.58</v>
      </c>
      <c r="BI3" s="128">
        <v>1.59</v>
      </c>
      <c r="BJ3" s="128">
        <v>1.6</v>
      </c>
      <c r="BK3" s="128">
        <v>1.61</v>
      </c>
      <c r="BL3" s="128">
        <v>1.62</v>
      </c>
      <c r="BM3" s="128">
        <v>1.63</v>
      </c>
      <c r="BN3" s="128">
        <v>1.64</v>
      </c>
      <c r="BO3" s="128">
        <v>1.65</v>
      </c>
      <c r="BP3" s="128">
        <v>1.66</v>
      </c>
      <c r="BQ3" s="128">
        <v>1.67</v>
      </c>
      <c r="BR3" s="128">
        <v>1.68</v>
      </c>
      <c r="BS3" s="128">
        <v>1.69</v>
      </c>
      <c r="BT3" s="128">
        <v>1.7</v>
      </c>
      <c r="BU3" s="128">
        <v>1.71</v>
      </c>
      <c r="BV3" s="128">
        <v>1.72</v>
      </c>
      <c r="BW3" s="128">
        <v>1.73</v>
      </c>
      <c r="BX3" s="128">
        <v>1.74</v>
      </c>
      <c r="BY3" s="128">
        <v>1.75</v>
      </c>
      <c r="BZ3" s="128">
        <v>1.76</v>
      </c>
      <c r="CA3" s="128">
        <v>1.77</v>
      </c>
      <c r="CB3" s="128">
        <v>1.78</v>
      </c>
      <c r="CC3" s="128">
        <v>1.79</v>
      </c>
      <c r="CD3" s="128">
        <v>1.8</v>
      </c>
      <c r="CE3" s="128">
        <v>1.81</v>
      </c>
      <c r="CF3" s="128">
        <v>1.82</v>
      </c>
      <c r="CG3" s="128">
        <v>1.83</v>
      </c>
      <c r="CH3" s="128">
        <v>1.84</v>
      </c>
      <c r="CI3" s="128">
        <v>1.85</v>
      </c>
      <c r="CJ3" s="128">
        <v>1.86</v>
      </c>
      <c r="CK3" s="128">
        <v>1.87</v>
      </c>
      <c r="CL3" s="128">
        <v>1.88</v>
      </c>
      <c r="CM3" s="128">
        <v>1.89</v>
      </c>
      <c r="CN3" s="128">
        <v>1.9</v>
      </c>
      <c r="CO3" s="128">
        <v>1.91</v>
      </c>
      <c r="CP3" s="128">
        <v>1.92</v>
      </c>
      <c r="CQ3" s="128">
        <v>1.93</v>
      </c>
      <c r="CR3" s="128">
        <v>1.94</v>
      </c>
      <c r="CS3" s="128">
        <v>1.95</v>
      </c>
      <c r="CT3" s="128">
        <v>1.96</v>
      </c>
      <c r="CU3" s="128">
        <v>1.97</v>
      </c>
      <c r="CV3" s="128">
        <v>1.98</v>
      </c>
      <c r="CW3" s="128">
        <v>1.99</v>
      </c>
      <c r="CX3" s="128">
        <v>2</v>
      </c>
      <c r="CZ3" s="126">
        <f>SUMIF(MatrixF5[[1]:[2]],MatrixF5[[#This Row],[Столбец1]])/MatrixF5[[#This Row],[Столбец1]]</f>
        <v>1</v>
      </c>
    </row>
    <row r="4" spans="1:105" ht="21" customHeight="1" x14ac:dyDescent="0.25">
      <c r="A4" s="127">
        <v>1.01</v>
      </c>
      <c r="B4" s="128">
        <v>1.01</v>
      </c>
      <c r="C4" s="128">
        <v>1.03</v>
      </c>
      <c r="D4" s="128">
        <v>1.04</v>
      </c>
      <c r="E4" s="128">
        <v>1.05</v>
      </c>
      <c r="F4" s="128">
        <v>1.06</v>
      </c>
      <c r="G4" s="128">
        <v>1.07</v>
      </c>
      <c r="H4" s="128">
        <v>1.08</v>
      </c>
      <c r="I4" s="128">
        <v>1.0900000000000001</v>
      </c>
      <c r="J4" s="128">
        <v>1.1000000000000001</v>
      </c>
      <c r="K4" s="128">
        <v>1.1100000000000001</v>
      </c>
      <c r="L4" s="128">
        <v>1.1200000000000001</v>
      </c>
      <c r="M4" s="128">
        <v>1.1299999999999999</v>
      </c>
      <c r="N4" s="128">
        <v>1.1399999999999999</v>
      </c>
      <c r="O4" s="128">
        <v>1.1499999999999999</v>
      </c>
      <c r="P4" s="128">
        <v>1.1599999999999999</v>
      </c>
      <c r="Q4" s="128">
        <v>1.17</v>
      </c>
      <c r="R4" s="128">
        <v>1.18</v>
      </c>
      <c r="S4" s="128">
        <v>1.19</v>
      </c>
      <c r="T4" s="128">
        <v>1.2</v>
      </c>
      <c r="U4" s="128">
        <v>1.21</v>
      </c>
      <c r="V4" s="128">
        <v>1.22</v>
      </c>
      <c r="W4" s="128">
        <v>1.23</v>
      </c>
      <c r="X4" s="128">
        <v>1.24</v>
      </c>
      <c r="Y4" s="128">
        <v>1.25</v>
      </c>
      <c r="Z4" s="128">
        <v>1.26</v>
      </c>
      <c r="AA4" s="128">
        <v>1.27</v>
      </c>
      <c r="AB4" s="128">
        <v>1.28</v>
      </c>
      <c r="AC4" s="128">
        <v>1.29</v>
      </c>
      <c r="AD4" s="128">
        <v>1.3</v>
      </c>
      <c r="AE4" s="128">
        <v>1.31</v>
      </c>
      <c r="AF4" s="128">
        <v>1.32</v>
      </c>
      <c r="AG4" s="128">
        <v>1.33</v>
      </c>
      <c r="AH4" s="128">
        <v>1.34</v>
      </c>
      <c r="AI4" s="128">
        <v>1.35</v>
      </c>
      <c r="AJ4" s="128">
        <v>1.36</v>
      </c>
      <c r="AK4" s="128">
        <v>1.37</v>
      </c>
      <c r="AL4" s="128">
        <v>1.38</v>
      </c>
      <c r="AM4" s="128">
        <v>1.39</v>
      </c>
      <c r="AN4" s="128">
        <v>1.4</v>
      </c>
      <c r="AO4" s="128">
        <v>1.41</v>
      </c>
      <c r="AP4" s="128">
        <v>1.42</v>
      </c>
      <c r="AQ4" s="128">
        <v>1.43</v>
      </c>
      <c r="AR4" s="128">
        <v>1.44</v>
      </c>
      <c r="AS4" s="128">
        <v>1.45</v>
      </c>
      <c r="AT4" s="128">
        <v>1.46</v>
      </c>
      <c r="AU4" s="128">
        <v>1.47</v>
      </c>
      <c r="AV4" s="128">
        <v>1.48</v>
      </c>
      <c r="AW4" s="128">
        <v>1.49</v>
      </c>
      <c r="AX4" s="128">
        <v>1.5</v>
      </c>
      <c r="AY4" s="128">
        <v>1.5</v>
      </c>
      <c r="AZ4" s="128">
        <v>1.51</v>
      </c>
      <c r="BA4" s="128">
        <v>1.52</v>
      </c>
      <c r="BB4" s="128">
        <v>1.53</v>
      </c>
      <c r="BC4" s="128">
        <v>1.54</v>
      </c>
      <c r="BD4" s="128">
        <v>1.55</v>
      </c>
      <c r="BE4" s="128">
        <v>1.56</v>
      </c>
      <c r="BF4" s="128">
        <v>1.57</v>
      </c>
      <c r="BG4" s="128">
        <v>1.58</v>
      </c>
      <c r="BH4" s="128">
        <v>1.59</v>
      </c>
      <c r="BI4" s="128">
        <v>1.6</v>
      </c>
      <c r="BJ4" s="128">
        <v>1.61</v>
      </c>
      <c r="BK4" s="128">
        <v>1.62</v>
      </c>
      <c r="BL4" s="128">
        <v>1.63</v>
      </c>
      <c r="BM4" s="128">
        <v>1.64</v>
      </c>
      <c r="BN4" s="128">
        <v>1.65</v>
      </c>
      <c r="BO4" s="128">
        <v>1.66</v>
      </c>
      <c r="BP4" s="128">
        <v>1.67</v>
      </c>
      <c r="BQ4" s="128">
        <v>1.68</v>
      </c>
      <c r="BR4" s="128">
        <v>1.69</v>
      </c>
      <c r="BS4" s="128">
        <v>1.7</v>
      </c>
      <c r="BT4" s="128">
        <v>1.71</v>
      </c>
      <c r="BU4" s="128">
        <v>1.72</v>
      </c>
      <c r="BV4" s="128">
        <v>1.73</v>
      </c>
      <c r="BW4" s="128">
        <v>1.74</v>
      </c>
      <c r="BX4" s="128">
        <v>1.75</v>
      </c>
      <c r="BY4" s="128">
        <v>1.76</v>
      </c>
      <c r="BZ4" s="128">
        <v>1.77</v>
      </c>
      <c r="CA4" s="128">
        <v>1.78</v>
      </c>
      <c r="CB4" s="128">
        <v>1.79</v>
      </c>
      <c r="CC4" s="128">
        <v>1.8</v>
      </c>
      <c r="CD4" s="128">
        <v>1.81</v>
      </c>
      <c r="CE4" s="128">
        <v>1.82</v>
      </c>
      <c r="CF4" s="128">
        <v>1.83</v>
      </c>
      <c r="CG4" s="128">
        <v>1.84</v>
      </c>
      <c r="CH4" s="128">
        <v>1.85</v>
      </c>
      <c r="CI4" s="128">
        <v>1.86</v>
      </c>
      <c r="CJ4" s="128">
        <v>1.87</v>
      </c>
      <c r="CK4" s="128">
        <v>1.88</v>
      </c>
      <c r="CL4" s="128">
        <v>1.89</v>
      </c>
      <c r="CM4" s="128">
        <v>1.9</v>
      </c>
      <c r="CN4" s="128">
        <v>1.91</v>
      </c>
      <c r="CO4" s="128">
        <v>1.92</v>
      </c>
      <c r="CP4" s="128">
        <v>1.93</v>
      </c>
      <c r="CQ4" s="128">
        <v>1.94</v>
      </c>
      <c r="CR4" s="128">
        <v>1.95</v>
      </c>
      <c r="CS4" s="128">
        <v>1.96</v>
      </c>
      <c r="CT4" s="128">
        <v>1.97</v>
      </c>
      <c r="CU4" s="128">
        <v>1.98</v>
      </c>
      <c r="CV4" s="128">
        <v>1.99</v>
      </c>
      <c r="CW4" s="128">
        <v>2</v>
      </c>
      <c r="CX4" s="128">
        <v>2.0099999999999998</v>
      </c>
      <c r="CZ4" s="126">
        <f>SUMIF(MatrixF5[[1]:[2]],MatrixF5[[#This Row],[Столбец1]])/MatrixF5[[#This Row],[Столбец1]]</f>
        <v>2</v>
      </c>
      <c r="DA4" s="126">
        <f>SUMIF(MatrixF5[[1]:[2]],MatrixF5[[#This Row],[Столбец1]]+1)/(MatrixF5[[#This Row],[Столбец1]]+1)</f>
        <v>130.99999999999977</v>
      </c>
    </row>
    <row r="5" spans="1:105" ht="21" customHeight="1" x14ac:dyDescent="0.25">
      <c r="A5" s="127">
        <v>1.02</v>
      </c>
      <c r="B5" s="128">
        <v>1.02</v>
      </c>
      <c r="C5" s="128">
        <v>1.04</v>
      </c>
      <c r="D5" s="128">
        <v>1.06</v>
      </c>
      <c r="E5" s="128">
        <v>1.07</v>
      </c>
      <c r="F5" s="128">
        <v>1.08</v>
      </c>
      <c r="G5" s="128">
        <v>1.0900000000000001</v>
      </c>
      <c r="H5" s="128">
        <v>1.1000000000000001</v>
      </c>
      <c r="I5" s="128">
        <v>1.1100000000000001</v>
      </c>
      <c r="J5" s="128">
        <v>1.1200000000000001</v>
      </c>
      <c r="K5" s="128">
        <v>1.1299999999999999</v>
      </c>
      <c r="L5" s="128">
        <v>1.1399999999999999</v>
      </c>
      <c r="M5" s="128">
        <v>1.1499999999999999</v>
      </c>
      <c r="N5" s="128">
        <v>1.1599999999999999</v>
      </c>
      <c r="O5" s="128">
        <v>1.17</v>
      </c>
      <c r="P5" s="128">
        <v>1.18</v>
      </c>
      <c r="Q5" s="128">
        <v>1.19</v>
      </c>
      <c r="R5" s="128">
        <v>1.2</v>
      </c>
      <c r="S5" s="128">
        <v>1.21</v>
      </c>
      <c r="T5" s="128">
        <v>1.22</v>
      </c>
      <c r="U5" s="128">
        <v>1.23</v>
      </c>
      <c r="V5" s="128">
        <v>1.24</v>
      </c>
      <c r="W5" s="128">
        <v>1.25</v>
      </c>
      <c r="X5" s="128">
        <v>1.25</v>
      </c>
      <c r="Y5" s="128">
        <v>1.26</v>
      </c>
      <c r="Z5" s="128">
        <v>1.27</v>
      </c>
      <c r="AA5" s="128">
        <v>1.28</v>
      </c>
      <c r="AB5" s="128">
        <v>1.29</v>
      </c>
      <c r="AC5" s="128">
        <v>1.3</v>
      </c>
      <c r="AD5" s="128">
        <v>1.31</v>
      </c>
      <c r="AE5" s="128">
        <v>1.32</v>
      </c>
      <c r="AF5" s="128">
        <v>1.33</v>
      </c>
      <c r="AG5" s="128">
        <v>1.34</v>
      </c>
      <c r="AH5" s="128">
        <v>1.35</v>
      </c>
      <c r="AI5" s="128">
        <v>1.36</v>
      </c>
      <c r="AJ5" s="128">
        <v>1.37</v>
      </c>
      <c r="AK5" s="128">
        <v>1.38</v>
      </c>
      <c r="AL5" s="128">
        <v>1.39</v>
      </c>
      <c r="AM5" s="128">
        <v>1.4</v>
      </c>
      <c r="AN5" s="128">
        <v>1.41</v>
      </c>
      <c r="AO5" s="128">
        <v>1.42</v>
      </c>
      <c r="AP5" s="128">
        <v>1.43</v>
      </c>
      <c r="AQ5" s="128">
        <v>1.44</v>
      </c>
      <c r="AR5" s="128">
        <v>1.45</v>
      </c>
      <c r="AS5" s="128">
        <v>1.46</v>
      </c>
      <c r="AT5" s="128">
        <v>1.47</v>
      </c>
      <c r="AU5" s="128">
        <v>1.48</v>
      </c>
      <c r="AV5" s="128">
        <v>1.49</v>
      </c>
      <c r="AW5" s="128">
        <v>1.5</v>
      </c>
      <c r="AX5" s="128">
        <v>1.51</v>
      </c>
      <c r="AY5" s="128">
        <v>1.52</v>
      </c>
      <c r="AZ5" s="128">
        <v>1.53</v>
      </c>
      <c r="BA5" s="128">
        <v>1.54</v>
      </c>
      <c r="BB5" s="128">
        <v>1.55</v>
      </c>
      <c r="BC5" s="128">
        <v>1.56</v>
      </c>
      <c r="BD5" s="128">
        <v>1.57</v>
      </c>
      <c r="BE5" s="128">
        <v>1.58</v>
      </c>
      <c r="BF5" s="128">
        <v>1.59</v>
      </c>
      <c r="BG5" s="128">
        <v>1.6</v>
      </c>
      <c r="BH5" s="128">
        <v>1.61</v>
      </c>
      <c r="BI5" s="128">
        <v>1.62</v>
      </c>
      <c r="BJ5" s="128">
        <v>1.63</v>
      </c>
      <c r="BK5" s="128">
        <v>1.64</v>
      </c>
      <c r="BL5" s="128">
        <v>1.65</v>
      </c>
      <c r="BM5" s="128">
        <v>1.66</v>
      </c>
      <c r="BN5" s="128">
        <v>1.67</v>
      </c>
      <c r="BO5" s="128">
        <v>1.68</v>
      </c>
      <c r="BP5" s="128">
        <v>1.69</v>
      </c>
      <c r="BQ5" s="128">
        <v>1.7</v>
      </c>
      <c r="BR5" s="128">
        <v>1.71</v>
      </c>
      <c r="BS5" s="128">
        <v>1.72</v>
      </c>
      <c r="BT5" s="128">
        <v>1.73</v>
      </c>
      <c r="BU5" s="128">
        <v>1.74</v>
      </c>
      <c r="BV5" s="128">
        <v>1.75</v>
      </c>
      <c r="BW5" s="128">
        <v>1.75</v>
      </c>
      <c r="BX5" s="128">
        <v>1.76</v>
      </c>
      <c r="BY5" s="128">
        <v>1.77</v>
      </c>
      <c r="BZ5" s="128">
        <v>1.78</v>
      </c>
      <c r="CA5" s="128">
        <v>1.79</v>
      </c>
      <c r="CB5" s="128">
        <v>1.8</v>
      </c>
      <c r="CC5" s="128">
        <v>1.81</v>
      </c>
      <c r="CD5" s="128">
        <v>1.82</v>
      </c>
      <c r="CE5" s="128">
        <v>1.83</v>
      </c>
      <c r="CF5" s="128">
        <v>1.84</v>
      </c>
      <c r="CG5" s="128">
        <v>1.85</v>
      </c>
      <c r="CH5" s="128">
        <v>1.86</v>
      </c>
      <c r="CI5" s="128">
        <v>1.87</v>
      </c>
      <c r="CJ5" s="128">
        <v>1.88</v>
      </c>
      <c r="CK5" s="128">
        <v>1.89</v>
      </c>
      <c r="CL5" s="128">
        <v>1.9</v>
      </c>
      <c r="CM5" s="128">
        <v>1.91</v>
      </c>
      <c r="CN5" s="128">
        <v>1.92</v>
      </c>
      <c r="CO5" s="128">
        <v>1.93</v>
      </c>
      <c r="CP5" s="128">
        <v>1.94</v>
      </c>
      <c r="CQ5" s="128">
        <v>1.95</v>
      </c>
      <c r="CR5" s="128">
        <v>1.96</v>
      </c>
      <c r="CS5" s="128">
        <v>1.97</v>
      </c>
      <c r="CT5" s="128">
        <v>1.98</v>
      </c>
      <c r="CU5" s="128">
        <v>1.99</v>
      </c>
      <c r="CV5" s="128">
        <v>2</v>
      </c>
      <c r="CW5" s="128">
        <v>2.0099999999999998</v>
      </c>
      <c r="CX5" s="128">
        <v>2.02</v>
      </c>
      <c r="CZ5" s="126">
        <f>SUMIF(MatrixF5[[1]:[2]],MatrixF5[[#This Row],[Столбец1]])/MatrixF5[[#This Row],[Столбец1]]</f>
        <v>2</v>
      </c>
      <c r="DA5" s="126">
        <f>SUMIF(MatrixF5[[1]:[2]],MatrixF5[[#This Row],[Столбец1]]+1)/(MatrixF5[[#This Row],[Столбец1]]+1)</f>
        <v>124.00000000000026</v>
      </c>
    </row>
    <row r="6" spans="1:105" ht="21" customHeight="1" x14ac:dyDescent="0.25">
      <c r="A6" s="127">
        <v>1.03</v>
      </c>
      <c r="B6" s="128">
        <v>1.03</v>
      </c>
      <c r="C6" s="128">
        <v>1.05</v>
      </c>
      <c r="D6" s="128">
        <v>1.07</v>
      </c>
      <c r="E6" s="128">
        <v>1.0900000000000001</v>
      </c>
      <c r="F6" s="128">
        <v>1.1000000000000001</v>
      </c>
      <c r="G6" s="128">
        <v>1.1100000000000001</v>
      </c>
      <c r="H6" s="128">
        <v>1.1200000000000001</v>
      </c>
      <c r="I6" s="128">
        <v>1.1299999999999999</v>
      </c>
      <c r="J6" s="128">
        <v>1.1399999999999999</v>
      </c>
      <c r="K6" s="128">
        <v>1.1499999999999999</v>
      </c>
      <c r="L6" s="128">
        <v>1.1599999999999999</v>
      </c>
      <c r="M6" s="128">
        <v>1.17</v>
      </c>
      <c r="N6" s="128">
        <v>1.17</v>
      </c>
      <c r="O6" s="128">
        <v>1.18</v>
      </c>
      <c r="P6" s="128">
        <v>1.19</v>
      </c>
      <c r="Q6" s="128">
        <v>1.2</v>
      </c>
      <c r="R6" s="128">
        <v>1.21</v>
      </c>
      <c r="S6" s="128">
        <v>1.22</v>
      </c>
      <c r="T6" s="128">
        <v>1.23</v>
      </c>
      <c r="U6" s="128">
        <v>1.24</v>
      </c>
      <c r="V6" s="128">
        <v>1.25</v>
      </c>
      <c r="W6" s="128">
        <v>1.26</v>
      </c>
      <c r="X6" s="128">
        <v>1.27</v>
      </c>
      <c r="Y6" s="128">
        <v>1.28</v>
      </c>
      <c r="Z6" s="128">
        <v>1.29</v>
      </c>
      <c r="AA6" s="128">
        <v>1.3</v>
      </c>
      <c r="AB6" s="128">
        <v>1.31</v>
      </c>
      <c r="AC6" s="128">
        <v>1.32</v>
      </c>
      <c r="AD6" s="128">
        <v>1.33</v>
      </c>
      <c r="AE6" s="128">
        <v>1.34</v>
      </c>
      <c r="AF6" s="128">
        <v>1.35</v>
      </c>
      <c r="AG6" s="128">
        <v>1.36</v>
      </c>
      <c r="AH6" s="128">
        <v>1.37</v>
      </c>
      <c r="AI6" s="128">
        <v>1.38</v>
      </c>
      <c r="AJ6" s="128">
        <v>1.39</v>
      </c>
      <c r="AK6" s="128">
        <v>1.4</v>
      </c>
      <c r="AL6" s="128">
        <v>1.41</v>
      </c>
      <c r="AM6" s="128">
        <v>1.42</v>
      </c>
      <c r="AN6" s="128">
        <v>1.43</v>
      </c>
      <c r="AO6" s="128">
        <v>1.44</v>
      </c>
      <c r="AP6" s="128">
        <v>1.45</v>
      </c>
      <c r="AQ6" s="128">
        <v>1.46</v>
      </c>
      <c r="AR6" s="128">
        <v>1.47</v>
      </c>
      <c r="AS6" s="128">
        <v>1.48</v>
      </c>
      <c r="AT6" s="128">
        <v>1.49</v>
      </c>
      <c r="AU6" s="128">
        <v>1.5</v>
      </c>
      <c r="AV6" s="128">
        <v>1.5</v>
      </c>
      <c r="AW6" s="128">
        <v>1.51</v>
      </c>
      <c r="AX6" s="128">
        <v>1.52</v>
      </c>
      <c r="AY6" s="128">
        <v>1.53</v>
      </c>
      <c r="AZ6" s="128">
        <v>1.54</v>
      </c>
      <c r="BA6" s="128">
        <v>1.55</v>
      </c>
      <c r="BB6" s="128">
        <v>1.56</v>
      </c>
      <c r="BC6" s="128">
        <v>1.57</v>
      </c>
      <c r="BD6" s="128">
        <v>1.58</v>
      </c>
      <c r="BE6" s="128">
        <v>1.59</v>
      </c>
      <c r="BF6" s="128">
        <v>1.6</v>
      </c>
      <c r="BG6" s="128">
        <v>1.61</v>
      </c>
      <c r="BH6" s="128">
        <v>1.62</v>
      </c>
      <c r="BI6" s="128">
        <v>1.63</v>
      </c>
      <c r="BJ6" s="128">
        <v>1.64</v>
      </c>
      <c r="BK6" s="128">
        <v>1.65</v>
      </c>
      <c r="BL6" s="128">
        <v>1.66</v>
      </c>
      <c r="BM6" s="128">
        <v>1.67</v>
      </c>
      <c r="BN6" s="128">
        <v>1.68</v>
      </c>
      <c r="BO6" s="128">
        <v>1.69</v>
      </c>
      <c r="BP6" s="128">
        <v>1.7</v>
      </c>
      <c r="BQ6" s="128">
        <v>1.71</v>
      </c>
      <c r="BR6" s="128">
        <v>1.72</v>
      </c>
      <c r="BS6" s="128">
        <v>1.73</v>
      </c>
      <c r="BT6" s="128">
        <v>1.74</v>
      </c>
      <c r="BU6" s="128">
        <v>1.75</v>
      </c>
      <c r="BV6" s="128">
        <v>1.76</v>
      </c>
      <c r="BW6" s="128">
        <v>1.77</v>
      </c>
      <c r="BX6" s="128">
        <v>1.78</v>
      </c>
      <c r="BY6" s="128">
        <v>1.79</v>
      </c>
      <c r="BZ6" s="128">
        <v>1.8</v>
      </c>
      <c r="CA6" s="128">
        <v>1.81</v>
      </c>
      <c r="CB6" s="128">
        <v>1.82</v>
      </c>
      <c r="CC6" s="128">
        <v>1.83</v>
      </c>
      <c r="CD6" s="128">
        <v>1.83</v>
      </c>
      <c r="CE6" s="128">
        <v>1.84</v>
      </c>
      <c r="CF6" s="128">
        <v>1.85</v>
      </c>
      <c r="CG6" s="128">
        <v>1.86</v>
      </c>
      <c r="CH6" s="128">
        <v>1.87</v>
      </c>
      <c r="CI6" s="128">
        <v>1.88</v>
      </c>
      <c r="CJ6" s="128">
        <v>1.89</v>
      </c>
      <c r="CK6" s="128">
        <v>1.9</v>
      </c>
      <c r="CL6" s="128">
        <v>1.91</v>
      </c>
      <c r="CM6" s="128">
        <v>1.92</v>
      </c>
      <c r="CN6" s="128">
        <v>1.93</v>
      </c>
      <c r="CO6" s="128">
        <v>1.94</v>
      </c>
      <c r="CP6" s="128">
        <v>1.95</v>
      </c>
      <c r="CQ6" s="128">
        <v>1.96</v>
      </c>
      <c r="CR6" s="128">
        <v>1.97</v>
      </c>
      <c r="CS6" s="128">
        <v>1.98</v>
      </c>
      <c r="CT6" s="128">
        <v>1.99</v>
      </c>
      <c r="CU6" s="128">
        <v>2</v>
      </c>
      <c r="CV6" s="128">
        <v>2.0099999999999998</v>
      </c>
      <c r="CW6" s="128">
        <v>2.02</v>
      </c>
      <c r="CX6" s="128">
        <v>2.0299999999999998</v>
      </c>
      <c r="CZ6" s="126">
        <f>SUMIF(MatrixF5[[1]:[2]],MatrixF5[[#This Row],[Столбец1]])/MatrixF5[[#This Row],[Столбец1]]</f>
        <v>3</v>
      </c>
      <c r="DA6" s="126">
        <f>SUMIF(MatrixF5[[1]:[2]],MatrixF5[[#This Row],[Столбец1]]+1)/(MatrixF5[[#This Row],[Столбец1]]+1)</f>
        <v>119.00000000000004</v>
      </c>
    </row>
    <row r="7" spans="1:105" ht="21" customHeight="1" x14ac:dyDescent="0.25">
      <c r="A7" s="127">
        <v>1.04</v>
      </c>
      <c r="B7" s="128">
        <v>1.04</v>
      </c>
      <c r="C7" s="128">
        <v>1.06</v>
      </c>
      <c r="D7" s="128">
        <v>1.08</v>
      </c>
      <c r="E7" s="128">
        <v>1.1000000000000001</v>
      </c>
      <c r="F7" s="128">
        <v>1.1200000000000001</v>
      </c>
      <c r="G7" s="128">
        <v>1.1200000000000001</v>
      </c>
      <c r="H7" s="128">
        <v>1.1299999999999999</v>
      </c>
      <c r="I7" s="128">
        <v>1.1399999999999999</v>
      </c>
      <c r="J7" s="128">
        <v>1.1499999999999999</v>
      </c>
      <c r="K7" s="128">
        <v>1.1599999999999999</v>
      </c>
      <c r="L7" s="128">
        <v>1.17</v>
      </c>
      <c r="M7" s="128">
        <v>1.18</v>
      </c>
      <c r="N7" s="128">
        <v>1.19</v>
      </c>
      <c r="O7" s="128">
        <v>1.2</v>
      </c>
      <c r="P7" s="128">
        <v>1.21</v>
      </c>
      <c r="Q7" s="128">
        <v>1.22</v>
      </c>
      <c r="R7" s="128">
        <v>1.23</v>
      </c>
      <c r="S7" s="128">
        <v>1.24</v>
      </c>
      <c r="T7" s="128">
        <v>1.25</v>
      </c>
      <c r="U7" s="128">
        <v>1.26</v>
      </c>
      <c r="V7" s="128">
        <v>1.27</v>
      </c>
      <c r="W7" s="128">
        <v>1.28</v>
      </c>
      <c r="X7" s="128">
        <v>1.29</v>
      </c>
      <c r="Y7" s="128">
        <v>1.3</v>
      </c>
      <c r="Z7" s="128">
        <v>1.31</v>
      </c>
      <c r="AA7" s="128">
        <v>1.32</v>
      </c>
      <c r="AB7" s="128">
        <v>1.33</v>
      </c>
      <c r="AC7" s="128">
        <v>1.34</v>
      </c>
      <c r="AD7" s="128">
        <v>1.35</v>
      </c>
      <c r="AE7" s="128">
        <v>1.36</v>
      </c>
      <c r="AF7" s="128">
        <v>1.37</v>
      </c>
      <c r="AG7" s="128">
        <v>1.38</v>
      </c>
      <c r="AH7" s="128">
        <v>1.38</v>
      </c>
      <c r="AI7" s="128">
        <v>1.39</v>
      </c>
      <c r="AJ7" s="128">
        <v>1.4</v>
      </c>
      <c r="AK7" s="128">
        <v>1.41</v>
      </c>
      <c r="AL7" s="128">
        <v>1.42</v>
      </c>
      <c r="AM7" s="128">
        <v>1.43</v>
      </c>
      <c r="AN7" s="128">
        <v>1.44</v>
      </c>
      <c r="AO7" s="128">
        <v>1.45</v>
      </c>
      <c r="AP7" s="128">
        <v>1.46</v>
      </c>
      <c r="AQ7" s="128">
        <v>1.47</v>
      </c>
      <c r="AR7" s="128">
        <v>1.48</v>
      </c>
      <c r="AS7" s="128">
        <v>1.49</v>
      </c>
      <c r="AT7" s="128">
        <v>1.5</v>
      </c>
      <c r="AU7" s="128">
        <v>1.51</v>
      </c>
      <c r="AV7" s="128">
        <v>1.52</v>
      </c>
      <c r="AW7" s="128">
        <v>1.53</v>
      </c>
      <c r="AX7" s="128">
        <v>1.54</v>
      </c>
      <c r="AY7" s="128">
        <v>1.55</v>
      </c>
      <c r="AZ7" s="128">
        <v>1.56</v>
      </c>
      <c r="BA7" s="128">
        <v>1.57</v>
      </c>
      <c r="BB7" s="128">
        <v>1.58</v>
      </c>
      <c r="BC7" s="128">
        <v>1.59</v>
      </c>
      <c r="BD7" s="128">
        <v>1.6</v>
      </c>
      <c r="BE7" s="128">
        <v>1.61</v>
      </c>
      <c r="BF7" s="128">
        <v>1.62</v>
      </c>
      <c r="BG7" s="128">
        <v>1.62</v>
      </c>
      <c r="BH7" s="128">
        <v>1.63</v>
      </c>
      <c r="BI7" s="128">
        <v>1.64</v>
      </c>
      <c r="BJ7" s="128">
        <v>1.65</v>
      </c>
      <c r="BK7" s="128">
        <v>1.66</v>
      </c>
      <c r="BL7" s="128">
        <v>1.67</v>
      </c>
      <c r="BM7" s="128">
        <v>1.68</v>
      </c>
      <c r="BN7" s="128">
        <v>1.69</v>
      </c>
      <c r="BO7" s="128">
        <v>1.7</v>
      </c>
      <c r="BP7" s="128">
        <v>1.71</v>
      </c>
      <c r="BQ7" s="128">
        <v>1.72</v>
      </c>
      <c r="BR7" s="128">
        <v>1.73</v>
      </c>
      <c r="BS7" s="128">
        <v>1.74</v>
      </c>
      <c r="BT7" s="128">
        <v>1.75</v>
      </c>
      <c r="BU7" s="128">
        <v>1.76</v>
      </c>
      <c r="BV7" s="128">
        <v>1.77</v>
      </c>
      <c r="BW7" s="128">
        <v>1.78</v>
      </c>
      <c r="BX7" s="128">
        <v>1.79</v>
      </c>
      <c r="BY7" s="128">
        <v>1.8</v>
      </c>
      <c r="BZ7" s="128">
        <v>1.81</v>
      </c>
      <c r="CA7" s="128">
        <v>1.82</v>
      </c>
      <c r="CB7" s="128">
        <v>1.83</v>
      </c>
      <c r="CC7" s="128">
        <v>1.84</v>
      </c>
      <c r="CD7" s="128">
        <v>1.85</v>
      </c>
      <c r="CE7" s="128">
        <v>1.86</v>
      </c>
      <c r="CF7" s="128">
        <v>1.87</v>
      </c>
      <c r="CG7" s="128">
        <v>1.88</v>
      </c>
      <c r="CH7" s="128">
        <v>1.88</v>
      </c>
      <c r="CI7" s="128">
        <v>1.89</v>
      </c>
      <c r="CJ7" s="128">
        <v>1.9</v>
      </c>
      <c r="CK7" s="128">
        <v>1.91</v>
      </c>
      <c r="CL7" s="128">
        <v>1.92</v>
      </c>
      <c r="CM7" s="128">
        <v>1.93</v>
      </c>
      <c r="CN7" s="128">
        <v>1.94</v>
      </c>
      <c r="CO7" s="128">
        <v>1.95</v>
      </c>
      <c r="CP7" s="128">
        <v>1.96</v>
      </c>
      <c r="CQ7" s="128">
        <v>1.97</v>
      </c>
      <c r="CR7" s="128">
        <v>1.98</v>
      </c>
      <c r="CS7" s="128">
        <v>1.99</v>
      </c>
      <c r="CT7" s="128">
        <v>2</v>
      </c>
      <c r="CU7" s="128">
        <v>2.0099999999999998</v>
      </c>
      <c r="CV7" s="128">
        <v>2.02</v>
      </c>
      <c r="CW7" s="128">
        <v>2.0299999999999998</v>
      </c>
      <c r="CX7" s="128">
        <v>2.04</v>
      </c>
      <c r="CZ7" s="126">
        <f>SUMIF(MatrixF5[[1]:[2]],MatrixF5[[#This Row],[Столбец1]])/MatrixF5[[#This Row],[Столбец1]]</f>
        <v>4</v>
      </c>
      <c r="DA7" s="126">
        <f>SUMIF(MatrixF5[[1]:[2]],MatrixF5[[#This Row],[Столбец1]]+1)/(MatrixF5[[#This Row],[Столбец1]]+1)</f>
        <v>118.99999999999987</v>
      </c>
    </row>
    <row r="8" spans="1:105" ht="21" customHeight="1" x14ac:dyDescent="0.25">
      <c r="A8" s="127">
        <v>1.05</v>
      </c>
      <c r="B8" s="128">
        <v>1.05</v>
      </c>
      <c r="C8" s="128">
        <v>1.07</v>
      </c>
      <c r="D8" s="128">
        <v>1.0900000000000001</v>
      </c>
      <c r="E8" s="128">
        <v>1.1100000000000001</v>
      </c>
      <c r="F8" s="128">
        <v>1.1200000000000001</v>
      </c>
      <c r="G8" s="128">
        <v>1.1399999999999999</v>
      </c>
      <c r="H8" s="128">
        <v>1.1499999999999999</v>
      </c>
      <c r="I8" s="128">
        <v>1.1599999999999999</v>
      </c>
      <c r="J8" s="128">
        <v>1.17</v>
      </c>
      <c r="K8" s="128">
        <v>1.18</v>
      </c>
      <c r="L8" s="128">
        <v>1.19</v>
      </c>
      <c r="M8" s="128">
        <v>1.2</v>
      </c>
      <c r="N8" s="128">
        <v>1.21</v>
      </c>
      <c r="O8" s="128">
        <v>1.22</v>
      </c>
      <c r="P8" s="128">
        <v>1.23</v>
      </c>
      <c r="Q8" s="128">
        <v>1.24</v>
      </c>
      <c r="R8" s="128">
        <v>1.25</v>
      </c>
      <c r="S8" s="128">
        <v>1.26</v>
      </c>
      <c r="T8" s="128">
        <v>1.27</v>
      </c>
      <c r="U8" s="128">
        <v>1.28</v>
      </c>
      <c r="V8" s="128">
        <v>1.29</v>
      </c>
      <c r="W8" s="128">
        <v>1.3</v>
      </c>
      <c r="X8" s="128">
        <v>1.3</v>
      </c>
      <c r="Y8" s="128">
        <v>1.31</v>
      </c>
      <c r="Z8" s="128">
        <v>1.32</v>
      </c>
      <c r="AA8" s="128">
        <v>1.33</v>
      </c>
      <c r="AB8" s="128">
        <v>1.34</v>
      </c>
      <c r="AC8" s="128">
        <v>1.35</v>
      </c>
      <c r="AD8" s="128">
        <v>1.36</v>
      </c>
      <c r="AE8" s="128">
        <v>1.37</v>
      </c>
      <c r="AF8" s="128">
        <v>1.38</v>
      </c>
      <c r="AG8" s="128">
        <v>1.39</v>
      </c>
      <c r="AH8" s="128">
        <v>1.4</v>
      </c>
      <c r="AI8" s="128">
        <v>1.41</v>
      </c>
      <c r="AJ8" s="128">
        <v>1.42</v>
      </c>
      <c r="AK8" s="128">
        <v>1.43</v>
      </c>
      <c r="AL8" s="128">
        <v>1.44</v>
      </c>
      <c r="AM8" s="128">
        <v>1.45</v>
      </c>
      <c r="AN8" s="128">
        <v>1.46</v>
      </c>
      <c r="AO8" s="128">
        <v>1.47</v>
      </c>
      <c r="AP8" s="128">
        <v>1.48</v>
      </c>
      <c r="AQ8" s="128">
        <v>1.49</v>
      </c>
      <c r="AR8" s="128">
        <v>1.5</v>
      </c>
      <c r="AS8" s="128">
        <v>1.5</v>
      </c>
      <c r="AT8" s="128">
        <v>1.51</v>
      </c>
      <c r="AU8" s="128">
        <v>1.52</v>
      </c>
      <c r="AV8" s="128">
        <v>1.53</v>
      </c>
      <c r="AW8" s="128">
        <v>1.54</v>
      </c>
      <c r="AX8" s="128">
        <v>1.55</v>
      </c>
      <c r="AY8" s="128">
        <v>1.56</v>
      </c>
      <c r="AZ8" s="128">
        <v>1.57</v>
      </c>
      <c r="BA8" s="128">
        <v>1.58</v>
      </c>
      <c r="BB8" s="128">
        <v>1.59</v>
      </c>
      <c r="BC8" s="128">
        <v>1.6</v>
      </c>
      <c r="BD8" s="128">
        <v>1.61</v>
      </c>
      <c r="BE8" s="128">
        <v>1.62</v>
      </c>
      <c r="BF8" s="128">
        <v>1.63</v>
      </c>
      <c r="BG8" s="128">
        <v>1.64</v>
      </c>
      <c r="BH8" s="128">
        <v>1.65</v>
      </c>
      <c r="BI8" s="128">
        <v>1.66</v>
      </c>
      <c r="BJ8" s="128">
        <v>1.67</v>
      </c>
      <c r="BK8" s="128">
        <v>1.68</v>
      </c>
      <c r="BL8" s="128">
        <v>1.69</v>
      </c>
      <c r="BM8" s="128">
        <v>1.7</v>
      </c>
      <c r="BN8" s="128">
        <v>1.7</v>
      </c>
      <c r="BO8" s="128">
        <v>1.71</v>
      </c>
      <c r="BP8" s="128">
        <v>1.72</v>
      </c>
      <c r="BQ8" s="128">
        <v>1.73</v>
      </c>
      <c r="BR8" s="128">
        <v>1.74</v>
      </c>
      <c r="BS8" s="128">
        <v>1.75</v>
      </c>
      <c r="BT8" s="128">
        <v>1.76</v>
      </c>
      <c r="BU8" s="128">
        <v>1.77</v>
      </c>
      <c r="BV8" s="128">
        <v>1.78</v>
      </c>
      <c r="BW8" s="128">
        <v>1.79</v>
      </c>
      <c r="BX8" s="128">
        <v>1.8</v>
      </c>
      <c r="BY8" s="128">
        <v>1.81</v>
      </c>
      <c r="BZ8" s="128">
        <v>1.82</v>
      </c>
      <c r="CA8" s="128">
        <v>1.83</v>
      </c>
      <c r="CB8" s="128">
        <v>1.84</v>
      </c>
      <c r="CC8" s="128">
        <v>1.85</v>
      </c>
      <c r="CD8" s="128">
        <v>1.86</v>
      </c>
      <c r="CE8" s="128">
        <v>1.87</v>
      </c>
      <c r="CF8" s="128">
        <v>1.88</v>
      </c>
      <c r="CG8" s="128">
        <v>1.89</v>
      </c>
      <c r="CH8" s="128">
        <v>1.9</v>
      </c>
      <c r="CI8" s="128">
        <v>1.9</v>
      </c>
      <c r="CJ8" s="128">
        <v>1.91</v>
      </c>
      <c r="CK8" s="128">
        <v>1.92</v>
      </c>
      <c r="CL8" s="128">
        <v>1.93</v>
      </c>
      <c r="CM8" s="128">
        <v>1.94</v>
      </c>
      <c r="CN8" s="128">
        <v>1.95</v>
      </c>
      <c r="CO8" s="128">
        <v>1.96</v>
      </c>
      <c r="CP8" s="128">
        <v>1.97</v>
      </c>
      <c r="CQ8" s="128">
        <v>1.98</v>
      </c>
      <c r="CR8" s="128">
        <v>1.99</v>
      </c>
      <c r="CS8" s="128">
        <v>2</v>
      </c>
      <c r="CT8" s="128">
        <v>2.0099999999999998</v>
      </c>
      <c r="CU8" s="128">
        <v>2.02</v>
      </c>
      <c r="CV8" s="128">
        <v>2.0299999999999998</v>
      </c>
      <c r="CW8" s="128">
        <v>2.04</v>
      </c>
      <c r="CX8" s="128">
        <v>2.0499999999999998</v>
      </c>
      <c r="CZ8" s="126">
        <f>SUMIF(MatrixF5[[1]:[2]],MatrixF5[[#This Row],[Столбец1]])/MatrixF5[[#This Row],[Столбец1]]</f>
        <v>4</v>
      </c>
      <c r="DA8" s="126">
        <f>SUMIF(MatrixF5[[1]:[2]],MatrixF5[[#This Row],[Столбец1]]+1)/(MatrixF5[[#This Row],[Столбец1]]+1)</f>
        <v>111.00000000000023</v>
      </c>
    </row>
    <row r="9" spans="1:105" ht="21" customHeight="1" x14ac:dyDescent="0.25">
      <c r="A9" s="127">
        <v>1.06</v>
      </c>
      <c r="B9" s="128">
        <v>1.06</v>
      </c>
      <c r="C9" s="128">
        <v>1.08</v>
      </c>
      <c r="D9" s="128">
        <v>1.1000000000000001</v>
      </c>
      <c r="E9" s="128">
        <v>1.1200000000000001</v>
      </c>
      <c r="F9" s="128">
        <v>1.1299999999999999</v>
      </c>
      <c r="G9" s="128">
        <v>1.1499999999999999</v>
      </c>
      <c r="H9" s="128">
        <v>1.17</v>
      </c>
      <c r="I9" s="128">
        <v>1.18</v>
      </c>
      <c r="J9" s="128">
        <v>1.19</v>
      </c>
      <c r="K9" s="128">
        <v>1.2</v>
      </c>
      <c r="L9" s="128">
        <v>1.21</v>
      </c>
      <c r="M9" s="128">
        <v>1.22</v>
      </c>
      <c r="N9" s="128">
        <v>1.23</v>
      </c>
      <c r="O9" s="128">
        <v>1.24</v>
      </c>
      <c r="P9" s="128">
        <v>1.25</v>
      </c>
      <c r="Q9" s="128">
        <v>1.25</v>
      </c>
      <c r="R9" s="128">
        <v>1.26</v>
      </c>
      <c r="S9" s="128">
        <v>1.27</v>
      </c>
      <c r="T9" s="128">
        <v>1.28</v>
      </c>
      <c r="U9" s="128">
        <v>1.29</v>
      </c>
      <c r="V9" s="128">
        <v>1.3</v>
      </c>
      <c r="W9" s="128">
        <v>1.31</v>
      </c>
      <c r="X9" s="128">
        <v>1.32</v>
      </c>
      <c r="Y9" s="128">
        <v>1.33</v>
      </c>
      <c r="Z9" s="128">
        <v>1.34</v>
      </c>
      <c r="AA9" s="128">
        <v>1.35</v>
      </c>
      <c r="AB9" s="128">
        <v>1.36</v>
      </c>
      <c r="AC9" s="128">
        <v>1.37</v>
      </c>
      <c r="AD9" s="128">
        <v>1.38</v>
      </c>
      <c r="AE9" s="128">
        <v>1.39</v>
      </c>
      <c r="AF9" s="128">
        <v>1.4</v>
      </c>
      <c r="AG9" s="128">
        <v>1.41</v>
      </c>
      <c r="AH9" s="128">
        <v>1.42</v>
      </c>
      <c r="AI9" s="128">
        <v>1.42</v>
      </c>
      <c r="AJ9" s="128">
        <v>1.43</v>
      </c>
      <c r="AK9" s="128">
        <v>1.44</v>
      </c>
      <c r="AL9" s="128">
        <v>1.45</v>
      </c>
      <c r="AM9" s="128">
        <v>1.46</v>
      </c>
      <c r="AN9" s="128">
        <v>1.47</v>
      </c>
      <c r="AO9" s="128">
        <v>1.48</v>
      </c>
      <c r="AP9" s="128">
        <v>1.49</v>
      </c>
      <c r="AQ9" s="128">
        <v>1.5</v>
      </c>
      <c r="AR9" s="128">
        <v>1.51</v>
      </c>
      <c r="AS9" s="128">
        <v>1.52</v>
      </c>
      <c r="AT9" s="128">
        <v>1.53</v>
      </c>
      <c r="AU9" s="128">
        <v>1.54</v>
      </c>
      <c r="AV9" s="128">
        <v>1.55</v>
      </c>
      <c r="AW9" s="128">
        <v>1.56</v>
      </c>
      <c r="AX9" s="128">
        <v>1.57</v>
      </c>
      <c r="AY9" s="128">
        <v>1.58</v>
      </c>
      <c r="AZ9" s="128">
        <v>1.58</v>
      </c>
      <c r="BA9" s="128">
        <v>1.59</v>
      </c>
      <c r="BB9" s="128">
        <v>1.6</v>
      </c>
      <c r="BC9" s="128">
        <v>1.61</v>
      </c>
      <c r="BD9" s="128">
        <v>1.62</v>
      </c>
      <c r="BE9" s="128">
        <v>1.63</v>
      </c>
      <c r="BF9" s="128">
        <v>1.64</v>
      </c>
      <c r="BG9" s="128">
        <v>1.65</v>
      </c>
      <c r="BH9" s="128">
        <v>1.66</v>
      </c>
      <c r="BI9" s="128">
        <v>1.67</v>
      </c>
      <c r="BJ9" s="128">
        <v>1.68</v>
      </c>
      <c r="BK9" s="128">
        <v>1.69</v>
      </c>
      <c r="BL9" s="128">
        <v>1.7</v>
      </c>
      <c r="BM9" s="128">
        <v>1.71</v>
      </c>
      <c r="BN9" s="128">
        <v>1.72</v>
      </c>
      <c r="BO9" s="128">
        <v>1.73</v>
      </c>
      <c r="BP9" s="128">
        <v>1.74</v>
      </c>
      <c r="BQ9" s="128">
        <v>1.75</v>
      </c>
      <c r="BR9" s="128">
        <v>1.75</v>
      </c>
      <c r="BS9" s="128">
        <v>1.76</v>
      </c>
      <c r="BT9" s="128">
        <v>1.77</v>
      </c>
      <c r="BU9" s="128">
        <v>1.78</v>
      </c>
      <c r="BV9" s="128">
        <v>1.79</v>
      </c>
      <c r="BW9" s="128">
        <v>1.8</v>
      </c>
      <c r="BX9" s="128">
        <v>1.81</v>
      </c>
      <c r="BY9" s="128">
        <v>1.82</v>
      </c>
      <c r="BZ9" s="128">
        <v>1.83</v>
      </c>
      <c r="CA9" s="128">
        <v>1.84</v>
      </c>
      <c r="CB9" s="128">
        <v>1.85</v>
      </c>
      <c r="CC9" s="128">
        <v>1.86</v>
      </c>
      <c r="CD9" s="128">
        <v>1.87</v>
      </c>
      <c r="CE9" s="128">
        <v>1.88</v>
      </c>
      <c r="CF9" s="128">
        <v>1.89</v>
      </c>
      <c r="CG9" s="128">
        <v>1.9</v>
      </c>
      <c r="CH9" s="128">
        <v>1.91</v>
      </c>
      <c r="CI9" s="128">
        <v>1.92</v>
      </c>
      <c r="CJ9" s="128">
        <v>1.92</v>
      </c>
      <c r="CK9" s="128">
        <v>1.93</v>
      </c>
      <c r="CL9" s="128">
        <v>1.94</v>
      </c>
      <c r="CM9" s="128">
        <v>1.95</v>
      </c>
      <c r="CN9" s="128">
        <v>1.96</v>
      </c>
      <c r="CO9" s="128">
        <v>1.97</v>
      </c>
      <c r="CP9" s="128">
        <v>1.98</v>
      </c>
      <c r="CQ9" s="128">
        <v>1.99</v>
      </c>
      <c r="CR9" s="128">
        <v>2</v>
      </c>
      <c r="CS9" s="128">
        <v>2.0099999999999998</v>
      </c>
      <c r="CT9" s="128">
        <v>2.02</v>
      </c>
      <c r="CU9" s="128">
        <v>2.0299999999999998</v>
      </c>
      <c r="CV9" s="128">
        <v>2.04</v>
      </c>
      <c r="CW9" s="128">
        <v>2.0499999999999998</v>
      </c>
      <c r="CX9" s="128">
        <v>2.06</v>
      </c>
      <c r="CZ9" s="126">
        <f>SUMIF(MatrixF5[[1]:[2]],MatrixF5[[#This Row],[Столбец1]])/MatrixF5[[#This Row],[Столбец1]]</f>
        <v>5</v>
      </c>
      <c r="DA9" s="126">
        <f>SUMIF(MatrixF5[[1]:[2]],MatrixF5[[#This Row],[Столбец1]]+1)/(MatrixF5[[#This Row],[Столбец1]]+1)</f>
        <v>118.0000000000001</v>
      </c>
    </row>
    <row r="10" spans="1:105" ht="21" customHeight="1" x14ac:dyDescent="0.25">
      <c r="A10" s="127">
        <v>1.07</v>
      </c>
      <c r="B10" s="128">
        <v>1.07</v>
      </c>
      <c r="C10" s="128">
        <v>1.0900000000000001</v>
      </c>
      <c r="D10" s="128">
        <v>1.1100000000000001</v>
      </c>
      <c r="E10" s="128">
        <v>1.1299999999999999</v>
      </c>
      <c r="F10" s="128">
        <v>1.1399999999999999</v>
      </c>
      <c r="G10" s="128">
        <v>1.1599999999999999</v>
      </c>
      <c r="H10" s="128">
        <v>1.18</v>
      </c>
      <c r="I10" s="128">
        <v>1.2</v>
      </c>
      <c r="J10" s="128">
        <v>1.21</v>
      </c>
      <c r="K10" s="128">
        <v>1.21</v>
      </c>
      <c r="L10" s="128">
        <v>1.22</v>
      </c>
      <c r="M10" s="128">
        <v>1.23</v>
      </c>
      <c r="N10" s="128">
        <v>1.24</v>
      </c>
      <c r="O10" s="128">
        <v>1.25</v>
      </c>
      <c r="P10" s="128">
        <v>1.26</v>
      </c>
      <c r="Q10" s="128">
        <v>1.27</v>
      </c>
      <c r="R10" s="128">
        <v>1.28</v>
      </c>
      <c r="S10" s="128">
        <v>1.29</v>
      </c>
      <c r="T10" s="128">
        <v>1.3</v>
      </c>
      <c r="U10" s="128">
        <v>1.31</v>
      </c>
      <c r="V10" s="128">
        <v>1.32</v>
      </c>
      <c r="W10" s="128">
        <v>1.33</v>
      </c>
      <c r="X10" s="128">
        <v>1.34</v>
      </c>
      <c r="Y10" s="128">
        <v>1.35</v>
      </c>
      <c r="Z10" s="128">
        <v>1.36</v>
      </c>
      <c r="AA10" s="128">
        <v>1.36</v>
      </c>
      <c r="AB10" s="128">
        <v>1.37</v>
      </c>
      <c r="AC10" s="128">
        <v>1.38</v>
      </c>
      <c r="AD10" s="128">
        <v>1.39</v>
      </c>
      <c r="AE10" s="128">
        <v>1.4</v>
      </c>
      <c r="AF10" s="128">
        <v>1.41</v>
      </c>
      <c r="AG10" s="128">
        <v>1.42</v>
      </c>
      <c r="AH10" s="128">
        <v>1.43</v>
      </c>
      <c r="AI10" s="128">
        <v>1.44</v>
      </c>
      <c r="AJ10" s="128">
        <v>1.45</v>
      </c>
      <c r="AK10" s="128">
        <v>1.46</v>
      </c>
      <c r="AL10" s="128">
        <v>1.47</v>
      </c>
      <c r="AM10" s="128">
        <v>1.48</v>
      </c>
      <c r="AN10" s="128">
        <v>1.49</v>
      </c>
      <c r="AO10" s="128">
        <v>1.5</v>
      </c>
      <c r="AP10" s="128">
        <v>1.5</v>
      </c>
      <c r="AQ10" s="128">
        <v>1.51</v>
      </c>
      <c r="AR10" s="128">
        <v>1.52</v>
      </c>
      <c r="AS10" s="128">
        <v>1.53</v>
      </c>
      <c r="AT10" s="128">
        <v>1.54</v>
      </c>
      <c r="AU10" s="128">
        <v>1.55</v>
      </c>
      <c r="AV10" s="128">
        <v>1.56</v>
      </c>
      <c r="AW10" s="128">
        <v>1.57</v>
      </c>
      <c r="AX10" s="128">
        <v>1.58</v>
      </c>
      <c r="AY10" s="128">
        <v>1.59</v>
      </c>
      <c r="AZ10" s="128">
        <v>1.6</v>
      </c>
      <c r="BA10" s="128">
        <v>1.61</v>
      </c>
      <c r="BB10" s="128">
        <v>1.62</v>
      </c>
      <c r="BC10" s="128">
        <v>1.63</v>
      </c>
      <c r="BD10" s="128">
        <v>1.64</v>
      </c>
      <c r="BE10" s="128">
        <v>1.64</v>
      </c>
      <c r="BF10" s="128">
        <v>1.65</v>
      </c>
      <c r="BG10" s="128">
        <v>1.66</v>
      </c>
      <c r="BH10" s="128">
        <v>1.67</v>
      </c>
      <c r="BI10" s="128">
        <v>1.68</v>
      </c>
      <c r="BJ10" s="128">
        <v>1.69</v>
      </c>
      <c r="BK10" s="128">
        <v>1.7</v>
      </c>
      <c r="BL10" s="128">
        <v>1.71</v>
      </c>
      <c r="BM10" s="128">
        <v>1.72</v>
      </c>
      <c r="BN10" s="128">
        <v>1.73</v>
      </c>
      <c r="BO10" s="128">
        <v>1.74</v>
      </c>
      <c r="BP10" s="128">
        <v>1.75</v>
      </c>
      <c r="BQ10" s="128">
        <v>1.76</v>
      </c>
      <c r="BR10" s="128">
        <v>1.77</v>
      </c>
      <c r="BS10" s="128">
        <v>1.78</v>
      </c>
      <c r="BT10" s="128">
        <v>1.79</v>
      </c>
      <c r="BU10" s="128">
        <v>1.79</v>
      </c>
      <c r="BV10" s="128">
        <v>1.8</v>
      </c>
      <c r="BW10" s="128">
        <v>1.81</v>
      </c>
      <c r="BX10" s="128">
        <v>1.82</v>
      </c>
      <c r="BY10" s="128">
        <v>1.83</v>
      </c>
      <c r="BZ10" s="128">
        <v>1.84</v>
      </c>
      <c r="CA10" s="128">
        <v>1.85</v>
      </c>
      <c r="CB10" s="128">
        <v>1.86</v>
      </c>
      <c r="CC10" s="128">
        <v>1.87</v>
      </c>
      <c r="CD10" s="128">
        <v>1.88</v>
      </c>
      <c r="CE10" s="128">
        <v>1.89</v>
      </c>
      <c r="CF10" s="128">
        <v>1.9</v>
      </c>
      <c r="CG10" s="128">
        <v>1.91</v>
      </c>
      <c r="CH10" s="128">
        <v>1.92</v>
      </c>
      <c r="CI10" s="128">
        <v>1.93</v>
      </c>
      <c r="CJ10" s="128">
        <v>1.93</v>
      </c>
      <c r="CK10" s="128">
        <v>1.94</v>
      </c>
      <c r="CL10" s="128">
        <v>1.95</v>
      </c>
      <c r="CM10" s="128">
        <v>1.96</v>
      </c>
      <c r="CN10" s="128">
        <v>1.97</v>
      </c>
      <c r="CO10" s="128">
        <v>1.98</v>
      </c>
      <c r="CP10" s="128">
        <v>1.99</v>
      </c>
      <c r="CQ10" s="128">
        <v>2</v>
      </c>
      <c r="CR10" s="128">
        <v>2.0099999999999998</v>
      </c>
      <c r="CS10" s="128">
        <v>2.02</v>
      </c>
      <c r="CT10" s="128">
        <v>2.0299999999999998</v>
      </c>
      <c r="CU10" s="128">
        <v>2.04</v>
      </c>
      <c r="CV10" s="128">
        <v>2.0499999999999998</v>
      </c>
      <c r="CW10" s="128">
        <v>2.06</v>
      </c>
      <c r="CX10" s="128">
        <v>2.0699999999999998</v>
      </c>
      <c r="CZ10" s="126">
        <f>SUMIF(MatrixF5[[1]:[2]],MatrixF5[[#This Row],[Столбец1]])/MatrixF5[[#This Row],[Столбец1]]</f>
        <v>6</v>
      </c>
      <c r="DA10" s="126">
        <f>SUMIF(MatrixF5[[1]:[2]],MatrixF5[[#This Row],[Столбец1]]+1)/(MatrixF5[[#This Row],[Столбец1]]+1)</f>
        <v>108.99999999999973</v>
      </c>
    </row>
    <row r="11" spans="1:105" ht="21" customHeight="1" x14ac:dyDescent="0.25">
      <c r="A11" s="127">
        <v>1.08</v>
      </c>
      <c r="B11" s="128">
        <v>1.08</v>
      </c>
      <c r="C11" s="128">
        <v>1.1000000000000001</v>
      </c>
      <c r="D11" s="128">
        <v>1.1200000000000001</v>
      </c>
      <c r="E11" s="128">
        <v>1.1399999999999999</v>
      </c>
      <c r="F11" s="128">
        <v>1.1499999999999999</v>
      </c>
      <c r="G11" s="128">
        <v>1.17</v>
      </c>
      <c r="H11" s="128">
        <v>1.19</v>
      </c>
      <c r="I11" s="128">
        <v>1.21</v>
      </c>
      <c r="J11" s="128">
        <v>1.22</v>
      </c>
      <c r="K11" s="128">
        <v>1.23</v>
      </c>
      <c r="L11" s="128">
        <v>1.24</v>
      </c>
      <c r="M11" s="128">
        <v>1.25</v>
      </c>
      <c r="N11" s="128">
        <v>1.26</v>
      </c>
      <c r="O11" s="128">
        <v>1.27</v>
      </c>
      <c r="P11" s="128">
        <v>1.28</v>
      </c>
      <c r="Q11" s="128">
        <v>1.29</v>
      </c>
      <c r="R11" s="128">
        <v>1.3</v>
      </c>
      <c r="S11" s="128">
        <v>1.31</v>
      </c>
      <c r="T11" s="128">
        <v>1.31</v>
      </c>
      <c r="U11" s="128">
        <v>1.32</v>
      </c>
      <c r="V11" s="128">
        <v>1.33</v>
      </c>
      <c r="W11" s="128">
        <v>1.34</v>
      </c>
      <c r="X11" s="128">
        <v>1.35</v>
      </c>
      <c r="Y11" s="128">
        <v>1.36</v>
      </c>
      <c r="Z11" s="128">
        <v>1.37</v>
      </c>
      <c r="AA11" s="128">
        <v>1.38</v>
      </c>
      <c r="AB11" s="128">
        <v>1.39</v>
      </c>
      <c r="AC11" s="128">
        <v>1.4</v>
      </c>
      <c r="AD11" s="128">
        <v>1.41</v>
      </c>
      <c r="AE11" s="128">
        <v>1.42</v>
      </c>
      <c r="AF11" s="128">
        <v>1.43</v>
      </c>
      <c r="AG11" s="128">
        <v>1.44</v>
      </c>
      <c r="AH11" s="128">
        <v>1.44</v>
      </c>
      <c r="AI11" s="128">
        <v>1.45</v>
      </c>
      <c r="AJ11" s="128">
        <v>1.46</v>
      </c>
      <c r="AK11" s="128">
        <v>1.47</v>
      </c>
      <c r="AL11" s="128">
        <v>1.48</v>
      </c>
      <c r="AM11" s="128">
        <v>1.49</v>
      </c>
      <c r="AN11" s="128">
        <v>1.5</v>
      </c>
      <c r="AO11" s="128">
        <v>1.51</v>
      </c>
      <c r="AP11" s="128">
        <v>1.52</v>
      </c>
      <c r="AQ11" s="128">
        <v>1.53</v>
      </c>
      <c r="AR11" s="128">
        <v>1.54</v>
      </c>
      <c r="AS11" s="128">
        <v>1.55</v>
      </c>
      <c r="AT11" s="128">
        <v>1.56</v>
      </c>
      <c r="AU11" s="128">
        <v>1.56</v>
      </c>
      <c r="AV11" s="128">
        <v>1.57</v>
      </c>
      <c r="AW11" s="128">
        <v>1.58</v>
      </c>
      <c r="AX11" s="128">
        <v>1.59</v>
      </c>
      <c r="AY11" s="128">
        <v>1.6</v>
      </c>
      <c r="AZ11" s="128">
        <v>1.61</v>
      </c>
      <c r="BA11" s="128">
        <v>1.62</v>
      </c>
      <c r="BB11" s="128">
        <v>1.63</v>
      </c>
      <c r="BC11" s="128">
        <v>1.64</v>
      </c>
      <c r="BD11" s="128">
        <v>1.65</v>
      </c>
      <c r="BE11" s="128">
        <v>1.66</v>
      </c>
      <c r="BF11" s="128">
        <v>1.67</v>
      </c>
      <c r="BG11" s="128">
        <v>1.68</v>
      </c>
      <c r="BH11" s="128">
        <v>1.69</v>
      </c>
      <c r="BI11" s="128">
        <v>1.69</v>
      </c>
      <c r="BJ11" s="128">
        <v>1.7</v>
      </c>
      <c r="BK11" s="128">
        <v>1.71</v>
      </c>
      <c r="BL11" s="128">
        <v>1.72</v>
      </c>
      <c r="BM11" s="128">
        <v>1.73</v>
      </c>
      <c r="BN11" s="128">
        <v>1.74</v>
      </c>
      <c r="BO11" s="128">
        <v>1.75</v>
      </c>
      <c r="BP11" s="128">
        <v>1.76</v>
      </c>
      <c r="BQ11" s="128">
        <v>1.77</v>
      </c>
      <c r="BR11" s="128">
        <v>1.78</v>
      </c>
      <c r="BS11" s="128">
        <v>1.79</v>
      </c>
      <c r="BT11" s="128">
        <v>1.8</v>
      </c>
      <c r="BU11" s="128">
        <v>1.81</v>
      </c>
      <c r="BV11" s="128">
        <v>1.81</v>
      </c>
      <c r="BW11" s="128">
        <v>1.82</v>
      </c>
      <c r="BX11" s="128">
        <v>1.83</v>
      </c>
      <c r="BY11" s="128">
        <v>1.84</v>
      </c>
      <c r="BZ11" s="128">
        <v>1.85</v>
      </c>
      <c r="CA11" s="128">
        <v>1.86</v>
      </c>
      <c r="CB11" s="128">
        <v>1.87</v>
      </c>
      <c r="CC11" s="128">
        <v>1.88</v>
      </c>
      <c r="CD11" s="128">
        <v>1.89</v>
      </c>
      <c r="CE11" s="128">
        <v>1.9</v>
      </c>
      <c r="CF11" s="128">
        <v>1.91</v>
      </c>
      <c r="CG11" s="128">
        <v>1.92</v>
      </c>
      <c r="CH11" s="128">
        <v>1.93</v>
      </c>
      <c r="CI11" s="128">
        <v>1.94</v>
      </c>
      <c r="CJ11" s="128">
        <v>1.94</v>
      </c>
      <c r="CK11" s="128">
        <v>1.95</v>
      </c>
      <c r="CL11" s="128">
        <v>1.96</v>
      </c>
      <c r="CM11" s="128">
        <v>1.97</v>
      </c>
      <c r="CN11" s="128">
        <v>1.98</v>
      </c>
      <c r="CO11" s="128">
        <v>1.99</v>
      </c>
      <c r="CP11" s="128">
        <v>2</v>
      </c>
      <c r="CQ11" s="128">
        <v>2.0099999999999998</v>
      </c>
      <c r="CR11" s="128">
        <v>2.02</v>
      </c>
      <c r="CS11" s="128">
        <v>2.0299999999999998</v>
      </c>
      <c r="CT11" s="128">
        <v>2.04</v>
      </c>
      <c r="CU11" s="128">
        <v>2.0499999999999998</v>
      </c>
      <c r="CV11" s="128">
        <v>2.06</v>
      </c>
      <c r="CW11" s="128">
        <v>2.0699999999999998</v>
      </c>
      <c r="CX11" s="128">
        <v>2.08</v>
      </c>
      <c r="CZ11" s="126">
        <f>SUMIF(MatrixF5[[1]:[2]],MatrixF5[[#This Row],[Столбец1]])/MatrixF5[[#This Row],[Столбец1]]</f>
        <v>6</v>
      </c>
      <c r="DA11" s="126">
        <f>SUMIF(MatrixF5[[1]:[2]],MatrixF5[[#This Row],[Столбец1]]+1)/(MatrixF5[[#This Row],[Столбец1]]+1)</f>
        <v>111.00000000000026</v>
      </c>
    </row>
    <row r="12" spans="1:105" ht="21" customHeight="1" x14ac:dyDescent="0.25">
      <c r="A12" s="127">
        <v>1.0900000000000001</v>
      </c>
      <c r="B12" s="128">
        <v>1.0900000000000001</v>
      </c>
      <c r="C12" s="128">
        <v>1.1100000000000001</v>
      </c>
      <c r="D12" s="128">
        <v>1.1299999999999999</v>
      </c>
      <c r="E12" s="128">
        <v>1.1499999999999999</v>
      </c>
      <c r="F12" s="128">
        <v>1.1599999999999999</v>
      </c>
      <c r="G12" s="128">
        <v>1.18</v>
      </c>
      <c r="H12" s="128">
        <v>1.2</v>
      </c>
      <c r="I12" s="128">
        <v>1.21</v>
      </c>
      <c r="J12" s="128">
        <v>1.23</v>
      </c>
      <c r="K12" s="128">
        <v>1.25</v>
      </c>
      <c r="L12" s="128">
        <v>1.26</v>
      </c>
      <c r="M12" s="128">
        <v>1.27</v>
      </c>
      <c r="N12" s="128">
        <v>1.28</v>
      </c>
      <c r="O12" s="128">
        <v>1.28</v>
      </c>
      <c r="P12" s="128">
        <v>1.29</v>
      </c>
      <c r="Q12" s="128">
        <v>1.3</v>
      </c>
      <c r="R12" s="128">
        <v>1.31</v>
      </c>
      <c r="S12" s="128">
        <v>1.32</v>
      </c>
      <c r="T12" s="128">
        <v>1.33</v>
      </c>
      <c r="U12" s="128">
        <v>1.34</v>
      </c>
      <c r="V12" s="128">
        <v>1.35</v>
      </c>
      <c r="W12" s="128">
        <v>1.36</v>
      </c>
      <c r="X12" s="128">
        <v>1.37</v>
      </c>
      <c r="Y12" s="128">
        <v>1.38</v>
      </c>
      <c r="Z12" s="128">
        <v>1.39</v>
      </c>
      <c r="AA12" s="128">
        <v>1.39</v>
      </c>
      <c r="AB12" s="128">
        <v>1.4</v>
      </c>
      <c r="AC12" s="128">
        <v>1.41</v>
      </c>
      <c r="AD12" s="128">
        <v>1.42</v>
      </c>
      <c r="AE12" s="128">
        <v>1.43</v>
      </c>
      <c r="AF12" s="128">
        <v>1.44</v>
      </c>
      <c r="AG12" s="128">
        <v>1.45</v>
      </c>
      <c r="AH12" s="128">
        <v>1.46</v>
      </c>
      <c r="AI12" s="128">
        <v>1.47</v>
      </c>
      <c r="AJ12" s="128">
        <v>1.48</v>
      </c>
      <c r="AK12" s="128">
        <v>1.49</v>
      </c>
      <c r="AL12" s="128">
        <v>1.5</v>
      </c>
      <c r="AM12" s="128">
        <v>1.5</v>
      </c>
      <c r="AN12" s="128">
        <v>1.51</v>
      </c>
      <c r="AO12" s="128">
        <v>1.52</v>
      </c>
      <c r="AP12" s="128">
        <v>1.53</v>
      </c>
      <c r="AQ12" s="128">
        <v>1.54</v>
      </c>
      <c r="AR12" s="128">
        <v>1.55</v>
      </c>
      <c r="AS12" s="128">
        <v>1.56</v>
      </c>
      <c r="AT12" s="128">
        <v>1.57</v>
      </c>
      <c r="AU12" s="128">
        <v>1.58</v>
      </c>
      <c r="AV12" s="128">
        <v>1.59</v>
      </c>
      <c r="AW12" s="128">
        <v>1.6</v>
      </c>
      <c r="AX12" s="128">
        <v>1.61</v>
      </c>
      <c r="AY12" s="128">
        <v>1.61</v>
      </c>
      <c r="AZ12" s="128">
        <v>1.62</v>
      </c>
      <c r="BA12" s="128">
        <v>1.63</v>
      </c>
      <c r="BB12" s="128">
        <v>1.64</v>
      </c>
      <c r="BC12" s="128">
        <v>1.65</v>
      </c>
      <c r="BD12" s="128">
        <v>1.66</v>
      </c>
      <c r="BE12" s="128">
        <v>1.67</v>
      </c>
      <c r="BF12" s="128">
        <v>1.68</v>
      </c>
      <c r="BG12" s="128">
        <v>1.69</v>
      </c>
      <c r="BH12" s="128">
        <v>1.7</v>
      </c>
      <c r="BI12" s="128">
        <v>1.71</v>
      </c>
      <c r="BJ12" s="128">
        <v>1.72</v>
      </c>
      <c r="BK12" s="128">
        <v>1.72</v>
      </c>
      <c r="BL12" s="128">
        <v>1.73</v>
      </c>
      <c r="BM12" s="128">
        <v>1.74</v>
      </c>
      <c r="BN12" s="128">
        <v>1.75</v>
      </c>
      <c r="BO12" s="128">
        <v>1.76</v>
      </c>
      <c r="BP12" s="128">
        <v>1.77</v>
      </c>
      <c r="BQ12" s="128">
        <v>1.78</v>
      </c>
      <c r="BR12" s="128">
        <v>1.79</v>
      </c>
      <c r="BS12" s="128">
        <v>1.8</v>
      </c>
      <c r="BT12" s="128">
        <v>1.81</v>
      </c>
      <c r="BU12" s="128">
        <v>1.82</v>
      </c>
      <c r="BV12" s="128">
        <v>1.83</v>
      </c>
      <c r="BW12" s="128">
        <v>1.83</v>
      </c>
      <c r="BX12" s="128">
        <v>1.84</v>
      </c>
      <c r="BY12" s="128">
        <v>1.85</v>
      </c>
      <c r="BZ12" s="128">
        <v>1.86</v>
      </c>
      <c r="CA12" s="128">
        <v>1.87</v>
      </c>
      <c r="CB12" s="128">
        <v>1.88</v>
      </c>
      <c r="CC12" s="128">
        <v>1.89</v>
      </c>
      <c r="CD12" s="128">
        <v>1.9</v>
      </c>
      <c r="CE12" s="128">
        <v>1.91</v>
      </c>
      <c r="CF12" s="128">
        <v>1.92</v>
      </c>
      <c r="CG12" s="128">
        <v>1.93</v>
      </c>
      <c r="CH12" s="128">
        <v>1.94</v>
      </c>
      <c r="CI12" s="128">
        <v>1.94</v>
      </c>
      <c r="CJ12" s="128">
        <v>1.95</v>
      </c>
      <c r="CK12" s="128">
        <v>1.96</v>
      </c>
      <c r="CL12" s="128">
        <v>1.97</v>
      </c>
      <c r="CM12" s="128">
        <v>1.98</v>
      </c>
      <c r="CN12" s="128">
        <v>1.99</v>
      </c>
      <c r="CO12" s="128">
        <v>2</v>
      </c>
      <c r="CP12" s="128">
        <v>2.0099999999999998</v>
      </c>
      <c r="CQ12" s="128">
        <v>2.02</v>
      </c>
      <c r="CR12" s="128">
        <v>2.0299999999999998</v>
      </c>
      <c r="CS12" s="128">
        <v>2.04</v>
      </c>
      <c r="CT12" s="128">
        <v>2.0499999999999998</v>
      </c>
      <c r="CU12" s="128">
        <v>2.06</v>
      </c>
      <c r="CV12" s="128">
        <v>2.0699999999999998</v>
      </c>
      <c r="CW12" s="128">
        <v>2.08</v>
      </c>
      <c r="CX12" s="128">
        <v>2.09</v>
      </c>
      <c r="CZ12" s="126">
        <f>SUMIF(MatrixF5[[1]:[2]],MatrixF5[[#This Row],[Столбец1]])/MatrixF5[[#This Row],[Столбец1]]</f>
        <v>6.9999999999999991</v>
      </c>
      <c r="DA12" s="126">
        <f>SUMIF(MatrixF5[[1]:[2]],MatrixF5[[#This Row],[Столбец1]]+1)/(MatrixF5[[#This Row],[Столбец1]]+1)</f>
        <v>108.00000000000016</v>
      </c>
    </row>
    <row r="13" spans="1:105" ht="21" customHeight="1" x14ac:dyDescent="0.25">
      <c r="A13" s="127">
        <v>1.1000000000000001</v>
      </c>
      <c r="B13" s="128">
        <v>1.1000000000000001</v>
      </c>
      <c r="C13" s="128">
        <v>1.1200000000000001</v>
      </c>
      <c r="D13" s="128">
        <v>1.1399999999999999</v>
      </c>
      <c r="E13" s="128">
        <v>1.1599999999999999</v>
      </c>
      <c r="F13" s="128">
        <v>1.17</v>
      </c>
      <c r="G13" s="128">
        <v>1.19</v>
      </c>
      <c r="H13" s="128">
        <v>1.21</v>
      </c>
      <c r="I13" s="128">
        <v>1.22</v>
      </c>
      <c r="J13" s="128">
        <v>1.24</v>
      </c>
      <c r="K13" s="128">
        <v>1.26</v>
      </c>
      <c r="L13" s="128">
        <v>1.27</v>
      </c>
      <c r="M13" s="128">
        <v>1.28</v>
      </c>
      <c r="N13" s="128">
        <v>1.29</v>
      </c>
      <c r="O13" s="128">
        <v>1.3</v>
      </c>
      <c r="P13" s="128">
        <v>1.31</v>
      </c>
      <c r="Q13" s="128">
        <v>1.32</v>
      </c>
      <c r="R13" s="128">
        <v>1.33</v>
      </c>
      <c r="S13" s="128">
        <v>1.34</v>
      </c>
      <c r="T13" s="128">
        <v>1.35</v>
      </c>
      <c r="U13" s="128">
        <v>1.35</v>
      </c>
      <c r="V13" s="128">
        <v>1.36</v>
      </c>
      <c r="W13" s="128">
        <v>1.37</v>
      </c>
      <c r="X13" s="128">
        <v>1.38</v>
      </c>
      <c r="Y13" s="128">
        <v>1.39</v>
      </c>
      <c r="Z13" s="128">
        <v>1.4</v>
      </c>
      <c r="AA13" s="128">
        <v>1.41</v>
      </c>
      <c r="AB13" s="128">
        <v>1.42</v>
      </c>
      <c r="AC13" s="128">
        <v>1.43</v>
      </c>
      <c r="AD13" s="128">
        <v>1.44</v>
      </c>
      <c r="AE13" s="128">
        <v>1.45</v>
      </c>
      <c r="AF13" s="128">
        <v>1.45</v>
      </c>
      <c r="AG13" s="128">
        <v>1.46</v>
      </c>
      <c r="AH13" s="128">
        <v>1.47</v>
      </c>
      <c r="AI13" s="128">
        <v>1.48</v>
      </c>
      <c r="AJ13" s="128">
        <v>1.49</v>
      </c>
      <c r="AK13" s="128">
        <v>1.5</v>
      </c>
      <c r="AL13" s="128">
        <v>1.51</v>
      </c>
      <c r="AM13" s="128">
        <v>1.52</v>
      </c>
      <c r="AN13" s="128">
        <v>1.53</v>
      </c>
      <c r="AO13" s="128">
        <v>1.54</v>
      </c>
      <c r="AP13" s="128">
        <v>1.55</v>
      </c>
      <c r="AQ13" s="128">
        <v>1.55</v>
      </c>
      <c r="AR13" s="128">
        <v>1.56</v>
      </c>
      <c r="AS13" s="128">
        <v>1.57</v>
      </c>
      <c r="AT13" s="128">
        <v>1.58</v>
      </c>
      <c r="AU13" s="128">
        <v>1.59</v>
      </c>
      <c r="AV13" s="128">
        <v>1.6</v>
      </c>
      <c r="AW13" s="128">
        <v>1.61</v>
      </c>
      <c r="AX13" s="128">
        <v>1.62</v>
      </c>
      <c r="AY13" s="128">
        <v>1.63</v>
      </c>
      <c r="AZ13" s="128">
        <v>1.64</v>
      </c>
      <c r="BA13" s="128">
        <v>1.65</v>
      </c>
      <c r="BB13" s="128">
        <v>1.65</v>
      </c>
      <c r="BC13" s="128">
        <v>1.66</v>
      </c>
      <c r="BD13" s="128">
        <v>1.67</v>
      </c>
      <c r="BE13" s="128">
        <v>1.68</v>
      </c>
      <c r="BF13" s="128">
        <v>1.69</v>
      </c>
      <c r="BG13" s="128">
        <v>1.7</v>
      </c>
      <c r="BH13" s="128">
        <v>1.71</v>
      </c>
      <c r="BI13" s="128">
        <v>1.72</v>
      </c>
      <c r="BJ13" s="128">
        <v>1.73</v>
      </c>
      <c r="BK13" s="128">
        <v>1.74</v>
      </c>
      <c r="BL13" s="128">
        <v>1.75</v>
      </c>
      <c r="BM13" s="128">
        <v>1.75</v>
      </c>
      <c r="BN13" s="128">
        <v>1.76</v>
      </c>
      <c r="BO13" s="128">
        <v>1.77</v>
      </c>
      <c r="BP13" s="128">
        <v>1.78</v>
      </c>
      <c r="BQ13" s="128">
        <v>1.79</v>
      </c>
      <c r="BR13" s="128">
        <v>1.8</v>
      </c>
      <c r="BS13" s="128">
        <v>1.81</v>
      </c>
      <c r="BT13" s="128">
        <v>1.82</v>
      </c>
      <c r="BU13" s="128">
        <v>1.83</v>
      </c>
      <c r="BV13" s="128">
        <v>1.84</v>
      </c>
      <c r="BW13" s="128">
        <v>1.85</v>
      </c>
      <c r="BX13" s="128">
        <v>1.85</v>
      </c>
      <c r="BY13" s="128">
        <v>1.86</v>
      </c>
      <c r="BZ13" s="128">
        <v>1.87</v>
      </c>
      <c r="CA13" s="128">
        <v>1.88</v>
      </c>
      <c r="CB13" s="128">
        <v>1.89</v>
      </c>
      <c r="CC13" s="128">
        <v>1.9</v>
      </c>
      <c r="CD13" s="128">
        <v>1.91</v>
      </c>
      <c r="CE13" s="128">
        <v>1.92</v>
      </c>
      <c r="CF13" s="128">
        <v>1.93</v>
      </c>
      <c r="CG13" s="128">
        <v>1.94</v>
      </c>
      <c r="CH13" s="128">
        <v>1.95</v>
      </c>
      <c r="CI13" s="128">
        <v>1.95</v>
      </c>
      <c r="CJ13" s="128">
        <v>1.96</v>
      </c>
      <c r="CK13" s="128">
        <v>1.97</v>
      </c>
      <c r="CL13" s="128">
        <v>1.98</v>
      </c>
      <c r="CM13" s="128">
        <v>1.99</v>
      </c>
      <c r="CN13" s="128">
        <v>2</v>
      </c>
      <c r="CO13" s="128">
        <v>2.0099999999999998</v>
      </c>
      <c r="CP13" s="128">
        <v>2.02</v>
      </c>
      <c r="CQ13" s="128">
        <v>2.0299999999999998</v>
      </c>
      <c r="CR13" s="128">
        <v>2.04</v>
      </c>
      <c r="CS13" s="128">
        <v>2.0499999999999998</v>
      </c>
      <c r="CT13" s="128">
        <v>2.06</v>
      </c>
      <c r="CU13" s="128">
        <v>2.0699999999999998</v>
      </c>
      <c r="CV13" s="128">
        <v>2.08</v>
      </c>
      <c r="CW13" s="128">
        <v>2.09</v>
      </c>
      <c r="CX13" s="128">
        <v>2.1</v>
      </c>
      <c r="CZ13" s="126">
        <f>SUMIF(MatrixF5[[1]:[2]],MatrixF5[[#This Row],[Столбец1]])/MatrixF5[[#This Row],[Столбец1]]</f>
        <v>7.9999999999999982</v>
      </c>
      <c r="DA13" s="126">
        <f>SUMIF(MatrixF5[[1]:[2]],MatrixF5[[#This Row],[Столбец1]]+1)/(MatrixF5[[#This Row],[Столбец1]]+1)</f>
        <v>102.99999999999982</v>
      </c>
    </row>
    <row r="14" spans="1:105" ht="21" customHeight="1" x14ac:dyDescent="0.25">
      <c r="A14" s="127">
        <v>1.1100000000000001</v>
      </c>
      <c r="B14" s="128">
        <v>1.1100000000000001</v>
      </c>
      <c r="C14" s="128">
        <v>1.1299999999999999</v>
      </c>
      <c r="D14" s="128">
        <v>1.1499999999999999</v>
      </c>
      <c r="E14" s="128">
        <v>1.17</v>
      </c>
      <c r="F14" s="128">
        <v>1.18</v>
      </c>
      <c r="G14" s="128">
        <v>1.2</v>
      </c>
      <c r="H14" s="128">
        <v>1.22</v>
      </c>
      <c r="I14" s="128">
        <v>1.23</v>
      </c>
      <c r="J14" s="128">
        <v>1.25</v>
      </c>
      <c r="K14" s="128">
        <v>1.27</v>
      </c>
      <c r="L14" s="128">
        <v>1.28</v>
      </c>
      <c r="M14" s="128">
        <v>1.3</v>
      </c>
      <c r="N14" s="128">
        <v>1.31</v>
      </c>
      <c r="O14" s="128">
        <v>1.32</v>
      </c>
      <c r="P14" s="128">
        <v>1.32</v>
      </c>
      <c r="Q14" s="128">
        <v>1.33</v>
      </c>
      <c r="R14" s="128">
        <v>1.34</v>
      </c>
      <c r="S14" s="128">
        <v>1.35</v>
      </c>
      <c r="T14" s="128">
        <v>1.36</v>
      </c>
      <c r="U14" s="128">
        <v>1.37</v>
      </c>
      <c r="V14" s="128">
        <v>1.38</v>
      </c>
      <c r="W14" s="128">
        <v>1.39</v>
      </c>
      <c r="X14" s="128">
        <v>1.4</v>
      </c>
      <c r="Y14" s="128">
        <v>1.41</v>
      </c>
      <c r="Z14" s="128">
        <v>1.41</v>
      </c>
      <c r="AA14" s="128">
        <v>1.42</v>
      </c>
      <c r="AB14" s="128">
        <v>1.43</v>
      </c>
      <c r="AC14" s="128">
        <v>1.44</v>
      </c>
      <c r="AD14" s="128">
        <v>1.45</v>
      </c>
      <c r="AE14" s="128">
        <v>1.46</v>
      </c>
      <c r="AF14" s="128">
        <v>1.47</v>
      </c>
      <c r="AG14" s="128">
        <v>1.48</v>
      </c>
      <c r="AH14" s="128">
        <v>1.49</v>
      </c>
      <c r="AI14" s="128">
        <v>1.5</v>
      </c>
      <c r="AJ14" s="128">
        <v>1.5</v>
      </c>
      <c r="AK14" s="128">
        <v>1.51</v>
      </c>
      <c r="AL14" s="128">
        <v>1.52</v>
      </c>
      <c r="AM14" s="128">
        <v>1.53</v>
      </c>
      <c r="AN14" s="128">
        <v>1.54</v>
      </c>
      <c r="AO14" s="128">
        <v>1.55</v>
      </c>
      <c r="AP14" s="128">
        <v>1.56</v>
      </c>
      <c r="AQ14" s="128">
        <v>1.57</v>
      </c>
      <c r="AR14" s="128">
        <v>1.58</v>
      </c>
      <c r="AS14" s="128">
        <v>1.59</v>
      </c>
      <c r="AT14" s="128">
        <v>1.59</v>
      </c>
      <c r="AU14" s="128">
        <v>1.6</v>
      </c>
      <c r="AV14" s="128">
        <v>1.61</v>
      </c>
      <c r="AW14" s="128">
        <v>1.62</v>
      </c>
      <c r="AX14" s="128">
        <v>1.63</v>
      </c>
      <c r="AY14" s="128">
        <v>1.64</v>
      </c>
      <c r="AZ14" s="128">
        <v>1.65</v>
      </c>
      <c r="BA14" s="128">
        <v>1.66</v>
      </c>
      <c r="BB14" s="128">
        <v>1.67</v>
      </c>
      <c r="BC14" s="128">
        <v>1.68</v>
      </c>
      <c r="BD14" s="128">
        <v>1.68</v>
      </c>
      <c r="BE14" s="128">
        <v>1.69</v>
      </c>
      <c r="BF14" s="128">
        <v>1.7</v>
      </c>
      <c r="BG14" s="128">
        <v>1.71</v>
      </c>
      <c r="BH14" s="128">
        <v>1.72</v>
      </c>
      <c r="BI14" s="128">
        <v>1.73</v>
      </c>
      <c r="BJ14" s="128">
        <v>1.74</v>
      </c>
      <c r="BK14" s="128">
        <v>1.75</v>
      </c>
      <c r="BL14" s="128">
        <v>1.76</v>
      </c>
      <c r="BM14" s="128">
        <v>1.77</v>
      </c>
      <c r="BN14" s="128">
        <v>1.77</v>
      </c>
      <c r="BO14" s="128">
        <v>1.78</v>
      </c>
      <c r="BP14" s="128">
        <v>1.79</v>
      </c>
      <c r="BQ14" s="128">
        <v>1.8</v>
      </c>
      <c r="BR14" s="128">
        <v>1.81</v>
      </c>
      <c r="BS14" s="128">
        <v>1.82</v>
      </c>
      <c r="BT14" s="128">
        <v>1.83</v>
      </c>
      <c r="BU14" s="128">
        <v>1.84</v>
      </c>
      <c r="BV14" s="128">
        <v>1.85</v>
      </c>
      <c r="BW14" s="128">
        <v>1.86</v>
      </c>
      <c r="BX14" s="128">
        <v>1.86</v>
      </c>
      <c r="BY14" s="128">
        <v>1.87</v>
      </c>
      <c r="BZ14" s="128">
        <v>1.88</v>
      </c>
      <c r="CA14" s="128">
        <v>1.89</v>
      </c>
      <c r="CB14" s="128">
        <v>1.9</v>
      </c>
      <c r="CC14" s="128">
        <v>1.91</v>
      </c>
      <c r="CD14" s="128">
        <v>1.92</v>
      </c>
      <c r="CE14" s="128">
        <v>1.93</v>
      </c>
      <c r="CF14" s="128">
        <v>1.94</v>
      </c>
      <c r="CG14" s="128">
        <v>1.95</v>
      </c>
      <c r="CH14" s="128">
        <v>1.95</v>
      </c>
      <c r="CI14" s="128">
        <v>1.96</v>
      </c>
      <c r="CJ14" s="128">
        <v>1.97</v>
      </c>
      <c r="CK14" s="128">
        <v>1.98</v>
      </c>
      <c r="CL14" s="128">
        <v>1.99</v>
      </c>
      <c r="CM14" s="128">
        <v>2</v>
      </c>
      <c r="CN14" s="128">
        <v>2.0099999999999998</v>
      </c>
      <c r="CO14" s="128">
        <v>2.02</v>
      </c>
      <c r="CP14" s="128">
        <v>2.0299999999999998</v>
      </c>
      <c r="CQ14" s="128">
        <v>2.04</v>
      </c>
      <c r="CR14" s="128">
        <v>2.0499999999999998</v>
      </c>
      <c r="CS14" s="128">
        <v>2.06</v>
      </c>
      <c r="CT14" s="128">
        <v>2.0699999999999998</v>
      </c>
      <c r="CU14" s="128">
        <v>2.08</v>
      </c>
      <c r="CV14" s="128">
        <v>2.09</v>
      </c>
      <c r="CW14" s="128">
        <v>2.1</v>
      </c>
      <c r="CX14" s="128">
        <v>2.11</v>
      </c>
      <c r="CZ14" s="126">
        <f>SUMIF(MatrixF5[[1]:[2]],MatrixF5[[#This Row],[Столбец1]])/MatrixF5[[#This Row],[Столбец1]]</f>
        <v>8</v>
      </c>
      <c r="DA14" s="126">
        <f>SUMIF(MatrixF5[[1]:[2]],MatrixF5[[#This Row],[Столбец1]]+1)/(MatrixF5[[#This Row],[Столбец1]]+1)</f>
        <v>103.00000000000024</v>
      </c>
    </row>
    <row r="15" spans="1:105" ht="21" customHeight="1" x14ac:dyDescent="0.25">
      <c r="A15" s="127">
        <v>1.1200000000000001</v>
      </c>
      <c r="B15" s="128">
        <v>1.1200000000000001</v>
      </c>
      <c r="C15" s="128">
        <v>1.1399999999999999</v>
      </c>
      <c r="D15" s="128">
        <v>1.1599999999999999</v>
      </c>
      <c r="E15" s="128">
        <v>1.17</v>
      </c>
      <c r="F15" s="128">
        <v>1.19</v>
      </c>
      <c r="G15" s="128">
        <v>1.21</v>
      </c>
      <c r="H15" s="128">
        <v>1.23</v>
      </c>
      <c r="I15" s="128">
        <v>1.24</v>
      </c>
      <c r="J15" s="128">
        <v>1.26</v>
      </c>
      <c r="K15" s="128">
        <v>1.28</v>
      </c>
      <c r="L15" s="128">
        <v>1.29</v>
      </c>
      <c r="M15" s="128">
        <v>1.31</v>
      </c>
      <c r="N15" s="128">
        <v>1.32</v>
      </c>
      <c r="O15" s="128">
        <v>1.33</v>
      </c>
      <c r="P15" s="128">
        <v>1.34</v>
      </c>
      <c r="Q15" s="128">
        <v>1.35</v>
      </c>
      <c r="R15" s="128">
        <v>1.36</v>
      </c>
      <c r="S15" s="128">
        <v>1.37</v>
      </c>
      <c r="T15" s="128">
        <v>1.38</v>
      </c>
      <c r="U15" s="128">
        <v>1.38</v>
      </c>
      <c r="V15" s="128">
        <v>1.39</v>
      </c>
      <c r="W15" s="128">
        <v>1.4</v>
      </c>
      <c r="X15" s="128">
        <v>1.41</v>
      </c>
      <c r="Y15" s="128">
        <v>1.42</v>
      </c>
      <c r="Z15" s="128">
        <v>1.43</v>
      </c>
      <c r="AA15" s="128">
        <v>1.44</v>
      </c>
      <c r="AB15" s="128">
        <v>1.45</v>
      </c>
      <c r="AC15" s="128">
        <v>1.46</v>
      </c>
      <c r="AD15" s="128">
        <v>1.46</v>
      </c>
      <c r="AE15" s="128">
        <v>1.47</v>
      </c>
      <c r="AF15" s="128">
        <v>1.48</v>
      </c>
      <c r="AG15" s="128">
        <v>1.49</v>
      </c>
      <c r="AH15" s="128">
        <v>1.5</v>
      </c>
      <c r="AI15" s="128">
        <v>1.51</v>
      </c>
      <c r="AJ15" s="128">
        <v>1.52</v>
      </c>
      <c r="AK15" s="128">
        <v>1.53</v>
      </c>
      <c r="AL15" s="128">
        <v>1.54</v>
      </c>
      <c r="AM15" s="128">
        <v>1.54</v>
      </c>
      <c r="AN15" s="128">
        <v>1.55</v>
      </c>
      <c r="AO15" s="128">
        <v>1.56</v>
      </c>
      <c r="AP15" s="128">
        <v>1.57</v>
      </c>
      <c r="AQ15" s="128">
        <v>1.58</v>
      </c>
      <c r="AR15" s="128">
        <v>1.59</v>
      </c>
      <c r="AS15" s="128">
        <v>1.6</v>
      </c>
      <c r="AT15" s="128">
        <v>1.61</v>
      </c>
      <c r="AU15" s="128">
        <v>1.62</v>
      </c>
      <c r="AV15" s="128">
        <v>1.62</v>
      </c>
      <c r="AW15" s="128">
        <v>1.63</v>
      </c>
      <c r="AX15" s="128">
        <v>1.64</v>
      </c>
      <c r="AY15" s="128">
        <v>1.65</v>
      </c>
      <c r="AZ15" s="128">
        <v>1.66</v>
      </c>
      <c r="BA15" s="128">
        <v>1.67</v>
      </c>
      <c r="BB15" s="128">
        <v>1.68</v>
      </c>
      <c r="BC15" s="128">
        <v>1.69</v>
      </c>
      <c r="BD15" s="128">
        <v>1.7</v>
      </c>
      <c r="BE15" s="128">
        <v>1.71</v>
      </c>
      <c r="BF15" s="128">
        <v>1.71</v>
      </c>
      <c r="BG15" s="128">
        <v>1.72</v>
      </c>
      <c r="BH15" s="128">
        <v>1.73</v>
      </c>
      <c r="BI15" s="128">
        <v>1.74</v>
      </c>
      <c r="BJ15" s="128">
        <v>1.75</v>
      </c>
      <c r="BK15" s="128">
        <v>1.76</v>
      </c>
      <c r="BL15" s="128">
        <v>1.77</v>
      </c>
      <c r="BM15" s="128">
        <v>1.78</v>
      </c>
      <c r="BN15" s="128">
        <v>1.79</v>
      </c>
      <c r="BO15" s="128">
        <v>1.79</v>
      </c>
      <c r="BP15" s="128">
        <v>1.8</v>
      </c>
      <c r="BQ15" s="128">
        <v>1.81</v>
      </c>
      <c r="BR15" s="128">
        <v>1.82</v>
      </c>
      <c r="BS15" s="128">
        <v>1.83</v>
      </c>
      <c r="BT15" s="128">
        <v>1.84</v>
      </c>
      <c r="BU15" s="128">
        <v>1.85</v>
      </c>
      <c r="BV15" s="128">
        <v>1.86</v>
      </c>
      <c r="BW15" s="128">
        <v>1.87</v>
      </c>
      <c r="BX15" s="128">
        <v>1.87</v>
      </c>
      <c r="BY15" s="128">
        <v>1.88</v>
      </c>
      <c r="BZ15" s="128">
        <v>1.89</v>
      </c>
      <c r="CA15" s="128">
        <v>1.9</v>
      </c>
      <c r="CB15" s="128">
        <v>1.91</v>
      </c>
      <c r="CC15" s="128">
        <v>1.92</v>
      </c>
      <c r="CD15" s="128">
        <v>1.93</v>
      </c>
      <c r="CE15" s="128">
        <v>1.94</v>
      </c>
      <c r="CF15" s="128">
        <v>1.95</v>
      </c>
      <c r="CG15" s="128">
        <v>1.96</v>
      </c>
      <c r="CH15" s="128">
        <v>1.96</v>
      </c>
      <c r="CI15" s="128">
        <v>1.97</v>
      </c>
      <c r="CJ15" s="128">
        <v>1.98</v>
      </c>
      <c r="CK15" s="128">
        <v>1.99</v>
      </c>
      <c r="CL15" s="128">
        <v>2</v>
      </c>
      <c r="CM15" s="128">
        <v>2.0099999999999998</v>
      </c>
      <c r="CN15" s="128">
        <v>2.02</v>
      </c>
      <c r="CO15" s="128">
        <v>2.0299999999999998</v>
      </c>
      <c r="CP15" s="128">
        <v>2.04</v>
      </c>
      <c r="CQ15" s="128">
        <v>2.0499999999999998</v>
      </c>
      <c r="CR15" s="128">
        <v>2.06</v>
      </c>
      <c r="CS15" s="128">
        <v>2.0699999999999998</v>
      </c>
      <c r="CT15" s="128">
        <v>2.08</v>
      </c>
      <c r="CU15" s="128">
        <v>2.09</v>
      </c>
      <c r="CV15" s="128">
        <v>2.1</v>
      </c>
      <c r="CW15" s="128">
        <v>2.11</v>
      </c>
      <c r="CX15" s="128">
        <v>2.12</v>
      </c>
      <c r="CZ15" s="126">
        <f>SUMIF(MatrixF5[[1]:[2]],MatrixF5[[#This Row],[Столбец1]])/MatrixF5[[#This Row],[Столбец1]]</f>
        <v>11.000000000000002</v>
      </c>
      <c r="DA15" s="126">
        <f>SUMIF(MatrixF5[[1]:[2]],MatrixF5[[#This Row],[Столбец1]]+1)/(MatrixF5[[#This Row],[Столбец1]]+1)</f>
        <v>108.00000000000014</v>
      </c>
    </row>
    <row r="16" spans="1:105" ht="21" customHeight="1" x14ac:dyDescent="0.25">
      <c r="A16" s="127">
        <v>1.1299999999999999</v>
      </c>
      <c r="B16" s="128">
        <v>1.1299999999999999</v>
      </c>
      <c r="C16" s="128">
        <v>1.1499999999999999</v>
      </c>
      <c r="D16" s="128">
        <v>1.17</v>
      </c>
      <c r="E16" s="128">
        <v>1.18</v>
      </c>
      <c r="F16" s="128">
        <v>1.2</v>
      </c>
      <c r="G16" s="128">
        <v>1.22</v>
      </c>
      <c r="H16" s="128">
        <v>1.24</v>
      </c>
      <c r="I16" s="128">
        <v>1.25</v>
      </c>
      <c r="J16" s="128">
        <v>1.27</v>
      </c>
      <c r="K16" s="128">
        <v>1.28</v>
      </c>
      <c r="L16" s="128">
        <v>1.3</v>
      </c>
      <c r="M16" s="128">
        <v>1.32</v>
      </c>
      <c r="N16" s="128">
        <v>1.33</v>
      </c>
      <c r="O16" s="128">
        <v>1.35</v>
      </c>
      <c r="P16" s="128">
        <v>1.35</v>
      </c>
      <c r="Q16" s="128">
        <v>1.36</v>
      </c>
      <c r="R16" s="128">
        <v>1.37</v>
      </c>
      <c r="S16" s="128">
        <v>1.38</v>
      </c>
      <c r="T16" s="128">
        <v>1.39</v>
      </c>
      <c r="U16" s="128">
        <v>1.4</v>
      </c>
      <c r="V16" s="128">
        <v>1.41</v>
      </c>
      <c r="W16" s="128">
        <v>1.42</v>
      </c>
      <c r="X16" s="128">
        <v>1.42</v>
      </c>
      <c r="Y16" s="128">
        <v>1.43</v>
      </c>
      <c r="Z16" s="128">
        <v>1.44</v>
      </c>
      <c r="AA16" s="128">
        <v>1.45</v>
      </c>
      <c r="AB16" s="128">
        <v>1.46</v>
      </c>
      <c r="AC16" s="128">
        <v>1.47</v>
      </c>
      <c r="AD16" s="128">
        <v>1.48</v>
      </c>
      <c r="AE16" s="128">
        <v>1.49</v>
      </c>
      <c r="AF16" s="128">
        <v>1.5</v>
      </c>
      <c r="AG16" s="128">
        <v>1.5</v>
      </c>
      <c r="AH16" s="128">
        <v>1.51</v>
      </c>
      <c r="AI16" s="128">
        <v>1.52</v>
      </c>
      <c r="AJ16" s="128">
        <v>1.53</v>
      </c>
      <c r="AK16" s="128">
        <v>1.54</v>
      </c>
      <c r="AL16" s="128">
        <v>1.55</v>
      </c>
      <c r="AM16" s="128">
        <v>1.56</v>
      </c>
      <c r="AN16" s="128">
        <v>1.57</v>
      </c>
      <c r="AO16" s="128">
        <v>1.58</v>
      </c>
      <c r="AP16" s="128">
        <v>1.58</v>
      </c>
      <c r="AQ16" s="128">
        <v>1.59</v>
      </c>
      <c r="AR16" s="128">
        <v>1.6</v>
      </c>
      <c r="AS16" s="128">
        <v>1.61</v>
      </c>
      <c r="AT16" s="128">
        <v>1.62</v>
      </c>
      <c r="AU16" s="128">
        <v>1.63</v>
      </c>
      <c r="AV16" s="128">
        <v>1.64</v>
      </c>
      <c r="AW16" s="128">
        <v>1.65</v>
      </c>
      <c r="AX16" s="128">
        <v>1.65</v>
      </c>
      <c r="AY16" s="128">
        <v>1.66</v>
      </c>
      <c r="AZ16" s="128">
        <v>1.67</v>
      </c>
      <c r="BA16" s="128">
        <v>1.68</v>
      </c>
      <c r="BB16" s="128">
        <v>1.69</v>
      </c>
      <c r="BC16" s="128">
        <v>1.7</v>
      </c>
      <c r="BD16" s="128">
        <v>1.71</v>
      </c>
      <c r="BE16" s="128">
        <v>1.72</v>
      </c>
      <c r="BF16" s="128">
        <v>1.73</v>
      </c>
      <c r="BG16" s="128">
        <v>1.73</v>
      </c>
      <c r="BH16" s="128">
        <v>1.74</v>
      </c>
      <c r="BI16" s="128">
        <v>1.75</v>
      </c>
      <c r="BJ16" s="128">
        <v>1.76</v>
      </c>
      <c r="BK16" s="128">
        <v>1.77</v>
      </c>
      <c r="BL16" s="128">
        <v>1.78</v>
      </c>
      <c r="BM16" s="128">
        <v>1.79</v>
      </c>
      <c r="BN16" s="128">
        <v>1.8</v>
      </c>
      <c r="BO16" s="128">
        <v>1.81</v>
      </c>
      <c r="BP16" s="128">
        <v>1.81</v>
      </c>
      <c r="BQ16" s="128">
        <v>1.82</v>
      </c>
      <c r="BR16" s="128">
        <v>1.83</v>
      </c>
      <c r="BS16" s="128">
        <v>1.84</v>
      </c>
      <c r="BT16" s="128">
        <v>1.85</v>
      </c>
      <c r="BU16" s="128">
        <v>1.86</v>
      </c>
      <c r="BV16" s="128">
        <v>1.87</v>
      </c>
      <c r="BW16" s="128">
        <v>1.88</v>
      </c>
      <c r="BX16" s="128">
        <v>1.88</v>
      </c>
      <c r="BY16" s="128">
        <v>1.89</v>
      </c>
      <c r="BZ16" s="128">
        <v>1.9</v>
      </c>
      <c r="CA16" s="128">
        <v>1.91</v>
      </c>
      <c r="CB16" s="128">
        <v>1.92</v>
      </c>
      <c r="CC16" s="128">
        <v>1.93</v>
      </c>
      <c r="CD16" s="128">
        <v>1.94</v>
      </c>
      <c r="CE16" s="128">
        <v>1.95</v>
      </c>
      <c r="CF16" s="128">
        <v>1.96</v>
      </c>
      <c r="CG16" s="128">
        <v>1.96</v>
      </c>
      <c r="CH16" s="128">
        <v>1.97</v>
      </c>
      <c r="CI16" s="128">
        <v>1.98</v>
      </c>
      <c r="CJ16" s="128">
        <v>1.99</v>
      </c>
      <c r="CK16" s="128">
        <v>2</v>
      </c>
      <c r="CL16" s="128">
        <v>2.0099999999999998</v>
      </c>
      <c r="CM16" s="128">
        <v>2.02</v>
      </c>
      <c r="CN16" s="128">
        <v>2.0299999999999998</v>
      </c>
      <c r="CO16" s="128">
        <v>2.04</v>
      </c>
      <c r="CP16" s="128">
        <v>2.0499999999999998</v>
      </c>
      <c r="CQ16" s="128">
        <v>2.06</v>
      </c>
      <c r="CR16" s="128">
        <v>2.0699999999999998</v>
      </c>
      <c r="CS16" s="128">
        <v>2.08</v>
      </c>
      <c r="CT16" s="128">
        <v>2.09</v>
      </c>
      <c r="CU16" s="128">
        <v>2.1</v>
      </c>
      <c r="CV16" s="128">
        <v>2.11</v>
      </c>
      <c r="CW16" s="128">
        <v>2.12</v>
      </c>
      <c r="CX16" s="128">
        <v>2.13</v>
      </c>
      <c r="CZ16" s="126">
        <f>SUMIF(MatrixF5[[1]:[2]],MatrixF5[[#This Row],[Столбец1]])/MatrixF5[[#This Row],[Столбец1]]</f>
        <v>9.9999999999999982</v>
      </c>
      <c r="DA16" s="126">
        <f>SUMIF(MatrixF5[[1]:[2]],MatrixF5[[#This Row],[Столбец1]]+1)/(MatrixF5[[#This Row],[Столбец1]]+1)</f>
        <v>92.999999999999886</v>
      </c>
    </row>
    <row r="17" spans="1:105" ht="21" customHeight="1" x14ac:dyDescent="0.25">
      <c r="A17" s="127">
        <v>1.1399999999999999</v>
      </c>
      <c r="B17" s="128">
        <v>1.1399999999999999</v>
      </c>
      <c r="C17" s="128">
        <v>1.1599999999999999</v>
      </c>
      <c r="D17" s="128">
        <v>1.18</v>
      </c>
      <c r="E17" s="128">
        <v>1.19</v>
      </c>
      <c r="F17" s="128">
        <v>1.21</v>
      </c>
      <c r="G17" s="128">
        <v>1.23</v>
      </c>
      <c r="H17" s="128">
        <v>1.25</v>
      </c>
      <c r="I17" s="128">
        <v>1.26</v>
      </c>
      <c r="J17" s="128">
        <v>1.28</v>
      </c>
      <c r="K17" s="128">
        <v>1.29</v>
      </c>
      <c r="L17" s="128">
        <v>1.31</v>
      </c>
      <c r="M17" s="128">
        <v>1.32</v>
      </c>
      <c r="N17" s="128">
        <v>1.34</v>
      </c>
      <c r="O17" s="128">
        <v>1.35</v>
      </c>
      <c r="P17" s="128">
        <v>1.37</v>
      </c>
      <c r="Q17" s="128">
        <v>1.38</v>
      </c>
      <c r="R17" s="128">
        <v>1.39</v>
      </c>
      <c r="S17" s="128">
        <v>1.39</v>
      </c>
      <c r="T17" s="128">
        <v>1.4</v>
      </c>
      <c r="U17" s="128">
        <v>1.41</v>
      </c>
      <c r="V17" s="128">
        <v>1.42</v>
      </c>
      <c r="W17" s="128">
        <v>1.43</v>
      </c>
      <c r="X17" s="128">
        <v>1.44</v>
      </c>
      <c r="Y17" s="128">
        <v>1.45</v>
      </c>
      <c r="Z17" s="128">
        <v>1.46</v>
      </c>
      <c r="AA17" s="128">
        <v>1.46</v>
      </c>
      <c r="AB17" s="128">
        <v>1.47</v>
      </c>
      <c r="AC17" s="128">
        <v>1.48</v>
      </c>
      <c r="AD17" s="128">
        <v>1.49</v>
      </c>
      <c r="AE17" s="128">
        <v>1.5</v>
      </c>
      <c r="AF17" s="128">
        <v>1.51</v>
      </c>
      <c r="AG17" s="128">
        <v>1.52</v>
      </c>
      <c r="AH17" s="128">
        <v>1.53</v>
      </c>
      <c r="AI17" s="128">
        <v>1.54</v>
      </c>
      <c r="AJ17" s="128">
        <v>1.54</v>
      </c>
      <c r="AK17" s="128">
        <v>1.55</v>
      </c>
      <c r="AL17" s="128">
        <v>1.56</v>
      </c>
      <c r="AM17" s="128">
        <v>1.57</v>
      </c>
      <c r="AN17" s="128">
        <v>1.58</v>
      </c>
      <c r="AO17" s="128">
        <v>1.59</v>
      </c>
      <c r="AP17" s="128">
        <v>1.6</v>
      </c>
      <c r="AQ17" s="128">
        <v>1.61</v>
      </c>
      <c r="AR17" s="128">
        <v>1.61</v>
      </c>
      <c r="AS17" s="128">
        <v>1.62</v>
      </c>
      <c r="AT17" s="128">
        <v>1.63</v>
      </c>
      <c r="AU17" s="128">
        <v>1.64</v>
      </c>
      <c r="AV17" s="128">
        <v>1.65</v>
      </c>
      <c r="AW17" s="128">
        <v>1.66</v>
      </c>
      <c r="AX17" s="128">
        <v>1.67</v>
      </c>
      <c r="AY17" s="128">
        <v>1.68</v>
      </c>
      <c r="AZ17" s="128">
        <v>1.68</v>
      </c>
      <c r="BA17" s="128">
        <v>1.69</v>
      </c>
      <c r="BB17" s="128">
        <v>1.7</v>
      </c>
      <c r="BC17" s="128">
        <v>1.71</v>
      </c>
      <c r="BD17" s="128">
        <v>1.72</v>
      </c>
      <c r="BE17" s="128">
        <v>1.73</v>
      </c>
      <c r="BF17" s="128">
        <v>1.74</v>
      </c>
      <c r="BG17" s="128">
        <v>1.75</v>
      </c>
      <c r="BH17" s="128">
        <v>1.75</v>
      </c>
      <c r="BI17" s="128">
        <v>1.76</v>
      </c>
      <c r="BJ17" s="128">
        <v>1.77</v>
      </c>
      <c r="BK17" s="128">
        <v>1.78</v>
      </c>
      <c r="BL17" s="128">
        <v>1.79</v>
      </c>
      <c r="BM17" s="128">
        <v>1.8</v>
      </c>
      <c r="BN17" s="128">
        <v>1.81</v>
      </c>
      <c r="BO17" s="128">
        <v>1.82</v>
      </c>
      <c r="BP17" s="128">
        <v>1.82</v>
      </c>
      <c r="BQ17" s="128">
        <v>1.83</v>
      </c>
      <c r="BR17" s="128">
        <v>1.84</v>
      </c>
      <c r="BS17" s="128">
        <v>1.85</v>
      </c>
      <c r="BT17" s="128">
        <v>1.86</v>
      </c>
      <c r="BU17" s="128">
        <v>1.87</v>
      </c>
      <c r="BV17" s="128">
        <v>1.88</v>
      </c>
      <c r="BW17" s="128">
        <v>1.89</v>
      </c>
      <c r="BX17" s="128">
        <v>1.89</v>
      </c>
      <c r="BY17" s="128">
        <v>1.9</v>
      </c>
      <c r="BZ17" s="128">
        <v>1.91</v>
      </c>
      <c r="CA17" s="128">
        <v>1.92</v>
      </c>
      <c r="CB17" s="128">
        <v>1.93</v>
      </c>
      <c r="CC17" s="128">
        <v>1.94</v>
      </c>
      <c r="CD17" s="128">
        <v>1.95</v>
      </c>
      <c r="CE17" s="128">
        <v>1.96</v>
      </c>
      <c r="CF17" s="128">
        <v>1.96</v>
      </c>
      <c r="CG17" s="128">
        <v>1.97</v>
      </c>
      <c r="CH17" s="128">
        <v>1.98</v>
      </c>
      <c r="CI17" s="128">
        <v>1.99</v>
      </c>
      <c r="CJ17" s="128">
        <v>2</v>
      </c>
      <c r="CK17" s="128">
        <v>2.0099999999999998</v>
      </c>
      <c r="CL17" s="128">
        <v>2.02</v>
      </c>
      <c r="CM17" s="128">
        <v>2.0299999999999998</v>
      </c>
      <c r="CN17" s="128">
        <v>2.04</v>
      </c>
      <c r="CO17" s="128">
        <v>2.0499999999999998</v>
      </c>
      <c r="CP17" s="128">
        <v>2.06</v>
      </c>
      <c r="CQ17" s="128">
        <v>2.0699999999999998</v>
      </c>
      <c r="CR17" s="128">
        <v>2.08</v>
      </c>
      <c r="CS17" s="128">
        <v>2.09</v>
      </c>
      <c r="CT17" s="128">
        <v>2.1</v>
      </c>
      <c r="CU17" s="128">
        <v>2.11</v>
      </c>
      <c r="CV17" s="128">
        <v>2.12</v>
      </c>
      <c r="CW17" s="128">
        <v>2.13</v>
      </c>
      <c r="CX17" s="128">
        <v>2.14</v>
      </c>
      <c r="CZ17" s="126">
        <f>SUMIF(MatrixF5[[1]:[2]],MatrixF5[[#This Row],[Столбец1]])/MatrixF5[[#This Row],[Столбец1]]</f>
        <v>11.000000000000002</v>
      </c>
      <c r="DA17" s="126">
        <f>SUMIF(MatrixF5[[1]:[2]],MatrixF5[[#This Row],[Столбец1]]+1)/(MatrixF5[[#This Row],[Столбец1]]+1)</f>
        <v>96.999999999999787</v>
      </c>
    </row>
    <row r="18" spans="1:105" ht="21" customHeight="1" x14ac:dyDescent="0.25">
      <c r="A18" s="127">
        <v>1.1499999999999999</v>
      </c>
      <c r="B18" s="128">
        <v>1.1499999999999999</v>
      </c>
      <c r="C18" s="128">
        <v>1.17</v>
      </c>
      <c r="D18" s="128">
        <v>1.19</v>
      </c>
      <c r="E18" s="128">
        <v>1.2</v>
      </c>
      <c r="F18" s="128">
        <v>1.22</v>
      </c>
      <c r="G18" s="128">
        <v>1.24</v>
      </c>
      <c r="H18" s="128">
        <v>1.25</v>
      </c>
      <c r="I18" s="128">
        <v>1.27</v>
      </c>
      <c r="J18" s="128">
        <v>1.29</v>
      </c>
      <c r="K18" s="128">
        <v>1.3</v>
      </c>
      <c r="L18" s="128">
        <v>1.32</v>
      </c>
      <c r="M18" s="128">
        <v>1.33</v>
      </c>
      <c r="N18" s="128">
        <v>1.35</v>
      </c>
      <c r="O18" s="128">
        <v>1.36</v>
      </c>
      <c r="P18" s="128">
        <v>1.38</v>
      </c>
      <c r="Q18" s="128">
        <v>1.39</v>
      </c>
      <c r="R18" s="128">
        <v>1.4</v>
      </c>
      <c r="S18" s="128">
        <v>1.41</v>
      </c>
      <c r="T18" s="128">
        <v>1.42</v>
      </c>
      <c r="U18" s="128">
        <v>1.43</v>
      </c>
      <c r="V18" s="128">
        <v>1.43</v>
      </c>
      <c r="W18" s="128">
        <v>1.44</v>
      </c>
      <c r="X18" s="128">
        <v>1.45</v>
      </c>
      <c r="Y18" s="128">
        <v>1.46</v>
      </c>
      <c r="Z18" s="128">
        <v>1.47</v>
      </c>
      <c r="AA18" s="128">
        <v>1.48</v>
      </c>
      <c r="AB18" s="128">
        <v>1.49</v>
      </c>
      <c r="AC18" s="128">
        <v>1.5</v>
      </c>
      <c r="AD18" s="128">
        <v>1.5</v>
      </c>
      <c r="AE18" s="128">
        <v>1.51</v>
      </c>
      <c r="AF18" s="128">
        <v>1.52</v>
      </c>
      <c r="AG18" s="128">
        <v>1.53</v>
      </c>
      <c r="AH18" s="128">
        <v>1.54</v>
      </c>
      <c r="AI18" s="128">
        <v>1.55</v>
      </c>
      <c r="AJ18" s="128">
        <v>1.56</v>
      </c>
      <c r="AK18" s="128">
        <v>1.57</v>
      </c>
      <c r="AL18" s="128">
        <v>1.57</v>
      </c>
      <c r="AM18" s="128">
        <v>1.58</v>
      </c>
      <c r="AN18" s="128">
        <v>1.59</v>
      </c>
      <c r="AO18" s="128">
        <v>1.6</v>
      </c>
      <c r="AP18" s="128">
        <v>1.61</v>
      </c>
      <c r="AQ18" s="128">
        <v>1.62</v>
      </c>
      <c r="AR18" s="128">
        <v>1.63</v>
      </c>
      <c r="AS18" s="128">
        <v>1.63</v>
      </c>
      <c r="AT18" s="128">
        <v>1.64</v>
      </c>
      <c r="AU18" s="128">
        <v>1.65</v>
      </c>
      <c r="AV18" s="128">
        <v>1.66</v>
      </c>
      <c r="AW18" s="128">
        <v>1.67</v>
      </c>
      <c r="AX18" s="128">
        <v>1.68</v>
      </c>
      <c r="AY18" s="128">
        <v>1.69</v>
      </c>
      <c r="AZ18" s="128">
        <v>1.7</v>
      </c>
      <c r="BA18" s="128">
        <v>1.7</v>
      </c>
      <c r="BB18" s="128">
        <v>1.71</v>
      </c>
      <c r="BC18" s="128">
        <v>1.72</v>
      </c>
      <c r="BD18" s="128">
        <v>1.73</v>
      </c>
      <c r="BE18" s="128">
        <v>1.74</v>
      </c>
      <c r="BF18" s="128">
        <v>1.75</v>
      </c>
      <c r="BG18" s="128">
        <v>1.76</v>
      </c>
      <c r="BH18" s="128">
        <v>1.77</v>
      </c>
      <c r="BI18" s="128">
        <v>1.77</v>
      </c>
      <c r="BJ18" s="128">
        <v>1.78</v>
      </c>
      <c r="BK18" s="128">
        <v>1.79</v>
      </c>
      <c r="BL18" s="128">
        <v>1.8</v>
      </c>
      <c r="BM18" s="128">
        <v>1.81</v>
      </c>
      <c r="BN18" s="128">
        <v>1.82</v>
      </c>
      <c r="BO18" s="128">
        <v>1.83</v>
      </c>
      <c r="BP18" s="128">
        <v>1.83</v>
      </c>
      <c r="BQ18" s="128">
        <v>1.84</v>
      </c>
      <c r="BR18" s="128">
        <v>1.85</v>
      </c>
      <c r="BS18" s="128">
        <v>1.86</v>
      </c>
      <c r="BT18" s="128">
        <v>1.87</v>
      </c>
      <c r="BU18" s="128">
        <v>1.88</v>
      </c>
      <c r="BV18" s="128">
        <v>1.89</v>
      </c>
      <c r="BW18" s="128">
        <v>1.9</v>
      </c>
      <c r="BX18" s="128">
        <v>1.9</v>
      </c>
      <c r="BY18" s="128">
        <v>1.91</v>
      </c>
      <c r="BZ18" s="128">
        <v>1.92</v>
      </c>
      <c r="CA18" s="128">
        <v>1.93</v>
      </c>
      <c r="CB18" s="128">
        <v>1.94</v>
      </c>
      <c r="CC18" s="128">
        <v>1.95</v>
      </c>
      <c r="CD18" s="128">
        <v>1.96</v>
      </c>
      <c r="CE18" s="128">
        <v>1.97</v>
      </c>
      <c r="CF18" s="128">
        <v>1.97</v>
      </c>
      <c r="CG18" s="128">
        <v>1.98</v>
      </c>
      <c r="CH18" s="128">
        <v>1.99</v>
      </c>
      <c r="CI18" s="128">
        <v>2</v>
      </c>
      <c r="CJ18" s="128">
        <v>2.0099999999999998</v>
      </c>
      <c r="CK18" s="128">
        <v>2.02</v>
      </c>
      <c r="CL18" s="128">
        <v>2.0299999999999998</v>
      </c>
      <c r="CM18" s="128">
        <v>2.04</v>
      </c>
      <c r="CN18" s="128">
        <v>2.0499999999999998</v>
      </c>
      <c r="CO18" s="128">
        <v>2.06</v>
      </c>
      <c r="CP18" s="128">
        <v>2.06</v>
      </c>
      <c r="CQ18" s="128">
        <v>2.0699999999999998</v>
      </c>
      <c r="CR18" s="128">
        <v>2.08</v>
      </c>
      <c r="CS18" s="128">
        <v>2.1</v>
      </c>
      <c r="CT18" s="128">
        <v>2.11</v>
      </c>
      <c r="CU18" s="128">
        <v>2.12</v>
      </c>
      <c r="CV18" s="128">
        <v>2.13</v>
      </c>
      <c r="CW18" s="128">
        <v>2.14</v>
      </c>
      <c r="CX18" s="128">
        <v>2.15</v>
      </c>
      <c r="CZ18" s="126">
        <f>SUMIF(MatrixF5[[1]:[2]],MatrixF5[[#This Row],[Столбец1]])/MatrixF5[[#This Row],[Столбец1]]</f>
        <v>12.000000000000004</v>
      </c>
      <c r="DA18" s="126">
        <f>SUMIF(MatrixF5[[1]:[2]],MatrixF5[[#This Row],[Столбец1]]+1)/(MatrixF5[[#This Row],[Столбец1]]+1)</f>
        <v>96.000000000000171</v>
      </c>
    </row>
    <row r="19" spans="1:105" ht="21" customHeight="1" x14ac:dyDescent="0.25">
      <c r="A19" s="127">
        <v>1.1599999999999999</v>
      </c>
      <c r="B19" s="128">
        <v>1.1599999999999999</v>
      </c>
      <c r="C19" s="128">
        <v>1.18</v>
      </c>
      <c r="D19" s="128">
        <v>1.2</v>
      </c>
      <c r="E19" s="128">
        <v>1.21</v>
      </c>
      <c r="F19" s="128">
        <v>1.23</v>
      </c>
      <c r="G19" s="128">
        <v>1.25</v>
      </c>
      <c r="H19" s="128">
        <v>1.26</v>
      </c>
      <c r="I19" s="128">
        <v>1.28</v>
      </c>
      <c r="J19" s="128">
        <v>1.3</v>
      </c>
      <c r="K19" s="128">
        <v>1.31</v>
      </c>
      <c r="L19" s="128">
        <v>1.33</v>
      </c>
      <c r="M19" s="128">
        <v>1.34</v>
      </c>
      <c r="N19" s="128">
        <v>1.36</v>
      </c>
      <c r="O19" s="128">
        <v>1.37</v>
      </c>
      <c r="P19" s="128">
        <v>1.39</v>
      </c>
      <c r="Q19" s="128">
        <v>1.4</v>
      </c>
      <c r="R19" s="128">
        <v>1.41</v>
      </c>
      <c r="S19" s="128">
        <v>1.42</v>
      </c>
      <c r="T19" s="128">
        <v>1.43</v>
      </c>
      <c r="U19" s="128">
        <v>1.44</v>
      </c>
      <c r="V19" s="128">
        <v>1.45</v>
      </c>
      <c r="W19" s="128">
        <v>1.46</v>
      </c>
      <c r="X19" s="128">
        <v>1.47</v>
      </c>
      <c r="Y19" s="128">
        <v>1.47</v>
      </c>
      <c r="Z19" s="128">
        <v>1.48</v>
      </c>
      <c r="AA19" s="128">
        <v>1.49</v>
      </c>
      <c r="AB19" s="128">
        <v>1.5</v>
      </c>
      <c r="AC19" s="128">
        <v>1.51</v>
      </c>
      <c r="AD19" s="128">
        <v>1.52</v>
      </c>
      <c r="AE19" s="128">
        <v>1.53</v>
      </c>
      <c r="AF19" s="128">
        <v>1.53</v>
      </c>
      <c r="AG19" s="128">
        <v>1.54</v>
      </c>
      <c r="AH19" s="128">
        <v>1.55</v>
      </c>
      <c r="AI19" s="128">
        <v>1.56</v>
      </c>
      <c r="AJ19" s="128">
        <v>1.57</v>
      </c>
      <c r="AK19" s="128">
        <v>1.58</v>
      </c>
      <c r="AL19" s="128">
        <v>1.59</v>
      </c>
      <c r="AM19" s="128">
        <v>1.59</v>
      </c>
      <c r="AN19" s="128">
        <v>1.6</v>
      </c>
      <c r="AO19" s="128">
        <v>1.61</v>
      </c>
      <c r="AP19" s="128">
        <v>1.62</v>
      </c>
      <c r="AQ19" s="128">
        <v>1.63</v>
      </c>
      <c r="AR19" s="128">
        <v>1.64</v>
      </c>
      <c r="AS19" s="128">
        <v>1.65</v>
      </c>
      <c r="AT19" s="128">
        <v>1.66</v>
      </c>
      <c r="AU19" s="128">
        <v>1.66</v>
      </c>
      <c r="AV19" s="128">
        <v>1.67</v>
      </c>
      <c r="AW19" s="128">
        <v>1.68</v>
      </c>
      <c r="AX19" s="128">
        <v>1.69</v>
      </c>
      <c r="AY19" s="128">
        <v>1.7</v>
      </c>
      <c r="AZ19" s="128">
        <v>1.71</v>
      </c>
      <c r="BA19" s="128">
        <v>1.72</v>
      </c>
      <c r="BB19" s="128">
        <v>1.72</v>
      </c>
      <c r="BC19" s="128">
        <v>1.73</v>
      </c>
      <c r="BD19" s="128">
        <v>1.74</v>
      </c>
      <c r="BE19" s="128">
        <v>1.75</v>
      </c>
      <c r="BF19" s="128">
        <v>1.76</v>
      </c>
      <c r="BG19" s="128">
        <v>1.77</v>
      </c>
      <c r="BH19" s="128">
        <v>1.78</v>
      </c>
      <c r="BI19" s="128">
        <v>1.78</v>
      </c>
      <c r="BJ19" s="128">
        <v>1.79</v>
      </c>
      <c r="BK19" s="128">
        <v>1.8</v>
      </c>
      <c r="BL19" s="128">
        <v>1.81</v>
      </c>
      <c r="BM19" s="128">
        <v>1.82</v>
      </c>
      <c r="BN19" s="128">
        <v>1.83</v>
      </c>
      <c r="BO19" s="128">
        <v>1.84</v>
      </c>
      <c r="BP19" s="128">
        <v>1.84</v>
      </c>
      <c r="BQ19" s="128">
        <v>1.85</v>
      </c>
      <c r="BR19" s="128">
        <v>1.86</v>
      </c>
      <c r="BS19" s="128">
        <v>1.87</v>
      </c>
      <c r="BT19" s="128">
        <v>1.88</v>
      </c>
      <c r="BU19" s="128">
        <v>1.89</v>
      </c>
      <c r="BV19" s="128">
        <v>1.9</v>
      </c>
      <c r="BW19" s="128">
        <v>1.91</v>
      </c>
      <c r="BX19" s="128">
        <v>1.91</v>
      </c>
      <c r="BY19" s="128">
        <v>1.92</v>
      </c>
      <c r="BZ19" s="128">
        <v>1.93</v>
      </c>
      <c r="CA19" s="128">
        <v>1.94</v>
      </c>
      <c r="CB19" s="128">
        <v>1.95</v>
      </c>
      <c r="CC19" s="128">
        <v>1.96</v>
      </c>
      <c r="CD19" s="128">
        <v>1.97</v>
      </c>
      <c r="CE19" s="128">
        <v>1.97</v>
      </c>
      <c r="CF19" s="128">
        <v>1.98</v>
      </c>
      <c r="CG19" s="128">
        <v>1.99</v>
      </c>
      <c r="CH19" s="128">
        <v>2</v>
      </c>
      <c r="CI19" s="128">
        <v>2.0099999999999998</v>
      </c>
      <c r="CJ19" s="128">
        <v>2.02</v>
      </c>
      <c r="CK19" s="128">
        <v>2.0299999999999998</v>
      </c>
      <c r="CL19" s="128">
        <v>2.04</v>
      </c>
      <c r="CM19" s="128">
        <v>2.0499999999999998</v>
      </c>
      <c r="CN19" s="128">
        <v>2.0499999999999998</v>
      </c>
      <c r="CO19" s="128">
        <v>2.06</v>
      </c>
      <c r="CP19" s="128">
        <v>2.0699999999999998</v>
      </c>
      <c r="CQ19" s="128">
        <v>2.08</v>
      </c>
      <c r="CR19" s="128">
        <v>2.09</v>
      </c>
      <c r="CS19" s="128">
        <v>2.1</v>
      </c>
      <c r="CT19" s="128">
        <v>2.12</v>
      </c>
      <c r="CU19" s="128">
        <v>2.13</v>
      </c>
      <c r="CV19" s="128">
        <v>2.14</v>
      </c>
      <c r="CW19" s="128">
        <v>2.15</v>
      </c>
      <c r="CX19" s="128">
        <v>2.16</v>
      </c>
      <c r="CZ19" s="126">
        <f>SUMIF(MatrixF5[[1]:[2]],MatrixF5[[#This Row],[Столбец1]])/MatrixF5[[#This Row],[Столбец1]]</f>
        <v>12</v>
      </c>
      <c r="DA19" s="126">
        <f>SUMIF(MatrixF5[[1]:[2]],MatrixF5[[#This Row],[Столбец1]]+1)/(MatrixF5[[#This Row],[Столбец1]]+1)</f>
        <v>90.999999999999872</v>
      </c>
    </row>
    <row r="20" spans="1:105" ht="21" customHeight="1" x14ac:dyDescent="0.25">
      <c r="A20" s="127">
        <v>1.17</v>
      </c>
      <c r="B20" s="128">
        <v>1.17</v>
      </c>
      <c r="C20" s="128">
        <v>1.19</v>
      </c>
      <c r="D20" s="128">
        <v>1.21</v>
      </c>
      <c r="E20" s="128">
        <v>1.22</v>
      </c>
      <c r="F20" s="128">
        <v>1.24</v>
      </c>
      <c r="G20" s="128">
        <v>1.26</v>
      </c>
      <c r="H20" s="128">
        <v>1.27</v>
      </c>
      <c r="I20" s="128">
        <v>1.29</v>
      </c>
      <c r="J20" s="128">
        <v>1.31</v>
      </c>
      <c r="K20" s="128">
        <v>1.32</v>
      </c>
      <c r="L20" s="128">
        <v>1.34</v>
      </c>
      <c r="M20" s="128">
        <v>1.35</v>
      </c>
      <c r="N20" s="128">
        <v>1.37</v>
      </c>
      <c r="O20" s="128">
        <v>1.38</v>
      </c>
      <c r="P20" s="128">
        <v>1.39</v>
      </c>
      <c r="Q20" s="128">
        <v>1.41</v>
      </c>
      <c r="R20" s="128">
        <v>1.42</v>
      </c>
      <c r="S20" s="128">
        <v>1.44</v>
      </c>
      <c r="T20" s="128">
        <v>1.44</v>
      </c>
      <c r="U20" s="128">
        <v>1.45</v>
      </c>
      <c r="V20" s="128">
        <v>1.46</v>
      </c>
      <c r="W20" s="128">
        <v>1.47</v>
      </c>
      <c r="X20" s="128">
        <v>1.48</v>
      </c>
      <c r="Y20" s="128">
        <v>1.49</v>
      </c>
      <c r="Z20" s="128">
        <v>1.5</v>
      </c>
      <c r="AA20" s="128">
        <v>1.5</v>
      </c>
      <c r="AB20" s="128">
        <v>1.51</v>
      </c>
      <c r="AC20" s="128">
        <v>1.52</v>
      </c>
      <c r="AD20" s="128">
        <v>1.53</v>
      </c>
      <c r="AE20" s="128">
        <v>1.54</v>
      </c>
      <c r="AF20" s="128">
        <v>1.55</v>
      </c>
      <c r="AG20" s="128">
        <v>1.56</v>
      </c>
      <c r="AH20" s="128">
        <v>1.56</v>
      </c>
      <c r="AI20" s="128">
        <v>1.57</v>
      </c>
      <c r="AJ20" s="128">
        <v>1.58</v>
      </c>
      <c r="AK20" s="128">
        <v>1.59</v>
      </c>
      <c r="AL20" s="128">
        <v>1.6</v>
      </c>
      <c r="AM20" s="128">
        <v>1.61</v>
      </c>
      <c r="AN20" s="128">
        <v>1.62</v>
      </c>
      <c r="AO20" s="128">
        <v>1.62</v>
      </c>
      <c r="AP20" s="128">
        <v>1.63</v>
      </c>
      <c r="AQ20" s="128">
        <v>1.64</v>
      </c>
      <c r="AR20" s="128">
        <v>1.65</v>
      </c>
      <c r="AS20" s="128">
        <v>1.66</v>
      </c>
      <c r="AT20" s="128">
        <v>1.67</v>
      </c>
      <c r="AU20" s="128">
        <v>1.68</v>
      </c>
      <c r="AV20" s="128">
        <v>1.68</v>
      </c>
      <c r="AW20" s="128">
        <v>1.69</v>
      </c>
      <c r="AX20" s="128">
        <v>1.7</v>
      </c>
      <c r="AY20" s="128">
        <v>1.71</v>
      </c>
      <c r="AZ20" s="128">
        <v>1.72</v>
      </c>
      <c r="BA20" s="128">
        <v>1.73</v>
      </c>
      <c r="BB20" s="128">
        <v>1.74</v>
      </c>
      <c r="BC20" s="128">
        <v>1.74</v>
      </c>
      <c r="BD20" s="128">
        <v>1.75</v>
      </c>
      <c r="BE20" s="128">
        <v>1.76</v>
      </c>
      <c r="BF20" s="128">
        <v>1.77</v>
      </c>
      <c r="BG20" s="128">
        <v>1.78</v>
      </c>
      <c r="BH20" s="128">
        <v>1.79</v>
      </c>
      <c r="BI20" s="128">
        <v>1.79</v>
      </c>
      <c r="BJ20" s="128">
        <v>1.8</v>
      </c>
      <c r="BK20" s="128">
        <v>1.81</v>
      </c>
      <c r="BL20" s="128">
        <v>1.82</v>
      </c>
      <c r="BM20" s="128">
        <v>1.83</v>
      </c>
      <c r="BN20" s="128">
        <v>1.84</v>
      </c>
      <c r="BO20" s="128">
        <v>1.85</v>
      </c>
      <c r="BP20" s="128">
        <v>1.85</v>
      </c>
      <c r="BQ20" s="128">
        <v>1.86</v>
      </c>
      <c r="BR20" s="128">
        <v>1.87</v>
      </c>
      <c r="BS20" s="128">
        <v>1.88</v>
      </c>
      <c r="BT20" s="128">
        <v>1.89</v>
      </c>
      <c r="BU20" s="128">
        <v>1.9</v>
      </c>
      <c r="BV20" s="128">
        <v>1.91</v>
      </c>
      <c r="BW20" s="128">
        <v>1.91</v>
      </c>
      <c r="BX20" s="128">
        <v>1.92</v>
      </c>
      <c r="BY20" s="128">
        <v>1.93</v>
      </c>
      <c r="BZ20" s="128">
        <v>1.94</v>
      </c>
      <c r="CA20" s="128">
        <v>1.95</v>
      </c>
      <c r="CB20" s="128">
        <v>1.96</v>
      </c>
      <c r="CC20" s="128">
        <v>1.97</v>
      </c>
      <c r="CD20" s="128">
        <v>1.97</v>
      </c>
      <c r="CE20" s="128">
        <v>1.98</v>
      </c>
      <c r="CF20" s="128">
        <v>1.99</v>
      </c>
      <c r="CG20" s="128">
        <v>2</v>
      </c>
      <c r="CH20" s="128">
        <v>2.0099999999999998</v>
      </c>
      <c r="CI20" s="128">
        <v>2.02</v>
      </c>
      <c r="CJ20" s="128">
        <v>2.0299999999999998</v>
      </c>
      <c r="CK20" s="128">
        <v>2.04</v>
      </c>
      <c r="CL20" s="128">
        <v>2.04</v>
      </c>
      <c r="CM20" s="128">
        <v>2.0499999999999998</v>
      </c>
      <c r="CN20" s="128">
        <v>2.06</v>
      </c>
      <c r="CO20" s="128">
        <v>2.0699999999999998</v>
      </c>
      <c r="CP20" s="128">
        <v>2.08</v>
      </c>
      <c r="CQ20" s="128">
        <v>2.09</v>
      </c>
      <c r="CR20" s="128">
        <v>2.1</v>
      </c>
      <c r="CS20" s="128">
        <v>2.11</v>
      </c>
      <c r="CT20" s="128">
        <v>2.12</v>
      </c>
      <c r="CU20" s="128">
        <v>2.14</v>
      </c>
      <c r="CV20" s="128">
        <v>2.15</v>
      </c>
      <c r="CW20" s="128">
        <v>2.16</v>
      </c>
      <c r="CX20" s="128">
        <v>2.17</v>
      </c>
      <c r="CZ20" s="126">
        <f>SUMIF(MatrixF5[[1]:[2]],MatrixF5[[#This Row],[Столбец1]])/MatrixF5[[#This Row],[Столбец1]]</f>
        <v>14.999999999999998</v>
      </c>
      <c r="DA20" s="126">
        <f>SUMIF(MatrixF5[[1]:[2]],MatrixF5[[#This Row],[Столбец1]]+1)/(MatrixF5[[#This Row],[Столбец1]]+1)</f>
        <v>94.999999999999829</v>
      </c>
    </row>
    <row r="21" spans="1:105" ht="21" customHeight="1" x14ac:dyDescent="0.25">
      <c r="A21" s="127">
        <v>1.18</v>
      </c>
      <c r="B21" s="128">
        <v>1.18</v>
      </c>
      <c r="C21" s="128">
        <v>1.2</v>
      </c>
      <c r="D21" s="128">
        <v>1.22</v>
      </c>
      <c r="E21" s="128">
        <v>1.23</v>
      </c>
      <c r="F21" s="128">
        <v>1.25</v>
      </c>
      <c r="G21" s="128">
        <v>1.27</v>
      </c>
      <c r="H21" s="128">
        <v>1.28</v>
      </c>
      <c r="I21" s="128">
        <v>1.3</v>
      </c>
      <c r="J21" s="128">
        <v>1.31</v>
      </c>
      <c r="K21" s="128">
        <v>1.33</v>
      </c>
      <c r="L21" s="128">
        <v>1.35</v>
      </c>
      <c r="M21" s="128">
        <v>1.36</v>
      </c>
      <c r="N21" s="128">
        <v>1.38</v>
      </c>
      <c r="O21" s="128">
        <v>1.39</v>
      </c>
      <c r="P21" s="128">
        <v>1.4</v>
      </c>
      <c r="Q21" s="128">
        <v>1.42</v>
      </c>
      <c r="R21" s="128">
        <v>1.43</v>
      </c>
      <c r="S21" s="128">
        <v>1.44</v>
      </c>
      <c r="T21" s="128">
        <v>1.46</v>
      </c>
      <c r="U21" s="128">
        <v>1.47</v>
      </c>
      <c r="V21" s="128">
        <v>1.47</v>
      </c>
      <c r="W21" s="128">
        <v>1.48</v>
      </c>
      <c r="X21" s="128">
        <v>1.49</v>
      </c>
      <c r="Y21" s="128">
        <v>1.5</v>
      </c>
      <c r="Z21" s="128">
        <v>1.51</v>
      </c>
      <c r="AA21" s="128">
        <v>1.52</v>
      </c>
      <c r="AB21" s="128">
        <v>1.53</v>
      </c>
      <c r="AC21" s="128">
        <v>1.53</v>
      </c>
      <c r="AD21" s="128">
        <v>1.54</v>
      </c>
      <c r="AE21" s="128">
        <v>1.55</v>
      </c>
      <c r="AF21" s="128">
        <v>1.56</v>
      </c>
      <c r="AG21" s="128">
        <v>1.57</v>
      </c>
      <c r="AH21" s="128">
        <v>1.58</v>
      </c>
      <c r="AI21" s="128">
        <v>1.58</v>
      </c>
      <c r="AJ21" s="128">
        <v>1.59</v>
      </c>
      <c r="AK21" s="128">
        <v>1.6</v>
      </c>
      <c r="AL21" s="128">
        <v>1.61</v>
      </c>
      <c r="AM21" s="128">
        <v>1.62</v>
      </c>
      <c r="AN21" s="128">
        <v>1.63</v>
      </c>
      <c r="AO21" s="128">
        <v>1.64</v>
      </c>
      <c r="AP21" s="128">
        <v>1.64</v>
      </c>
      <c r="AQ21" s="128">
        <v>1.65</v>
      </c>
      <c r="AR21" s="128">
        <v>1.66</v>
      </c>
      <c r="AS21" s="128">
        <v>1.67</v>
      </c>
      <c r="AT21" s="128">
        <v>1.68</v>
      </c>
      <c r="AU21" s="128">
        <v>1.69</v>
      </c>
      <c r="AV21" s="128">
        <v>1.69</v>
      </c>
      <c r="AW21" s="128">
        <v>1.7</v>
      </c>
      <c r="AX21" s="128">
        <v>1.71</v>
      </c>
      <c r="AY21" s="128">
        <v>1.72</v>
      </c>
      <c r="AZ21" s="128">
        <v>1.73</v>
      </c>
      <c r="BA21" s="128">
        <v>1.74</v>
      </c>
      <c r="BB21" s="128">
        <v>1.75</v>
      </c>
      <c r="BC21" s="128">
        <v>1.75</v>
      </c>
      <c r="BD21" s="128">
        <v>1.76</v>
      </c>
      <c r="BE21" s="128">
        <v>1.77</v>
      </c>
      <c r="BF21" s="128">
        <v>1.78</v>
      </c>
      <c r="BG21" s="128">
        <v>1.79</v>
      </c>
      <c r="BH21" s="128">
        <v>1.8</v>
      </c>
      <c r="BI21" s="128">
        <v>1.81</v>
      </c>
      <c r="BJ21" s="128">
        <v>1.81</v>
      </c>
      <c r="BK21" s="128">
        <v>1.82</v>
      </c>
      <c r="BL21" s="128">
        <v>1.83</v>
      </c>
      <c r="BM21" s="128">
        <v>1.84</v>
      </c>
      <c r="BN21" s="128">
        <v>1.85</v>
      </c>
      <c r="BO21" s="128">
        <v>1.86</v>
      </c>
      <c r="BP21" s="128">
        <v>1.86</v>
      </c>
      <c r="BQ21" s="128">
        <v>1.87</v>
      </c>
      <c r="BR21" s="128">
        <v>1.88</v>
      </c>
      <c r="BS21" s="128">
        <v>1.89</v>
      </c>
      <c r="BT21" s="128">
        <v>1.9</v>
      </c>
      <c r="BU21" s="128">
        <v>1.91</v>
      </c>
      <c r="BV21" s="128">
        <v>1.92</v>
      </c>
      <c r="BW21" s="128">
        <v>1.92</v>
      </c>
      <c r="BX21" s="128">
        <v>1.93</v>
      </c>
      <c r="BY21" s="128">
        <v>1.94</v>
      </c>
      <c r="BZ21" s="128">
        <v>1.95</v>
      </c>
      <c r="CA21" s="128">
        <v>1.96</v>
      </c>
      <c r="CB21" s="128">
        <v>1.97</v>
      </c>
      <c r="CC21" s="128">
        <v>1.97</v>
      </c>
      <c r="CD21" s="128">
        <v>1.98</v>
      </c>
      <c r="CE21" s="128">
        <v>1.99</v>
      </c>
      <c r="CF21" s="128">
        <v>2</v>
      </c>
      <c r="CG21" s="128">
        <v>2.0099999999999998</v>
      </c>
      <c r="CH21" s="128">
        <v>2.02</v>
      </c>
      <c r="CI21" s="128">
        <v>2.0299999999999998</v>
      </c>
      <c r="CJ21" s="128">
        <v>2.04</v>
      </c>
      <c r="CK21" s="128">
        <v>2.04</v>
      </c>
      <c r="CL21" s="128">
        <v>2.0499999999999998</v>
      </c>
      <c r="CM21" s="128">
        <v>2.06</v>
      </c>
      <c r="CN21" s="128">
        <v>2.0699999999999998</v>
      </c>
      <c r="CO21" s="128">
        <v>2.08</v>
      </c>
      <c r="CP21" s="128">
        <v>2.09</v>
      </c>
      <c r="CQ21" s="128">
        <v>2.1</v>
      </c>
      <c r="CR21" s="128">
        <v>2.11</v>
      </c>
      <c r="CS21" s="128">
        <v>2.12</v>
      </c>
      <c r="CT21" s="128">
        <v>2.13</v>
      </c>
      <c r="CU21" s="128">
        <v>2.15</v>
      </c>
      <c r="CV21" s="128">
        <v>2.16</v>
      </c>
      <c r="CW21" s="128">
        <v>2.17</v>
      </c>
      <c r="CX21" s="128">
        <v>2.1800000000000002</v>
      </c>
      <c r="CZ21" s="126">
        <f>SUMIF(MatrixF5[[1]:[2]],MatrixF5[[#This Row],[Столбец1]])/MatrixF5[[#This Row],[Столбец1]]</f>
        <v>14</v>
      </c>
      <c r="DA21" s="126">
        <f>SUMIF(MatrixF5[[1]:[2]],MatrixF5[[#This Row],[Столбец1]]+1)/(MatrixF5[[#This Row],[Столбец1]]+1)</f>
        <v>92.000000000000213</v>
      </c>
    </row>
    <row r="22" spans="1:105" ht="21" customHeight="1" x14ac:dyDescent="0.25">
      <c r="A22" s="127">
        <v>1.19</v>
      </c>
      <c r="B22" s="128">
        <v>1.19</v>
      </c>
      <c r="C22" s="128">
        <v>1.21</v>
      </c>
      <c r="D22" s="128">
        <v>1.23</v>
      </c>
      <c r="E22" s="128">
        <v>1.24</v>
      </c>
      <c r="F22" s="128">
        <v>1.26</v>
      </c>
      <c r="G22" s="128">
        <v>1.28</v>
      </c>
      <c r="H22" s="128">
        <v>1.29</v>
      </c>
      <c r="I22" s="128">
        <v>1.31</v>
      </c>
      <c r="J22" s="128">
        <v>1.32</v>
      </c>
      <c r="K22" s="128">
        <v>1.34</v>
      </c>
      <c r="L22" s="128">
        <v>1.35</v>
      </c>
      <c r="M22" s="128">
        <v>1.37</v>
      </c>
      <c r="N22" s="128">
        <v>1.38</v>
      </c>
      <c r="O22" s="128">
        <v>1.4</v>
      </c>
      <c r="P22" s="128">
        <v>1.41</v>
      </c>
      <c r="Q22" s="128">
        <v>1.43</v>
      </c>
      <c r="R22" s="128">
        <v>1.44</v>
      </c>
      <c r="S22" s="128">
        <v>1.45</v>
      </c>
      <c r="T22" s="128">
        <v>1.47</v>
      </c>
      <c r="U22" s="128">
        <v>1.48</v>
      </c>
      <c r="V22" s="128">
        <v>1.49</v>
      </c>
      <c r="W22" s="128">
        <v>1.5</v>
      </c>
      <c r="X22" s="128">
        <v>1.5</v>
      </c>
      <c r="Y22" s="128">
        <v>1.51</v>
      </c>
      <c r="Z22" s="128">
        <v>1.52</v>
      </c>
      <c r="AA22" s="128">
        <v>1.53</v>
      </c>
      <c r="AB22" s="128">
        <v>1.54</v>
      </c>
      <c r="AC22" s="128">
        <v>1.55</v>
      </c>
      <c r="AD22" s="128">
        <v>1.55</v>
      </c>
      <c r="AE22" s="128">
        <v>1.56</v>
      </c>
      <c r="AF22" s="128">
        <v>1.57</v>
      </c>
      <c r="AG22" s="128">
        <v>1.58</v>
      </c>
      <c r="AH22" s="128">
        <v>1.59</v>
      </c>
      <c r="AI22" s="128">
        <v>1.6</v>
      </c>
      <c r="AJ22" s="128">
        <v>1.61</v>
      </c>
      <c r="AK22" s="128">
        <v>1.61</v>
      </c>
      <c r="AL22" s="128">
        <v>1.62</v>
      </c>
      <c r="AM22" s="128">
        <v>1.63</v>
      </c>
      <c r="AN22" s="128">
        <v>1.64</v>
      </c>
      <c r="AO22" s="128">
        <v>1.65</v>
      </c>
      <c r="AP22" s="128">
        <v>1.66</v>
      </c>
      <c r="AQ22" s="128">
        <v>1.66</v>
      </c>
      <c r="AR22" s="128">
        <v>1.67</v>
      </c>
      <c r="AS22" s="128">
        <v>1.68</v>
      </c>
      <c r="AT22" s="128">
        <v>1.69</v>
      </c>
      <c r="AU22" s="128">
        <v>1.7</v>
      </c>
      <c r="AV22" s="128">
        <v>1.71</v>
      </c>
      <c r="AW22" s="128">
        <v>1.71</v>
      </c>
      <c r="AX22" s="128">
        <v>1.72</v>
      </c>
      <c r="AY22" s="128">
        <v>1.73</v>
      </c>
      <c r="AZ22" s="128">
        <v>1.74</v>
      </c>
      <c r="BA22" s="128">
        <v>1.75</v>
      </c>
      <c r="BB22" s="128">
        <v>1.76</v>
      </c>
      <c r="BC22" s="128">
        <v>1.76</v>
      </c>
      <c r="BD22" s="128">
        <v>1.77</v>
      </c>
      <c r="BE22" s="128">
        <v>1.78</v>
      </c>
      <c r="BF22" s="128">
        <v>1.79</v>
      </c>
      <c r="BG22" s="128">
        <v>1.8</v>
      </c>
      <c r="BH22" s="128">
        <v>1.81</v>
      </c>
      <c r="BI22" s="128">
        <v>1.82</v>
      </c>
      <c r="BJ22" s="128">
        <v>1.82</v>
      </c>
      <c r="BK22" s="128">
        <v>1.83</v>
      </c>
      <c r="BL22" s="128">
        <v>1.84</v>
      </c>
      <c r="BM22" s="128">
        <v>1.85</v>
      </c>
      <c r="BN22" s="128">
        <v>1.86</v>
      </c>
      <c r="BO22" s="128">
        <v>1.87</v>
      </c>
      <c r="BP22" s="128">
        <v>1.87</v>
      </c>
      <c r="BQ22" s="128">
        <v>1.88</v>
      </c>
      <c r="BR22" s="128">
        <v>1.89</v>
      </c>
      <c r="BS22" s="128">
        <v>1.9</v>
      </c>
      <c r="BT22" s="128">
        <v>1.91</v>
      </c>
      <c r="BU22" s="128">
        <v>1.92</v>
      </c>
      <c r="BV22" s="128">
        <v>1.92</v>
      </c>
      <c r="BW22" s="128">
        <v>1.93</v>
      </c>
      <c r="BX22" s="128">
        <v>1.94</v>
      </c>
      <c r="BY22" s="128">
        <v>1.95</v>
      </c>
      <c r="BZ22" s="128">
        <v>1.96</v>
      </c>
      <c r="CA22" s="128">
        <v>1.97</v>
      </c>
      <c r="CB22" s="128">
        <v>1.97</v>
      </c>
      <c r="CC22" s="128">
        <v>1.98</v>
      </c>
      <c r="CD22" s="128">
        <v>1.99</v>
      </c>
      <c r="CE22" s="128">
        <v>2</v>
      </c>
      <c r="CF22" s="128">
        <v>2.0099999999999998</v>
      </c>
      <c r="CG22" s="128">
        <v>2.02</v>
      </c>
      <c r="CH22" s="128">
        <v>2.0299999999999998</v>
      </c>
      <c r="CI22" s="128">
        <v>2.0299999999999998</v>
      </c>
      <c r="CJ22" s="128">
        <v>2.04</v>
      </c>
      <c r="CK22" s="128">
        <v>2.0499999999999998</v>
      </c>
      <c r="CL22" s="128">
        <v>2.06</v>
      </c>
      <c r="CM22" s="128">
        <v>2.0699999999999998</v>
      </c>
      <c r="CN22" s="128">
        <v>2.08</v>
      </c>
      <c r="CO22" s="128">
        <v>2.09</v>
      </c>
      <c r="CP22" s="128">
        <v>2.1</v>
      </c>
      <c r="CQ22" s="128">
        <v>2.11</v>
      </c>
      <c r="CR22" s="128">
        <v>2.12</v>
      </c>
      <c r="CS22" s="128">
        <v>2.13</v>
      </c>
      <c r="CT22" s="128">
        <v>2.14</v>
      </c>
      <c r="CU22" s="128">
        <v>2.16</v>
      </c>
      <c r="CV22" s="128">
        <v>2.17</v>
      </c>
      <c r="CW22" s="128">
        <v>2.1800000000000002</v>
      </c>
      <c r="CX22" s="128">
        <v>2.19</v>
      </c>
      <c r="CZ22" s="126">
        <f>SUMIF(MatrixF5[[1]:[2]],MatrixF5[[#This Row],[Столбец1]])/MatrixF5[[#This Row],[Столбец1]]</f>
        <v>13.999999999999998</v>
      </c>
      <c r="DA22" s="126">
        <f>SUMIF(MatrixF5[[1]:[2]],MatrixF5[[#This Row],[Столбец1]]+1)/(MatrixF5[[#This Row],[Столбец1]]+1)</f>
        <v>88.999999999999929</v>
      </c>
    </row>
    <row r="23" spans="1:105" ht="21" customHeight="1" x14ac:dyDescent="0.25">
      <c r="A23" s="127">
        <v>1.2</v>
      </c>
      <c r="B23" s="128">
        <v>1.2</v>
      </c>
      <c r="C23" s="128">
        <v>1.22</v>
      </c>
      <c r="D23" s="128">
        <v>1.24</v>
      </c>
      <c r="E23" s="128">
        <v>1.25</v>
      </c>
      <c r="F23" s="128">
        <v>1.27</v>
      </c>
      <c r="G23" s="128">
        <v>1.29</v>
      </c>
      <c r="H23" s="128">
        <v>1.3</v>
      </c>
      <c r="I23" s="128">
        <v>1.32</v>
      </c>
      <c r="J23" s="128">
        <v>1.33</v>
      </c>
      <c r="K23" s="128">
        <v>1.35</v>
      </c>
      <c r="L23" s="128">
        <v>1.36</v>
      </c>
      <c r="M23" s="128">
        <v>1.38</v>
      </c>
      <c r="N23" s="128">
        <v>1.39</v>
      </c>
      <c r="O23" s="128">
        <v>1.41</v>
      </c>
      <c r="P23" s="128">
        <v>1.42</v>
      </c>
      <c r="Q23" s="128">
        <v>1.43</v>
      </c>
      <c r="R23" s="128">
        <v>1.45</v>
      </c>
      <c r="S23" s="128">
        <v>1.46</v>
      </c>
      <c r="T23" s="128">
        <v>1.47</v>
      </c>
      <c r="U23" s="128">
        <v>1.49</v>
      </c>
      <c r="V23" s="128">
        <v>1.5</v>
      </c>
      <c r="W23" s="128">
        <v>1.51</v>
      </c>
      <c r="X23" s="128">
        <v>1.52</v>
      </c>
      <c r="Y23" s="128">
        <v>1.52</v>
      </c>
      <c r="Z23" s="128">
        <v>1.53</v>
      </c>
      <c r="AA23" s="128">
        <v>1.54</v>
      </c>
      <c r="AB23" s="128">
        <v>1.55</v>
      </c>
      <c r="AC23" s="128">
        <v>1.56</v>
      </c>
      <c r="AD23" s="128">
        <v>1.57</v>
      </c>
      <c r="AE23" s="128">
        <v>1.58</v>
      </c>
      <c r="AF23" s="128">
        <v>1.58</v>
      </c>
      <c r="AG23" s="128">
        <v>1.59</v>
      </c>
      <c r="AH23" s="128">
        <v>1.6</v>
      </c>
      <c r="AI23" s="128">
        <v>1.61</v>
      </c>
      <c r="AJ23" s="128">
        <v>1.62</v>
      </c>
      <c r="AK23" s="128">
        <v>1.62</v>
      </c>
      <c r="AL23" s="128">
        <v>1.63</v>
      </c>
      <c r="AM23" s="128">
        <v>1.64</v>
      </c>
      <c r="AN23" s="128">
        <v>1.65</v>
      </c>
      <c r="AO23" s="128">
        <v>1.66</v>
      </c>
      <c r="AP23" s="128">
        <v>1.67</v>
      </c>
      <c r="AQ23" s="128">
        <v>1.68</v>
      </c>
      <c r="AR23" s="128">
        <v>1.68</v>
      </c>
      <c r="AS23" s="128">
        <v>1.69</v>
      </c>
      <c r="AT23" s="128">
        <v>1.7</v>
      </c>
      <c r="AU23" s="128">
        <v>1.71</v>
      </c>
      <c r="AV23" s="128">
        <v>1.72</v>
      </c>
      <c r="AW23" s="128">
        <v>1.72</v>
      </c>
      <c r="AX23" s="128">
        <v>1.73</v>
      </c>
      <c r="AY23" s="128">
        <v>1.74</v>
      </c>
      <c r="AZ23" s="128">
        <v>1.75</v>
      </c>
      <c r="BA23" s="128">
        <v>1.76</v>
      </c>
      <c r="BB23" s="128">
        <v>1.77</v>
      </c>
      <c r="BC23" s="128">
        <v>1.78</v>
      </c>
      <c r="BD23" s="128">
        <v>1.78</v>
      </c>
      <c r="BE23" s="128">
        <v>1.79</v>
      </c>
      <c r="BF23" s="128">
        <v>1.8</v>
      </c>
      <c r="BG23" s="128">
        <v>1.81</v>
      </c>
      <c r="BH23" s="128">
        <v>1.82</v>
      </c>
      <c r="BI23" s="128">
        <v>1.82</v>
      </c>
      <c r="BJ23" s="128">
        <v>1.83</v>
      </c>
      <c r="BK23" s="128">
        <v>1.84</v>
      </c>
      <c r="BL23" s="128">
        <v>1.85</v>
      </c>
      <c r="BM23" s="128">
        <v>1.86</v>
      </c>
      <c r="BN23" s="128">
        <v>1.87</v>
      </c>
      <c r="BO23" s="128">
        <v>1.87</v>
      </c>
      <c r="BP23" s="128">
        <v>1.88</v>
      </c>
      <c r="BQ23" s="128">
        <v>1.89</v>
      </c>
      <c r="BR23" s="128">
        <v>1.9</v>
      </c>
      <c r="BS23" s="128">
        <v>1.91</v>
      </c>
      <c r="BT23" s="128">
        <v>1.92</v>
      </c>
      <c r="BU23" s="128">
        <v>1.92</v>
      </c>
      <c r="BV23" s="128">
        <v>1.93</v>
      </c>
      <c r="BW23" s="128">
        <v>1.94</v>
      </c>
      <c r="BX23" s="128">
        <v>1.95</v>
      </c>
      <c r="BY23" s="128">
        <v>1.96</v>
      </c>
      <c r="BZ23" s="128">
        <v>1.97</v>
      </c>
      <c r="CA23" s="128">
        <v>1.97</v>
      </c>
      <c r="CB23" s="128">
        <v>1.98</v>
      </c>
      <c r="CC23" s="128">
        <v>1.99</v>
      </c>
      <c r="CD23" s="128">
        <v>2</v>
      </c>
      <c r="CE23" s="128">
        <v>2.0099999999999998</v>
      </c>
      <c r="CF23" s="128">
        <v>2.02</v>
      </c>
      <c r="CG23" s="128">
        <v>2.0299999999999998</v>
      </c>
      <c r="CH23" s="128">
        <v>2.0299999999999998</v>
      </c>
      <c r="CI23" s="128">
        <v>2.04</v>
      </c>
      <c r="CJ23" s="128">
        <v>2.0499999999999998</v>
      </c>
      <c r="CK23" s="128">
        <v>2.06</v>
      </c>
      <c r="CL23" s="128">
        <v>2.0699999999999998</v>
      </c>
      <c r="CM23" s="128">
        <v>2.08</v>
      </c>
      <c r="CN23" s="128">
        <v>2.09</v>
      </c>
      <c r="CO23" s="128">
        <v>2.1</v>
      </c>
      <c r="CP23" s="128">
        <v>2.11</v>
      </c>
      <c r="CQ23" s="128">
        <v>2.12</v>
      </c>
      <c r="CR23" s="128">
        <v>2.13</v>
      </c>
      <c r="CS23" s="128">
        <v>2.14</v>
      </c>
      <c r="CT23" s="128">
        <v>2.15</v>
      </c>
      <c r="CU23" s="128">
        <v>2.17</v>
      </c>
      <c r="CV23" s="128">
        <v>2.1800000000000002</v>
      </c>
      <c r="CW23" s="128">
        <v>2.19</v>
      </c>
      <c r="CX23" s="128">
        <v>2.2000000000000002</v>
      </c>
      <c r="CZ23" s="126">
        <f>SUMIF(MatrixF5[[1]:[2]],MatrixF5[[#This Row],[Столбец1]])/MatrixF5[[#This Row],[Столбец1]]</f>
        <v>14.999999999999998</v>
      </c>
      <c r="DA23" s="126">
        <f>SUMIF(MatrixF5[[1]:[2]],MatrixF5[[#This Row],[Столбец1]]+1)/(MatrixF5[[#This Row],[Столбец1]]+1)</f>
        <v>85.999999999999901</v>
      </c>
    </row>
    <row r="24" spans="1:105" ht="21" customHeight="1" x14ac:dyDescent="0.25">
      <c r="A24" s="127">
        <v>1.21</v>
      </c>
      <c r="B24" s="128">
        <v>1.21</v>
      </c>
      <c r="C24" s="128">
        <v>1.23</v>
      </c>
      <c r="D24" s="128">
        <v>1.25</v>
      </c>
      <c r="E24" s="128">
        <v>1.26</v>
      </c>
      <c r="F24" s="128">
        <v>1.28</v>
      </c>
      <c r="G24" s="128">
        <v>1.3</v>
      </c>
      <c r="H24" s="128">
        <v>1.31</v>
      </c>
      <c r="I24" s="128">
        <v>1.33</v>
      </c>
      <c r="J24" s="128">
        <v>1.34</v>
      </c>
      <c r="K24" s="128">
        <v>1.36</v>
      </c>
      <c r="L24" s="128">
        <v>1.37</v>
      </c>
      <c r="M24" s="128">
        <v>1.39</v>
      </c>
      <c r="N24" s="128">
        <v>1.4</v>
      </c>
      <c r="O24" s="128">
        <v>1.42</v>
      </c>
      <c r="P24" s="128">
        <v>1.43</v>
      </c>
      <c r="Q24" s="128">
        <v>1.44</v>
      </c>
      <c r="R24" s="128">
        <v>1.46</v>
      </c>
      <c r="S24" s="128">
        <v>1.47</v>
      </c>
      <c r="T24" s="128">
        <v>1.48</v>
      </c>
      <c r="U24" s="128">
        <v>1.5</v>
      </c>
      <c r="V24" s="128">
        <v>1.51</v>
      </c>
      <c r="W24" s="128">
        <v>1.52</v>
      </c>
      <c r="X24" s="128">
        <v>1.53</v>
      </c>
      <c r="Y24" s="128">
        <v>1.54</v>
      </c>
      <c r="Z24" s="128">
        <v>1.55</v>
      </c>
      <c r="AA24" s="128">
        <v>1.55</v>
      </c>
      <c r="AB24" s="128">
        <v>1.56</v>
      </c>
      <c r="AC24" s="128">
        <v>1.57</v>
      </c>
      <c r="AD24" s="128">
        <v>1.58</v>
      </c>
      <c r="AE24" s="128">
        <v>1.59</v>
      </c>
      <c r="AF24" s="128">
        <v>1.6</v>
      </c>
      <c r="AG24" s="128">
        <v>1.6</v>
      </c>
      <c r="AH24" s="128">
        <v>1.61</v>
      </c>
      <c r="AI24" s="128">
        <v>1.62</v>
      </c>
      <c r="AJ24" s="128">
        <v>1.63</v>
      </c>
      <c r="AK24" s="128">
        <v>1.64</v>
      </c>
      <c r="AL24" s="128">
        <v>1.64</v>
      </c>
      <c r="AM24" s="128">
        <v>1.65</v>
      </c>
      <c r="AN24" s="128">
        <v>1.66</v>
      </c>
      <c r="AO24" s="128">
        <v>1.67</v>
      </c>
      <c r="AP24" s="128">
        <v>1.68</v>
      </c>
      <c r="AQ24" s="128">
        <v>1.69</v>
      </c>
      <c r="AR24" s="128">
        <v>1.69</v>
      </c>
      <c r="AS24" s="128">
        <v>1.7</v>
      </c>
      <c r="AT24" s="128">
        <v>1.71</v>
      </c>
      <c r="AU24" s="128">
        <v>1.72</v>
      </c>
      <c r="AV24" s="128">
        <v>1.73</v>
      </c>
      <c r="AW24" s="128">
        <v>1.74</v>
      </c>
      <c r="AX24" s="128">
        <v>1.74</v>
      </c>
      <c r="AY24" s="128">
        <v>1.75</v>
      </c>
      <c r="AZ24" s="128">
        <v>1.76</v>
      </c>
      <c r="BA24" s="128">
        <v>1.77</v>
      </c>
      <c r="BB24" s="128">
        <v>1.78</v>
      </c>
      <c r="BC24" s="128">
        <v>1.79</v>
      </c>
      <c r="BD24" s="128">
        <v>1.79</v>
      </c>
      <c r="BE24" s="128">
        <v>1.8</v>
      </c>
      <c r="BF24" s="128">
        <v>1.81</v>
      </c>
      <c r="BG24" s="128">
        <v>1.82</v>
      </c>
      <c r="BH24" s="128">
        <v>1.83</v>
      </c>
      <c r="BI24" s="128">
        <v>1.83</v>
      </c>
      <c r="BJ24" s="128">
        <v>1.84</v>
      </c>
      <c r="BK24" s="128">
        <v>1.85</v>
      </c>
      <c r="BL24" s="128">
        <v>1.86</v>
      </c>
      <c r="BM24" s="128">
        <v>1.87</v>
      </c>
      <c r="BN24" s="128">
        <v>1.88</v>
      </c>
      <c r="BO24" s="128">
        <v>1.88</v>
      </c>
      <c r="BP24" s="128">
        <v>1.89</v>
      </c>
      <c r="BQ24" s="128">
        <v>1.9</v>
      </c>
      <c r="BR24" s="128">
        <v>1.91</v>
      </c>
      <c r="BS24" s="128">
        <v>1.92</v>
      </c>
      <c r="BT24" s="128">
        <v>1.93</v>
      </c>
      <c r="BU24" s="128">
        <v>1.93</v>
      </c>
      <c r="BV24" s="128">
        <v>1.94</v>
      </c>
      <c r="BW24" s="128">
        <v>1.95</v>
      </c>
      <c r="BX24" s="128">
        <v>1.96</v>
      </c>
      <c r="BY24" s="128">
        <v>1.97</v>
      </c>
      <c r="BZ24" s="128">
        <v>1.98</v>
      </c>
      <c r="CA24" s="128">
        <v>1.98</v>
      </c>
      <c r="CB24" s="128">
        <v>1.99</v>
      </c>
      <c r="CC24" s="128">
        <v>2</v>
      </c>
      <c r="CD24" s="128">
        <v>2.0099999999999998</v>
      </c>
      <c r="CE24" s="128">
        <v>2.02</v>
      </c>
      <c r="CF24" s="128">
        <v>2.0299999999999998</v>
      </c>
      <c r="CG24" s="128">
        <v>2.0299999999999998</v>
      </c>
      <c r="CH24" s="128">
        <v>2.04</v>
      </c>
      <c r="CI24" s="128">
        <v>2.0499999999999998</v>
      </c>
      <c r="CJ24" s="128">
        <v>2.06</v>
      </c>
      <c r="CK24" s="128">
        <v>2.0699999999999998</v>
      </c>
      <c r="CL24" s="128">
        <v>2.08</v>
      </c>
      <c r="CM24" s="128">
        <v>2.09</v>
      </c>
      <c r="CN24" s="128">
        <v>2.1</v>
      </c>
      <c r="CO24" s="128">
        <v>2.11</v>
      </c>
      <c r="CP24" s="128">
        <v>2.12</v>
      </c>
      <c r="CQ24" s="128">
        <v>2.13</v>
      </c>
      <c r="CR24" s="128">
        <v>2.14</v>
      </c>
      <c r="CS24" s="128">
        <v>2.15</v>
      </c>
      <c r="CT24" s="128">
        <v>2.16</v>
      </c>
      <c r="CU24" s="128">
        <v>2.17</v>
      </c>
      <c r="CV24" s="128">
        <v>2.19</v>
      </c>
      <c r="CW24" s="128">
        <v>2.2000000000000002</v>
      </c>
      <c r="CX24" s="128">
        <v>2.21</v>
      </c>
      <c r="CZ24" s="126">
        <f>SUMIF(MatrixF5[[1]:[2]],MatrixF5[[#This Row],[Столбец1]])/MatrixF5[[#This Row],[Столбец1]]</f>
        <v>18.000000000000007</v>
      </c>
      <c r="DA24" s="126">
        <f>SUMIF(MatrixF5[[1]:[2]],MatrixF5[[#This Row],[Столбец1]]+1)/(MatrixF5[[#This Row],[Столбец1]]+1)</f>
        <v>87.000000000000028</v>
      </c>
    </row>
    <row r="25" spans="1:105" ht="21" customHeight="1" x14ac:dyDescent="0.25">
      <c r="A25" s="127">
        <v>1.22</v>
      </c>
      <c r="B25" s="128">
        <v>1.22</v>
      </c>
      <c r="C25" s="128">
        <v>1.24</v>
      </c>
      <c r="D25" s="128">
        <v>1.25</v>
      </c>
      <c r="E25" s="128">
        <v>1.27</v>
      </c>
      <c r="F25" s="128">
        <v>1.29</v>
      </c>
      <c r="G25" s="128">
        <v>1.3</v>
      </c>
      <c r="H25" s="128">
        <v>1.32</v>
      </c>
      <c r="I25" s="128">
        <v>1.34</v>
      </c>
      <c r="J25" s="128">
        <v>1.35</v>
      </c>
      <c r="K25" s="128">
        <v>1.37</v>
      </c>
      <c r="L25" s="128">
        <v>1.38</v>
      </c>
      <c r="M25" s="128">
        <v>1.4</v>
      </c>
      <c r="N25" s="128">
        <v>1.41</v>
      </c>
      <c r="O25" s="128">
        <v>1.42</v>
      </c>
      <c r="P25" s="128">
        <v>1.44</v>
      </c>
      <c r="Q25" s="128">
        <v>1.45</v>
      </c>
      <c r="R25" s="128">
        <v>1.47</v>
      </c>
      <c r="S25" s="128">
        <v>1.48</v>
      </c>
      <c r="T25" s="128">
        <v>1.49</v>
      </c>
      <c r="U25" s="128">
        <v>1.5</v>
      </c>
      <c r="V25" s="128">
        <v>1.52</v>
      </c>
      <c r="W25" s="128">
        <v>1.53</v>
      </c>
      <c r="X25" s="128">
        <v>1.54</v>
      </c>
      <c r="Y25" s="128">
        <v>1.55</v>
      </c>
      <c r="Z25" s="128">
        <v>1.56</v>
      </c>
      <c r="AA25" s="128">
        <v>1.57</v>
      </c>
      <c r="AB25" s="128">
        <v>1.57</v>
      </c>
      <c r="AC25" s="128">
        <v>1.58</v>
      </c>
      <c r="AD25" s="128">
        <v>1.59</v>
      </c>
      <c r="AE25" s="128">
        <v>1.6</v>
      </c>
      <c r="AF25" s="128">
        <v>1.61</v>
      </c>
      <c r="AG25" s="128">
        <v>1.61</v>
      </c>
      <c r="AH25" s="128">
        <v>1.62</v>
      </c>
      <c r="AI25" s="128">
        <v>1.63</v>
      </c>
      <c r="AJ25" s="128">
        <v>1.64</v>
      </c>
      <c r="AK25" s="128">
        <v>1.65</v>
      </c>
      <c r="AL25" s="128">
        <v>1.66</v>
      </c>
      <c r="AM25" s="128">
        <v>1.66</v>
      </c>
      <c r="AN25" s="128">
        <v>1.67</v>
      </c>
      <c r="AO25" s="128">
        <v>1.68</v>
      </c>
      <c r="AP25" s="128">
        <v>1.69</v>
      </c>
      <c r="AQ25" s="128">
        <v>1.7</v>
      </c>
      <c r="AR25" s="128">
        <v>1.7</v>
      </c>
      <c r="AS25" s="128">
        <v>1.71</v>
      </c>
      <c r="AT25" s="128">
        <v>1.72</v>
      </c>
      <c r="AU25" s="128">
        <v>1.73</v>
      </c>
      <c r="AV25" s="128">
        <v>1.74</v>
      </c>
      <c r="AW25" s="128">
        <v>1.75</v>
      </c>
      <c r="AX25" s="128">
        <v>1.75</v>
      </c>
      <c r="AY25" s="128">
        <v>1.76</v>
      </c>
      <c r="AZ25" s="128">
        <v>1.77</v>
      </c>
      <c r="BA25" s="128">
        <v>1.78</v>
      </c>
      <c r="BB25" s="128">
        <v>1.79</v>
      </c>
      <c r="BC25" s="128">
        <v>1.8</v>
      </c>
      <c r="BD25" s="128">
        <v>1.8</v>
      </c>
      <c r="BE25" s="128">
        <v>1.81</v>
      </c>
      <c r="BF25" s="128">
        <v>1.82</v>
      </c>
      <c r="BG25" s="128">
        <v>1.83</v>
      </c>
      <c r="BH25" s="128">
        <v>1.84</v>
      </c>
      <c r="BI25" s="128">
        <v>1.84</v>
      </c>
      <c r="BJ25" s="128">
        <v>1.85</v>
      </c>
      <c r="BK25" s="128">
        <v>1.86</v>
      </c>
      <c r="BL25" s="128">
        <v>1.87</v>
      </c>
      <c r="BM25" s="128">
        <v>1.88</v>
      </c>
      <c r="BN25" s="128">
        <v>1.89</v>
      </c>
      <c r="BO25" s="128">
        <v>1.89</v>
      </c>
      <c r="BP25" s="128">
        <v>1.9</v>
      </c>
      <c r="BQ25" s="128">
        <v>1.91</v>
      </c>
      <c r="BR25" s="128">
        <v>1.92</v>
      </c>
      <c r="BS25" s="128">
        <v>1.93</v>
      </c>
      <c r="BT25" s="128">
        <v>1.93</v>
      </c>
      <c r="BU25" s="128">
        <v>1.94</v>
      </c>
      <c r="BV25" s="128">
        <v>1.95</v>
      </c>
      <c r="BW25" s="128">
        <v>1.96</v>
      </c>
      <c r="BX25" s="128">
        <v>1.97</v>
      </c>
      <c r="BY25" s="128">
        <v>1.98</v>
      </c>
      <c r="BZ25" s="128">
        <v>1.98</v>
      </c>
      <c r="CA25" s="128">
        <v>1.99</v>
      </c>
      <c r="CB25" s="128">
        <v>2</v>
      </c>
      <c r="CC25" s="128">
        <v>2.0099999999999998</v>
      </c>
      <c r="CD25" s="128">
        <v>2.02</v>
      </c>
      <c r="CE25" s="128">
        <v>2.0299999999999998</v>
      </c>
      <c r="CF25" s="128">
        <v>2.0299999999999998</v>
      </c>
      <c r="CG25" s="128">
        <v>2.04</v>
      </c>
      <c r="CH25" s="128">
        <v>2.0499999999999998</v>
      </c>
      <c r="CI25" s="128">
        <v>2.06</v>
      </c>
      <c r="CJ25" s="128">
        <v>2.0699999999999998</v>
      </c>
      <c r="CK25" s="128">
        <v>2.08</v>
      </c>
      <c r="CL25" s="128">
        <v>2.09</v>
      </c>
      <c r="CM25" s="128">
        <v>2.1</v>
      </c>
      <c r="CN25" s="128">
        <v>2.11</v>
      </c>
      <c r="CO25" s="128">
        <v>2.12</v>
      </c>
      <c r="CP25" s="128">
        <v>2.13</v>
      </c>
      <c r="CQ25" s="128">
        <v>2.14</v>
      </c>
      <c r="CR25" s="128">
        <v>2.15</v>
      </c>
      <c r="CS25" s="128">
        <v>2.16</v>
      </c>
      <c r="CT25" s="128">
        <v>2.17</v>
      </c>
      <c r="CU25" s="128">
        <v>2.1800000000000002</v>
      </c>
      <c r="CV25" s="128">
        <v>2.2000000000000002</v>
      </c>
      <c r="CW25" s="128">
        <v>2.21</v>
      </c>
      <c r="CX25" s="128">
        <v>2.2200000000000002</v>
      </c>
      <c r="CZ25" s="126">
        <f>SUMIF(MatrixF5[[1]:[2]],MatrixF5[[#This Row],[Столбец1]])/MatrixF5[[#This Row],[Столбец1]]</f>
        <v>17</v>
      </c>
      <c r="DA25" s="126">
        <f>SUMIF(MatrixF5[[1]:[2]],MatrixF5[[#This Row],[Столбец1]]+1)/(MatrixF5[[#This Row],[Столбец1]]+1)</f>
        <v>80.999999999999986</v>
      </c>
    </row>
    <row r="26" spans="1:105" ht="21" customHeight="1" x14ac:dyDescent="0.25">
      <c r="A26" s="127">
        <v>1.23</v>
      </c>
      <c r="B26" s="128">
        <v>1.23</v>
      </c>
      <c r="C26" s="128">
        <v>1.25</v>
      </c>
      <c r="D26" s="128">
        <v>1.26</v>
      </c>
      <c r="E26" s="128">
        <v>1.28</v>
      </c>
      <c r="F26" s="128">
        <v>1.3</v>
      </c>
      <c r="G26" s="128">
        <v>1.31</v>
      </c>
      <c r="H26" s="128">
        <v>1.33</v>
      </c>
      <c r="I26" s="128">
        <v>1.35</v>
      </c>
      <c r="J26" s="128">
        <v>1.36</v>
      </c>
      <c r="K26" s="128">
        <v>1.38</v>
      </c>
      <c r="L26" s="128">
        <v>1.39</v>
      </c>
      <c r="M26" s="128">
        <v>1.41</v>
      </c>
      <c r="N26" s="128">
        <v>1.42</v>
      </c>
      <c r="O26" s="128">
        <v>1.43</v>
      </c>
      <c r="P26" s="128">
        <v>1.45</v>
      </c>
      <c r="Q26" s="128">
        <v>1.46</v>
      </c>
      <c r="R26" s="128">
        <v>1.47</v>
      </c>
      <c r="S26" s="128">
        <v>1.49</v>
      </c>
      <c r="T26" s="128">
        <v>1.5</v>
      </c>
      <c r="U26" s="128">
        <v>1.51</v>
      </c>
      <c r="V26" s="128">
        <v>1.52</v>
      </c>
      <c r="W26" s="128">
        <v>1.54</v>
      </c>
      <c r="X26" s="128">
        <v>1.55</v>
      </c>
      <c r="Y26" s="128">
        <v>1.56</v>
      </c>
      <c r="Z26" s="128">
        <v>1.57</v>
      </c>
      <c r="AA26" s="128">
        <v>1.58</v>
      </c>
      <c r="AB26" s="128">
        <v>1.59</v>
      </c>
      <c r="AC26" s="128">
        <v>1.59</v>
      </c>
      <c r="AD26" s="128">
        <v>1.6</v>
      </c>
      <c r="AE26" s="128">
        <v>1.61</v>
      </c>
      <c r="AF26" s="128">
        <v>1.62</v>
      </c>
      <c r="AG26" s="128">
        <v>1.63</v>
      </c>
      <c r="AH26" s="128">
        <v>1.63</v>
      </c>
      <c r="AI26" s="128">
        <v>1.64</v>
      </c>
      <c r="AJ26" s="128">
        <v>1.65</v>
      </c>
      <c r="AK26" s="128">
        <v>1.66</v>
      </c>
      <c r="AL26" s="128">
        <v>1.67</v>
      </c>
      <c r="AM26" s="128">
        <v>1.67</v>
      </c>
      <c r="AN26" s="128">
        <v>1.68</v>
      </c>
      <c r="AO26" s="128">
        <v>1.69</v>
      </c>
      <c r="AP26" s="128">
        <v>1.7</v>
      </c>
      <c r="AQ26" s="128">
        <v>1.71</v>
      </c>
      <c r="AR26" s="128">
        <v>1.72</v>
      </c>
      <c r="AS26" s="128">
        <v>1.72</v>
      </c>
      <c r="AT26" s="128">
        <v>1.73</v>
      </c>
      <c r="AU26" s="128">
        <v>1.74</v>
      </c>
      <c r="AV26" s="128">
        <v>1.75</v>
      </c>
      <c r="AW26" s="128">
        <v>1.76</v>
      </c>
      <c r="AX26" s="128">
        <v>1.76</v>
      </c>
      <c r="AY26" s="128">
        <v>1.77</v>
      </c>
      <c r="AZ26" s="128">
        <v>1.78</v>
      </c>
      <c r="BA26" s="128">
        <v>1.79</v>
      </c>
      <c r="BB26" s="128">
        <v>1.8</v>
      </c>
      <c r="BC26" s="128">
        <v>1.8</v>
      </c>
      <c r="BD26" s="128">
        <v>1.81</v>
      </c>
      <c r="BE26" s="128">
        <v>1.82</v>
      </c>
      <c r="BF26" s="128">
        <v>1.83</v>
      </c>
      <c r="BG26" s="128">
        <v>1.84</v>
      </c>
      <c r="BH26" s="128">
        <v>1.85</v>
      </c>
      <c r="BI26" s="128">
        <v>1.85</v>
      </c>
      <c r="BJ26" s="128">
        <v>1.86</v>
      </c>
      <c r="BK26" s="128">
        <v>1.87</v>
      </c>
      <c r="BL26" s="128">
        <v>1.88</v>
      </c>
      <c r="BM26" s="128">
        <v>1.89</v>
      </c>
      <c r="BN26" s="128">
        <v>1.89</v>
      </c>
      <c r="BO26" s="128">
        <v>1.9</v>
      </c>
      <c r="BP26" s="128">
        <v>1.91</v>
      </c>
      <c r="BQ26" s="128">
        <v>1.92</v>
      </c>
      <c r="BR26" s="128">
        <v>1.93</v>
      </c>
      <c r="BS26" s="128">
        <v>1.93</v>
      </c>
      <c r="BT26" s="128">
        <v>1.94</v>
      </c>
      <c r="BU26" s="128">
        <v>1.95</v>
      </c>
      <c r="BV26" s="128">
        <v>1.96</v>
      </c>
      <c r="BW26" s="128">
        <v>1.97</v>
      </c>
      <c r="BX26" s="128">
        <v>1.98</v>
      </c>
      <c r="BY26" s="128">
        <v>1.98</v>
      </c>
      <c r="BZ26" s="128">
        <v>1.99</v>
      </c>
      <c r="CA26" s="128">
        <v>2</v>
      </c>
      <c r="CB26" s="128">
        <v>2.0099999999999998</v>
      </c>
      <c r="CC26" s="128">
        <v>2.02</v>
      </c>
      <c r="CD26" s="128">
        <v>2.0299999999999998</v>
      </c>
      <c r="CE26" s="128">
        <v>2.0299999999999998</v>
      </c>
      <c r="CF26" s="128">
        <v>2.04</v>
      </c>
      <c r="CG26" s="128">
        <v>2.0499999999999998</v>
      </c>
      <c r="CH26" s="128">
        <v>2.06</v>
      </c>
      <c r="CI26" s="128">
        <v>2.0699999999999998</v>
      </c>
      <c r="CJ26" s="128">
        <v>2.08</v>
      </c>
      <c r="CK26" s="128">
        <v>2.09</v>
      </c>
      <c r="CL26" s="128">
        <v>2.1</v>
      </c>
      <c r="CM26" s="128">
        <v>2.11</v>
      </c>
      <c r="CN26" s="128">
        <v>2.12</v>
      </c>
      <c r="CO26" s="128">
        <v>2.13</v>
      </c>
      <c r="CP26" s="128">
        <v>2.14</v>
      </c>
      <c r="CQ26" s="128">
        <v>2.15</v>
      </c>
      <c r="CR26" s="128">
        <v>2.16</v>
      </c>
      <c r="CS26" s="128">
        <v>2.17</v>
      </c>
      <c r="CT26" s="128">
        <v>2.1800000000000002</v>
      </c>
      <c r="CU26" s="128">
        <v>2.19</v>
      </c>
      <c r="CV26" s="128">
        <v>2.21</v>
      </c>
      <c r="CW26" s="128">
        <v>2.2200000000000002</v>
      </c>
      <c r="CX26" s="128">
        <v>2.23</v>
      </c>
      <c r="CZ26" s="126">
        <f>SUMIF(MatrixF5[[1]:[2]],MatrixF5[[#This Row],[Столбец1]])/MatrixF5[[#This Row],[Столбец1]]</f>
        <v>18.000000000000004</v>
      </c>
      <c r="DA26" s="126">
        <f>SUMIF(MatrixF5[[1]:[2]],MatrixF5[[#This Row],[Столбец1]]+1)/(MatrixF5[[#This Row],[Столбец1]]+1)</f>
        <v>83.999999999999915</v>
      </c>
    </row>
    <row r="27" spans="1:105" ht="21" customHeight="1" x14ac:dyDescent="0.25">
      <c r="A27" s="127">
        <v>1.24</v>
      </c>
      <c r="B27" s="128">
        <v>1.24</v>
      </c>
      <c r="C27" s="128">
        <v>1.26</v>
      </c>
      <c r="D27" s="128">
        <v>1.27</v>
      </c>
      <c r="E27" s="128">
        <v>1.29</v>
      </c>
      <c r="F27" s="128">
        <v>1.31</v>
      </c>
      <c r="G27" s="128">
        <v>1.32</v>
      </c>
      <c r="H27" s="128">
        <v>1.34</v>
      </c>
      <c r="I27" s="128">
        <v>1.36</v>
      </c>
      <c r="J27" s="128">
        <v>1.37</v>
      </c>
      <c r="K27" s="128">
        <v>1.39</v>
      </c>
      <c r="L27" s="128">
        <v>1.4</v>
      </c>
      <c r="M27" s="128">
        <v>1.41</v>
      </c>
      <c r="N27" s="128">
        <v>1.43</v>
      </c>
      <c r="O27" s="128">
        <v>1.44</v>
      </c>
      <c r="P27" s="128">
        <v>1.46</v>
      </c>
      <c r="Q27" s="128">
        <v>1.47</v>
      </c>
      <c r="R27" s="128">
        <v>1.48</v>
      </c>
      <c r="S27" s="128">
        <v>1.5</v>
      </c>
      <c r="T27" s="128">
        <v>1.51</v>
      </c>
      <c r="U27" s="128">
        <v>1.52</v>
      </c>
      <c r="V27" s="128">
        <v>1.53</v>
      </c>
      <c r="W27" s="128">
        <v>1.55</v>
      </c>
      <c r="X27" s="128">
        <v>1.56</v>
      </c>
      <c r="Y27" s="128">
        <v>1.57</v>
      </c>
      <c r="Z27" s="128">
        <v>1.58</v>
      </c>
      <c r="AA27" s="128">
        <v>1.59</v>
      </c>
      <c r="AB27" s="128">
        <v>1.6</v>
      </c>
      <c r="AC27" s="128">
        <v>1.6</v>
      </c>
      <c r="AD27" s="128">
        <v>1.61</v>
      </c>
      <c r="AE27" s="128">
        <v>1.62</v>
      </c>
      <c r="AF27" s="128">
        <v>1.63</v>
      </c>
      <c r="AG27" s="128">
        <v>1.64</v>
      </c>
      <c r="AH27" s="128">
        <v>1.65</v>
      </c>
      <c r="AI27" s="128">
        <v>1.65</v>
      </c>
      <c r="AJ27" s="128">
        <v>1.66</v>
      </c>
      <c r="AK27" s="128">
        <v>1.67</v>
      </c>
      <c r="AL27" s="128">
        <v>1.68</v>
      </c>
      <c r="AM27" s="128">
        <v>1.69</v>
      </c>
      <c r="AN27" s="128">
        <v>1.69</v>
      </c>
      <c r="AO27" s="128">
        <v>1.7</v>
      </c>
      <c r="AP27" s="128">
        <v>1.71</v>
      </c>
      <c r="AQ27" s="128">
        <v>1.72</v>
      </c>
      <c r="AR27" s="128">
        <v>1.73</v>
      </c>
      <c r="AS27" s="128">
        <v>1.73</v>
      </c>
      <c r="AT27" s="128">
        <v>1.74</v>
      </c>
      <c r="AU27" s="128">
        <v>1.75</v>
      </c>
      <c r="AV27" s="128">
        <v>1.76</v>
      </c>
      <c r="AW27" s="128">
        <v>1.77</v>
      </c>
      <c r="AX27" s="128">
        <v>1.77</v>
      </c>
      <c r="AY27" s="128">
        <v>1.78</v>
      </c>
      <c r="AZ27" s="128">
        <v>1.79</v>
      </c>
      <c r="BA27" s="128">
        <v>1.8</v>
      </c>
      <c r="BB27" s="128">
        <v>1.81</v>
      </c>
      <c r="BC27" s="128">
        <v>1.81</v>
      </c>
      <c r="BD27" s="128">
        <v>1.82</v>
      </c>
      <c r="BE27" s="128">
        <v>1.83</v>
      </c>
      <c r="BF27" s="128">
        <v>1.84</v>
      </c>
      <c r="BG27" s="128">
        <v>1.85</v>
      </c>
      <c r="BH27" s="128">
        <v>1.85</v>
      </c>
      <c r="BI27" s="128">
        <v>1.86</v>
      </c>
      <c r="BJ27" s="128">
        <v>1.87</v>
      </c>
      <c r="BK27" s="128">
        <v>1.88</v>
      </c>
      <c r="BL27" s="128">
        <v>1.89</v>
      </c>
      <c r="BM27" s="128">
        <v>1.9</v>
      </c>
      <c r="BN27" s="128">
        <v>1.9</v>
      </c>
      <c r="BO27" s="128">
        <v>1.91</v>
      </c>
      <c r="BP27" s="128">
        <v>1.92</v>
      </c>
      <c r="BQ27" s="128">
        <v>1.93</v>
      </c>
      <c r="BR27" s="128">
        <v>1.94</v>
      </c>
      <c r="BS27" s="128">
        <v>1.94</v>
      </c>
      <c r="BT27" s="128">
        <v>1.95</v>
      </c>
      <c r="BU27" s="128">
        <v>1.96</v>
      </c>
      <c r="BV27" s="128">
        <v>1.97</v>
      </c>
      <c r="BW27" s="128">
        <v>1.98</v>
      </c>
      <c r="BX27" s="128">
        <v>1.98</v>
      </c>
      <c r="BY27" s="128">
        <v>1.99</v>
      </c>
      <c r="BZ27" s="128">
        <v>2</v>
      </c>
      <c r="CA27" s="128">
        <v>2.0099999999999998</v>
      </c>
      <c r="CB27" s="128">
        <v>2.02</v>
      </c>
      <c r="CC27" s="128">
        <v>2.02</v>
      </c>
      <c r="CD27" s="128">
        <v>2.0299999999999998</v>
      </c>
      <c r="CE27" s="128">
        <v>2.04</v>
      </c>
      <c r="CF27" s="128">
        <v>2.0499999999999998</v>
      </c>
      <c r="CG27" s="128">
        <v>2.06</v>
      </c>
      <c r="CH27" s="128">
        <v>2.0699999999999998</v>
      </c>
      <c r="CI27" s="128">
        <v>2.08</v>
      </c>
      <c r="CJ27" s="128">
        <v>2.09</v>
      </c>
      <c r="CK27" s="128">
        <v>2.1</v>
      </c>
      <c r="CL27" s="128">
        <v>2.11</v>
      </c>
      <c r="CM27" s="128">
        <v>2.12</v>
      </c>
      <c r="CN27" s="128">
        <v>2.13</v>
      </c>
      <c r="CO27" s="128">
        <v>2.14</v>
      </c>
      <c r="CP27" s="128">
        <v>2.15</v>
      </c>
      <c r="CQ27" s="128">
        <v>2.16</v>
      </c>
      <c r="CR27" s="128">
        <v>2.17</v>
      </c>
      <c r="CS27" s="128">
        <v>2.1800000000000002</v>
      </c>
      <c r="CT27" s="128">
        <v>2.19</v>
      </c>
      <c r="CU27" s="128">
        <v>2.2000000000000002</v>
      </c>
      <c r="CV27" s="128">
        <v>2.2200000000000002</v>
      </c>
      <c r="CW27" s="128">
        <v>2.23</v>
      </c>
      <c r="CX27" s="128">
        <v>2.2400000000000002</v>
      </c>
      <c r="CZ27" s="126">
        <f>SUMIF(MatrixF5[[1]:[2]],MatrixF5[[#This Row],[Столбец1]])/MatrixF5[[#This Row],[Столбец1]]</f>
        <v>17.999999999999993</v>
      </c>
      <c r="DA27" s="126">
        <f>SUMIF(MatrixF5[[1]:[2]],MatrixF5[[#This Row],[Столбец1]]+1)/(MatrixF5[[#This Row],[Столбец1]]+1)</f>
        <v>77.000000000000028</v>
      </c>
    </row>
    <row r="28" spans="1:105" ht="21" customHeight="1" x14ac:dyDescent="0.25">
      <c r="A28" s="127">
        <v>1.25</v>
      </c>
      <c r="B28" s="128">
        <v>1.25</v>
      </c>
      <c r="C28" s="128">
        <v>1.27</v>
      </c>
      <c r="D28" s="128">
        <v>1.28</v>
      </c>
      <c r="E28" s="128">
        <v>1.3</v>
      </c>
      <c r="F28" s="128">
        <v>1.32</v>
      </c>
      <c r="G28" s="128">
        <v>1.33</v>
      </c>
      <c r="H28" s="128">
        <v>1.35</v>
      </c>
      <c r="I28" s="128">
        <v>1.36</v>
      </c>
      <c r="J28" s="128">
        <v>1.38</v>
      </c>
      <c r="K28" s="128">
        <v>1.39</v>
      </c>
      <c r="L28" s="128">
        <v>1.41</v>
      </c>
      <c r="M28" s="128">
        <v>1.42</v>
      </c>
      <c r="N28" s="128">
        <v>1.44</v>
      </c>
      <c r="O28" s="128">
        <v>1.45</v>
      </c>
      <c r="P28" s="128">
        <v>1.46</v>
      </c>
      <c r="Q28" s="128">
        <v>1.48</v>
      </c>
      <c r="R28" s="128">
        <v>1.49</v>
      </c>
      <c r="S28" s="128">
        <v>1.5</v>
      </c>
      <c r="T28" s="128">
        <v>1.52</v>
      </c>
      <c r="U28" s="128">
        <v>1.53</v>
      </c>
      <c r="V28" s="128">
        <v>1.54</v>
      </c>
      <c r="W28" s="128">
        <v>1.55</v>
      </c>
      <c r="X28" s="128">
        <v>1.57</v>
      </c>
      <c r="Y28" s="128">
        <v>1.58</v>
      </c>
      <c r="Z28" s="128">
        <v>1.59</v>
      </c>
      <c r="AA28" s="128">
        <v>1.6</v>
      </c>
      <c r="AB28" s="128">
        <v>1.61</v>
      </c>
      <c r="AC28" s="128">
        <v>1.62</v>
      </c>
      <c r="AD28" s="128">
        <v>1.62</v>
      </c>
      <c r="AE28" s="128">
        <v>1.63</v>
      </c>
      <c r="AF28" s="128">
        <v>1.64</v>
      </c>
      <c r="AG28" s="128">
        <v>1.65</v>
      </c>
      <c r="AH28" s="128">
        <v>1.66</v>
      </c>
      <c r="AI28" s="128">
        <v>1.66</v>
      </c>
      <c r="AJ28" s="128">
        <v>1.67</v>
      </c>
      <c r="AK28" s="128">
        <v>1.68</v>
      </c>
      <c r="AL28" s="128">
        <v>1.69</v>
      </c>
      <c r="AM28" s="128">
        <v>1.7</v>
      </c>
      <c r="AN28" s="128">
        <v>1.7</v>
      </c>
      <c r="AO28" s="128">
        <v>1.71</v>
      </c>
      <c r="AP28" s="128">
        <v>1.72</v>
      </c>
      <c r="AQ28" s="128">
        <v>1.73</v>
      </c>
      <c r="AR28" s="128">
        <v>1.74</v>
      </c>
      <c r="AS28" s="128">
        <v>1.74</v>
      </c>
      <c r="AT28" s="128">
        <v>1.75</v>
      </c>
      <c r="AU28" s="128">
        <v>1.76</v>
      </c>
      <c r="AV28" s="128">
        <v>1.77</v>
      </c>
      <c r="AW28" s="128">
        <v>1.78</v>
      </c>
      <c r="AX28" s="128">
        <v>1.78</v>
      </c>
      <c r="AY28" s="128">
        <v>1.79</v>
      </c>
      <c r="AZ28" s="128">
        <v>1.8</v>
      </c>
      <c r="BA28" s="128">
        <v>1.81</v>
      </c>
      <c r="BB28" s="128">
        <v>1.82</v>
      </c>
      <c r="BC28" s="128">
        <v>1.82</v>
      </c>
      <c r="BD28" s="128">
        <v>1.83</v>
      </c>
      <c r="BE28" s="128">
        <v>1.84</v>
      </c>
      <c r="BF28" s="128">
        <v>1.85</v>
      </c>
      <c r="BG28" s="128">
        <v>1.86</v>
      </c>
      <c r="BH28" s="128">
        <v>1.86</v>
      </c>
      <c r="BI28" s="128">
        <v>1.87</v>
      </c>
      <c r="BJ28" s="128">
        <v>1.88</v>
      </c>
      <c r="BK28" s="128">
        <v>1.89</v>
      </c>
      <c r="BL28" s="128">
        <v>1.9</v>
      </c>
      <c r="BM28" s="128">
        <v>1.9</v>
      </c>
      <c r="BN28" s="128">
        <v>1.91</v>
      </c>
      <c r="BO28" s="128">
        <v>1.92</v>
      </c>
      <c r="BP28" s="128">
        <v>1.93</v>
      </c>
      <c r="BQ28" s="128">
        <v>1.94</v>
      </c>
      <c r="BR28" s="128">
        <v>1.94</v>
      </c>
      <c r="BS28" s="128">
        <v>1.95</v>
      </c>
      <c r="BT28" s="128">
        <v>1.96</v>
      </c>
      <c r="BU28" s="128">
        <v>1.97</v>
      </c>
      <c r="BV28" s="128">
        <v>1.98</v>
      </c>
      <c r="BW28" s="128">
        <v>1.98</v>
      </c>
      <c r="BX28" s="128">
        <v>1.99</v>
      </c>
      <c r="BY28" s="128">
        <v>2</v>
      </c>
      <c r="BZ28" s="128">
        <v>2.0099999999999998</v>
      </c>
      <c r="CA28" s="128">
        <v>2.02</v>
      </c>
      <c r="CB28" s="128">
        <v>2.02</v>
      </c>
      <c r="CC28" s="128">
        <v>2.0299999999999998</v>
      </c>
      <c r="CD28" s="128">
        <v>2.04</v>
      </c>
      <c r="CE28" s="128">
        <v>2.0499999999999998</v>
      </c>
      <c r="CF28" s="128">
        <v>2.06</v>
      </c>
      <c r="CG28" s="128">
        <v>2.0699999999999998</v>
      </c>
      <c r="CH28" s="128">
        <v>2.08</v>
      </c>
      <c r="CI28" s="128">
        <v>2.09</v>
      </c>
      <c r="CJ28" s="128">
        <v>2.1</v>
      </c>
      <c r="CK28" s="128">
        <v>2.11</v>
      </c>
      <c r="CL28" s="128">
        <v>2.12</v>
      </c>
      <c r="CM28" s="128">
        <v>2.13</v>
      </c>
      <c r="CN28" s="128">
        <v>2.14</v>
      </c>
      <c r="CO28" s="128">
        <v>2.15</v>
      </c>
      <c r="CP28" s="128">
        <v>2.16</v>
      </c>
      <c r="CQ28" s="128">
        <v>2.17</v>
      </c>
      <c r="CR28" s="128">
        <v>2.1800000000000002</v>
      </c>
      <c r="CS28" s="128">
        <v>2.19</v>
      </c>
      <c r="CT28" s="128">
        <v>2.2000000000000002</v>
      </c>
      <c r="CU28" s="128">
        <v>2.21</v>
      </c>
      <c r="CV28" s="128">
        <v>2.23</v>
      </c>
      <c r="CW28" s="128">
        <v>2.2400000000000002</v>
      </c>
      <c r="CX28" s="128">
        <v>2.25</v>
      </c>
      <c r="CZ28" s="126">
        <f>SUMIF(MatrixF5[[1]:[2]],MatrixF5[[#This Row],[Столбец1]])/MatrixF5[[#This Row],[Столбец1]]</f>
        <v>23</v>
      </c>
      <c r="DA28" s="126">
        <f>SUMIF(MatrixF5[[1]:[2]],MatrixF5[[#This Row],[Столбец1]]+1)/(MatrixF5[[#This Row],[Столбец1]]+1)</f>
        <v>84</v>
      </c>
    </row>
    <row r="29" spans="1:105" ht="21" customHeight="1" x14ac:dyDescent="0.25">
      <c r="A29" s="127">
        <v>1.26</v>
      </c>
      <c r="B29" s="128">
        <v>1.26</v>
      </c>
      <c r="C29" s="128">
        <v>1.28</v>
      </c>
      <c r="D29" s="128">
        <v>1.29</v>
      </c>
      <c r="E29" s="128">
        <v>1.31</v>
      </c>
      <c r="F29" s="128">
        <v>1.33</v>
      </c>
      <c r="G29" s="128">
        <v>1.34</v>
      </c>
      <c r="H29" s="128">
        <v>1.36</v>
      </c>
      <c r="I29" s="128">
        <v>1.37</v>
      </c>
      <c r="J29" s="128">
        <v>1.39</v>
      </c>
      <c r="K29" s="128">
        <v>1.4</v>
      </c>
      <c r="L29" s="128">
        <v>1.42</v>
      </c>
      <c r="M29" s="128">
        <v>1.43</v>
      </c>
      <c r="N29" s="128">
        <v>1.45</v>
      </c>
      <c r="O29" s="128">
        <v>1.46</v>
      </c>
      <c r="P29" s="128">
        <v>1.47</v>
      </c>
      <c r="Q29" s="128">
        <v>1.49</v>
      </c>
      <c r="R29" s="128">
        <v>1.5</v>
      </c>
      <c r="S29" s="128">
        <v>1.51</v>
      </c>
      <c r="T29" s="128">
        <v>1.53</v>
      </c>
      <c r="U29" s="128">
        <v>1.54</v>
      </c>
      <c r="V29" s="128">
        <v>1.55</v>
      </c>
      <c r="W29" s="128">
        <v>1.56</v>
      </c>
      <c r="X29" s="128">
        <v>1.57</v>
      </c>
      <c r="Y29" s="128">
        <v>1.59</v>
      </c>
      <c r="Z29" s="128">
        <v>1.6</v>
      </c>
      <c r="AA29" s="128">
        <v>1.61</v>
      </c>
      <c r="AB29" s="128">
        <v>1.62</v>
      </c>
      <c r="AC29" s="128">
        <v>1.63</v>
      </c>
      <c r="AD29" s="128">
        <v>1.63</v>
      </c>
      <c r="AE29" s="128">
        <v>1.64</v>
      </c>
      <c r="AF29" s="128">
        <v>1.65</v>
      </c>
      <c r="AG29" s="128">
        <v>1.66</v>
      </c>
      <c r="AH29" s="128">
        <v>1.67</v>
      </c>
      <c r="AI29" s="128">
        <v>1.67</v>
      </c>
      <c r="AJ29" s="128">
        <v>1.68</v>
      </c>
      <c r="AK29" s="128">
        <v>1.69</v>
      </c>
      <c r="AL29" s="128">
        <v>1.7</v>
      </c>
      <c r="AM29" s="128">
        <v>1.71</v>
      </c>
      <c r="AN29" s="128">
        <v>1.71</v>
      </c>
      <c r="AO29" s="128">
        <v>1.72</v>
      </c>
      <c r="AP29" s="128">
        <v>1.73</v>
      </c>
      <c r="AQ29" s="128">
        <v>1.74</v>
      </c>
      <c r="AR29" s="128">
        <v>1.75</v>
      </c>
      <c r="AS29" s="128">
        <v>1.75</v>
      </c>
      <c r="AT29" s="128">
        <v>1.76</v>
      </c>
      <c r="AU29" s="128">
        <v>1.77</v>
      </c>
      <c r="AV29" s="128">
        <v>1.78</v>
      </c>
      <c r="AW29" s="128">
        <v>1.79</v>
      </c>
      <c r="AX29" s="128">
        <v>1.79</v>
      </c>
      <c r="AY29" s="128">
        <v>1.8</v>
      </c>
      <c r="AZ29" s="128">
        <v>1.81</v>
      </c>
      <c r="BA29" s="128">
        <v>1.82</v>
      </c>
      <c r="BB29" s="128">
        <v>1.83</v>
      </c>
      <c r="BC29" s="128">
        <v>1.83</v>
      </c>
      <c r="BD29" s="128">
        <v>1.84</v>
      </c>
      <c r="BE29" s="128">
        <v>1.85</v>
      </c>
      <c r="BF29" s="128">
        <v>1.86</v>
      </c>
      <c r="BG29" s="128">
        <v>1.87</v>
      </c>
      <c r="BH29" s="128">
        <v>1.87</v>
      </c>
      <c r="BI29" s="128">
        <v>1.88</v>
      </c>
      <c r="BJ29" s="128">
        <v>1.89</v>
      </c>
      <c r="BK29" s="128">
        <v>1.9</v>
      </c>
      <c r="BL29" s="128">
        <v>1.9</v>
      </c>
      <c r="BM29" s="128">
        <v>1.91</v>
      </c>
      <c r="BN29" s="128">
        <v>1.92</v>
      </c>
      <c r="BO29" s="128">
        <v>1.93</v>
      </c>
      <c r="BP29" s="128">
        <v>1.94</v>
      </c>
      <c r="BQ29" s="128">
        <v>1.94</v>
      </c>
      <c r="BR29" s="128">
        <v>1.95</v>
      </c>
      <c r="BS29" s="128">
        <v>1.96</v>
      </c>
      <c r="BT29" s="128">
        <v>1.97</v>
      </c>
      <c r="BU29" s="128">
        <v>1.98</v>
      </c>
      <c r="BV29" s="128">
        <v>1.98</v>
      </c>
      <c r="BW29" s="128">
        <v>1.99</v>
      </c>
      <c r="BX29" s="128">
        <v>2</v>
      </c>
      <c r="BY29" s="128">
        <v>2.0099999999999998</v>
      </c>
      <c r="BZ29" s="128">
        <v>2.02</v>
      </c>
      <c r="CA29" s="128">
        <v>2.02</v>
      </c>
      <c r="CB29" s="128">
        <v>2.0299999999999998</v>
      </c>
      <c r="CC29" s="128">
        <v>2.04</v>
      </c>
      <c r="CD29" s="128">
        <v>2.0499999999999998</v>
      </c>
      <c r="CE29" s="128">
        <v>2.06</v>
      </c>
      <c r="CF29" s="128">
        <v>2.0699999999999998</v>
      </c>
      <c r="CG29" s="128">
        <v>2.08</v>
      </c>
      <c r="CH29" s="128">
        <v>2.09</v>
      </c>
      <c r="CI29" s="128">
        <v>2.1</v>
      </c>
      <c r="CJ29" s="128">
        <v>2.11</v>
      </c>
      <c r="CK29" s="128">
        <v>2.12</v>
      </c>
      <c r="CL29" s="128">
        <v>2.12</v>
      </c>
      <c r="CM29" s="128">
        <v>2.14</v>
      </c>
      <c r="CN29" s="128">
        <v>2.15</v>
      </c>
      <c r="CO29" s="128">
        <v>2.16</v>
      </c>
      <c r="CP29" s="128">
        <v>2.17</v>
      </c>
      <c r="CQ29" s="128">
        <v>2.1800000000000002</v>
      </c>
      <c r="CR29" s="128">
        <v>2.19</v>
      </c>
      <c r="CS29" s="128">
        <v>2.2000000000000002</v>
      </c>
      <c r="CT29" s="128">
        <v>2.21</v>
      </c>
      <c r="CU29" s="128">
        <v>2.2200000000000002</v>
      </c>
      <c r="CV29" s="128">
        <v>2.2400000000000002</v>
      </c>
      <c r="CW29" s="128">
        <v>2.25</v>
      </c>
      <c r="CX29" s="128">
        <v>2.2599999999999998</v>
      </c>
      <c r="CZ29" s="126">
        <f>SUMIF(MatrixF5[[1]:[2]],MatrixF5[[#This Row],[Столбец1]])/MatrixF5[[#This Row],[Столбец1]]</f>
        <v>20.000000000000007</v>
      </c>
      <c r="DA29" s="126">
        <f>SUMIF(MatrixF5[[1]:[2]],MatrixF5[[#This Row],[Столбец1]]+1)/(MatrixF5[[#This Row],[Столбец1]]+1)</f>
        <v>74.999999999999986</v>
      </c>
    </row>
    <row r="30" spans="1:105" ht="21" customHeight="1" x14ac:dyDescent="0.25">
      <c r="A30" s="127">
        <v>1.27</v>
      </c>
      <c r="B30" s="128">
        <v>1.27</v>
      </c>
      <c r="C30" s="128">
        <v>1.29</v>
      </c>
      <c r="D30" s="128">
        <v>1.3</v>
      </c>
      <c r="E30" s="128">
        <v>1.32</v>
      </c>
      <c r="F30" s="128">
        <v>1.34</v>
      </c>
      <c r="G30" s="128">
        <v>1.35</v>
      </c>
      <c r="H30" s="128">
        <v>1.37</v>
      </c>
      <c r="I30" s="128">
        <v>1.38</v>
      </c>
      <c r="J30" s="128">
        <v>1.4</v>
      </c>
      <c r="K30" s="128">
        <v>1.41</v>
      </c>
      <c r="L30" s="128">
        <v>1.43</v>
      </c>
      <c r="M30" s="128">
        <v>1.44</v>
      </c>
      <c r="N30" s="128">
        <v>1.46</v>
      </c>
      <c r="O30" s="128">
        <v>1.47</v>
      </c>
      <c r="P30" s="128">
        <v>1.48</v>
      </c>
      <c r="Q30" s="128">
        <v>1.5</v>
      </c>
      <c r="R30" s="128">
        <v>1.51</v>
      </c>
      <c r="S30" s="128">
        <v>1.52</v>
      </c>
      <c r="T30" s="128">
        <v>1.53</v>
      </c>
      <c r="U30" s="128">
        <v>1.55</v>
      </c>
      <c r="V30" s="128">
        <v>1.56</v>
      </c>
      <c r="W30" s="128">
        <v>1.57</v>
      </c>
      <c r="X30" s="128">
        <v>1.58</v>
      </c>
      <c r="Y30" s="128">
        <v>1.59</v>
      </c>
      <c r="Z30" s="128">
        <v>1.6</v>
      </c>
      <c r="AA30" s="128">
        <v>1.62</v>
      </c>
      <c r="AB30" s="128">
        <v>1.63</v>
      </c>
      <c r="AC30" s="128">
        <v>1.64</v>
      </c>
      <c r="AD30" s="128">
        <v>1.65</v>
      </c>
      <c r="AE30" s="128">
        <v>1.65</v>
      </c>
      <c r="AF30" s="128">
        <v>1.66</v>
      </c>
      <c r="AG30" s="128">
        <v>1.67</v>
      </c>
      <c r="AH30" s="128">
        <v>1.68</v>
      </c>
      <c r="AI30" s="128">
        <v>1.69</v>
      </c>
      <c r="AJ30" s="128">
        <v>1.69</v>
      </c>
      <c r="AK30" s="128">
        <v>1.7</v>
      </c>
      <c r="AL30" s="128">
        <v>1.71</v>
      </c>
      <c r="AM30" s="128">
        <v>1.72</v>
      </c>
      <c r="AN30" s="128">
        <v>1.72</v>
      </c>
      <c r="AO30" s="128">
        <v>1.73</v>
      </c>
      <c r="AP30" s="128">
        <v>1.74</v>
      </c>
      <c r="AQ30" s="128">
        <v>1.75</v>
      </c>
      <c r="AR30" s="128">
        <v>1.76</v>
      </c>
      <c r="AS30" s="128">
        <v>1.76</v>
      </c>
      <c r="AT30" s="128">
        <v>1.77</v>
      </c>
      <c r="AU30" s="128">
        <v>1.78</v>
      </c>
      <c r="AV30" s="128">
        <v>1.79</v>
      </c>
      <c r="AW30" s="128">
        <v>1.8</v>
      </c>
      <c r="AX30" s="128">
        <v>1.8</v>
      </c>
      <c r="AY30" s="128">
        <v>1.81</v>
      </c>
      <c r="AZ30" s="128">
        <v>1.82</v>
      </c>
      <c r="BA30" s="128">
        <v>1.83</v>
      </c>
      <c r="BB30" s="128">
        <v>1.83</v>
      </c>
      <c r="BC30" s="128">
        <v>1.84</v>
      </c>
      <c r="BD30" s="128">
        <v>1.85</v>
      </c>
      <c r="BE30" s="128">
        <v>1.86</v>
      </c>
      <c r="BF30" s="128">
        <v>1.87</v>
      </c>
      <c r="BG30" s="128">
        <v>1.87</v>
      </c>
      <c r="BH30" s="128">
        <v>1.88</v>
      </c>
      <c r="BI30" s="128">
        <v>1.89</v>
      </c>
      <c r="BJ30" s="128">
        <v>1.9</v>
      </c>
      <c r="BK30" s="128">
        <v>1.91</v>
      </c>
      <c r="BL30" s="128">
        <v>1.91</v>
      </c>
      <c r="BM30" s="128">
        <v>1.92</v>
      </c>
      <c r="BN30" s="128">
        <v>1.93</v>
      </c>
      <c r="BO30" s="128">
        <v>1.94</v>
      </c>
      <c r="BP30" s="128">
        <v>1.94</v>
      </c>
      <c r="BQ30" s="128">
        <v>1.95</v>
      </c>
      <c r="BR30" s="128">
        <v>1.96</v>
      </c>
      <c r="BS30" s="128">
        <v>1.97</v>
      </c>
      <c r="BT30" s="128">
        <v>1.98</v>
      </c>
      <c r="BU30" s="128">
        <v>1.98</v>
      </c>
      <c r="BV30" s="128">
        <v>1.99</v>
      </c>
      <c r="BW30" s="128">
        <v>2</v>
      </c>
      <c r="BX30" s="128">
        <v>2.0099999999999998</v>
      </c>
      <c r="BY30" s="128">
        <v>2.02</v>
      </c>
      <c r="BZ30" s="128">
        <v>2.02</v>
      </c>
      <c r="CA30" s="128">
        <v>2.0299999999999998</v>
      </c>
      <c r="CB30" s="128">
        <v>2.04</v>
      </c>
      <c r="CC30" s="128">
        <v>2.0499999999999998</v>
      </c>
      <c r="CD30" s="128">
        <v>2.06</v>
      </c>
      <c r="CE30" s="128">
        <v>2.0699999999999998</v>
      </c>
      <c r="CF30" s="128">
        <v>2.08</v>
      </c>
      <c r="CG30" s="128">
        <v>2.09</v>
      </c>
      <c r="CH30" s="128">
        <v>2.09</v>
      </c>
      <c r="CI30" s="128">
        <v>2.1</v>
      </c>
      <c r="CJ30" s="128">
        <v>2.11</v>
      </c>
      <c r="CK30" s="128">
        <v>2.12</v>
      </c>
      <c r="CL30" s="128">
        <v>2.13</v>
      </c>
      <c r="CM30" s="128">
        <v>2.14</v>
      </c>
      <c r="CN30" s="128">
        <v>2.15</v>
      </c>
      <c r="CO30" s="128">
        <v>2.17</v>
      </c>
      <c r="CP30" s="128">
        <v>2.1800000000000002</v>
      </c>
      <c r="CQ30" s="128">
        <v>2.19</v>
      </c>
      <c r="CR30" s="128">
        <v>2.2000000000000002</v>
      </c>
      <c r="CS30" s="128">
        <v>2.21</v>
      </c>
      <c r="CT30" s="128">
        <v>2.2200000000000002</v>
      </c>
      <c r="CU30" s="128">
        <v>2.23</v>
      </c>
      <c r="CV30" s="128">
        <v>2.25</v>
      </c>
      <c r="CW30" s="128">
        <v>2.2599999999999998</v>
      </c>
      <c r="CX30" s="128">
        <v>2.27</v>
      </c>
      <c r="CZ30" s="126">
        <f>SUMIF(MatrixF5[[1]:[2]],MatrixF5[[#This Row],[Столбец1]])/MatrixF5[[#This Row],[Столбец1]]</f>
        <v>20.999999999999996</v>
      </c>
      <c r="DA30" s="126">
        <f>SUMIF(MatrixF5[[1]:[2]],MatrixF5[[#This Row],[Столбец1]]+1)/(MatrixF5[[#This Row],[Столбец1]]+1)</f>
        <v>77.000000000000057</v>
      </c>
    </row>
    <row r="31" spans="1:105" ht="21" customHeight="1" x14ac:dyDescent="0.25">
      <c r="A31" s="127">
        <v>1.28</v>
      </c>
      <c r="B31" s="128">
        <v>1.28</v>
      </c>
      <c r="C31" s="128">
        <v>1.3</v>
      </c>
      <c r="D31" s="128">
        <v>1.31</v>
      </c>
      <c r="E31" s="128">
        <v>1.33</v>
      </c>
      <c r="F31" s="128">
        <v>1.35</v>
      </c>
      <c r="G31" s="128">
        <v>1.36</v>
      </c>
      <c r="H31" s="128">
        <v>1.38</v>
      </c>
      <c r="I31" s="128">
        <v>1.39</v>
      </c>
      <c r="J31" s="128">
        <v>1.41</v>
      </c>
      <c r="K31" s="128">
        <v>1.42</v>
      </c>
      <c r="L31" s="128">
        <v>1.44</v>
      </c>
      <c r="M31" s="128">
        <v>1.45</v>
      </c>
      <c r="N31" s="128">
        <v>1.46</v>
      </c>
      <c r="O31" s="128">
        <v>1.48</v>
      </c>
      <c r="P31" s="128">
        <v>1.49</v>
      </c>
      <c r="Q31" s="128">
        <v>1.5</v>
      </c>
      <c r="R31" s="128">
        <v>1.52</v>
      </c>
      <c r="S31" s="128">
        <v>1.53</v>
      </c>
      <c r="T31" s="128">
        <v>1.54</v>
      </c>
      <c r="U31" s="128">
        <v>1.55</v>
      </c>
      <c r="V31" s="128">
        <v>1.57</v>
      </c>
      <c r="W31" s="128">
        <v>1.58</v>
      </c>
      <c r="X31" s="128">
        <v>1.59</v>
      </c>
      <c r="Y31" s="128">
        <v>1.6</v>
      </c>
      <c r="Z31" s="128">
        <v>1.61</v>
      </c>
      <c r="AA31" s="128">
        <v>1.62</v>
      </c>
      <c r="AB31" s="128">
        <v>1.63</v>
      </c>
      <c r="AC31" s="128">
        <v>1.65</v>
      </c>
      <c r="AD31" s="128">
        <v>1.66</v>
      </c>
      <c r="AE31" s="128">
        <v>1.66</v>
      </c>
      <c r="AF31" s="128">
        <v>1.67</v>
      </c>
      <c r="AG31" s="128">
        <v>1.68</v>
      </c>
      <c r="AH31" s="128">
        <v>1.69</v>
      </c>
      <c r="AI31" s="128">
        <v>1.7</v>
      </c>
      <c r="AJ31" s="128">
        <v>1.7</v>
      </c>
      <c r="AK31" s="128">
        <v>1.71</v>
      </c>
      <c r="AL31" s="128">
        <v>1.72</v>
      </c>
      <c r="AM31" s="128">
        <v>1.73</v>
      </c>
      <c r="AN31" s="128">
        <v>1.73</v>
      </c>
      <c r="AO31" s="128">
        <v>1.74</v>
      </c>
      <c r="AP31" s="128">
        <v>1.75</v>
      </c>
      <c r="AQ31" s="128">
        <v>1.76</v>
      </c>
      <c r="AR31" s="128">
        <v>1.77</v>
      </c>
      <c r="AS31" s="128">
        <v>1.77</v>
      </c>
      <c r="AT31" s="128">
        <v>1.78</v>
      </c>
      <c r="AU31" s="128">
        <v>1.79</v>
      </c>
      <c r="AV31" s="128">
        <v>1.8</v>
      </c>
      <c r="AW31" s="128">
        <v>1.8</v>
      </c>
      <c r="AX31" s="128">
        <v>1.81</v>
      </c>
      <c r="AY31" s="128">
        <v>1.82</v>
      </c>
      <c r="AZ31" s="128">
        <v>1.83</v>
      </c>
      <c r="BA31" s="128">
        <v>1.84</v>
      </c>
      <c r="BB31" s="128">
        <v>1.84</v>
      </c>
      <c r="BC31" s="128">
        <v>1.85</v>
      </c>
      <c r="BD31" s="128">
        <v>1.86</v>
      </c>
      <c r="BE31" s="128">
        <v>1.87</v>
      </c>
      <c r="BF31" s="128">
        <v>1.88</v>
      </c>
      <c r="BG31" s="128">
        <v>1.88</v>
      </c>
      <c r="BH31" s="128">
        <v>1.89</v>
      </c>
      <c r="BI31" s="128">
        <v>1.9</v>
      </c>
      <c r="BJ31" s="128">
        <v>1.91</v>
      </c>
      <c r="BK31" s="128">
        <v>1.91</v>
      </c>
      <c r="BL31" s="128">
        <v>1.92</v>
      </c>
      <c r="BM31" s="128">
        <v>1.93</v>
      </c>
      <c r="BN31" s="128">
        <v>1.94</v>
      </c>
      <c r="BO31" s="128">
        <v>1.95</v>
      </c>
      <c r="BP31" s="128">
        <v>1.95</v>
      </c>
      <c r="BQ31" s="128">
        <v>1.96</v>
      </c>
      <c r="BR31" s="128">
        <v>1.97</v>
      </c>
      <c r="BS31" s="128">
        <v>1.98</v>
      </c>
      <c r="BT31" s="128">
        <v>1.98</v>
      </c>
      <c r="BU31" s="128">
        <v>1.99</v>
      </c>
      <c r="BV31" s="128">
        <v>2</v>
      </c>
      <c r="BW31" s="128">
        <v>2.0099999999999998</v>
      </c>
      <c r="BX31" s="128">
        <v>2.02</v>
      </c>
      <c r="BY31" s="128">
        <v>2.02</v>
      </c>
      <c r="BZ31" s="128">
        <v>2.0299999999999998</v>
      </c>
      <c r="CA31" s="128">
        <v>2.04</v>
      </c>
      <c r="CB31" s="128">
        <v>2.0499999999999998</v>
      </c>
      <c r="CC31" s="128">
        <v>2.06</v>
      </c>
      <c r="CD31" s="128">
        <v>2.0699999999999998</v>
      </c>
      <c r="CE31" s="128">
        <v>2.08</v>
      </c>
      <c r="CF31" s="128">
        <v>2.08</v>
      </c>
      <c r="CG31" s="128">
        <v>2.09</v>
      </c>
      <c r="CH31" s="128">
        <v>2.1</v>
      </c>
      <c r="CI31" s="128">
        <v>2.11</v>
      </c>
      <c r="CJ31" s="128">
        <v>2.12</v>
      </c>
      <c r="CK31" s="128">
        <v>2.13</v>
      </c>
      <c r="CL31" s="128">
        <v>2.14</v>
      </c>
      <c r="CM31" s="128">
        <v>2.15</v>
      </c>
      <c r="CN31" s="128">
        <v>2.16</v>
      </c>
      <c r="CO31" s="128">
        <v>2.17</v>
      </c>
      <c r="CP31" s="128">
        <v>2.19</v>
      </c>
      <c r="CQ31" s="128">
        <v>2.2000000000000002</v>
      </c>
      <c r="CR31" s="128">
        <v>2.21</v>
      </c>
      <c r="CS31" s="128">
        <v>2.2200000000000002</v>
      </c>
      <c r="CT31" s="128">
        <v>2.23</v>
      </c>
      <c r="CU31" s="128">
        <v>2.2400000000000002</v>
      </c>
      <c r="CV31" s="128">
        <v>2.25</v>
      </c>
      <c r="CW31" s="128">
        <v>2.27</v>
      </c>
      <c r="CX31" s="128">
        <v>2.2799999999999998</v>
      </c>
      <c r="CZ31" s="126">
        <f>SUMIF(MatrixF5[[1]:[2]],MatrixF5[[#This Row],[Столбец1]])/MatrixF5[[#This Row],[Столбец1]]</f>
        <v>24.000000000000007</v>
      </c>
      <c r="DA31" s="126">
        <f>SUMIF(MatrixF5[[1]:[2]],MatrixF5[[#This Row],[Столбец1]]+1)/(MatrixF5[[#This Row],[Столбец1]]+1)</f>
        <v>74.000000000000014</v>
      </c>
    </row>
    <row r="32" spans="1:105" ht="21" customHeight="1" x14ac:dyDescent="0.25">
      <c r="A32" s="127">
        <v>1.29</v>
      </c>
      <c r="B32" s="128">
        <v>1.29</v>
      </c>
      <c r="C32" s="128">
        <v>1.31</v>
      </c>
      <c r="D32" s="128">
        <v>1.32</v>
      </c>
      <c r="E32" s="128">
        <v>1.34</v>
      </c>
      <c r="F32" s="128">
        <v>1.36</v>
      </c>
      <c r="G32" s="128">
        <v>1.37</v>
      </c>
      <c r="H32" s="128">
        <v>1.39</v>
      </c>
      <c r="I32" s="128">
        <v>1.4</v>
      </c>
      <c r="J32" s="128">
        <v>1.42</v>
      </c>
      <c r="K32" s="128">
        <v>1.43</v>
      </c>
      <c r="L32" s="128">
        <v>1.45</v>
      </c>
      <c r="M32" s="128">
        <v>1.46</v>
      </c>
      <c r="N32" s="128">
        <v>1.47</v>
      </c>
      <c r="O32" s="128">
        <v>1.49</v>
      </c>
      <c r="P32" s="128">
        <v>1.5</v>
      </c>
      <c r="Q32" s="128">
        <v>1.51</v>
      </c>
      <c r="R32" s="128">
        <v>1.53</v>
      </c>
      <c r="S32" s="128">
        <v>1.54</v>
      </c>
      <c r="T32" s="128">
        <v>1.55</v>
      </c>
      <c r="U32" s="128">
        <v>1.56</v>
      </c>
      <c r="V32" s="128">
        <v>1.58</v>
      </c>
      <c r="W32" s="128">
        <v>1.59</v>
      </c>
      <c r="X32" s="128">
        <v>1.6</v>
      </c>
      <c r="Y32" s="128">
        <v>1.61</v>
      </c>
      <c r="Z32" s="128">
        <v>1.62</v>
      </c>
      <c r="AA32" s="128">
        <v>1.63</v>
      </c>
      <c r="AB32" s="128">
        <v>1.64</v>
      </c>
      <c r="AC32" s="128">
        <v>1.65</v>
      </c>
      <c r="AD32" s="128">
        <v>1.66</v>
      </c>
      <c r="AE32" s="128">
        <v>1.67</v>
      </c>
      <c r="AF32" s="128">
        <v>1.68</v>
      </c>
      <c r="AG32" s="128">
        <v>1.69</v>
      </c>
      <c r="AH32" s="128">
        <v>1.7</v>
      </c>
      <c r="AI32" s="128">
        <v>1.71</v>
      </c>
      <c r="AJ32" s="128">
        <v>1.71</v>
      </c>
      <c r="AK32" s="128">
        <v>1.72</v>
      </c>
      <c r="AL32" s="128">
        <v>1.73</v>
      </c>
      <c r="AM32" s="128">
        <v>1.74</v>
      </c>
      <c r="AN32" s="128">
        <v>1.74</v>
      </c>
      <c r="AO32" s="128">
        <v>1.75</v>
      </c>
      <c r="AP32" s="128">
        <v>1.76</v>
      </c>
      <c r="AQ32" s="128">
        <v>1.77</v>
      </c>
      <c r="AR32" s="128">
        <v>1.78</v>
      </c>
      <c r="AS32" s="128">
        <v>1.78</v>
      </c>
      <c r="AT32" s="128">
        <v>1.79</v>
      </c>
      <c r="AU32" s="128">
        <v>1.8</v>
      </c>
      <c r="AV32" s="128">
        <v>1.81</v>
      </c>
      <c r="AW32" s="128">
        <v>1.81</v>
      </c>
      <c r="AX32" s="128">
        <v>1.82</v>
      </c>
      <c r="AY32" s="128">
        <v>1.83</v>
      </c>
      <c r="AZ32" s="128">
        <v>1.84</v>
      </c>
      <c r="BA32" s="128">
        <v>1.84</v>
      </c>
      <c r="BB32" s="128">
        <v>1.85</v>
      </c>
      <c r="BC32" s="128">
        <v>1.86</v>
      </c>
      <c r="BD32" s="128">
        <v>1.87</v>
      </c>
      <c r="BE32" s="128">
        <v>1.88</v>
      </c>
      <c r="BF32" s="128">
        <v>1.88</v>
      </c>
      <c r="BG32" s="128">
        <v>1.89</v>
      </c>
      <c r="BH32" s="128">
        <v>1.9</v>
      </c>
      <c r="BI32" s="128">
        <v>1.91</v>
      </c>
      <c r="BJ32" s="128">
        <v>1.91</v>
      </c>
      <c r="BK32" s="128">
        <v>1.92</v>
      </c>
      <c r="BL32" s="128">
        <v>1.93</v>
      </c>
      <c r="BM32" s="128">
        <v>1.94</v>
      </c>
      <c r="BN32" s="128">
        <v>1.95</v>
      </c>
      <c r="BO32" s="128">
        <v>1.95</v>
      </c>
      <c r="BP32" s="128">
        <v>1.96</v>
      </c>
      <c r="BQ32" s="128">
        <v>1.97</v>
      </c>
      <c r="BR32" s="128">
        <v>1.98</v>
      </c>
      <c r="BS32" s="128">
        <v>1.98</v>
      </c>
      <c r="BT32" s="128">
        <v>1.99</v>
      </c>
      <c r="BU32" s="128">
        <v>2</v>
      </c>
      <c r="BV32" s="128">
        <v>2.0099999999999998</v>
      </c>
      <c r="BW32" s="128">
        <v>2.02</v>
      </c>
      <c r="BX32" s="128">
        <v>2.02</v>
      </c>
      <c r="BY32" s="128">
        <v>2.0299999999999998</v>
      </c>
      <c r="BZ32" s="128">
        <v>2.04</v>
      </c>
      <c r="CA32" s="128">
        <v>2.0499999999999998</v>
      </c>
      <c r="CB32" s="128">
        <v>2.06</v>
      </c>
      <c r="CC32" s="128">
        <v>2.0699999999999998</v>
      </c>
      <c r="CD32" s="128">
        <v>2.08</v>
      </c>
      <c r="CE32" s="128">
        <v>2.08</v>
      </c>
      <c r="CF32" s="128">
        <v>2.09</v>
      </c>
      <c r="CG32" s="128">
        <v>2.1</v>
      </c>
      <c r="CH32" s="128">
        <v>2.11</v>
      </c>
      <c r="CI32" s="128">
        <v>2.12</v>
      </c>
      <c r="CJ32" s="128">
        <v>2.13</v>
      </c>
      <c r="CK32" s="128">
        <v>2.14</v>
      </c>
      <c r="CL32" s="128">
        <v>2.15</v>
      </c>
      <c r="CM32" s="128">
        <v>2.16</v>
      </c>
      <c r="CN32" s="128">
        <v>2.17</v>
      </c>
      <c r="CO32" s="128">
        <v>2.1800000000000002</v>
      </c>
      <c r="CP32" s="128">
        <v>2.19</v>
      </c>
      <c r="CQ32" s="128">
        <v>2.21</v>
      </c>
      <c r="CR32" s="128">
        <v>2.2200000000000002</v>
      </c>
      <c r="CS32" s="128">
        <v>2.23</v>
      </c>
      <c r="CT32" s="128">
        <v>2.2400000000000002</v>
      </c>
      <c r="CU32" s="128">
        <v>2.25</v>
      </c>
      <c r="CV32" s="128">
        <v>2.2599999999999998</v>
      </c>
      <c r="CW32" s="128">
        <v>2.2799999999999998</v>
      </c>
      <c r="CX32" s="128">
        <v>2.29</v>
      </c>
      <c r="CZ32" s="126">
        <f>SUMIF(MatrixF5[[1]:[2]],MatrixF5[[#This Row],[Столбец1]])/MatrixF5[[#This Row],[Столбец1]]</f>
        <v>21.999999999999989</v>
      </c>
      <c r="DA32" s="126">
        <f>SUMIF(MatrixF5[[1]:[2]],MatrixF5[[#This Row],[Столбец1]]+1)/(MatrixF5[[#This Row],[Столбец1]]+1)</f>
        <v>71.000000000000014</v>
      </c>
    </row>
    <row r="33" spans="1:105" ht="21" customHeight="1" x14ac:dyDescent="0.25">
      <c r="A33" s="127">
        <v>1.3</v>
      </c>
      <c r="B33" s="128">
        <v>1.3</v>
      </c>
      <c r="C33" s="128">
        <v>1.32</v>
      </c>
      <c r="D33" s="128">
        <v>1.33</v>
      </c>
      <c r="E33" s="128">
        <v>1.35</v>
      </c>
      <c r="F33" s="128">
        <v>1.37</v>
      </c>
      <c r="G33" s="128">
        <v>1.38</v>
      </c>
      <c r="H33" s="128">
        <v>1.4</v>
      </c>
      <c r="I33" s="128">
        <v>1.41</v>
      </c>
      <c r="J33" s="128">
        <v>1.43</v>
      </c>
      <c r="K33" s="128">
        <v>1.44</v>
      </c>
      <c r="L33" s="128">
        <v>1.45</v>
      </c>
      <c r="M33" s="128">
        <v>1.47</v>
      </c>
      <c r="N33" s="128">
        <v>1.48</v>
      </c>
      <c r="O33" s="128">
        <v>1.5</v>
      </c>
      <c r="P33" s="128">
        <v>1.51</v>
      </c>
      <c r="Q33" s="128">
        <v>1.52</v>
      </c>
      <c r="R33" s="128">
        <v>1.53</v>
      </c>
      <c r="S33" s="128">
        <v>1.55</v>
      </c>
      <c r="T33" s="128">
        <v>1.56</v>
      </c>
      <c r="U33" s="128">
        <v>1.57</v>
      </c>
      <c r="V33" s="128">
        <v>1.58</v>
      </c>
      <c r="W33" s="128">
        <v>1.6</v>
      </c>
      <c r="X33" s="128">
        <v>1.61</v>
      </c>
      <c r="Y33" s="128">
        <v>1.62</v>
      </c>
      <c r="Z33" s="128">
        <v>1.63</v>
      </c>
      <c r="AA33" s="128">
        <v>1.64</v>
      </c>
      <c r="AB33" s="128">
        <v>1.65</v>
      </c>
      <c r="AC33" s="128">
        <v>1.66</v>
      </c>
      <c r="AD33" s="128">
        <v>1.67</v>
      </c>
      <c r="AE33" s="128">
        <v>1.68</v>
      </c>
      <c r="AF33" s="128">
        <v>1.69</v>
      </c>
      <c r="AG33" s="128">
        <v>1.7</v>
      </c>
      <c r="AH33" s="128">
        <v>1.71</v>
      </c>
      <c r="AI33" s="128">
        <v>1.72</v>
      </c>
      <c r="AJ33" s="128">
        <v>1.72</v>
      </c>
      <c r="AK33" s="128">
        <v>1.73</v>
      </c>
      <c r="AL33" s="128">
        <v>1.74</v>
      </c>
      <c r="AM33" s="128">
        <v>1.75</v>
      </c>
      <c r="AN33" s="128">
        <v>1.75</v>
      </c>
      <c r="AO33" s="128">
        <v>1.76</v>
      </c>
      <c r="AP33" s="128">
        <v>1.77</v>
      </c>
      <c r="AQ33" s="128">
        <v>1.78</v>
      </c>
      <c r="AR33" s="128">
        <v>1.78</v>
      </c>
      <c r="AS33" s="128">
        <v>1.79</v>
      </c>
      <c r="AT33" s="128">
        <v>1.8</v>
      </c>
      <c r="AU33" s="128">
        <v>1.81</v>
      </c>
      <c r="AV33" s="128">
        <v>1.82</v>
      </c>
      <c r="AW33" s="128">
        <v>1.82</v>
      </c>
      <c r="AX33" s="128">
        <v>1.83</v>
      </c>
      <c r="AY33" s="128">
        <v>1.84</v>
      </c>
      <c r="AZ33" s="128">
        <v>1.85</v>
      </c>
      <c r="BA33" s="128">
        <v>1.85</v>
      </c>
      <c r="BB33" s="128">
        <v>1.86</v>
      </c>
      <c r="BC33" s="128">
        <v>1.87</v>
      </c>
      <c r="BD33" s="128">
        <v>1.88</v>
      </c>
      <c r="BE33" s="128">
        <v>1.88</v>
      </c>
      <c r="BF33" s="128">
        <v>1.89</v>
      </c>
      <c r="BG33" s="128">
        <v>1.9</v>
      </c>
      <c r="BH33" s="128">
        <v>1.91</v>
      </c>
      <c r="BI33" s="128">
        <v>1.92</v>
      </c>
      <c r="BJ33" s="128">
        <v>1.92</v>
      </c>
      <c r="BK33" s="128">
        <v>1.93</v>
      </c>
      <c r="BL33" s="128">
        <v>1.94</v>
      </c>
      <c r="BM33" s="128">
        <v>1.95</v>
      </c>
      <c r="BN33" s="128">
        <v>1.95</v>
      </c>
      <c r="BO33" s="128">
        <v>1.96</v>
      </c>
      <c r="BP33" s="128">
        <v>1.97</v>
      </c>
      <c r="BQ33" s="128">
        <v>1.98</v>
      </c>
      <c r="BR33" s="128">
        <v>1.98</v>
      </c>
      <c r="BS33" s="128">
        <v>1.99</v>
      </c>
      <c r="BT33" s="128">
        <v>2</v>
      </c>
      <c r="BU33" s="128">
        <v>2.0099999999999998</v>
      </c>
      <c r="BV33" s="128">
        <v>2.02</v>
      </c>
      <c r="BW33" s="128">
        <v>2.02</v>
      </c>
      <c r="BX33" s="128">
        <v>2.0299999999999998</v>
      </c>
      <c r="BY33" s="128">
        <v>2.04</v>
      </c>
      <c r="BZ33" s="128">
        <v>2.0499999999999998</v>
      </c>
      <c r="CA33" s="128">
        <v>2.06</v>
      </c>
      <c r="CB33" s="128">
        <v>2.0699999999999998</v>
      </c>
      <c r="CC33" s="128">
        <v>2.0699999999999998</v>
      </c>
      <c r="CD33" s="128">
        <v>2.08</v>
      </c>
      <c r="CE33" s="128">
        <v>2.09</v>
      </c>
      <c r="CF33" s="128">
        <v>2.1</v>
      </c>
      <c r="CG33" s="128">
        <v>2.11</v>
      </c>
      <c r="CH33" s="128">
        <v>2.12</v>
      </c>
      <c r="CI33" s="128">
        <v>2.13</v>
      </c>
      <c r="CJ33" s="128">
        <v>2.14</v>
      </c>
      <c r="CK33" s="128">
        <v>2.15</v>
      </c>
      <c r="CL33" s="128">
        <v>2.16</v>
      </c>
      <c r="CM33" s="128">
        <v>2.17</v>
      </c>
      <c r="CN33" s="128">
        <v>2.1800000000000002</v>
      </c>
      <c r="CO33" s="128">
        <v>2.19</v>
      </c>
      <c r="CP33" s="128">
        <v>2.2000000000000002</v>
      </c>
      <c r="CQ33" s="128">
        <v>2.21</v>
      </c>
      <c r="CR33" s="128">
        <v>2.23</v>
      </c>
      <c r="CS33" s="128">
        <v>2.2400000000000002</v>
      </c>
      <c r="CT33" s="128">
        <v>2.25</v>
      </c>
      <c r="CU33" s="128">
        <v>2.2599999999999998</v>
      </c>
      <c r="CV33" s="128">
        <v>2.27</v>
      </c>
      <c r="CW33" s="128">
        <v>2.29</v>
      </c>
      <c r="CX33" s="128">
        <v>2.2999999999999998</v>
      </c>
      <c r="CZ33" s="126">
        <f>SUMIF(MatrixF5[[1]:[2]],MatrixF5[[#This Row],[Столбец1]])/MatrixF5[[#This Row],[Столбец1]]</f>
        <v>25.000000000000004</v>
      </c>
      <c r="DA33" s="126">
        <f>SUMIF(MatrixF5[[1]:[2]],MatrixF5[[#This Row],[Столбец1]]+1)/(MatrixF5[[#This Row],[Столбец1]]+1)</f>
        <v>72.000000000000043</v>
      </c>
    </row>
    <row r="34" spans="1:105" ht="21" customHeight="1" x14ac:dyDescent="0.25">
      <c r="A34" s="127">
        <v>1.31</v>
      </c>
      <c r="B34" s="128">
        <v>1.31</v>
      </c>
      <c r="C34" s="128">
        <v>1.33</v>
      </c>
      <c r="D34" s="128">
        <v>1.34</v>
      </c>
      <c r="E34" s="128">
        <v>1.36</v>
      </c>
      <c r="F34" s="128">
        <v>1.38</v>
      </c>
      <c r="G34" s="128">
        <v>1.39</v>
      </c>
      <c r="H34" s="128">
        <v>1.41</v>
      </c>
      <c r="I34" s="128">
        <v>1.42</v>
      </c>
      <c r="J34" s="128">
        <v>1.44</v>
      </c>
      <c r="K34" s="128">
        <v>1.45</v>
      </c>
      <c r="L34" s="128">
        <v>1.46</v>
      </c>
      <c r="M34" s="128">
        <v>1.48</v>
      </c>
      <c r="N34" s="128">
        <v>1.49</v>
      </c>
      <c r="O34" s="128">
        <v>1.5</v>
      </c>
      <c r="P34" s="128">
        <v>1.52</v>
      </c>
      <c r="Q34" s="128">
        <v>1.53</v>
      </c>
      <c r="R34" s="128">
        <v>1.54</v>
      </c>
      <c r="S34" s="128">
        <v>1.56</v>
      </c>
      <c r="T34" s="128">
        <v>1.57</v>
      </c>
      <c r="U34" s="128">
        <v>1.58</v>
      </c>
      <c r="V34" s="128">
        <v>1.59</v>
      </c>
      <c r="W34" s="128">
        <v>1.6</v>
      </c>
      <c r="X34" s="128">
        <v>1.61</v>
      </c>
      <c r="Y34" s="128">
        <v>1.63</v>
      </c>
      <c r="Z34" s="128">
        <v>1.64</v>
      </c>
      <c r="AA34" s="128">
        <v>1.65</v>
      </c>
      <c r="AB34" s="128">
        <v>1.66</v>
      </c>
      <c r="AC34" s="128">
        <v>1.67</v>
      </c>
      <c r="AD34" s="128">
        <v>1.68</v>
      </c>
      <c r="AE34" s="128">
        <v>1.69</v>
      </c>
      <c r="AF34" s="128">
        <v>1.7</v>
      </c>
      <c r="AG34" s="128">
        <v>1.71</v>
      </c>
      <c r="AH34" s="128">
        <v>1.72</v>
      </c>
      <c r="AI34" s="128">
        <v>1.73</v>
      </c>
      <c r="AJ34" s="128">
        <v>1.73</v>
      </c>
      <c r="AK34" s="128">
        <v>1.74</v>
      </c>
      <c r="AL34" s="128">
        <v>1.75</v>
      </c>
      <c r="AM34" s="128">
        <v>1.76</v>
      </c>
      <c r="AN34" s="128">
        <v>1.76</v>
      </c>
      <c r="AO34" s="128">
        <v>1.77</v>
      </c>
      <c r="AP34" s="128">
        <v>1.78</v>
      </c>
      <c r="AQ34" s="128">
        <v>1.79</v>
      </c>
      <c r="AR34" s="128">
        <v>1.79</v>
      </c>
      <c r="AS34" s="128">
        <v>1.8</v>
      </c>
      <c r="AT34" s="128">
        <v>1.81</v>
      </c>
      <c r="AU34" s="128">
        <v>1.82</v>
      </c>
      <c r="AV34" s="128">
        <v>1.82</v>
      </c>
      <c r="AW34" s="128">
        <v>1.83</v>
      </c>
      <c r="AX34" s="128">
        <v>1.84</v>
      </c>
      <c r="AY34" s="128">
        <v>1.85</v>
      </c>
      <c r="AZ34" s="128">
        <v>1.85</v>
      </c>
      <c r="BA34" s="128">
        <v>1.86</v>
      </c>
      <c r="BB34" s="128">
        <v>1.87</v>
      </c>
      <c r="BC34" s="128">
        <v>1.88</v>
      </c>
      <c r="BD34" s="128">
        <v>1.89</v>
      </c>
      <c r="BE34" s="128">
        <v>1.89</v>
      </c>
      <c r="BF34" s="128">
        <v>1.9</v>
      </c>
      <c r="BG34" s="128">
        <v>1.91</v>
      </c>
      <c r="BH34" s="128">
        <v>1.92</v>
      </c>
      <c r="BI34" s="128">
        <v>1.92</v>
      </c>
      <c r="BJ34" s="128">
        <v>1.93</v>
      </c>
      <c r="BK34" s="128">
        <v>1.94</v>
      </c>
      <c r="BL34" s="128">
        <v>1.95</v>
      </c>
      <c r="BM34" s="128">
        <v>1.95</v>
      </c>
      <c r="BN34" s="128">
        <v>1.96</v>
      </c>
      <c r="BO34" s="128">
        <v>1.97</v>
      </c>
      <c r="BP34" s="128">
        <v>1.98</v>
      </c>
      <c r="BQ34" s="128">
        <v>1.98</v>
      </c>
      <c r="BR34" s="128">
        <v>1.99</v>
      </c>
      <c r="BS34" s="128">
        <v>2</v>
      </c>
      <c r="BT34" s="128">
        <v>2.0099999999999998</v>
      </c>
      <c r="BU34" s="128">
        <v>2.02</v>
      </c>
      <c r="BV34" s="128">
        <v>2.02</v>
      </c>
      <c r="BW34" s="128">
        <v>2.0299999999999998</v>
      </c>
      <c r="BX34" s="128">
        <v>2.04</v>
      </c>
      <c r="BY34" s="128">
        <v>2.0499999999999998</v>
      </c>
      <c r="BZ34" s="128">
        <v>2.06</v>
      </c>
      <c r="CA34" s="128">
        <v>2.0699999999999998</v>
      </c>
      <c r="CB34" s="128">
        <v>2.0699999999999998</v>
      </c>
      <c r="CC34" s="128">
        <v>2.08</v>
      </c>
      <c r="CD34" s="128">
        <v>2.09</v>
      </c>
      <c r="CE34" s="128">
        <v>2.1</v>
      </c>
      <c r="CF34" s="128">
        <v>2.11</v>
      </c>
      <c r="CG34" s="128">
        <v>2.12</v>
      </c>
      <c r="CH34" s="128">
        <v>2.13</v>
      </c>
      <c r="CI34" s="128">
        <v>2.14</v>
      </c>
      <c r="CJ34" s="128">
        <v>2.15</v>
      </c>
      <c r="CK34" s="128">
        <v>2.16</v>
      </c>
      <c r="CL34" s="128">
        <v>2.17</v>
      </c>
      <c r="CM34" s="128">
        <v>2.1800000000000002</v>
      </c>
      <c r="CN34" s="128">
        <v>2.19</v>
      </c>
      <c r="CO34" s="128">
        <v>2.2000000000000002</v>
      </c>
      <c r="CP34" s="128">
        <v>2.21</v>
      </c>
      <c r="CQ34" s="128">
        <v>2.2200000000000002</v>
      </c>
      <c r="CR34" s="128">
        <v>2.2400000000000002</v>
      </c>
      <c r="CS34" s="128">
        <v>2.25</v>
      </c>
      <c r="CT34" s="128">
        <v>2.2599999999999998</v>
      </c>
      <c r="CU34" s="128">
        <v>2.27</v>
      </c>
      <c r="CV34" s="128">
        <v>2.2799999999999998</v>
      </c>
      <c r="CW34" s="128">
        <v>2.2999999999999998</v>
      </c>
      <c r="CX34" s="128">
        <v>2.31</v>
      </c>
      <c r="CZ34" s="126">
        <f>SUMIF(MatrixF5[[1]:[2]],MatrixF5[[#This Row],[Столбец1]])/MatrixF5[[#This Row],[Столбец1]]</f>
        <v>25.999999999999996</v>
      </c>
      <c r="DA34" s="126">
        <f>SUMIF(MatrixF5[[1]:[2]],MatrixF5[[#This Row],[Столбец1]]+1)/(MatrixF5[[#This Row],[Столбец1]]+1)</f>
        <v>71.000000000000043</v>
      </c>
    </row>
    <row r="35" spans="1:105" ht="21" customHeight="1" x14ac:dyDescent="0.25">
      <c r="A35" s="127">
        <v>1.32</v>
      </c>
      <c r="B35" s="128">
        <v>1.32</v>
      </c>
      <c r="C35" s="128">
        <v>1.34</v>
      </c>
      <c r="D35" s="128">
        <v>1.35</v>
      </c>
      <c r="E35" s="128">
        <v>1.37</v>
      </c>
      <c r="F35" s="128">
        <v>1.38</v>
      </c>
      <c r="G35" s="128">
        <v>1.4</v>
      </c>
      <c r="H35" s="128">
        <v>1.42</v>
      </c>
      <c r="I35" s="128">
        <v>1.43</v>
      </c>
      <c r="J35" s="128">
        <v>1.44</v>
      </c>
      <c r="K35" s="128">
        <v>1.46</v>
      </c>
      <c r="L35" s="128">
        <v>1.47</v>
      </c>
      <c r="M35" s="128">
        <v>1.49</v>
      </c>
      <c r="N35" s="128">
        <v>1.5</v>
      </c>
      <c r="O35" s="128">
        <v>1.51</v>
      </c>
      <c r="P35" s="128">
        <v>1.53</v>
      </c>
      <c r="Q35" s="128">
        <v>1.54</v>
      </c>
      <c r="R35" s="128">
        <v>1.55</v>
      </c>
      <c r="S35" s="128">
        <v>1.56</v>
      </c>
      <c r="T35" s="128">
        <v>1.58</v>
      </c>
      <c r="U35" s="128">
        <v>1.59</v>
      </c>
      <c r="V35" s="128">
        <v>1.6</v>
      </c>
      <c r="W35" s="128">
        <v>1.61</v>
      </c>
      <c r="X35" s="128">
        <v>1.62</v>
      </c>
      <c r="Y35" s="128">
        <v>1.63</v>
      </c>
      <c r="Z35" s="128">
        <v>1.65</v>
      </c>
      <c r="AA35" s="128">
        <v>1.66</v>
      </c>
      <c r="AB35" s="128">
        <v>1.67</v>
      </c>
      <c r="AC35" s="128">
        <v>1.68</v>
      </c>
      <c r="AD35" s="128">
        <v>1.69</v>
      </c>
      <c r="AE35" s="128">
        <v>1.7</v>
      </c>
      <c r="AF35" s="128">
        <v>1.71</v>
      </c>
      <c r="AG35" s="128">
        <v>1.72</v>
      </c>
      <c r="AH35" s="128">
        <v>1.73</v>
      </c>
      <c r="AI35" s="128">
        <v>1.73</v>
      </c>
      <c r="AJ35" s="128">
        <v>1.74</v>
      </c>
      <c r="AK35" s="128">
        <v>1.75</v>
      </c>
      <c r="AL35" s="128">
        <v>1.76</v>
      </c>
      <c r="AM35" s="128">
        <v>1.77</v>
      </c>
      <c r="AN35" s="128">
        <v>1.77</v>
      </c>
      <c r="AO35" s="128">
        <v>1.78</v>
      </c>
      <c r="AP35" s="128">
        <v>1.79</v>
      </c>
      <c r="AQ35" s="128">
        <v>1.8</v>
      </c>
      <c r="AR35" s="128">
        <v>1.8</v>
      </c>
      <c r="AS35" s="128">
        <v>1.81</v>
      </c>
      <c r="AT35" s="128">
        <v>1.82</v>
      </c>
      <c r="AU35" s="128">
        <v>1.83</v>
      </c>
      <c r="AV35" s="128">
        <v>1.83</v>
      </c>
      <c r="AW35" s="128">
        <v>1.84</v>
      </c>
      <c r="AX35" s="128">
        <v>1.85</v>
      </c>
      <c r="AY35" s="128">
        <v>1.86</v>
      </c>
      <c r="AZ35" s="128">
        <v>1.86</v>
      </c>
      <c r="BA35" s="128">
        <v>1.87</v>
      </c>
      <c r="BB35" s="128">
        <v>1.88</v>
      </c>
      <c r="BC35" s="128">
        <v>1.89</v>
      </c>
      <c r="BD35" s="128">
        <v>1.89</v>
      </c>
      <c r="BE35" s="128">
        <v>1.9</v>
      </c>
      <c r="BF35" s="128">
        <v>1.91</v>
      </c>
      <c r="BG35" s="128">
        <v>1.92</v>
      </c>
      <c r="BH35" s="128">
        <v>1.92</v>
      </c>
      <c r="BI35" s="128">
        <v>1.93</v>
      </c>
      <c r="BJ35" s="128">
        <v>1.94</v>
      </c>
      <c r="BK35" s="128">
        <v>1.95</v>
      </c>
      <c r="BL35" s="128">
        <v>1.95</v>
      </c>
      <c r="BM35" s="128">
        <v>1.96</v>
      </c>
      <c r="BN35" s="128">
        <v>1.97</v>
      </c>
      <c r="BO35" s="128">
        <v>1.98</v>
      </c>
      <c r="BP35" s="128">
        <v>1.98</v>
      </c>
      <c r="BQ35" s="128">
        <v>1.99</v>
      </c>
      <c r="BR35" s="128">
        <v>2</v>
      </c>
      <c r="BS35" s="128">
        <v>2.0099999999999998</v>
      </c>
      <c r="BT35" s="128">
        <v>2.02</v>
      </c>
      <c r="BU35" s="128">
        <v>2.02</v>
      </c>
      <c r="BV35" s="128">
        <v>2.0299999999999998</v>
      </c>
      <c r="BW35" s="128">
        <v>2.04</v>
      </c>
      <c r="BX35" s="128">
        <v>2.0499999999999998</v>
      </c>
      <c r="BY35" s="128">
        <v>2.06</v>
      </c>
      <c r="BZ35" s="128">
        <v>2.06</v>
      </c>
      <c r="CA35" s="128">
        <v>2.0699999999999998</v>
      </c>
      <c r="CB35" s="128">
        <v>2.08</v>
      </c>
      <c r="CC35" s="128">
        <v>2.09</v>
      </c>
      <c r="CD35" s="128">
        <v>2.1</v>
      </c>
      <c r="CE35" s="128">
        <v>2.11</v>
      </c>
      <c r="CF35" s="128">
        <v>2.12</v>
      </c>
      <c r="CG35" s="128">
        <v>2.13</v>
      </c>
      <c r="CH35" s="128">
        <v>2.14</v>
      </c>
      <c r="CI35" s="128">
        <v>2.15</v>
      </c>
      <c r="CJ35" s="128">
        <v>2.16</v>
      </c>
      <c r="CK35" s="128">
        <v>2.17</v>
      </c>
      <c r="CL35" s="128">
        <v>2.1800000000000002</v>
      </c>
      <c r="CM35" s="128">
        <v>2.19</v>
      </c>
      <c r="CN35" s="128">
        <v>2.2000000000000002</v>
      </c>
      <c r="CO35" s="128">
        <v>2.21</v>
      </c>
      <c r="CP35" s="128">
        <v>2.2200000000000002</v>
      </c>
      <c r="CQ35" s="128">
        <v>2.23</v>
      </c>
      <c r="CR35" s="128">
        <v>2.25</v>
      </c>
      <c r="CS35" s="128">
        <v>2.2599999999999998</v>
      </c>
      <c r="CT35" s="128">
        <v>2.27</v>
      </c>
      <c r="CU35" s="128">
        <v>2.2799999999999998</v>
      </c>
      <c r="CV35" s="128">
        <v>2.29</v>
      </c>
      <c r="CW35" s="128">
        <v>2.31</v>
      </c>
      <c r="CX35" s="128">
        <v>2.3199999999999998</v>
      </c>
      <c r="CZ35" s="126">
        <f>SUMIF(MatrixF5[[1]:[2]],MatrixF5[[#This Row],[Столбец1]])/MatrixF5[[#This Row],[Столбец1]]</f>
        <v>27</v>
      </c>
      <c r="DA35" s="126">
        <f>SUMIF(MatrixF5[[1]:[2]],MatrixF5[[#This Row],[Столбец1]]+1)/(MatrixF5[[#This Row],[Столбец1]]+1)</f>
        <v>67.999999999999872</v>
      </c>
    </row>
    <row r="36" spans="1:105" ht="21" customHeight="1" x14ac:dyDescent="0.25">
      <c r="A36" s="127">
        <v>1.33</v>
      </c>
      <c r="B36" s="128">
        <v>1.33</v>
      </c>
      <c r="C36" s="128">
        <v>1.35</v>
      </c>
      <c r="D36" s="128">
        <v>1.36</v>
      </c>
      <c r="E36" s="128">
        <v>1.38</v>
      </c>
      <c r="F36" s="128">
        <v>1.39</v>
      </c>
      <c r="G36" s="128">
        <v>1.41</v>
      </c>
      <c r="H36" s="128">
        <v>1.42</v>
      </c>
      <c r="I36" s="128">
        <v>1.44</v>
      </c>
      <c r="J36" s="128">
        <v>1.45</v>
      </c>
      <c r="K36" s="128">
        <v>1.47</v>
      </c>
      <c r="L36" s="128">
        <v>1.48</v>
      </c>
      <c r="M36" s="128">
        <v>1.5</v>
      </c>
      <c r="N36" s="128">
        <v>1.51</v>
      </c>
      <c r="O36" s="128">
        <v>1.52</v>
      </c>
      <c r="P36" s="128">
        <v>1.54</v>
      </c>
      <c r="Q36" s="128">
        <v>1.55</v>
      </c>
      <c r="R36" s="128">
        <v>1.56</v>
      </c>
      <c r="S36" s="128">
        <v>1.57</v>
      </c>
      <c r="T36" s="128">
        <v>1.58</v>
      </c>
      <c r="U36" s="128">
        <v>1.6</v>
      </c>
      <c r="V36" s="128">
        <v>1.61</v>
      </c>
      <c r="W36" s="128">
        <v>1.62</v>
      </c>
      <c r="X36" s="128">
        <v>1.63</v>
      </c>
      <c r="Y36" s="128">
        <v>1.64</v>
      </c>
      <c r="Z36" s="128">
        <v>1.65</v>
      </c>
      <c r="AA36" s="128">
        <v>1.66</v>
      </c>
      <c r="AB36" s="128">
        <v>1.67</v>
      </c>
      <c r="AC36" s="128">
        <v>1.69</v>
      </c>
      <c r="AD36" s="128">
        <v>1.7</v>
      </c>
      <c r="AE36" s="128">
        <v>1.71</v>
      </c>
      <c r="AF36" s="128">
        <v>1.72</v>
      </c>
      <c r="AG36" s="128">
        <v>1.73</v>
      </c>
      <c r="AH36" s="128">
        <v>1.73</v>
      </c>
      <c r="AI36" s="128">
        <v>1.74</v>
      </c>
      <c r="AJ36" s="128">
        <v>1.75</v>
      </c>
      <c r="AK36" s="128">
        <v>1.76</v>
      </c>
      <c r="AL36" s="128">
        <v>1.77</v>
      </c>
      <c r="AM36" s="128">
        <v>1.77</v>
      </c>
      <c r="AN36" s="128">
        <v>1.78</v>
      </c>
      <c r="AO36" s="128">
        <v>1.79</v>
      </c>
      <c r="AP36" s="128">
        <v>1.8</v>
      </c>
      <c r="AQ36" s="128">
        <v>1.8</v>
      </c>
      <c r="AR36" s="128">
        <v>1.81</v>
      </c>
      <c r="AS36" s="128">
        <v>1.82</v>
      </c>
      <c r="AT36" s="128">
        <v>1.83</v>
      </c>
      <c r="AU36" s="128">
        <v>1.83</v>
      </c>
      <c r="AV36" s="128">
        <v>1.84</v>
      </c>
      <c r="AW36" s="128">
        <v>1.85</v>
      </c>
      <c r="AX36" s="128">
        <v>1.86</v>
      </c>
      <c r="AY36" s="128">
        <v>1.86</v>
      </c>
      <c r="AZ36" s="128">
        <v>1.87</v>
      </c>
      <c r="BA36" s="128">
        <v>1.88</v>
      </c>
      <c r="BB36" s="128">
        <v>1.89</v>
      </c>
      <c r="BC36" s="128">
        <v>1.89</v>
      </c>
      <c r="BD36" s="128">
        <v>1.9</v>
      </c>
      <c r="BE36" s="128">
        <v>1.91</v>
      </c>
      <c r="BF36" s="128">
        <v>1.92</v>
      </c>
      <c r="BG36" s="128">
        <v>1.92</v>
      </c>
      <c r="BH36" s="128">
        <v>1.93</v>
      </c>
      <c r="BI36" s="128">
        <v>1.94</v>
      </c>
      <c r="BJ36" s="128">
        <v>1.95</v>
      </c>
      <c r="BK36" s="128">
        <v>1.95</v>
      </c>
      <c r="BL36" s="128">
        <v>1.96</v>
      </c>
      <c r="BM36" s="128">
        <v>1.97</v>
      </c>
      <c r="BN36" s="128">
        <v>1.98</v>
      </c>
      <c r="BO36" s="128">
        <v>1.98</v>
      </c>
      <c r="BP36" s="128">
        <v>1.99</v>
      </c>
      <c r="BQ36" s="128">
        <v>2</v>
      </c>
      <c r="BR36" s="128">
        <v>2.0099999999999998</v>
      </c>
      <c r="BS36" s="128">
        <v>2.02</v>
      </c>
      <c r="BT36" s="128">
        <v>2.02</v>
      </c>
      <c r="BU36" s="128">
        <v>2.0299999999999998</v>
      </c>
      <c r="BV36" s="128">
        <v>2.04</v>
      </c>
      <c r="BW36" s="128">
        <v>2.0499999999999998</v>
      </c>
      <c r="BX36" s="128">
        <v>2.06</v>
      </c>
      <c r="BY36" s="128">
        <v>2.06</v>
      </c>
      <c r="BZ36" s="128">
        <v>2.0699999999999998</v>
      </c>
      <c r="CA36" s="128">
        <v>2.08</v>
      </c>
      <c r="CB36" s="128">
        <v>2.09</v>
      </c>
      <c r="CC36" s="128">
        <v>2.1</v>
      </c>
      <c r="CD36" s="128">
        <v>2.11</v>
      </c>
      <c r="CE36" s="128">
        <v>2.12</v>
      </c>
      <c r="CF36" s="128">
        <v>2.13</v>
      </c>
      <c r="CG36" s="128">
        <v>2.14</v>
      </c>
      <c r="CH36" s="128">
        <v>2.15</v>
      </c>
      <c r="CI36" s="128">
        <v>2.16</v>
      </c>
      <c r="CJ36" s="128">
        <v>2.17</v>
      </c>
      <c r="CK36" s="128">
        <v>2.1800000000000002</v>
      </c>
      <c r="CL36" s="128">
        <v>2.19</v>
      </c>
      <c r="CM36" s="128">
        <v>2.2000000000000002</v>
      </c>
      <c r="CN36" s="128">
        <v>2.21</v>
      </c>
      <c r="CO36" s="128">
        <v>2.2200000000000002</v>
      </c>
      <c r="CP36" s="128">
        <v>2.23</v>
      </c>
      <c r="CQ36" s="128">
        <v>2.2400000000000002</v>
      </c>
      <c r="CR36" s="128">
        <v>2.25</v>
      </c>
      <c r="CS36" s="128">
        <v>2.27</v>
      </c>
      <c r="CT36" s="128">
        <v>2.2799999999999998</v>
      </c>
      <c r="CU36" s="128">
        <v>2.29</v>
      </c>
      <c r="CV36" s="128">
        <v>2.2999999999999998</v>
      </c>
      <c r="CW36" s="128">
        <v>2.3199999999999998</v>
      </c>
      <c r="CX36" s="128">
        <v>2.33</v>
      </c>
      <c r="CZ36" s="126">
        <f>SUMIF(MatrixF5[[1]:[2]],MatrixF5[[#This Row],[Столбец1]])/MatrixF5[[#This Row],[Столбец1]]</f>
        <v>25.999999999999982</v>
      </c>
      <c r="DA36" s="126">
        <f>SUMIF(MatrixF5[[1]:[2]],MatrixF5[[#This Row],[Столбец1]]+1)/(MatrixF5[[#This Row],[Столбец1]]+1)</f>
        <v>63.000000000000007</v>
      </c>
    </row>
    <row r="37" spans="1:105" ht="21" customHeight="1" x14ac:dyDescent="0.25">
      <c r="A37" s="127">
        <v>1.34</v>
      </c>
      <c r="B37" s="128">
        <v>1.34</v>
      </c>
      <c r="C37" s="128">
        <v>1.36</v>
      </c>
      <c r="D37" s="128">
        <v>1.37</v>
      </c>
      <c r="E37" s="128">
        <v>1.39</v>
      </c>
      <c r="F37" s="128">
        <v>1.4</v>
      </c>
      <c r="G37" s="128">
        <v>1.42</v>
      </c>
      <c r="H37" s="128">
        <v>1.43</v>
      </c>
      <c r="I37" s="128">
        <v>1.45</v>
      </c>
      <c r="J37" s="128">
        <v>1.46</v>
      </c>
      <c r="K37" s="128">
        <v>1.48</v>
      </c>
      <c r="L37" s="128">
        <v>1.49</v>
      </c>
      <c r="M37" s="128">
        <v>1.5</v>
      </c>
      <c r="N37" s="128">
        <v>1.52</v>
      </c>
      <c r="O37" s="128">
        <v>1.53</v>
      </c>
      <c r="P37" s="128">
        <v>1.54</v>
      </c>
      <c r="Q37" s="128">
        <v>1.56</v>
      </c>
      <c r="R37" s="128">
        <v>1.57</v>
      </c>
      <c r="S37" s="128">
        <v>1.58</v>
      </c>
      <c r="T37" s="128">
        <v>1.59</v>
      </c>
      <c r="U37" s="128">
        <v>1.61</v>
      </c>
      <c r="V37" s="128">
        <v>1.62</v>
      </c>
      <c r="W37" s="128">
        <v>1.63</v>
      </c>
      <c r="X37" s="128">
        <v>1.64</v>
      </c>
      <c r="Y37" s="128">
        <v>1.65</v>
      </c>
      <c r="Z37" s="128">
        <v>1.66</v>
      </c>
      <c r="AA37" s="128">
        <v>1.67</v>
      </c>
      <c r="AB37" s="128">
        <v>1.68</v>
      </c>
      <c r="AC37" s="128">
        <v>1.69</v>
      </c>
      <c r="AD37" s="128">
        <v>1.7</v>
      </c>
      <c r="AE37" s="128">
        <v>1.71</v>
      </c>
      <c r="AF37" s="128">
        <v>1.72</v>
      </c>
      <c r="AG37" s="128">
        <v>1.73</v>
      </c>
      <c r="AH37" s="128">
        <v>1.74</v>
      </c>
      <c r="AI37" s="128">
        <v>1.75</v>
      </c>
      <c r="AJ37" s="128">
        <v>1.76</v>
      </c>
      <c r="AK37" s="128">
        <v>1.77</v>
      </c>
      <c r="AL37" s="128">
        <v>1.78</v>
      </c>
      <c r="AM37" s="128">
        <v>1.78</v>
      </c>
      <c r="AN37" s="128">
        <v>1.79</v>
      </c>
      <c r="AO37" s="128">
        <v>1.8</v>
      </c>
      <c r="AP37" s="128">
        <v>1.81</v>
      </c>
      <c r="AQ37" s="128">
        <v>1.81</v>
      </c>
      <c r="AR37" s="128">
        <v>1.82</v>
      </c>
      <c r="AS37" s="128">
        <v>1.83</v>
      </c>
      <c r="AT37" s="128">
        <v>1.84</v>
      </c>
      <c r="AU37" s="128">
        <v>1.84</v>
      </c>
      <c r="AV37" s="128">
        <v>1.85</v>
      </c>
      <c r="AW37" s="128">
        <v>1.86</v>
      </c>
      <c r="AX37" s="128">
        <v>1.87</v>
      </c>
      <c r="AY37" s="128">
        <v>1.87</v>
      </c>
      <c r="AZ37" s="128">
        <v>1.88</v>
      </c>
      <c r="BA37" s="128">
        <v>1.89</v>
      </c>
      <c r="BB37" s="128">
        <v>1.9</v>
      </c>
      <c r="BC37" s="128">
        <v>1.9</v>
      </c>
      <c r="BD37" s="128">
        <v>1.91</v>
      </c>
      <c r="BE37" s="128">
        <v>1.92</v>
      </c>
      <c r="BF37" s="128">
        <v>1.93</v>
      </c>
      <c r="BG37" s="128">
        <v>1.93</v>
      </c>
      <c r="BH37" s="128">
        <v>1.94</v>
      </c>
      <c r="BI37" s="128">
        <v>1.95</v>
      </c>
      <c r="BJ37" s="128">
        <v>1.96</v>
      </c>
      <c r="BK37" s="128">
        <v>1.96</v>
      </c>
      <c r="BL37" s="128">
        <v>1.97</v>
      </c>
      <c r="BM37" s="128">
        <v>1.98</v>
      </c>
      <c r="BN37" s="128">
        <v>1.99</v>
      </c>
      <c r="BO37" s="128">
        <v>1.99</v>
      </c>
      <c r="BP37" s="128">
        <v>2</v>
      </c>
      <c r="BQ37" s="128">
        <v>2.0099999999999998</v>
      </c>
      <c r="BR37" s="128">
        <v>2.02</v>
      </c>
      <c r="BS37" s="128">
        <v>2.02</v>
      </c>
      <c r="BT37" s="128">
        <v>2.0299999999999998</v>
      </c>
      <c r="BU37" s="128">
        <v>2.04</v>
      </c>
      <c r="BV37" s="128">
        <v>2.0499999999999998</v>
      </c>
      <c r="BW37" s="128">
        <v>2.06</v>
      </c>
      <c r="BX37" s="128">
        <v>2.06</v>
      </c>
      <c r="BY37" s="128">
        <v>2.0699999999999998</v>
      </c>
      <c r="BZ37" s="128">
        <v>2.08</v>
      </c>
      <c r="CA37" s="128">
        <v>2.09</v>
      </c>
      <c r="CB37" s="128">
        <v>2.1</v>
      </c>
      <c r="CC37" s="128">
        <v>2.11</v>
      </c>
      <c r="CD37" s="128">
        <v>2.12</v>
      </c>
      <c r="CE37" s="128">
        <v>2.13</v>
      </c>
      <c r="CF37" s="128">
        <v>2.14</v>
      </c>
      <c r="CG37" s="128">
        <v>2.15</v>
      </c>
      <c r="CH37" s="128">
        <v>2.16</v>
      </c>
      <c r="CI37" s="128">
        <v>2.17</v>
      </c>
      <c r="CJ37" s="128">
        <v>2.1800000000000002</v>
      </c>
      <c r="CK37" s="128">
        <v>2.19</v>
      </c>
      <c r="CL37" s="128">
        <v>2.2000000000000002</v>
      </c>
      <c r="CM37" s="128">
        <v>2.21</v>
      </c>
      <c r="CN37" s="128">
        <v>2.2200000000000002</v>
      </c>
      <c r="CO37" s="128">
        <v>2.23</v>
      </c>
      <c r="CP37" s="128">
        <v>2.2400000000000002</v>
      </c>
      <c r="CQ37" s="128">
        <v>2.25</v>
      </c>
      <c r="CR37" s="128">
        <v>2.2599999999999998</v>
      </c>
      <c r="CS37" s="128">
        <v>2.2799999999999998</v>
      </c>
      <c r="CT37" s="128">
        <v>2.29</v>
      </c>
      <c r="CU37" s="128">
        <v>2.2999999999999998</v>
      </c>
      <c r="CV37" s="128">
        <v>2.31</v>
      </c>
      <c r="CW37" s="128">
        <v>2.33</v>
      </c>
      <c r="CX37" s="128">
        <v>2.34</v>
      </c>
      <c r="CZ37" s="126">
        <f>SUMIF(MatrixF5[[1]:[2]],MatrixF5[[#This Row],[Столбец1]])/MatrixF5[[#This Row],[Столбец1]]</f>
        <v>26.000000000000007</v>
      </c>
      <c r="DA37" s="126">
        <f>SUMIF(MatrixF5[[1]:[2]],MatrixF5[[#This Row],[Столбец1]]+1)/(MatrixF5[[#This Row],[Столбец1]]+1)</f>
        <v>67.000000000000071</v>
      </c>
    </row>
    <row r="38" spans="1:105" ht="21" customHeight="1" x14ac:dyDescent="0.25">
      <c r="A38" s="127">
        <v>1.35</v>
      </c>
      <c r="B38" s="128">
        <v>1.35</v>
      </c>
      <c r="C38" s="128">
        <v>1.37</v>
      </c>
      <c r="D38" s="128">
        <v>1.38</v>
      </c>
      <c r="E38" s="128">
        <v>1.4</v>
      </c>
      <c r="F38" s="128">
        <v>1.41</v>
      </c>
      <c r="G38" s="128">
        <v>1.43</v>
      </c>
      <c r="H38" s="128">
        <v>1.44</v>
      </c>
      <c r="I38" s="128">
        <v>1.46</v>
      </c>
      <c r="J38" s="128">
        <v>1.47</v>
      </c>
      <c r="K38" s="128">
        <v>1.49</v>
      </c>
      <c r="L38" s="128">
        <v>1.5</v>
      </c>
      <c r="M38" s="128">
        <v>1.51</v>
      </c>
      <c r="N38" s="128">
        <v>1.53</v>
      </c>
      <c r="O38" s="128">
        <v>1.54</v>
      </c>
      <c r="P38" s="128">
        <v>1.55</v>
      </c>
      <c r="Q38" s="128">
        <v>1.57</v>
      </c>
      <c r="R38" s="128">
        <v>1.58</v>
      </c>
      <c r="S38" s="128">
        <v>1.59</v>
      </c>
      <c r="T38" s="128">
        <v>1.6</v>
      </c>
      <c r="U38" s="128">
        <v>1.61</v>
      </c>
      <c r="V38" s="128">
        <v>1.62</v>
      </c>
      <c r="W38" s="128">
        <v>1.64</v>
      </c>
      <c r="X38" s="128">
        <v>1.65</v>
      </c>
      <c r="Y38" s="128">
        <v>1.66</v>
      </c>
      <c r="Z38" s="128">
        <v>1.67</v>
      </c>
      <c r="AA38" s="128">
        <v>1.68</v>
      </c>
      <c r="AB38" s="128">
        <v>1.69</v>
      </c>
      <c r="AC38" s="128">
        <v>1.7</v>
      </c>
      <c r="AD38" s="128">
        <v>1.71</v>
      </c>
      <c r="AE38" s="128">
        <v>1.72</v>
      </c>
      <c r="AF38" s="128">
        <v>1.73</v>
      </c>
      <c r="AG38" s="128">
        <v>1.74</v>
      </c>
      <c r="AH38" s="128">
        <v>1.75</v>
      </c>
      <c r="AI38" s="128">
        <v>1.76</v>
      </c>
      <c r="AJ38" s="128">
        <v>1.77</v>
      </c>
      <c r="AK38" s="128">
        <v>1.78</v>
      </c>
      <c r="AL38" s="128">
        <v>1.79</v>
      </c>
      <c r="AM38" s="128">
        <v>1.79</v>
      </c>
      <c r="AN38" s="128">
        <v>1.8</v>
      </c>
      <c r="AO38" s="128">
        <v>1.81</v>
      </c>
      <c r="AP38" s="128">
        <v>1.81</v>
      </c>
      <c r="AQ38" s="128">
        <v>1.82</v>
      </c>
      <c r="AR38" s="128">
        <v>1.83</v>
      </c>
      <c r="AS38" s="128">
        <v>1.84</v>
      </c>
      <c r="AT38" s="128">
        <v>1.84</v>
      </c>
      <c r="AU38" s="128">
        <v>1.85</v>
      </c>
      <c r="AV38" s="128">
        <v>1.86</v>
      </c>
      <c r="AW38" s="128">
        <v>1.87</v>
      </c>
      <c r="AX38" s="128">
        <v>1.87</v>
      </c>
      <c r="AY38" s="128">
        <v>1.88</v>
      </c>
      <c r="AZ38" s="128">
        <v>1.89</v>
      </c>
      <c r="BA38" s="128">
        <v>1.9</v>
      </c>
      <c r="BB38" s="128">
        <v>1.9</v>
      </c>
      <c r="BC38" s="128">
        <v>1.91</v>
      </c>
      <c r="BD38" s="128">
        <v>1.92</v>
      </c>
      <c r="BE38" s="128">
        <v>1.93</v>
      </c>
      <c r="BF38" s="128">
        <v>1.93</v>
      </c>
      <c r="BG38" s="128">
        <v>1.94</v>
      </c>
      <c r="BH38" s="128">
        <v>1.95</v>
      </c>
      <c r="BI38" s="128">
        <v>1.96</v>
      </c>
      <c r="BJ38" s="128">
        <v>1.96</v>
      </c>
      <c r="BK38" s="128">
        <v>1.97</v>
      </c>
      <c r="BL38" s="128">
        <v>1.98</v>
      </c>
      <c r="BM38" s="128">
        <v>1.99</v>
      </c>
      <c r="BN38" s="128">
        <v>1.99</v>
      </c>
      <c r="BO38" s="128">
        <v>2</v>
      </c>
      <c r="BP38" s="128">
        <v>2.0099999999999998</v>
      </c>
      <c r="BQ38" s="128">
        <v>2.02</v>
      </c>
      <c r="BR38" s="128">
        <v>2.02</v>
      </c>
      <c r="BS38" s="128">
        <v>2.0299999999999998</v>
      </c>
      <c r="BT38" s="128">
        <v>2.04</v>
      </c>
      <c r="BU38" s="128">
        <v>2.0499999999999998</v>
      </c>
      <c r="BV38" s="128">
        <v>2.0499999999999998</v>
      </c>
      <c r="BW38" s="128">
        <v>2.06</v>
      </c>
      <c r="BX38" s="128">
        <v>2.0699999999999998</v>
      </c>
      <c r="BY38" s="128">
        <v>2.08</v>
      </c>
      <c r="BZ38" s="128">
        <v>2.09</v>
      </c>
      <c r="CA38" s="128">
        <v>2.1</v>
      </c>
      <c r="CB38" s="128">
        <v>2.11</v>
      </c>
      <c r="CC38" s="128">
        <v>2.12</v>
      </c>
      <c r="CD38" s="128">
        <v>2.12</v>
      </c>
      <c r="CE38" s="128">
        <v>2.13</v>
      </c>
      <c r="CF38" s="128">
        <v>2.14</v>
      </c>
      <c r="CG38" s="128">
        <v>2.15</v>
      </c>
      <c r="CH38" s="128">
        <v>2.16</v>
      </c>
      <c r="CI38" s="128">
        <v>2.17</v>
      </c>
      <c r="CJ38" s="128">
        <v>2.1800000000000002</v>
      </c>
      <c r="CK38" s="128">
        <v>2.19</v>
      </c>
      <c r="CL38" s="128">
        <v>2.21</v>
      </c>
      <c r="CM38" s="128">
        <v>2.2200000000000002</v>
      </c>
      <c r="CN38" s="128">
        <v>2.23</v>
      </c>
      <c r="CO38" s="128">
        <v>2.2400000000000002</v>
      </c>
      <c r="CP38" s="128">
        <v>2.25</v>
      </c>
      <c r="CQ38" s="128">
        <v>2.2599999999999998</v>
      </c>
      <c r="CR38" s="128">
        <v>2.27</v>
      </c>
      <c r="CS38" s="128">
        <v>2.29</v>
      </c>
      <c r="CT38" s="128">
        <v>2.2999999999999998</v>
      </c>
      <c r="CU38" s="128">
        <v>2.31</v>
      </c>
      <c r="CV38" s="128">
        <v>2.3199999999999998</v>
      </c>
      <c r="CW38" s="128">
        <v>2.34</v>
      </c>
      <c r="CX38" s="128">
        <v>2.35</v>
      </c>
      <c r="CZ38" s="126">
        <f>SUMIF(MatrixF5[[1]:[2]],MatrixF5[[#This Row],[Столбец1]])/MatrixF5[[#This Row],[Столбец1]]</f>
        <v>31.000000000000014</v>
      </c>
      <c r="DA38" s="126">
        <f>SUMIF(MatrixF5[[1]:[2]],MatrixF5[[#This Row],[Столбец1]]+1)/(MatrixF5[[#This Row],[Столбец1]]+1)</f>
        <v>63.999999999999929</v>
      </c>
    </row>
    <row r="39" spans="1:105" ht="21" customHeight="1" x14ac:dyDescent="0.25">
      <c r="A39" s="127">
        <v>1.36</v>
      </c>
      <c r="B39" s="128">
        <v>1.36</v>
      </c>
      <c r="C39" s="128">
        <v>1.38</v>
      </c>
      <c r="D39" s="128">
        <v>1.39</v>
      </c>
      <c r="E39" s="128">
        <v>1.41</v>
      </c>
      <c r="F39" s="128">
        <v>1.42</v>
      </c>
      <c r="G39" s="128">
        <v>1.44</v>
      </c>
      <c r="H39" s="128">
        <v>1.45</v>
      </c>
      <c r="I39" s="128">
        <v>1.47</v>
      </c>
      <c r="J39" s="128">
        <v>1.48</v>
      </c>
      <c r="K39" s="128">
        <v>1.5</v>
      </c>
      <c r="L39" s="128">
        <v>1.51</v>
      </c>
      <c r="M39" s="128">
        <v>1.52</v>
      </c>
      <c r="N39" s="128">
        <v>1.54</v>
      </c>
      <c r="O39" s="128">
        <v>1.55</v>
      </c>
      <c r="P39" s="128">
        <v>1.56</v>
      </c>
      <c r="Q39" s="128">
        <v>1.57</v>
      </c>
      <c r="R39" s="128">
        <v>1.59</v>
      </c>
      <c r="S39" s="128">
        <v>1.6</v>
      </c>
      <c r="T39" s="128">
        <v>1.61</v>
      </c>
      <c r="U39" s="128">
        <v>1.62</v>
      </c>
      <c r="V39" s="128">
        <v>1.63</v>
      </c>
      <c r="W39" s="128">
        <v>1.64</v>
      </c>
      <c r="X39" s="128">
        <v>1.66</v>
      </c>
      <c r="Y39" s="128">
        <v>1.67</v>
      </c>
      <c r="Z39" s="128">
        <v>1.68</v>
      </c>
      <c r="AA39" s="128">
        <v>1.69</v>
      </c>
      <c r="AB39" s="128">
        <v>1.7</v>
      </c>
      <c r="AC39" s="128">
        <v>1.71</v>
      </c>
      <c r="AD39" s="128">
        <v>1.72</v>
      </c>
      <c r="AE39" s="128">
        <v>1.73</v>
      </c>
      <c r="AF39" s="128">
        <v>1.74</v>
      </c>
      <c r="AG39" s="128">
        <v>1.75</v>
      </c>
      <c r="AH39" s="128">
        <v>1.76</v>
      </c>
      <c r="AI39" s="128">
        <v>1.77</v>
      </c>
      <c r="AJ39" s="128">
        <v>1.78</v>
      </c>
      <c r="AK39" s="128">
        <v>1.79</v>
      </c>
      <c r="AL39" s="128">
        <v>1.79</v>
      </c>
      <c r="AM39" s="128">
        <v>1.8</v>
      </c>
      <c r="AN39" s="128">
        <v>1.81</v>
      </c>
      <c r="AO39" s="128">
        <v>1.82</v>
      </c>
      <c r="AP39" s="128">
        <v>1.82</v>
      </c>
      <c r="AQ39" s="128">
        <v>1.83</v>
      </c>
      <c r="AR39" s="128">
        <v>1.84</v>
      </c>
      <c r="AS39" s="128">
        <v>1.85</v>
      </c>
      <c r="AT39" s="128">
        <v>1.85</v>
      </c>
      <c r="AU39" s="128">
        <v>1.86</v>
      </c>
      <c r="AV39" s="128">
        <v>1.87</v>
      </c>
      <c r="AW39" s="128">
        <v>1.88</v>
      </c>
      <c r="AX39" s="128">
        <v>1.88</v>
      </c>
      <c r="AY39" s="128">
        <v>1.89</v>
      </c>
      <c r="AZ39" s="128">
        <v>1.9</v>
      </c>
      <c r="BA39" s="128">
        <v>1.9</v>
      </c>
      <c r="BB39" s="128">
        <v>1.91</v>
      </c>
      <c r="BC39" s="128">
        <v>1.92</v>
      </c>
      <c r="BD39" s="128">
        <v>1.93</v>
      </c>
      <c r="BE39" s="128">
        <v>1.93</v>
      </c>
      <c r="BF39" s="128">
        <v>1.94</v>
      </c>
      <c r="BG39" s="128">
        <v>1.95</v>
      </c>
      <c r="BH39" s="128">
        <v>1.96</v>
      </c>
      <c r="BI39" s="128">
        <v>1.96</v>
      </c>
      <c r="BJ39" s="128">
        <v>1.97</v>
      </c>
      <c r="BK39" s="128">
        <v>1.98</v>
      </c>
      <c r="BL39" s="128">
        <v>1.99</v>
      </c>
      <c r="BM39" s="128">
        <v>1.99</v>
      </c>
      <c r="BN39" s="128">
        <v>2</v>
      </c>
      <c r="BO39" s="128">
        <v>2.0099999999999998</v>
      </c>
      <c r="BP39" s="128">
        <v>2.0099999999999998</v>
      </c>
      <c r="BQ39" s="128">
        <v>2.02</v>
      </c>
      <c r="BR39" s="128">
        <v>2.0299999999999998</v>
      </c>
      <c r="BS39" s="128">
        <v>2.04</v>
      </c>
      <c r="BT39" s="128">
        <v>2.0499999999999998</v>
      </c>
      <c r="BU39" s="128">
        <v>2.0499999999999998</v>
      </c>
      <c r="BV39" s="128">
        <v>2.06</v>
      </c>
      <c r="BW39" s="128">
        <v>2.0699999999999998</v>
      </c>
      <c r="BX39" s="128">
        <v>2.08</v>
      </c>
      <c r="BY39" s="128">
        <v>2.09</v>
      </c>
      <c r="BZ39" s="128">
        <v>2.1</v>
      </c>
      <c r="CA39" s="128">
        <v>2.11</v>
      </c>
      <c r="CB39" s="128">
        <v>2.11</v>
      </c>
      <c r="CC39" s="128">
        <v>2.12</v>
      </c>
      <c r="CD39" s="128">
        <v>2.13</v>
      </c>
      <c r="CE39" s="128">
        <v>2.14</v>
      </c>
      <c r="CF39" s="128">
        <v>2.15</v>
      </c>
      <c r="CG39" s="128">
        <v>2.16</v>
      </c>
      <c r="CH39" s="128">
        <v>2.17</v>
      </c>
      <c r="CI39" s="128">
        <v>2.1800000000000002</v>
      </c>
      <c r="CJ39" s="128">
        <v>2.19</v>
      </c>
      <c r="CK39" s="128">
        <v>2.2000000000000002</v>
      </c>
      <c r="CL39" s="128">
        <v>2.21</v>
      </c>
      <c r="CM39" s="128">
        <v>2.23</v>
      </c>
      <c r="CN39" s="128">
        <v>2.2400000000000002</v>
      </c>
      <c r="CO39" s="128">
        <v>2.25</v>
      </c>
      <c r="CP39" s="128">
        <v>2.2599999999999998</v>
      </c>
      <c r="CQ39" s="128">
        <v>2.27</v>
      </c>
      <c r="CR39" s="128">
        <v>2.2799999999999998</v>
      </c>
      <c r="CS39" s="128">
        <v>2.2999999999999998</v>
      </c>
      <c r="CT39" s="128">
        <v>2.31</v>
      </c>
      <c r="CU39" s="128">
        <v>2.3199999999999998</v>
      </c>
      <c r="CV39" s="128">
        <v>2.33</v>
      </c>
      <c r="CW39" s="128">
        <v>2.35</v>
      </c>
      <c r="CX39" s="128">
        <v>2.36</v>
      </c>
      <c r="CZ39" s="126">
        <f>SUMIF(MatrixF5[[1]:[2]],MatrixF5[[#This Row],[Столбец1]])/MatrixF5[[#This Row],[Столбец1]]</f>
        <v>29.999999999999989</v>
      </c>
      <c r="DA39" s="126">
        <f>SUMIF(MatrixF5[[1]:[2]],MatrixF5[[#This Row],[Столбец1]]+1)/(MatrixF5[[#This Row],[Столбец1]]+1)</f>
        <v>61.000000000000021</v>
      </c>
    </row>
    <row r="40" spans="1:105" ht="21" customHeight="1" x14ac:dyDescent="0.25">
      <c r="A40" s="127">
        <v>1.37</v>
      </c>
      <c r="B40" s="128">
        <v>1.37</v>
      </c>
      <c r="C40" s="128">
        <v>1.39</v>
      </c>
      <c r="D40" s="128">
        <v>1.4</v>
      </c>
      <c r="E40" s="128">
        <v>1.42</v>
      </c>
      <c r="F40" s="128">
        <v>1.43</v>
      </c>
      <c r="G40" s="128">
        <v>1.45</v>
      </c>
      <c r="H40" s="128">
        <v>1.46</v>
      </c>
      <c r="I40" s="128">
        <v>1.48</v>
      </c>
      <c r="J40" s="128">
        <v>1.49</v>
      </c>
      <c r="K40" s="128">
        <v>1.5</v>
      </c>
      <c r="L40" s="128">
        <v>1.52</v>
      </c>
      <c r="M40" s="128">
        <v>1.53</v>
      </c>
      <c r="N40" s="128">
        <v>1.54</v>
      </c>
      <c r="O40" s="128">
        <v>1.56</v>
      </c>
      <c r="P40" s="128">
        <v>1.57</v>
      </c>
      <c r="Q40" s="128">
        <v>1.58</v>
      </c>
      <c r="R40" s="128">
        <v>1.59</v>
      </c>
      <c r="S40" s="128">
        <v>1.61</v>
      </c>
      <c r="T40" s="128">
        <v>1.62</v>
      </c>
      <c r="U40" s="128">
        <v>1.63</v>
      </c>
      <c r="V40" s="128">
        <v>1.64</v>
      </c>
      <c r="W40" s="128">
        <v>1.65</v>
      </c>
      <c r="X40" s="128">
        <v>1.66</v>
      </c>
      <c r="Y40" s="128">
        <v>1.67</v>
      </c>
      <c r="Z40" s="128">
        <v>1.69</v>
      </c>
      <c r="AA40" s="128">
        <v>1.7</v>
      </c>
      <c r="AB40" s="128">
        <v>1.71</v>
      </c>
      <c r="AC40" s="128">
        <v>1.72</v>
      </c>
      <c r="AD40" s="128">
        <v>1.73</v>
      </c>
      <c r="AE40" s="128">
        <v>1.74</v>
      </c>
      <c r="AF40" s="128">
        <v>1.75</v>
      </c>
      <c r="AG40" s="128">
        <v>1.76</v>
      </c>
      <c r="AH40" s="128">
        <v>1.77</v>
      </c>
      <c r="AI40" s="128">
        <v>1.77</v>
      </c>
      <c r="AJ40" s="128">
        <v>1.78</v>
      </c>
      <c r="AK40" s="128">
        <v>1.79</v>
      </c>
      <c r="AL40" s="128">
        <v>1.8</v>
      </c>
      <c r="AM40" s="128">
        <v>1.81</v>
      </c>
      <c r="AN40" s="128">
        <v>1.82</v>
      </c>
      <c r="AO40" s="128">
        <v>1.82</v>
      </c>
      <c r="AP40" s="128">
        <v>1.83</v>
      </c>
      <c r="AQ40" s="128">
        <v>1.84</v>
      </c>
      <c r="AR40" s="128">
        <v>1.85</v>
      </c>
      <c r="AS40" s="128">
        <v>1.85</v>
      </c>
      <c r="AT40" s="128">
        <v>1.86</v>
      </c>
      <c r="AU40" s="128">
        <v>1.87</v>
      </c>
      <c r="AV40" s="128">
        <v>1.88</v>
      </c>
      <c r="AW40" s="128">
        <v>1.88</v>
      </c>
      <c r="AX40" s="128">
        <v>1.89</v>
      </c>
      <c r="AY40" s="128">
        <v>1.9</v>
      </c>
      <c r="AZ40" s="128">
        <v>1.91</v>
      </c>
      <c r="BA40" s="128">
        <v>1.91</v>
      </c>
      <c r="BB40" s="128">
        <v>1.92</v>
      </c>
      <c r="BC40" s="128">
        <v>1.93</v>
      </c>
      <c r="BD40" s="128">
        <v>1.93</v>
      </c>
      <c r="BE40" s="128">
        <v>1.94</v>
      </c>
      <c r="BF40" s="128">
        <v>1.95</v>
      </c>
      <c r="BG40" s="128">
        <v>1.96</v>
      </c>
      <c r="BH40" s="128">
        <v>1.96</v>
      </c>
      <c r="BI40" s="128">
        <v>1.97</v>
      </c>
      <c r="BJ40" s="128">
        <v>1.98</v>
      </c>
      <c r="BK40" s="128">
        <v>1.99</v>
      </c>
      <c r="BL40" s="128">
        <v>1.99</v>
      </c>
      <c r="BM40" s="128">
        <v>2</v>
      </c>
      <c r="BN40" s="128">
        <v>2.0099999999999998</v>
      </c>
      <c r="BO40" s="128">
        <v>2.0099999999999998</v>
      </c>
      <c r="BP40" s="128">
        <v>2.02</v>
      </c>
      <c r="BQ40" s="128">
        <v>2.0299999999999998</v>
      </c>
      <c r="BR40" s="128">
        <v>2.04</v>
      </c>
      <c r="BS40" s="128">
        <v>2.0499999999999998</v>
      </c>
      <c r="BT40" s="128">
        <v>2.0499999999999998</v>
      </c>
      <c r="BU40" s="128">
        <v>2.06</v>
      </c>
      <c r="BV40" s="128">
        <v>2.0699999999999998</v>
      </c>
      <c r="BW40" s="128">
        <v>2.08</v>
      </c>
      <c r="BX40" s="128">
        <v>2.09</v>
      </c>
      <c r="BY40" s="128">
        <v>2.1</v>
      </c>
      <c r="BZ40" s="128">
        <v>2.1</v>
      </c>
      <c r="CA40" s="128">
        <v>2.11</v>
      </c>
      <c r="CB40" s="128">
        <v>2.12</v>
      </c>
      <c r="CC40" s="128">
        <v>2.13</v>
      </c>
      <c r="CD40" s="128">
        <v>2.14</v>
      </c>
      <c r="CE40" s="128">
        <v>2.15</v>
      </c>
      <c r="CF40" s="128">
        <v>2.16</v>
      </c>
      <c r="CG40" s="128">
        <v>2.17</v>
      </c>
      <c r="CH40" s="128">
        <v>2.1800000000000002</v>
      </c>
      <c r="CI40" s="128">
        <v>2.19</v>
      </c>
      <c r="CJ40" s="128">
        <v>2.2000000000000002</v>
      </c>
      <c r="CK40" s="128">
        <v>2.21</v>
      </c>
      <c r="CL40" s="128">
        <v>2.2200000000000002</v>
      </c>
      <c r="CM40" s="128">
        <v>2.23</v>
      </c>
      <c r="CN40" s="128">
        <v>2.25</v>
      </c>
      <c r="CO40" s="128">
        <v>2.2599999999999998</v>
      </c>
      <c r="CP40" s="128">
        <v>2.27</v>
      </c>
      <c r="CQ40" s="128">
        <v>2.2799999999999998</v>
      </c>
      <c r="CR40" s="128">
        <v>2.29</v>
      </c>
      <c r="CS40" s="128">
        <v>2.2999999999999998</v>
      </c>
      <c r="CT40" s="128">
        <v>2.3199999999999998</v>
      </c>
      <c r="CU40" s="128">
        <v>2.33</v>
      </c>
      <c r="CV40" s="128">
        <v>2.34</v>
      </c>
      <c r="CW40" s="128">
        <v>2.36</v>
      </c>
      <c r="CX40" s="128">
        <v>2.37</v>
      </c>
      <c r="CZ40" s="126">
        <f>SUMIF(MatrixF5[[1]:[2]],MatrixF5[[#This Row],[Столбец1]])/MatrixF5[[#This Row],[Столбец1]]</f>
        <v>29</v>
      </c>
      <c r="DA40" s="126">
        <f>SUMIF(MatrixF5[[1]:[2]],MatrixF5[[#This Row],[Столбец1]]+1)/(MatrixF5[[#This Row],[Столбец1]]+1)</f>
        <v>62.000000000000043</v>
      </c>
    </row>
    <row r="41" spans="1:105" ht="21" customHeight="1" x14ac:dyDescent="0.25">
      <c r="A41" s="127">
        <v>1.38</v>
      </c>
      <c r="B41" s="128">
        <v>1.38</v>
      </c>
      <c r="C41" s="128">
        <v>1.4</v>
      </c>
      <c r="D41" s="128">
        <v>1.41</v>
      </c>
      <c r="E41" s="128">
        <v>1.43</v>
      </c>
      <c r="F41" s="128">
        <v>1.44</v>
      </c>
      <c r="G41" s="128">
        <v>1.46</v>
      </c>
      <c r="H41" s="128">
        <v>1.47</v>
      </c>
      <c r="I41" s="128">
        <v>1.49</v>
      </c>
      <c r="J41" s="128">
        <v>1.5</v>
      </c>
      <c r="K41" s="128">
        <v>1.51</v>
      </c>
      <c r="L41" s="128">
        <v>1.53</v>
      </c>
      <c r="M41" s="128">
        <v>1.54</v>
      </c>
      <c r="N41" s="128">
        <v>1.55</v>
      </c>
      <c r="O41" s="128">
        <v>1.57</v>
      </c>
      <c r="P41" s="128">
        <v>1.58</v>
      </c>
      <c r="Q41" s="128">
        <v>1.59</v>
      </c>
      <c r="R41" s="128">
        <v>1.6</v>
      </c>
      <c r="S41" s="128">
        <v>1.62</v>
      </c>
      <c r="T41" s="128">
        <v>1.63</v>
      </c>
      <c r="U41" s="128">
        <v>1.64</v>
      </c>
      <c r="V41" s="128">
        <v>1.65</v>
      </c>
      <c r="W41" s="128">
        <v>1.66</v>
      </c>
      <c r="X41" s="128">
        <v>1.67</v>
      </c>
      <c r="Y41" s="128">
        <v>1.68</v>
      </c>
      <c r="Z41" s="128">
        <v>1.69</v>
      </c>
      <c r="AA41" s="128">
        <v>1.7</v>
      </c>
      <c r="AB41" s="128">
        <v>1.71</v>
      </c>
      <c r="AC41" s="128">
        <v>1.72</v>
      </c>
      <c r="AD41" s="128">
        <v>1.73</v>
      </c>
      <c r="AE41" s="128">
        <v>1.74</v>
      </c>
      <c r="AF41" s="128">
        <v>1.75</v>
      </c>
      <c r="AG41" s="128">
        <v>1.76</v>
      </c>
      <c r="AH41" s="128">
        <v>1.77</v>
      </c>
      <c r="AI41" s="128">
        <v>1.78</v>
      </c>
      <c r="AJ41" s="128">
        <v>1.79</v>
      </c>
      <c r="AK41" s="128">
        <v>1.8</v>
      </c>
      <c r="AL41" s="128">
        <v>1.81</v>
      </c>
      <c r="AM41" s="128">
        <v>1.82</v>
      </c>
      <c r="AN41" s="128">
        <v>1.83</v>
      </c>
      <c r="AO41" s="128">
        <v>1.83</v>
      </c>
      <c r="AP41" s="128">
        <v>1.84</v>
      </c>
      <c r="AQ41" s="128">
        <v>1.85</v>
      </c>
      <c r="AR41" s="128">
        <v>1.86</v>
      </c>
      <c r="AS41" s="128">
        <v>1.86</v>
      </c>
      <c r="AT41" s="128">
        <v>1.87</v>
      </c>
      <c r="AU41" s="128">
        <v>1.88</v>
      </c>
      <c r="AV41" s="128">
        <v>1.88</v>
      </c>
      <c r="AW41" s="128">
        <v>1.89</v>
      </c>
      <c r="AX41" s="128">
        <v>1.9</v>
      </c>
      <c r="AY41" s="128">
        <v>1.91</v>
      </c>
      <c r="AZ41" s="128">
        <v>1.91</v>
      </c>
      <c r="BA41" s="128">
        <v>1.92</v>
      </c>
      <c r="BB41" s="128">
        <v>1.93</v>
      </c>
      <c r="BC41" s="128">
        <v>1.93</v>
      </c>
      <c r="BD41" s="128">
        <v>1.94</v>
      </c>
      <c r="BE41" s="128">
        <v>1.95</v>
      </c>
      <c r="BF41" s="128">
        <v>1.96</v>
      </c>
      <c r="BG41" s="128">
        <v>1.96</v>
      </c>
      <c r="BH41" s="128">
        <v>1.97</v>
      </c>
      <c r="BI41" s="128">
        <v>1.98</v>
      </c>
      <c r="BJ41" s="128">
        <v>1.99</v>
      </c>
      <c r="BK41" s="128">
        <v>1.99</v>
      </c>
      <c r="BL41" s="128">
        <v>2</v>
      </c>
      <c r="BM41" s="128">
        <v>2.0099999999999998</v>
      </c>
      <c r="BN41" s="128">
        <v>2.0099999999999998</v>
      </c>
      <c r="BO41" s="128">
        <v>2.02</v>
      </c>
      <c r="BP41" s="128">
        <v>2.0299999999999998</v>
      </c>
      <c r="BQ41" s="128">
        <v>2.04</v>
      </c>
      <c r="BR41" s="128">
        <v>2.0499999999999998</v>
      </c>
      <c r="BS41" s="128">
        <v>2.0499999999999998</v>
      </c>
      <c r="BT41" s="128">
        <v>2.06</v>
      </c>
      <c r="BU41" s="128">
        <v>2.0699999999999998</v>
      </c>
      <c r="BV41" s="128">
        <v>2.08</v>
      </c>
      <c r="BW41" s="128">
        <v>2.09</v>
      </c>
      <c r="BX41" s="128">
        <v>2.1</v>
      </c>
      <c r="BY41" s="128">
        <v>2.1</v>
      </c>
      <c r="BZ41" s="128">
        <v>2.11</v>
      </c>
      <c r="CA41" s="128">
        <v>2.12</v>
      </c>
      <c r="CB41" s="128">
        <v>2.13</v>
      </c>
      <c r="CC41" s="128">
        <v>2.14</v>
      </c>
      <c r="CD41" s="128">
        <v>2.15</v>
      </c>
      <c r="CE41" s="128">
        <v>2.16</v>
      </c>
      <c r="CF41" s="128">
        <v>2.17</v>
      </c>
      <c r="CG41" s="128">
        <v>2.1800000000000002</v>
      </c>
      <c r="CH41" s="128">
        <v>2.19</v>
      </c>
      <c r="CI41" s="128">
        <v>2.2000000000000002</v>
      </c>
      <c r="CJ41" s="128">
        <v>2.21</v>
      </c>
      <c r="CK41" s="128">
        <v>2.2200000000000002</v>
      </c>
      <c r="CL41" s="128">
        <v>2.23</v>
      </c>
      <c r="CM41" s="128">
        <v>2.2400000000000002</v>
      </c>
      <c r="CN41" s="128">
        <v>2.25</v>
      </c>
      <c r="CO41" s="128">
        <v>2.27</v>
      </c>
      <c r="CP41" s="128">
        <v>2.2799999999999998</v>
      </c>
      <c r="CQ41" s="128">
        <v>2.29</v>
      </c>
      <c r="CR41" s="128">
        <v>2.2999999999999998</v>
      </c>
      <c r="CS41" s="128">
        <v>2.31</v>
      </c>
      <c r="CT41" s="128">
        <v>2.33</v>
      </c>
      <c r="CU41" s="128">
        <v>2.34</v>
      </c>
      <c r="CV41" s="128">
        <v>2.35</v>
      </c>
      <c r="CW41" s="128">
        <v>2.37</v>
      </c>
      <c r="CX41" s="128">
        <v>2.38</v>
      </c>
      <c r="CZ41" s="126">
        <f>SUMIF(MatrixF5[[1]:[2]],MatrixF5[[#This Row],[Столбец1]])/MatrixF5[[#This Row],[Столбец1]]</f>
        <v>34.000000000000007</v>
      </c>
      <c r="DA41" s="126">
        <f>SUMIF(MatrixF5[[1]:[2]],MatrixF5[[#This Row],[Столбец1]]+1)/(MatrixF5[[#This Row],[Столбец1]]+1)</f>
        <v>60.999999999999943</v>
      </c>
    </row>
    <row r="42" spans="1:105" ht="21" customHeight="1" x14ac:dyDescent="0.25">
      <c r="A42" s="127">
        <v>1.39</v>
      </c>
      <c r="B42" s="128">
        <v>1.39</v>
      </c>
      <c r="C42" s="128">
        <v>1.41</v>
      </c>
      <c r="D42" s="128">
        <v>1.42</v>
      </c>
      <c r="E42" s="128">
        <v>1.44</v>
      </c>
      <c r="F42" s="128">
        <v>1.45</v>
      </c>
      <c r="G42" s="128">
        <v>1.47</v>
      </c>
      <c r="H42" s="128">
        <v>1.48</v>
      </c>
      <c r="I42" s="128">
        <v>1.5</v>
      </c>
      <c r="J42" s="128">
        <v>1.51</v>
      </c>
      <c r="K42" s="128">
        <v>1.52</v>
      </c>
      <c r="L42" s="128">
        <v>1.54</v>
      </c>
      <c r="M42" s="128">
        <v>1.55</v>
      </c>
      <c r="N42" s="128">
        <v>1.56</v>
      </c>
      <c r="O42" s="128">
        <v>1.58</v>
      </c>
      <c r="P42" s="128">
        <v>1.59</v>
      </c>
      <c r="Q42" s="128">
        <v>1.6</v>
      </c>
      <c r="R42" s="128">
        <v>1.61</v>
      </c>
      <c r="S42" s="128">
        <v>1.62</v>
      </c>
      <c r="T42" s="128">
        <v>1.64</v>
      </c>
      <c r="U42" s="128">
        <v>1.65</v>
      </c>
      <c r="V42" s="128">
        <v>1.66</v>
      </c>
      <c r="W42" s="128">
        <v>1.67</v>
      </c>
      <c r="X42" s="128">
        <v>1.68</v>
      </c>
      <c r="Y42" s="128">
        <v>1.69</v>
      </c>
      <c r="Z42" s="128">
        <v>1.7</v>
      </c>
      <c r="AA42" s="128">
        <v>1.71</v>
      </c>
      <c r="AB42" s="128">
        <v>1.72</v>
      </c>
      <c r="AC42" s="128">
        <v>1.73</v>
      </c>
      <c r="AD42" s="128">
        <v>1.74</v>
      </c>
      <c r="AE42" s="128">
        <v>1.75</v>
      </c>
      <c r="AF42" s="128">
        <v>1.76</v>
      </c>
      <c r="AG42" s="128">
        <v>1.77</v>
      </c>
      <c r="AH42" s="128">
        <v>1.78</v>
      </c>
      <c r="AI42" s="128">
        <v>1.79</v>
      </c>
      <c r="AJ42" s="128">
        <v>1.8</v>
      </c>
      <c r="AK42" s="128">
        <v>1.81</v>
      </c>
      <c r="AL42" s="128">
        <v>1.82</v>
      </c>
      <c r="AM42" s="128">
        <v>1.82</v>
      </c>
      <c r="AN42" s="128">
        <v>1.83</v>
      </c>
      <c r="AO42" s="128">
        <v>1.84</v>
      </c>
      <c r="AP42" s="128">
        <v>1.85</v>
      </c>
      <c r="AQ42" s="128">
        <v>1.86</v>
      </c>
      <c r="AR42" s="128">
        <v>1.86</v>
      </c>
      <c r="AS42" s="128">
        <v>1.87</v>
      </c>
      <c r="AT42" s="128">
        <v>1.88</v>
      </c>
      <c r="AU42" s="128">
        <v>1.88</v>
      </c>
      <c r="AV42" s="128">
        <v>1.89</v>
      </c>
      <c r="AW42" s="128">
        <v>1.9</v>
      </c>
      <c r="AX42" s="128">
        <v>1.91</v>
      </c>
      <c r="AY42" s="128">
        <v>1.91</v>
      </c>
      <c r="AZ42" s="128">
        <v>1.92</v>
      </c>
      <c r="BA42" s="128">
        <v>1.93</v>
      </c>
      <c r="BB42" s="128">
        <v>1.94</v>
      </c>
      <c r="BC42" s="128">
        <v>1.94</v>
      </c>
      <c r="BD42" s="128">
        <v>1.95</v>
      </c>
      <c r="BE42" s="128">
        <v>1.96</v>
      </c>
      <c r="BF42" s="128">
        <v>1.96</v>
      </c>
      <c r="BG42" s="128">
        <v>1.97</v>
      </c>
      <c r="BH42" s="128">
        <v>1.98</v>
      </c>
      <c r="BI42" s="128">
        <v>1.99</v>
      </c>
      <c r="BJ42" s="128">
        <v>1.99</v>
      </c>
      <c r="BK42" s="128">
        <v>2</v>
      </c>
      <c r="BL42" s="128">
        <v>2.0099999999999998</v>
      </c>
      <c r="BM42" s="128">
        <v>2.0099999999999998</v>
      </c>
      <c r="BN42" s="128">
        <v>2.02</v>
      </c>
      <c r="BO42" s="128">
        <v>2.0299999999999998</v>
      </c>
      <c r="BP42" s="128">
        <v>2.04</v>
      </c>
      <c r="BQ42" s="128">
        <v>2.0499999999999998</v>
      </c>
      <c r="BR42" s="128">
        <v>2.0499999999999998</v>
      </c>
      <c r="BS42" s="128">
        <v>2.06</v>
      </c>
      <c r="BT42" s="128">
        <v>2.0699999999999998</v>
      </c>
      <c r="BU42" s="128">
        <v>2.08</v>
      </c>
      <c r="BV42" s="128">
        <v>2.09</v>
      </c>
      <c r="BW42" s="128">
        <v>2.09</v>
      </c>
      <c r="BX42" s="128">
        <v>2.1</v>
      </c>
      <c r="BY42" s="128">
        <v>2.11</v>
      </c>
      <c r="BZ42" s="128">
        <v>2.12</v>
      </c>
      <c r="CA42" s="128">
        <v>2.13</v>
      </c>
      <c r="CB42" s="128">
        <v>2.14</v>
      </c>
      <c r="CC42" s="128">
        <v>2.15</v>
      </c>
      <c r="CD42" s="128">
        <v>2.16</v>
      </c>
      <c r="CE42" s="128">
        <v>2.17</v>
      </c>
      <c r="CF42" s="128">
        <v>2.1800000000000002</v>
      </c>
      <c r="CG42" s="128">
        <v>2.19</v>
      </c>
      <c r="CH42" s="128">
        <v>2.2000000000000002</v>
      </c>
      <c r="CI42" s="128">
        <v>2.21</v>
      </c>
      <c r="CJ42" s="128">
        <v>2.2200000000000002</v>
      </c>
      <c r="CK42" s="128">
        <v>2.23</v>
      </c>
      <c r="CL42" s="128">
        <v>2.2400000000000002</v>
      </c>
      <c r="CM42" s="128">
        <v>2.25</v>
      </c>
      <c r="CN42" s="128">
        <v>2.2599999999999998</v>
      </c>
      <c r="CO42" s="128">
        <v>2.2799999999999998</v>
      </c>
      <c r="CP42" s="128">
        <v>2.29</v>
      </c>
      <c r="CQ42" s="128">
        <v>2.2999999999999998</v>
      </c>
      <c r="CR42" s="128">
        <v>2.31</v>
      </c>
      <c r="CS42" s="128">
        <v>2.3199999999999998</v>
      </c>
      <c r="CT42" s="128">
        <v>2.34</v>
      </c>
      <c r="CU42" s="128">
        <v>2.35</v>
      </c>
      <c r="CV42" s="128">
        <v>2.36</v>
      </c>
      <c r="CW42" s="128">
        <v>2.38</v>
      </c>
      <c r="CX42" s="128">
        <v>2.39</v>
      </c>
      <c r="CZ42" s="126">
        <f>SUMIF(MatrixF5[[1]:[2]],MatrixF5[[#This Row],[Столбец1]])/MatrixF5[[#This Row],[Столбец1]]</f>
        <v>35.000000000000014</v>
      </c>
      <c r="DA42" s="126">
        <f>SUMIF(MatrixF5[[1]:[2]],MatrixF5[[#This Row],[Столбец1]]+1)/(MatrixF5[[#This Row],[Столбец1]]+1)</f>
        <v>59.999999999999972</v>
      </c>
    </row>
    <row r="43" spans="1:105" ht="21" customHeight="1" x14ac:dyDescent="0.25">
      <c r="A43" s="127">
        <v>1.4</v>
      </c>
      <c r="B43" s="128">
        <v>1.4</v>
      </c>
      <c r="C43" s="128">
        <v>1.42</v>
      </c>
      <c r="D43" s="128">
        <v>1.43</v>
      </c>
      <c r="E43" s="128">
        <v>1.45</v>
      </c>
      <c r="F43" s="128">
        <v>1.46</v>
      </c>
      <c r="G43" s="128">
        <v>1.48</v>
      </c>
      <c r="H43" s="128">
        <v>1.49</v>
      </c>
      <c r="I43" s="128">
        <v>1.5</v>
      </c>
      <c r="J43" s="128">
        <v>1.52</v>
      </c>
      <c r="K43" s="128">
        <v>1.53</v>
      </c>
      <c r="L43" s="128">
        <v>1.55</v>
      </c>
      <c r="M43" s="128">
        <v>1.56</v>
      </c>
      <c r="N43" s="128">
        <v>1.57</v>
      </c>
      <c r="O43" s="128">
        <v>1.58</v>
      </c>
      <c r="P43" s="128">
        <v>1.6</v>
      </c>
      <c r="Q43" s="128">
        <v>1.61</v>
      </c>
      <c r="R43" s="128">
        <v>1.62</v>
      </c>
      <c r="S43" s="128">
        <v>1.63</v>
      </c>
      <c r="T43" s="128">
        <v>1.64</v>
      </c>
      <c r="U43" s="128">
        <v>1.66</v>
      </c>
      <c r="V43" s="128">
        <v>1.67</v>
      </c>
      <c r="W43" s="128">
        <v>1.68</v>
      </c>
      <c r="X43" s="128">
        <v>1.69</v>
      </c>
      <c r="Y43" s="128">
        <v>1.7</v>
      </c>
      <c r="Z43" s="128">
        <v>1.71</v>
      </c>
      <c r="AA43" s="128">
        <v>1.72</v>
      </c>
      <c r="AB43" s="128">
        <v>1.73</v>
      </c>
      <c r="AC43" s="128">
        <v>1.74</v>
      </c>
      <c r="AD43" s="128">
        <v>1.75</v>
      </c>
      <c r="AE43" s="128">
        <v>1.76</v>
      </c>
      <c r="AF43" s="128">
        <v>1.77</v>
      </c>
      <c r="AG43" s="128">
        <v>1.78</v>
      </c>
      <c r="AH43" s="128">
        <v>1.79</v>
      </c>
      <c r="AI43" s="128">
        <v>1.8</v>
      </c>
      <c r="AJ43" s="128">
        <v>1.81</v>
      </c>
      <c r="AK43" s="128">
        <v>1.81</v>
      </c>
      <c r="AL43" s="128">
        <v>1.82</v>
      </c>
      <c r="AM43" s="128">
        <v>1.83</v>
      </c>
      <c r="AN43" s="128">
        <v>1.84</v>
      </c>
      <c r="AO43" s="128">
        <v>1.85</v>
      </c>
      <c r="AP43" s="128">
        <v>1.86</v>
      </c>
      <c r="AQ43" s="128">
        <v>1.86</v>
      </c>
      <c r="AR43" s="128">
        <v>1.87</v>
      </c>
      <c r="AS43" s="128">
        <v>1.88</v>
      </c>
      <c r="AT43" s="128">
        <v>1.89</v>
      </c>
      <c r="AU43" s="128">
        <v>1.89</v>
      </c>
      <c r="AV43" s="128">
        <v>1.9</v>
      </c>
      <c r="AW43" s="128">
        <v>1.91</v>
      </c>
      <c r="AX43" s="128">
        <v>1.91</v>
      </c>
      <c r="AY43" s="128">
        <v>1.92</v>
      </c>
      <c r="AZ43" s="128">
        <v>1.93</v>
      </c>
      <c r="BA43" s="128">
        <v>1.94</v>
      </c>
      <c r="BB43" s="128">
        <v>1.94</v>
      </c>
      <c r="BC43" s="128">
        <v>1.95</v>
      </c>
      <c r="BD43" s="128">
        <v>1.96</v>
      </c>
      <c r="BE43" s="128">
        <v>1.96</v>
      </c>
      <c r="BF43" s="128">
        <v>1.97</v>
      </c>
      <c r="BG43" s="128">
        <v>1.98</v>
      </c>
      <c r="BH43" s="128">
        <v>1.99</v>
      </c>
      <c r="BI43" s="128">
        <v>1.99</v>
      </c>
      <c r="BJ43" s="128">
        <v>2</v>
      </c>
      <c r="BK43" s="128">
        <v>2.0099999999999998</v>
      </c>
      <c r="BL43" s="128">
        <v>2.0099999999999998</v>
      </c>
      <c r="BM43" s="128">
        <v>2.02</v>
      </c>
      <c r="BN43" s="128">
        <v>2.0299999999999998</v>
      </c>
      <c r="BO43" s="128">
        <v>2.04</v>
      </c>
      <c r="BP43" s="128">
        <v>2.04</v>
      </c>
      <c r="BQ43" s="128">
        <v>2.0499999999999998</v>
      </c>
      <c r="BR43" s="128">
        <v>2.06</v>
      </c>
      <c r="BS43" s="128">
        <v>2.0699999999999998</v>
      </c>
      <c r="BT43" s="128">
        <v>2.08</v>
      </c>
      <c r="BU43" s="128">
        <v>2.09</v>
      </c>
      <c r="BV43" s="128">
        <v>2.09</v>
      </c>
      <c r="BW43" s="128">
        <v>2.1</v>
      </c>
      <c r="BX43" s="128">
        <v>2.11</v>
      </c>
      <c r="BY43" s="128">
        <v>2.12</v>
      </c>
      <c r="BZ43" s="128">
        <v>2.13</v>
      </c>
      <c r="CA43" s="128">
        <v>2.14</v>
      </c>
      <c r="CB43" s="128">
        <v>2.15</v>
      </c>
      <c r="CC43" s="128">
        <v>2.16</v>
      </c>
      <c r="CD43" s="128">
        <v>2.17</v>
      </c>
      <c r="CE43" s="128">
        <v>2.1800000000000002</v>
      </c>
      <c r="CF43" s="128">
        <v>2.19</v>
      </c>
      <c r="CG43" s="128">
        <v>2.2000000000000002</v>
      </c>
      <c r="CH43" s="128">
        <v>2.21</v>
      </c>
      <c r="CI43" s="128">
        <v>2.2200000000000002</v>
      </c>
      <c r="CJ43" s="128">
        <v>2.23</v>
      </c>
      <c r="CK43" s="128">
        <v>2.2400000000000002</v>
      </c>
      <c r="CL43" s="128">
        <v>2.25</v>
      </c>
      <c r="CM43" s="128">
        <v>2.2599999999999998</v>
      </c>
      <c r="CN43" s="128">
        <v>2.27</v>
      </c>
      <c r="CO43" s="128">
        <v>2.2799999999999998</v>
      </c>
      <c r="CP43" s="128">
        <v>2.2999999999999998</v>
      </c>
      <c r="CQ43" s="128">
        <v>2.31</v>
      </c>
      <c r="CR43" s="128">
        <v>2.3199999999999998</v>
      </c>
      <c r="CS43" s="128">
        <v>2.33</v>
      </c>
      <c r="CT43" s="128">
        <v>2.35</v>
      </c>
      <c r="CU43" s="128">
        <v>2.36</v>
      </c>
      <c r="CV43" s="128">
        <v>2.37</v>
      </c>
      <c r="CW43" s="128">
        <v>2.39</v>
      </c>
      <c r="CX43" s="128">
        <v>2.4</v>
      </c>
      <c r="CZ43" s="126">
        <f>SUMIF(MatrixF5[[1]:[2]],MatrixF5[[#This Row],[Столбец1]])/MatrixF5[[#This Row],[Столбец1]]</f>
        <v>31.999999999999986</v>
      </c>
      <c r="DA43" s="126">
        <f>SUMIF(MatrixF5[[1]:[2]],MatrixF5[[#This Row],[Столбец1]]+1)/(MatrixF5[[#This Row],[Столбец1]]+1)</f>
        <v>55.000000000000064</v>
      </c>
    </row>
    <row r="44" spans="1:105" ht="21" customHeight="1" x14ac:dyDescent="0.25">
      <c r="A44" s="127">
        <v>1.41</v>
      </c>
      <c r="B44" s="128">
        <v>1.41</v>
      </c>
      <c r="C44" s="128">
        <v>1.43</v>
      </c>
      <c r="D44" s="128">
        <v>1.44</v>
      </c>
      <c r="E44" s="128">
        <v>1.46</v>
      </c>
      <c r="F44" s="128">
        <v>1.47</v>
      </c>
      <c r="G44" s="128">
        <v>1.49</v>
      </c>
      <c r="H44" s="128">
        <v>1.5</v>
      </c>
      <c r="I44" s="128">
        <v>1.51</v>
      </c>
      <c r="J44" s="128">
        <v>1.53</v>
      </c>
      <c r="K44" s="128">
        <v>1.54</v>
      </c>
      <c r="L44" s="128">
        <v>1.55</v>
      </c>
      <c r="M44" s="128">
        <v>1.57</v>
      </c>
      <c r="N44" s="128">
        <v>1.58</v>
      </c>
      <c r="O44" s="128">
        <v>1.59</v>
      </c>
      <c r="P44" s="128">
        <v>1.61</v>
      </c>
      <c r="Q44" s="128">
        <v>1.62</v>
      </c>
      <c r="R44" s="128">
        <v>1.63</v>
      </c>
      <c r="S44" s="128">
        <v>1.64</v>
      </c>
      <c r="T44" s="128">
        <v>1.65</v>
      </c>
      <c r="U44" s="128">
        <v>1.66</v>
      </c>
      <c r="V44" s="128">
        <v>1.68</v>
      </c>
      <c r="W44" s="128">
        <v>1.69</v>
      </c>
      <c r="X44" s="128">
        <v>1.7</v>
      </c>
      <c r="Y44" s="128">
        <v>1.71</v>
      </c>
      <c r="Z44" s="128">
        <v>1.72</v>
      </c>
      <c r="AA44" s="128">
        <v>1.73</v>
      </c>
      <c r="AB44" s="128">
        <v>1.74</v>
      </c>
      <c r="AC44" s="128">
        <v>1.75</v>
      </c>
      <c r="AD44" s="128">
        <v>1.76</v>
      </c>
      <c r="AE44" s="128">
        <v>1.77</v>
      </c>
      <c r="AF44" s="128">
        <v>1.78</v>
      </c>
      <c r="AG44" s="128">
        <v>1.79</v>
      </c>
      <c r="AH44" s="128">
        <v>1.8</v>
      </c>
      <c r="AI44" s="128">
        <v>1.8</v>
      </c>
      <c r="AJ44" s="128">
        <v>1.81</v>
      </c>
      <c r="AK44" s="128">
        <v>1.82</v>
      </c>
      <c r="AL44" s="128">
        <v>1.83</v>
      </c>
      <c r="AM44" s="128">
        <v>1.84</v>
      </c>
      <c r="AN44" s="128">
        <v>1.85</v>
      </c>
      <c r="AO44" s="128">
        <v>1.86</v>
      </c>
      <c r="AP44" s="128">
        <v>1.86</v>
      </c>
      <c r="AQ44" s="128">
        <v>1.87</v>
      </c>
      <c r="AR44" s="128">
        <v>1.88</v>
      </c>
      <c r="AS44" s="128">
        <v>1.89</v>
      </c>
      <c r="AT44" s="128">
        <v>1.89</v>
      </c>
      <c r="AU44" s="128">
        <v>1.9</v>
      </c>
      <c r="AV44" s="128">
        <v>1.91</v>
      </c>
      <c r="AW44" s="128">
        <v>1.91</v>
      </c>
      <c r="AX44" s="128">
        <v>1.92</v>
      </c>
      <c r="AY44" s="128">
        <v>1.93</v>
      </c>
      <c r="AZ44" s="128">
        <v>1.94</v>
      </c>
      <c r="BA44" s="128">
        <v>1.94</v>
      </c>
      <c r="BB44" s="128">
        <v>1.95</v>
      </c>
      <c r="BC44" s="128">
        <v>1.96</v>
      </c>
      <c r="BD44" s="128">
        <v>1.96</v>
      </c>
      <c r="BE44" s="128">
        <v>1.97</v>
      </c>
      <c r="BF44" s="128">
        <v>1.98</v>
      </c>
      <c r="BG44" s="128">
        <v>1.99</v>
      </c>
      <c r="BH44" s="128">
        <v>1.99</v>
      </c>
      <c r="BI44" s="128">
        <v>2</v>
      </c>
      <c r="BJ44" s="128">
        <v>2.0099999999999998</v>
      </c>
      <c r="BK44" s="128">
        <v>2.0099999999999998</v>
      </c>
      <c r="BL44" s="128">
        <v>2.02</v>
      </c>
      <c r="BM44" s="128">
        <v>2.0299999999999998</v>
      </c>
      <c r="BN44" s="128">
        <v>2.04</v>
      </c>
      <c r="BO44" s="128">
        <v>2.04</v>
      </c>
      <c r="BP44" s="128">
        <v>2.0499999999999998</v>
      </c>
      <c r="BQ44" s="128">
        <v>2.06</v>
      </c>
      <c r="BR44" s="128">
        <v>2.0699999999999998</v>
      </c>
      <c r="BS44" s="128">
        <v>2.08</v>
      </c>
      <c r="BT44" s="128">
        <v>2.08</v>
      </c>
      <c r="BU44" s="128">
        <v>2.09</v>
      </c>
      <c r="BV44" s="128">
        <v>2.1</v>
      </c>
      <c r="BW44" s="128">
        <v>2.11</v>
      </c>
      <c r="BX44" s="128">
        <v>2.12</v>
      </c>
      <c r="BY44" s="128">
        <v>2.13</v>
      </c>
      <c r="BZ44" s="128">
        <v>2.14</v>
      </c>
      <c r="CA44" s="128">
        <v>2.15</v>
      </c>
      <c r="CB44" s="128">
        <v>2.16</v>
      </c>
      <c r="CC44" s="128">
        <v>2.17</v>
      </c>
      <c r="CD44" s="128">
        <v>2.1800000000000002</v>
      </c>
      <c r="CE44" s="128">
        <v>2.1800000000000002</v>
      </c>
      <c r="CF44" s="128">
        <v>2.19</v>
      </c>
      <c r="CG44" s="128">
        <v>2.21</v>
      </c>
      <c r="CH44" s="128">
        <v>2.2200000000000002</v>
      </c>
      <c r="CI44" s="128">
        <v>2.23</v>
      </c>
      <c r="CJ44" s="128">
        <v>2.2400000000000002</v>
      </c>
      <c r="CK44" s="128">
        <v>2.25</v>
      </c>
      <c r="CL44" s="128">
        <v>2.2599999999999998</v>
      </c>
      <c r="CM44" s="128">
        <v>2.27</v>
      </c>
      <c r="CN44" s="128">
        <v>2.2799999999999998</v>
      </c>
      <c r="CO44" s="128">
        <v>2.29</v>
      </c>
      <c r="CP44" s="128">
        <v>2.31</v>
      </c>
      <c r="CQ44" s="128">
        <v>2.3199999999999998</v>
      </c>
      <c r="CR44" s="128">
        <v>2.33</v>
      </c>
      <c r="CS44" s="128">
        <v>2.34</v>
      </c>
      <c r="CT44" s="128">
        <v>2.36</v>
      </c>
      <c r="CU44" s="128">
        <v>2.37</v>
      </c>
      <c r="CV44" s="128">
        <v>2.38</v>
      </c>
      <c r="CW44" s="128">
        <v>2.4</v>
      </c>
      <c r="CX44" s="128">
        <v>2.41</v>
      </c>
      <c r="CZ44" s="126">
        <f>SUMIF(MatrixF5[[1]:[2]],MatrixF5[[#This Row],[Столбец1]])/MatrixF5[[#This Row],[Столбец1]]</f>
        <v>34.999999999999972</v>
      </c>
      <c r="DA44" s="126">
        <f>SUMIF(MatrixF5[[1]:[2]],MatrixF5[[#This Row],[Столбец1]]+1)/(MatrixF5[[#This Row],[Столбец1]]+1)</f>
        <v>55.999999999999943</v>
      </c>
    </row>
    <row r="45" spans="1:105" ht="21" customHeight="1" x14ac:dyDescent="0.25">
      <c r="A45" s="127">
        <v>1.42</v>
      </c>
      <c r="B45" s="128">
        <v>1.42</v>
      </c>
      <c r="C45" s="128">
        <v>1.44</v>
      </c>
      <c r="D45" s="128">
        <v>1.45</v>
      </c>
      <c r="E45" s="128">
        <v>1.47</v>
      </c>
      <c r="F45" s="128">
        <v>1.48</v>
      </c>
      <c r="G45" s="128">
        <v>1.5</v>
      </c>
      <c r="H45" s="128">
        <v>1.51</v>
      </c>
      <c r="I45" s="128">
        <v>1.52</v>
      </c>
      <c r="J45" s="128">
        <v>1.54</v>
      </c>
      <c r="K45" s="128">
        <v>1.55</v>
      </c>
      <c r="L45" s="128">
        <v>1.56</v>
      </c>
      <c r="M45" s="128">
        <v>1.58</v>
      </c>
      <c r="N45" s="128">
        <v>1.59</v>
      </c>
      <c r="O45" s="128">
        <v>1.6</v>
      </c>
      <c r="P45" s="128">
        <v>1.61</v>
      </c>
      <c r="Q45" s="128">
        <v>1.63</v>
      </c>
      <c r="R45" s="128">
        <v>1.64</v>
      </c>
      <c r="S45" s="128">
        <v>1.65</v>
      </c>
      <c r="T45" s="128">
        <v>1.66</v>
      </c>
      <c r="U45" s="128">
        <v>1.67</v>
      </c>
      <c r="V45" s="128">
        <v>1.68</v>
      </c>
      <c r="W45" s="128">
        <v>1.69</v>
      </c>
      <c r="X45" s="128">
        <v>1.7</v>
      </c>
      <c r="Y45" s="128">
        <v>1.72</v>
      </c>
      <c r="Z45" s="128">
        <v>1.73</v>
      </c>
      <c r="AA45" s="128">
        <v>1.74</v>
      </c>
      <c r="AB45" s="128">
        <v>1.75</v>
      </c>
      <c r="AC45" s="128">
        <v>1.76</v>
      </c>
      <c r="AD45" s="128">
        <v>1.77</v>
      </c>
      <c r="AE45" s="128">
        <v>1.78</v>
      </c>
      <c r="AF45" s="128">
        <v>1.78</v>
      </c>
      <c r="AG45" s="128">
        <v>1.79</v>
      </c>
      <c r="AH45" s="128">
        <v>1.8</v>
      </c>
      <c r="AI45" s="128">
        <v>1.81</v>
      </c>
      <c r="AJ45" s="128">
        <v>1.82</v>
      </c>
      <c r="AK45" s="128">
        <v>1.83</v>
      </c>
      <c r="AL45" s="128">
        <v>1.84</v>
      </c>
      <c r="AM45" s="128">
        <v>1.85</v>
      </c>
      <c r="AN45" s="128">
        <v>1.86</v>
      </c>
      <c r="AO45" s="128">
        <v>1.86</v>
      </c>
      <c r="AP45" s="128">
        <v>1.87</v>
      </c>
      <c r="AQ45" s="128">
        <v>1.88</v>
      </c>
      <c r="AR45" s="128">
        <v>1.89</v>
      </c>
      <c r="AS45" s="128">
        <v>1.89</v>
      </c>
      <c r="AT45" s="128">
        <v>1.9</v>
      </c>
      <c r="AU45" s="128">
        <v>1.91</v>
      </c>
      <c r="AV45" s="128">
        <v>1.92</v>
      </c>
      <c r="AW45" s="128">
        <v>1.92</v>
      </c>
      <c r="AX45" s="128">
        <v>1.93</v>
      </c>
      <c r="AY45" s="128">
        <v>1.94</v>
      </c>
      <c r="AZ45" s="128">
        <v>1.94</v>
      </c>
      <c r="BA45" s="128">
        <v>1.95</v>
      </c>
      <c r="BB45" s="128">
        <v>1.96</v>
      </c>
      <c r="BC45" s="128">
        <v>1.96</v>
      </c>
      <c r="BD45" s="128">
        <v>1.97</v>
      </c>
      <c r="BE45" s="128">
        <v>1.98</v>
      </c>
      <c r="BF45" s="128">
        <v>1.99</v>
      </c>
      <c r="BG45" s="128">
        <v>1.99</v>
      </c>
      <c r="BH45" s="128">
        <v>2</v>
      </c>
      <c r="BI45" s="128">
        <v>2.0099999999999998</v>
      </c>
      <c r="BJ45" s="128">
        <v>2.0099999999999998</v>
      </c>
      <c r="BK45" s="128">
        <v>2.02</v>
      </c>
      <c r="BL45" s="128">
        <v>2.0299999999999998</v>
      </c>
      <c r="BM45" s="128">
        <v>2.04</v>
      </c>
      <c r="BN45" s="128">
        <v>2.04</v>
      </c>
      <c r="BO45" s="128">
        <v>2.0499999999999998</v>
      </c>
      <c r="BP45" s="128">
        <v>2.06</v>
      </c>
      <c r="BQ45" s="128">
        <v>2.0699999999999998</v>
      </c>
      <c r="BR45" s="128">
        <v>2.08</v>
      </c>
      <c r="BS45" s="128">
        <v>2.08</v>
      </c>
      <c r="BT45" s="128">
        <v>2.09</v>
      </c>
      <c r="BU45" s="128">
        <v>2.1</v>
      </c>
      <c r="BV45" s="128">
        <v>2.11</v>
      </c>
      <c r="BW45" s="128">
        <v>2.12</v>
      </c>
      <c r="BX45" s="128">
        <v>2.13</v>
      </c>
      <c r="BY45" s="128">
        <v>2.14</v>
      </c>
      <c r="BZ45" s="128">
        <v>2.15</v>
      </c>
      <c r="CA45" s="128">
        <v>2.15</v>
      </c>
      <c r="CB45" s="128">
        <v>2.16</v>
      </c>
      <c r="CC45" s="128">
        <v>2.17</v>
      </c>
      <c r="CD45" s="128">
        <v>2.1800000000000002</v>
      </c>
      <c r="CE45" s="128">
        <v>2.19</v>
      </c>
      <c r="CF45" s="128">
        <v>2.2000000000000002</v>
      </c>
      <c r="CG45" s="128">
        <v>2.21</v>
      </c>
      <c r="CH45" s="128">
        <v>2.2200000000000002</v>
      </c>
      <c r="CI45" s="128">
        <v>2.23</v>
      </c>
      <c r="CJ45" s="128">
        <v>2.25</v>
      </c>
      <c r="CK45" s="128">
        <v>2.2599999999999998</v>
      </c>
      <c r="CL45" s="128">
        <v>2.27</v>
      </c>
      <c r="CM45" s="128">
        <v>2.2799999999999998</v>
      </c>
      <c r="CN45" s="128">
        <v>2.29</v>
      </c>
      <c r="CO45" s="128">
        <v>2.2999999999999998</v>
      </c>
      <c r="CP45" s="128">
        <v>2.31</v>
      </c>
      <c r="CQ45" s="128">
        <v>2.33</v>
      </c>
      <c r="CR45" s="128">
        <v>2.34</v>
      </c>
      <c r="CS45" s="128">
        <v>2.35</v>
      </c>
      <c r="CT45" s="128">
        <v>2.37</v>
      </c>
      <c r="CU45" s="128">
        <v>2.38</v>
      </c>
      <c r="CV45" s="128">
        <v>2.39</v>
      </c>
      <c r="CW45" s="128">
        <v>2.41</v>
      </c>
      <c r="CX45" s="128">
        <v>2.42</v>
      </c>
      <c r="CZ45" s="126">
        <f>SUMIF(MatrixF5[[1]:[2]],MatrixF5[[#This Row],[Столбец1]])/MatrixF5[[#This Row],[Столбец1]]</f>
        <v>38.000000000000036</v>
      </c>
      <c r="DA45" s="126">
        <f>SUMIF(MatrixF5[[1]:[2]],MatrixF5[[#This Row],[Столбец1]]+1)/(MatrixF5[[#This Row],[Столбец1]]+1)</f>
        <v>57.000000000000014</v>
      </c>
    </row>
    <row r="46" spans="1:105" ht="21" customHeight="1" x14ac:dyDescent="0.25">
      <c r="A46" s="127">
        <v>1.43</v>
      </c>
      <c r="B46" s="128">
        <v>1.43</v>
      </c>
      <c r="C46" s="128">
        <v>1.45</v>
      </c>
      <c r="D46" s="128">
        <v>1.46</v>
      </c>
      <c r="E46" s="128">
        <v>1.48</v>
      </c>
      <c r="F46" s="128">
        <v>1.49</v>
      </c>
      <c r="G46" s="128">
        <v>1.5</v>
      </c>
      <c r="H46" s="128">
        <v>1.52</v>
      </c>
      <c r="I46" s="128">
        <v>1.53</v>
      </c>
      <c r="J46" s="128">
        <v>1.55</v>
      </c>
      <c r="K46" s="128">
        <v>1.56</v>
      </c>
      <c r="L46" s="128">
        <v>1.57</v>
      </c>
      <c r="M46" s="128">
        <v>1.59</v>
      </c>
      <c r="N46" s="128">
        <v>1.6</v>
      </c>
      <c r="O46" s="128">
        <v>1.61</v>
      </c>
      <c r="P46" s="128">
        <v>1.62</v>
      </c>
      <c r="Q46" s="128">
        <v>1.63</v>
      </c>
      <c r="R46" s="128">
        <v>1.65</v>
      </c>
      <c r="S46" s="128">
        <v>1.66</v>
      </c>
      <c r="T46" s="128">
        <v>1.67</v>
      </c>
      <c r="U46" s="128">
        <v>1.68</v>
      </c>
      <c r="V46" s="128">
        <v>1.69</v>
      </c>
      <c r="W46" s="128">
        <v>1.7</v>
      </c>
      <c r="X46" s="128">
        <v>1.71</v>
      </c>
      <c r="Y46" s="128">
        <v>1.72</v>
      </c>
      <c r="Z46" s="128">
        <v>1.73</v>
      </c>
      <c r="AA46" s="128">
        <v>1.74</v>
      </c>
      <c r="AB46" s="128">
        <v>1.75</v>
      </c>
      <c r="AC46" s="128">
        <v>1.76</v>
      </c>
      <c r="AD46" s="128">
        <v>1.77</v>
      </c>
      <c r="AE46" s="128">
        <v>1.78</v>
      </c>
      <c r="AF46" s="128">
        <v>1.79</v>
      </c>
      <c r="AG46" s="128">
        <v>1.8</v>
      </c>
      <c r="AH46" s="128">
        <v>1.81</v>
      </c>
      <c r="AI46" s="128">
        <v>1.82</v>
      </c>
      <c r="AJ46" s="128">
        <v>1.83</v>
      </c>
      <c r="AK46" s="128">
        <v>1.84</v>
      </c>
      <c r="AL46" s="128">
        <v>1.85</v>
      </c>
      <c r="AM46" s="128">
        <v>1.85</v>
      </c>
      <c r="AN46" s="128">
        <v>1.86</v>
      </c>
      <c r="AO46" s="128">
        <v>1.87</v>
      </c>
      <c r="AP46" s="128">
        <v>1.88</v>
      </c>
      <c r="AQ46" s="128">
        <v>1.89</v>
      </c>
      <c r="AR46" s="128">
        <v>1.89</v>
      </c>
      <c r="AS46" s="128">
        <v>1.9</v>
      </c>
      <c r="AT46" s="128">
        <v>1.91</v>
      </c>
      <c r="AU46" s="128">
        <v>1.92</v>
      </c>
      <c r="AV46" s="128">
        <v>1.92</v>
      </c>
      <c r="AW46" s="128">
        <v>1.93</v>
      </c>
      <c r="AX46" s="128">
        <v>1.94</v>
      </c>
      <c r="AY46" s="128">
        <v>1.94</v>
      </c>
      <c r="AZ46" s="128">
        <v>1.95</v>
      </c>
      <c r="BA46" s="128">
        <v>1.96</v>
      </c>
      <c r="BB46" s="128">
        <v>1.97</v>
      </c>
      <c r="BC46" s="128">
        <v>1.97</v>
      </c>
      <c r="BD46" s="128">
        <v>1.98</v>
      </c>
      <c r="BE46" s="128">
        <v>1.99</v>
      </c>
      <c r="BF46" s="128">
        <v>1.99</v>
      </c>
      <c r="BG46" s="128">
        <v>2</v>
      </c>
      <c r="BH46" s="128">
        <v>2.0099999999999998</v>
      </c>
      <c r="BI46" s="128">
        <v>2.0099999999999998</v>
      </c>
      <c r="BJ46" s="128">
        <v>2.02</v>
      </c>
      <c r="BK46" s="128">
        <v>2.0299999999999998</v>
      </c>
      <c r="BL46" s="128">
        <v>2.04</v>
      </c>
      <c r="BM46" s="128">
        <v>2.04</v>
      </c>
      <c r="BN46" s="128">
        <v>2.0499999999999998</v>
      </c>
      <c r="BO46" s="128">
        <v>2.06</v>
      </c>
      <c r="BP46" s="128">
        <v>2.0699999999999998</v>
      </c>
      <c r="BQ46" s="128">
        <v>2.08</v>
      </c>
      <c r="BR46" s="128">
        <v>2.08</v>
      </c>
      <c r="BS46" s="128">
        <v>2.09</v>
      </c>
      <c r="BT46" s="128">
        <v>2.1</v>
      </c>
      <c r="BU46" s="128">
        <v>2.11</v>
      </c>
      <c r="BV46" s="128">
        <v>2.12</v>
      </c>
      <c r="BW46" s="128">
        <v>2.13</v>
      </c>
      <c r="BX46" s="128">
        <v>2.13</v>
      </c>
      <c r="BY46" s="128">
        <v>2.14</v>
      </c>
      <c r="BZ46" s="128">
        <v>2.15</v>
      </c>
      <c r="CA46" s="128">
        <v>2.16</v>
      </c>
      <c r="CB46" s="128">
        <v>2.17</v>
      </c>
      <c r="CC46" s="128">
        <v>2.1800000000000002</v>
      </c>
      <c r="CD46" s="128">
        <v>2.19</v>
      </c>
      <c r="CE46" s="128">
        <v>2.2000000000000002</v>
      </c>
      <c r="CF46" s="128">
        <v>2.21</v>
      </c>
      <c r="CG46" s="128">
        <v>2.2200000000000002</v>
      </c>
      <c r="CH46" s="128">
        <v>2.23</v>
      </c>
      <c r="CI46" s="128">
        <v>2.2400000000000002</v>
      </c>
      <c r="CJ46" s="128">
        <v>2.25</v>
      </c>
      <c r="CK46" s="128">
        <v>2.27</v>
      </c>
      <c r="CL46" s="128">
        <v>2.2799999999999998</v>
      </c>
      <c r="CM46" s="128">
        <v>2.29</v>
      </c>
      <c r="CN46" s="128">
        <v>2.2999999999999998</v>
      </c>
      <c r="CO46" s="128">
        <v>2.31</v>
      </c>
      <c r="CP46" s="128">
        <v>2.3199999999999998</v>
      </c>
      <c r="CQ46" s="128">
        <v>2.34</v>
      </c>
      <c r="CR46" s="128">
        <v>2.35</v>
      </c>
      <c r="CS46" s="128">
        <v>2.36</v>
      </c>
      <c r="CT46" s="128">
        <v>2.38</v>
      </c>
      <c r="CU46" s="128">
        <v>2.39</v>
      </c>
      <c r="CV46" s="128">
        <v>2.4</v>
      </c>
      <c r="CW46" s="128">
        <v>2.42</v>
      </c>
      <c r="CX46" s="128">
        <v>2.4300000000000002</v>
      </c>
      <c r="CZ46" s="126">
        <f>SUMIF(MatrixF5[[1]:[2]],MatrixF5[[#This Row],[Столбец1]])/MatrixF5[[#This Row],[Столбец1]]</f>
        <v>36</v>
      </c>
      <c r="DA46" s="126">
        <f>SUMIF(MatrixF5[[1]:[2]],MatrixF5[[#This Row],[Столбец1]]+1)/(MatrixF5[[#This Row],[Столбец1]]+1)</f>
        <v>52.000000000000078</v>
      </c>
    </row>
    <row r="47" spans="1:105" ht="21" customHeight="1" x14ac:dyDescent="0.25">
      <c r="A47" s="127">
        <v>1.44</v>
      </c>
      <c r="B47" s="128">
        <v>1.44</v>
      </c>
      <c r="C47" s="128">
        <v>1.46</v>
      </c>
      <c r="D47" s="128">
        <v>1.47</v>
      </c>
      <c r="E47" s="128">
        <v>1.49</v>
      </c>
      <c r="F47" s="128">
        <v>1.5</v>
      </c>
      <c r="G47" s="128">
        <v>1.51</v>
      </c>
      <c r="H47" s="128">
        <v>1.53</v>
      </c>
      <c r="I47" s="128">
        <v>1.54</v>
      </c>
      <c r="J47" s="128">
        <v>1.56</v>
      </c>
      <c r="K47" s="128">
        <v>1.57</v>
      </c>
      <c r="L47" s="128">
        <v>1.58</v>
      </c>
      <c r="M47" s="128">
        <v>1.59</v>
      </c>
      <c r="N47" s="128">
        <v>1.61</v>
      </c>
      <c r="O47" s="128">
        <v>1.62</v>
      </c>
      <c r="P47" s="128">
        <v>1.63</v>
      </c>
      <c r="Q47" s="128">
        <v>1.64</v>
      </c>
      <c r="R47" s="128">
        <v>1.66</v>
      </c>
      <c r="S47" s="128">
        <v>1.67</v>
      </c>
      <c r="T47" s="128">
        <v>1.68</v>
      </c>
      <c r="U47" s="128">
        <v>1.69</v>
      </c>
      <c r="V47" s="128">
        <v>1.7</v>
      </c>
      <c r="W47" s="128">
        <v>1.71</v>
      </c>
      <c r="X47" s="128">
        <v>1.72</v>
      </c>
      <c r="Y47" s="128">
        <v>1.73</v>
      </c>
      <c r="Z47" s="128">
        <v>1.74</v>
      </c>
      <c r="AA47" s="128">
        <v>1.75</v>
      </c>
      <c r="AB47" s="128">
        <v>1.76</v>
      </c>
      <c r="AC47" s="128">
        <v>1.77</v>
      </c>
      <c r="AD47" s="128">
        <v>1.78</v>
      </c>
      <c r="AE47" s="128">
        <v>1.79</v>
      </c>
      <c r="AF47" s="128">
        <v>1.8</v>
      </c>
      <c r="AG47" s="128">
        <v>1.81</v>
      </c>
      <c r="AH47" s="128">
        <v>1.82</v>
      </c>
      <c r="AI47" s="128">
        <v>1.83</v>
      </c>
      <c r="AJ47" s="128">
        <v>1.84</v>
      </c>
      <c r="AK47" s="128">
        <v>1.84</v>
      </c>
      <c r="AL47" s="128">
        <v>1.85</v>
      </c>
      <c r="AM47" s="128">
        <v>1.86</v>
      </c>
      <c r="AN47" s="128">
        <v>1.87</v>
      </c>
      <c r="AO47" s="128">
        <v>1.88</v>
      </c>
      <c r="AP47" s="128">
        <v>1.89</v>
      </c>
      <c r="AQ47" s="128">
        <v>1.89</v>
      </c>
      <c r="AR47" s="128">
        <v>1.9</v>
      </c>
      <c r="AS47" s="128">
        <v>1.91</v>
      </c>
      <c r="AT47" s="128">
        <v>1.92</v>
      </c>
      <c r="AU47" s="128">
        <v>1.92</v>
      </c>
      <c r="AV47" s="128">
        <v>1.93</v>
      </c>
      <c r="AW47" s="128">
        <v>1.94</v>
      </c>
      <c r="AX47" s="128">
        <v>1.94</v>
      </c>
      <c r="AY47" s="128">
        <v>1.95</v>
      </c>
      <c r="AZ47" s="128">
        <v>1.96</v>
      </c>
      <c r="BA47" s="128">
        <v>1.97</v>
      </c>
      <c r="BB47" s="128">
        <v>1.97</v>
      </c>
      <c r="BC47" s="128">
        <v>1.98</v>
      </c>
      <c r="BD47" s="128">
        <v>1.99</v>
      </c>
      <c r="BE47" s="128">
        <v>1.99</v>
      </c>
      <c r="BF47" s="128">
        <v>2</v>
      </c>
      <c r="BG47" s="128">
        <v>2.0099999999999998</v>
      </c>
      <c r="BH47" s="128">
        <v>2.0099999999999998</v>
      </c>
      <c r="BI47" s="128">
        <v>2.02</v>
      </c>
      <c r="BJ47" s="128">
        <v>2.0299999999999998</v>
      </c>
      <c r="BK47" s="128">
        <v>2.04</v>
      </c>
      <c r="BL47" s="128">
        <v>2.04</v>
      </c>
      <c r="BM47" s="128">
        <v>2.0499999999999998</v>
      </c>
      <c r="BN47" s="128">
        <v>2.06</v>
      </c>
      <c r="BO47" s="128">
        <v>2.0699999999999998</v>
      </c>
      <c r="BP47" s="128">
        <v>2.0699999999999998</v>
      </c>
      <c r="BQ47" s="128">
        <v>2.08</v>
      </c>
      <c r="BR47" s="128">
        <v>2.09</v>
      </c>
      <c r="BS47" s="128">
        <v>2.1</v>
      </c>
      <c r="BT47" s="128">
        <v>2.11</v>
      </c>
      <c r="BU47" s="128">
        <v>2.12</v>
      </c>
      <c r="BV47" s="128">
        <v>2.12</v>
      </c>
      <c r="BW47" s="128">
        <v>2.13</v>
      </c>
      <c r="BX47" s="128">
        <v>2.14</v>
      </c>
      <c r="BY47" s="128">
        <v>2.15</v>
      </c>
      <c r="BZ47" s="128">
        <v>2.16</v>
      </c>
      <c r="CA47" s="128">
        <v>2.17</v>
      </c>
      <c r="CB47" s="128">
        <v>2.1800000000000002</v>
      </c>
      <c r="CC47" s="128">
        <v>2.19</v>
      </c>
      <c r="CD47" s="128">
        <v>2.2000000000000002</v>
      </c>
      <c r="CE47" s="128">
        <v>2.21</v>
      </c>
      <c r="CF47" s="128">
        <v>2.2200000000000002</v>
      </c>
      <c r="CG47" s="128">
        <v>2.23</v>
      </c>
      <c r="CH47" s="128">
        <v>2.2400000000000002</v>
      </c>
      <c r="CI47" s="128">
        <v>2.25</v>
      </c>
      <c r="CJ47" s="128">
        <v>2.2599999999999998</v>
      </c>
      <c r="CK47" s="128">
        <v>2.27</v>
      </c>
      <c r="CL47" s="128">
        <v>2.29</v>
      </c>
      <c r="CM47" s="128">
        <v>2.2999999999999998</v>
      </c>
      <c r="CN47" s="128">
        <v>2.31</v>
      </c>
      <c r="CO47" s="128">
        <v>2.3199999999999998</v>
      </c>
      <c r="CP47" s="128">
        <v>2.33</v>
      </c>
      <c r="CQ47" s="128">
        <v>2.35</v>
      </c>
      <c r="CR47" s="128">
        <v>2.36</v>
      </c>
      <c r="CS47" s="128">
        <v>2.37</v>
      </c>
      <c r="CT47" s="128">
        <v>2.38</v>
      </c>
      <c r="CU47" s="128">
        <v>2.4</v>
      </c>
      <c r="CV47" s="128">
        <v>2.41</v>
      </c>
      <c r="CW47" s="128">
        <v>2.4300000000000002</v>
      </c>
      <c r="CX47" s="128">
        <v>2.44</v>
      </c>
      <c r="CZ47" s="126">
        <f>SUMIF(MatrixF5[[1]:[2]],MatrixF5[[#This Row],[Столбец1]])/MatrixF5[[#This Row],[Столбец1]]</f>
        <v>38.999999999999986</v>
      </c>
      <c r="DA47" s="126">
        <f>SUMIF(MatrixF5[[1]:[2]],MatrixF5[[#This Row],[Столбец1]]+1)/(MatrixF5[[#This Row],[Столбец1]]+1)</f>
        <v>50.999999999999972</v>
      </c>
    </row>
    <row r="48" spans="1:105" ht="21" customHeight="1" x14ac:dyDescent="0.25">
      <c r="A48" s="127">
        <v>1.45</v>
      </c>
      <c r="B48" s="128">
        <v>1.45</v>
      </c>
      <c r="C48" s="128">
        <v>1.47</v>
      </c>
      <c r="D48" s="128">
        <v>1.48</v>
      </c>
      <c r="E48" s="128">
        <v>1.5</v>
      </c>
      <c r="F48" s="128">
        <v>1.51</v>
      </c>
      <c r="G48" s="128">
        <v>1.52</v>
      </c>
      <c r="H48" s="128">
        <v>1.54</v>
      </c>
      <c r="I48" s="128">
        <v>1.55</v>
      </c>
      <c r="J48" s="128">
        <v>1.56</v>
      </c>
      <c r="K48" s="128">
        <v>1.58</v>
      </c>
      <c r="L48" s="128">
        <v>1.59</v>
      </c>
      <c r="M48" s="128">
        <v>1.6</v>
      </c>
      <c r="N48" s="128">
        <v>1.62</v>
      </c>
      <c r="O48" s="128">
        <v>1.63</v>
      </c>
      <c r="P48" s="128">
        <v>1.64</v>
      </c>
      <c r="Q48" s="128">
        <v>1.65</v>
      </c>
      <c r="R48" s="128">
        <v>1.66</v>
      </c>
      <c r="S48" s="128">
        <v>1.68</v>
      </c>
      <c r="T48" s="128">
        <v>1.69</v>
      </c>
      <c r="U48" s="128">
        <v>1.7</v>
      </c>
      <c r="V48" s="128">
        <v>1.71</v>
      </c>
      <c r="W48" s="128">
        <v>1.72</v>
      </c>
      <c r="X48" s="128">
        <v>1.73</v>
      </c>
      <c r="Y48" s="128">
        <v>1.74</v>
      </c>
      <c r="Z48" s="128">
        <v>1.75</v>
      </c>
      <c r="AA48" s="128">
        <v>1.76</v>
      </c>
      <c r="AB48" s="128">
        <v>1.77</v>
      </c>
      <c r="AC48" s="128">
        <v>1.78</v>
      </c>
      <c r="AD48" s="128">
        <v>1.79</v>
      </c>
      <c r="AE48" s="128">
        <v>1.8</v>
      </c>
      <c r="AF48" s="128">
        <v>1.81</v>
      </c>
      <c r="AG48" s="128">
        <v>1.82</v>
      </c>
      <c r="AH48" s="128">
        <v>1.83</v>
      </c>
      <c r="AI48" s="128">
        <v>1.83</v>
      </c>
      <c r="AJ48" s="128">
        <v>1.84</v>
      </c>
      <c r="AK48" s="128">
        <v>1.85</v>
      </c>
      <c r="AL48" s="128">
        <v>1.86</v>
      </c>
      <c r="AM48" s="128">
        <v>1.87</v>
      </c>
      <c r="AN48" s="128">
        <v>1.88</v>
      </c>
      <c r="AO48" s="128">
        <v>1.88</v>
      </c>
      <c r="AP48" s="128">
        <v>1.89</v>
      </c>
      <c r="AQ48" s="128">
        <v>1.9</v>
      </c>
      <c r="AR48" s="128">
        <v>1.91</v>
      </c>
      <c r="AS48" s="128">
        <v>1.92</v>
      </c>
      <c r="AT48" s="128">
        <v>1.92</v>
      </c>
      <c r="AU48" s="128">
        <v>1.93</v>
      </c>
      <c r="AV48" s="128">
        <v>1.94</v>
      </c>
      <c r="AW48" s="128">
        <v>1.94</v>
      </c>
      <c r="AX48" s="128">
        <v>1.95</v>
      </c>
      <c r="AY48" s="128">
        <v>1.96</v>
      </c>
      <c r="AZ48" s="128">
        <v>1.97</v>
      </c>
      <c r="BA48" s="128">
        <v>1.97</v>
      </c>
      <c r="BB48" s="128">
        <v>1.98</v>
      </c>
      <c r="BC48" s="128">
        <v>1.99</v>
      </c>
      <c r="BD48" s="128">
        <v>1.99</v>
      </c>
      <c r="BE48" s="128">
        <v>2</v>
      </c>
      <c r="BF48" s="128">
        <v>2.0099999999999998</v>
      </c>
      <c r="BG48" s="128">
        <v>2.0099999999999998</v>
      </c>
      <c r="BH48" s="128">
        <v>2.02</v>
      </c>
      <c r="BI48" s="128">
        <v>2.0299999999999998</v>
      </c>
      <c r="BJ48" s="128">
        <v>2.04</v>
      </c>
      <c r="BK48" s="128">
        <v>2.04</v>
      </c>
      <c r="BL48" s="128">
        <v>2.0499999999999998</v>
      </c>
      <c r="BM48" s="128">
        <v>2.06</v>
      </c>
      <c r="BN48" s="128">
        <v>2.0699999999999998</v>
      </c>
      <c r="BO48" s="128">
        <v>2.0699999999999998</v>
      </c>
      <c r="BP48" s="128">
        <v>2.08</v>
      </c>
      <c r="BQ48" s="128">
        <v>2.09</v>
      </c>
      <c r="BR48" s="128">
        <v>2.1</v>
      </c>
      <c r="BS48" s="128">
        <v>2.11</v>
      </c>
      <c r="BT48" s="128">
        <v>2.12</v>
      </c>
      <c r="BU48" s="128">
        <v>2.12</v>
      </c>
      <c r="BV48" s="128">
        <v>2.13</v>
      </c>
      <c r="BW48" s="128">
        <v>2.14</v>
      </c>
      <c r="BX48" s="128">
        <v>2.15</v>
      </c>
      <c r="BY48" s="128">
        <v>2.16</v>
      </c>
      <c r="BZ48" s="128">
        <v>2.17</v>
      </c>
      <c r="CA48" s="128">
        <v>2.1800000000000002</v>
      </c>
      <c r="CB48" s="128">
        <v>2.19</v>
      </c>
      <c r="CC48" s="128">
        <v>2.2000000000000002</v>
      </c>
      <c r="CD48" s="128">
        <v>2.21</v>
      </c>
      <c r="CE48" s="128">
        <v>2.2200000000000002</v>
      </c>
      <c r="CF48" s="128">
        <v>2.23</v>
      </c>
      <c r="CG48" s="128">
        <v>2.2400000000000002</v>
      </c>
      <c r="CH48" s="128">
        <v>2.25</v>
      </c>
      <c r="CI48" s="128">
        <v>2.2599999999999998</v>
      </c>
      <c r="CJ48" s="128">
        <v>2.27</v>
      </c>
      <c r="CK48" s="128">
        <v>2.2799999999999998</v>
      </c>
      <c r="CL48" s="128">
        <v>2.29</v>
      </c>
      <c r="CM48" s="128">
        <v>2.31</v>
      </c>
      <c r="CN48" s="128">
        <v>2.3199999999999998</v>
      </c>
      <c r="CO48" s="128">
        <v>2.33</v>
      </c>
      <c r="CP48" s="128">
        <v>2.34</v>
      </c>
      <c r="CQ48" s="128">
        <v>2.36</v>
      </c>
      <c r="CR48" s="128">
        <v>2.37</v>
      </c>
      <c r="CS48" s="128">
        <v>2.38</v>
      </c>
      <c r="CT48" s="128">
        <v>2.39</v>
      </c>
      <c r="CU48" s="128">
        <v>2.41</v>
      </c>
      <c r="CV48" s="128">
        <v>2.42</v>
      </c>
      <c r="CW48" s="128">
        <v>2.44</v>
      </c>
      <c r="CX48" s="128">
        <v>2.4500000000000002</v>
      </c>
      <c r="CZ48" s="126">
        <f>SUMIF(MatrixF5[[1]:[2]],MatrixF5[[#This Row],[Столбец1]])/MatrixF5[[#This Row],[Столбец1]]</f>
        <v>38.000000000000021</v>
      </c>
      <c r="DA48" s="126">
        <f>SUMIF(MatrixF5[[1]:[2]],MatrixF5[[#This Row],[Столбец1]]+1)/(MatrixF5[[#This Row],[Столбец1]]+1)</f>
        <v>52.000000000000043</v>
      </c>
    </row>
    <row r="49" spans="1:105" ht="21" customHeight="1" x14ac:dyDescent="0.25">
      <c r="A49" s="127">
        <v>1.46</v>
      </c>
      <c r="B49" s="128">
        <v>1.46</v>
      </c>
      <c r="C49" s="128">
        <v>1.48</v>
      </c>
      <c r="D49" s="128">
        <v>1.49</v>
      </c>
      <c r="E49" s="128">
        <v>1.5</v>
      </c>
      <c r="F49" s="128">
        <v>1.52</v>
      </c>
      <c r="G49" s="128">
        <v>1.53</v>
      </c>
      <c r="H49" s="128">
        <v>1.55</v>
      </c>
      <c r="I49" s="128">
        <v>1.56</v>
      </c>
      <c r="J49" s="128">
        <v>1.57</v>
      </c>
      <c r="K49" s="128">
        <v>1.59</v>
      </c>
      <c r="L49" s="128">
        <v>1.6</v>
      </c>
      <c r="M49" s="128">
        <v>1.61</v>
      </c>
      <c r="N49" s="128">
        <v>1.62</v>
      </c>
      <c r="O49" s="128">
        <v>1.64</v>
      </c>
      <c r="P49" s="128">
        <v>1.65</v>
      </c>
      <c r="Q49" s="128">
        <v>1.66</v>
      </c>
      <c r="R49" s="128">
        <v>1.67</v>
      </c>
      <c r="S49" s="128">
        <v>1.68</v>
      </c>
      <c r="T49" s="128">
        <v>1.69</v>
      </c>
      <c r="U49" s="128">
        <v>1.71</v>
      </c>
      <c r="V49" s="128">
        <v>1.72</v>
      </c>
      <c r="W49" s="128">
        <v>1.73</v>
      </c>
      <c r="X49" s="128">
        <v>1.74</v>
      </c>
      <c r="Y49" s="128">
        <v>1.75</v>
      </c>
      <c r="Z49" s="128">
        <v>1.76</v>
      </c>
      <c r="AA49" s="128">
        <v>1.77</v>
      </c>
      <c r="AB49" s="128">
        <v>1.78</v>
      </c>
      <c r="AC49" s="128">
        <v>1.79</v>
      </c>
      <c r="AD49" s="128">
        <v>1.8</v>
      </c>
      <c r="AE49" s="128">
        <v>1.81</v>
      </c>
      <c r="AF49" s="128">
        <v>1.82</v>
      </c>
      <c r="AG49" s="128">
        <v>1.82</v>
      </c>
      <c r="AH49" s="128">
        <v>1.83</v>
      </c>
      <c r="AI49" s="128">
        <v>1.84</v>
      </c>
      <c r="AJ49" s="128">
        <v>1.85</v>
      </c>
      <c r="AK49" s="128">
        <v>1.86</v>
      </c>
      <c r="AL49" s="128">
        <v>1.87</v>
      </c>
      <c r="AM49" s="128">
        <v>1.88</v>
      </c>
      <c r="AN49" s="128">
        <v>1.88</v>
      </c>
      <c r="AO49" s="128">
        <v>1.89</v>
      </c>
      <c r="AP49" s="128">
        <v>1.9</v>
      </c>
      <c r="AQ49" s="128">
        <v>1.91</v>
      </c>
      <c r="AR49" s="128">
        <v>1.92</v>
      </c>
      <c r="AS49" s="128">
        <v>1.92</v>
      </c>
      <c r="AT49" s="128">
        <v>1.93</v>
      </c>
      <c r="AU49" s="128">
        <v>1.94</v>
      </c>
      <c r="AV49" s="128">
        <v>1.95</v>
      </c>
      <c r="AW49" s="128">
        <v>1.95</v>
      </c>
      <c r="AX49" s="128">
        <v>1.96</v>
      </c>
      <c r="AY49" s="128">
        <v>1.97</v>
      </c>
      <c r="AZ49" s="128">
        <v>1.97</v>
      </c>
      <c r="BA49" s="128">
        <v>1.98</v>
      </c>
      <c r="BB49" s="128">
        <v>1.99</v>
      </c>
      <c r="BC49" s="128">
        <v>1.99</v>
      </c>
      <c r="BD49" s="128">
        <v>2</v>
      </c>
      <c r="BE49" s="128">
        <v>2.0099999999999998</v>
      </c>
      <c r="BF49" s="128">
        <v>2.0099999999999998</v>
      </c>
      <c r="BG49" s="128">
        <v>2.02</v>
      </c>
      <c r="BH49" s="128">
        <v>2.0299999999999998</v>
      </c>
      <c r="BI49" s="128">
        <v>2.04</v>
      </c>
      <c r="BJ49" s="128">
        <v>2.04</v>
      </c>
      <c r="BK49" s="128">
        <v>2.0499999999999998</v>
      </c>
      <c r="BL49" s="128">
        <v>2.06</v>
      </c>
      <c r="BM49" s="128">
        <v>2.0699999999999998</v>
      </c>
      <c r="BN49" s="128">
        <v>2.0699999999999998</v>
      </c>
      <c r="BO49" s="128">
        <v>2.08</v>
      </c>
      <c r="BP49" s="128">
        <v>2.09</v>
      </c>
      <c r="BQ49" s="128">
        <v>2.1</v>
      </c>
      <c r="BR49" s="128">
        <v>2.11</v>
      </c>
      <c r="BS49" s="128">
        <v>2.11</v>
      </c>
      <c r="BT49" s="128">
        <v>2.12</v>
      </c>
      <c r="BU49" s="128">
        <v>2.13</v>
      </c>
      <c r="BV49" s="128">
        <v>2.14</v>
      </c>
      <c r="BW49" s="128">
        <v>2.15</v>
      </c>
      <c r="BX49" s="128">
        <v>2.16</v>
      </c>
      <c r="BY49" s="128">
        <v>2.17</v>
      </c>
      <c r="BZ49" s="128">
        <v>2.1800000000000002</v>
      </c>
      <c r="CA49" s="128">
        <v>2.19</v>
      </c>
      <c r="CB49" s="128">
        <v>2.2000000000000002</v>
      </c>
      <c r="CC49" s="128">
        <v>2.21</v>
      </c>
      <c r="CD49" s="128">
        <v>2.2200000000000002</v>
      </c>
      <c r="CE49" s="128">
        <v>2.23</v>
      </c>
      <c r="CF49" s="128">
        <v>2.2400000000000002</v>
      </c>
      <c r="CG49" s="128">
        <v>2.25</v>
      </c>
      <c r="CH49" s="128">
        <v>2.2599999999999998</v>
      </c>
      <c r="CI49" s="128">
        <v>2.27</v>
      </c>
      <c r="CJ49" s="128">
        <v>2.2799999999999998</v>
      </c>
      <c r="CK49" s="128">
        <v>2.29</v>
      </c>
      <c r="CL49" s="128">
        <v>2.2999999999999998</v>
      </c>
      <c r="CM49" s="128">
        <v>2.3199999999999998</v>
      </c>
      <c r="CN49" s="128">
        <v>2.33</v>
      </c>
      <c r="CO49" s="128">
        <v>2.34</v>
      </c>
      <c r="CP49" s="128">
        <v>2.35</v>
      </c>
      <c r="CQ49" s="128">
        <v>2.36</v>
      </c>
      <c r="CR49" s="128">
        <v>2.38</v>
      </c>
      <c r="CS49" s="128">
        <v>2.39</v>
      </c>
      <c r="CT49" s="128">
        <v>2.4</v>
      </c>
      <c r="CU49" s="128">
        <v>2.42</v>
      </c>
      <c r="CV49" s="128">
        <v>2.4300000000000002</v>
      </c>
      <c r="CW49" s="128">
        <v>2.4500000000000002</v>
      </c>
      <c r="CX49" s="128">
        <v>2.46</v>
      </c>
      <c r="CZ49" s="126">
        <f>SUMIF(MatrixF5[[1]:[2]],MatrixF5[[#This Row],[Столбец1]])/MatrixF5[[#This Row],[Столбец1]]</f>
        <v>41.000000000000021</v>
      </c>
      <c r="DA49" s="126">
        <f>SUMIF(MatrixF5[[1]:[2]],MatrixF5[[#This Row],[Столбец1]]+1)/(MatrixF5[[#This Row],[Столбец1]]+1)</f>
        <v>48.99999999999995</v>
      </c>
    </row>
    <row r="50" spans="1:105" ht="21" customHeight="1" x14ac:dyDescent="0.25">
      <c r="A50" s="127">
        <v>1.47</v>
      </c>
      <c r="B50" s="128">
        <v>1.47</v>
      </c>
      <c r="C50" s="128">
        <v>1.49</v>
      </c>
      <c r="D50" s="128">
        <v>1.5</v>
      </c>
      <c r="E50" s="128">
        <v>1.51</v>
      </c>
      <c r="F50" s="128">
        <v>1.53</v>
      </c>
      <c r="G50" s="128">
        <v>1.54</v>
      </c>
      <c r="H50" s="128">
        <v>1.56</v>
      </c>
      <c r="I50" s="128">
        <v>1.57</v>
      </c>
      <c r="J50" s="128">
        <v>1.58</v>
      </c>
      <c r="K50" s="128">
        <v>1.6</v>
      </c>
      <c r="L50" s="128">
        <v>1.61</v>
      </c>
      <c r="M50" s="128">
        <v>1.62</v>
      </c>
      <c r="N50" s="128">
        <v>1.63</v>
      </c>
      <c r="O50" s="128">
        <v>1.65</v>
      </c>
      <c r="P50" s="128">
        <v>1.66</v>
      </c>
      <c r="Q50" s="128">
        <v>1.67</v>
      </c>
      <c r="R50" s="128">
        <v>1.68</v>
      </c>
      <c r="S50" s="128">
        <v>1.69</v>
      </c>
      <c r="T50" s="128">
        <v>1.7</v>
      </c>
      <c r="U50" s="128">
        <v>1.71</v>
      </c>
      <c r="V50" s="128">
        <v>1.72</v>
      </c>
      <c r="W50" s="128">
        <v>1.74</v>
      </c>
      <c r="X50" s="128">
        <v>1.75</v>
      </c>
      <c r="Y50" s="128">
        <v>1.76</v>
      </c>
      <c r="Z50" s="128">
        <v>1.77</v>
      </c>
      <c r="AA50" s="128">
        <v>1.78</v>
      </c>
      <c r="AB50" s="128">
        <v>1.79</v>
      </c>
      <c r="AC50" s="128">
        <v>1.8</v>
      </c>
      <c r="AD50" s="128">
        <v>1.8</v>
      </c>
      <c r="AE50" s="128">
        <v>1.81</v>
      </c>
      <c r="AF50" s="128">
        <v>1.82</v>
      </c>
      <c r="AG50" s="128">
        <v>1.83</v>
      </c>
      <c r="AH50" s="128">
        <v>1.84</v>
      </c>
      <c r="AI50" s="128">
        <v>1.85</v>
      </c>
      <c r="AJ50" s="128">
        <v>1.86</v>
      </c>
      <c r="AK50" s="128">
        <v>1.87</v>
      </c>
      <c r="AL50" s="128">
        <v>1.88</v>
      </c>
      <c r="AM50" s="128">
        <v>1.88</v>
      </c>
      <c r="AN50" s="128">
        <v>1.89</v>
      </c>
      <c r="AO50" s="128">
        <v>1.9</v>
      </c>
      <c r="AP50" s="128">
        <v>1.91</v>
      </c>
      <c r="AQ50" s="128">
        <v>1.91</v>
      </c>
      <c r="AR50" s="128">
        <v>1.92</v>
      </c>
      <c r="AS50" s="128">
        <v>1.93</v>
      </c>
      <c r="AT50" s="128">
        <v>1.94</v>
      </c>
      <c r="AU50" s="128">
        <v>1.94</v>
      </c>
      <c r="AV50" s="128">
        <v>1.95</v>
      </c>
      <c r="AW50" s="128">
        <v>1.96</v>
      </c>
      <c r="AX50" s="128">
        <v>1.97</v>
      </c>
      <c r="AY50" s="128">
        <v>1.97</v>
      </c>
      <c r="AZ50" s="128">
        <v>1.98</v>
      </c>
      <c r="BA50" s="128">
        <v>1.99</v>
      </c>
      <c r="BB50" s="128">
        <v>1.99</v>
      </c>
      <c r="BC50" s="128">
        <v>2</v>
      </c>
      <c r="BD50" s="128">
        <v>2.0099999999999998</v>
      </c>
      <c r="BE50" s="128">
        <v>2.0099999999999998</v>
      </c>
      <c r="BF50" s="128">
        <v>2.02</v>
      </c>
      <c r="BG50" s="128">
        <v>2.0299999999999998</v>
      </c>
      <c r="BH50" s="128">
        <v>2.04</v>
      </c>
      <c r="BI50" s="128">
        <v>2.04</v>
      </c>
      <c r="BJ50" s="128">
        <v>2.0499999999999998</v>
      </c>
      <c r="BK50" s="128">
        <v>2.06</v>
      </c>
      <c r="BL50" s="128">
        <v>2.0699999999999998</v>
      </c>
      <c r="BM50" s="128">
        <v>2.0699999999999998</v>
      </c>
      <c r="BN50" s="128">
        <v>2.08</v>
      </c>
      <c r="BO50" s="128">
        <v>2.09</v>
      </c>
      <c r="BP50" s="128">
        <v>2.1</v>
      </c>
      <c r="BQ50" s="128">
        <v>2.11</v>
      </c>
      <c r="BR50" s="128">
        <v>2.11</v>
      </c>
      <c r="BS50" s="128">
        <v>2.12</v>
      </c>
      <c r="BT50" s="128">
        <v>2.13</v>
      </c>
      <c r="BU50" s="128">
        <v>2.14</v>
      </c>
      <c r="BV50" s="128">
        <v>2.15</v>
      </c>
      <c r="BW50" s="128">
        <v>2.16</v>
      </c>
      <c r="BX50" s="128">
        <v>2.17</v>
      </c>
      <c r="BY50" s="128">
        <v>2.1800000000000002</v>
      </c>
      <c r="BZ50" s="128">
        <v>2.19</v>
      </c>
      <c r="CA50" s="128">
        <v>2.2000000000000002</v>
      </c>
      <c r="CB50" s="128">
        <v>2.2000000000000002</v>
      </c>
      <c r="CC50" s="128">
        <v>2.21</v>
      </c>
      <c r="CD50" s="128">
        <v>2.23</v>
      </c>
      <c r="CE50" s="128">
        <v>2.2400000000000002</v>
      </c>
      <c r="CF50" s="128">
        <v>2.25</v>
      </c>
      <c r="CG50" s="128">
        <v>2.2599999999999998</v>
      </c>
      <c r="CH50" s="128">
        <v>2.27</v>
      </c>
      <c r="CI50" s="128">
        <v>2.2799999999999998</v>
      </c>
      <c r="CJ50" s="128">
        <v>2.29</v>
      </c>
      <c r="CK50" s="128">
        <v>2.2999999999999998</v>
      </c>
      <c r="CL50" s="128">
        <v>2.31</v>
      </c>
      <c r="CM50" s="128">
        <v>2.3199999999999998</v>
      </c>
      <c r="CN50" s="128">
        <v>2.34</v>
      </c>
      <c r="CO50" s="128">
        <v>2.35</v>
      </c>
      <c r="CP50" s="128">
        <v>2.36</v>
      </c>
      <c r="CQ50" s="128">
        <v>2.37</v>
      </c>
      <c r="CR50" s="128">
        <v>2.39</v>
      </c>
      <c r="CS50" s="128">
        <v>2.4</v>
      </c>
      <c r="CT50" s="128">
        <v>2.41</v>
      </c>
      <c r="CU50" s="128">
        <v>2.4300000000000002</v>
      </c>
      <c r="CV50" s="128">
        <v>2.44</v>
      </c>
      <c r="CW50" s="128">
        <v>2.46</v>
      </c>
      <c r="CX50" s="128">
        <v>2.4700000000000002</v>
      </c>
      <c r="CZ50" s="126">
        <f>SUMIF(MatrixF5[[1]:[2]],MatrixF5[[#This Row],[Столбец1]])/MatrixF5[[#This Row],[Столбец1]]</f>
        <v>41.999999999999979</v>
      </c>
      <c r="DA50" s="126">
        <f>SUMIF(MatrixF5[[1]:[2]],MatrixF5[[#This Row],[Столбец1]]+1)/(MatrixF5[[#This Row],[Столбец1]]+1)</f>
        <v>49.999999999999986</v>
      </c>
    </row>
    <row r="51" spans="1:105" ht="21" customHeight="1" x14ac:dyDescent="0.25">
      <c r="A51" s="127">
        <v>1.48</v>
      </c>
      <c r="B51" s="128">
        <v>1.48</v>
      </c>
      <c r="C51" s="128">
        <v>1.5</v>
      </c>
      <c r="D51" s="128">
        <v>1.51</v>
      </c>
      <c r="E51" s="128">
        <v>1.52</v>
      </c>
      <c r="F51" s="128">
        <v>1.54</v>
      </c>
      <c r="G51" s="128">
        <v>1.55</v>
      </c>
      <c r="H51" s="128">
        <v>1.57</v>
      </c>
      <c r="I51" s="128">
        <v>1.58</v>
      </c>
      <c r="J51" s="128">
        <v>1.59</v>
      </c>
      <c r="K51" s="128">
        <v>1.61</v>
      </c>
      <c r="L51" s="128">
        <v>1.62</v>
      </c>
      <c r="M51" s="128">
        <v>1.63</v>
      </c>
      <c r="N51" s="128">
        <v>1.64</v>
      </c>
      <c r="O51" s="128">
        <v>1.65</v>
      </c>
      <c r="P51" s="128">
        <v>1.67</v>
      </c>
      <c r="Q51" s="128">
        <v>1.68</v>
      </c>
      <c r="R51" s="128">
        <v>1.69</v>
      </c>
      <c r="S51" s="128">
        <v>1.7</v>
      </c>
      <c r="T51" s="128">
        <v>1.71</v>
      </c>
      <c r="U51" s="128">
        <v>1.72</v>
      </c>
      <c r="V51" s="128">
        <v>1.73</v>
      </c>
      <c r="W51" s="128">
        <v>1.74</v>
      </c>
      <c r="X51" s="128">
        <v>1.75</v>
      </c>
      <c r="Y51" s="128">
        <v>1.76</v>
      </c>
      <c r="Z51" s="128">
        <v>1.77</v>
      </c>
      <c r="AA51" s="128">
        <v>1.78</v>
      </c>
      <c r="AB51" s="128">
        <v>1.79</v>
      </c>
      <c r="AC51" s="128">
        <v>1.8</v>
      </c>
      <c r="AD51" s="128">
        <v>1.81</v>
      </c>
      <c r="AE51" s="128">
        <v>1.82</v>
      </c>
      <c r="AF51" s="128">
        <v>1.83</v>
      </c>
      <c r="AG51" s="128">
        <v>1.84</v>
      </c>
      <c r="AH51" s="128">
        <v>1.85</v>
      </c>
      <c r="AI51" s="128">
        <v>1.86</v>
      </c>
      <c r="AJ51" s="128">
        <v>1.87</v>
      </c>
      <c r="AK51" s="128">
        <v>1.87</v>
      </c>
      <c r="AL51" s="128">
        <v>1.88</v>
      </c>
      <c r="AM51" s="128">
        <v>1.89</v>
      </c>
      <c r="AN51" s="128">
        <v>1.9</v>
      </c>
      <c r="AO51" s="128">
        <v>1.91</v>
      </c>
      <c r="AP51" s="128">
        <v>1.91</v>
      </c>
      <c r="AQ51" s="128">
        <v>1.92</v>
      </c>
      <c r="AR51" s="128">
        <v>1.93</v>
      </c>
      <c r="AS51" s="128">
        <v>1.94</v>
      </c>
      <c r="AT51" s="128">
        <v>1.94</v>
      </c>
      <c r="AU51" s="128">
        <v>1.95</v>
      </c>
      <c r="AV51" s="128">
        <v>1.96</v>
      </c>
      <c r="AW51" s="128">
        <v>1.97</v>
      </c>
      <c r="AX51" s="128">
        <v>1.97</v>
      </c>
      <c r="AY51" s="128">
        <v>1.98</v>
      </c>
      <c r="AZ51" s="128">
        <v>1.99</v>
      </c>
      <c r="BA51" s="128">
        <v>1.99</v>
      </c>
      <c r="BB51" s="128">
        <v>2</v>
      </c>
      <c r="BC51" s="128">
        <v>2.0099999999999998</v>
      </c>
      <c r="BD51" s="128">
        <v>2.0099999999999998</v>
      </c>
      <c r="BE51" s="128">
        <v>2.02</v>
      </c>
      <c r="BF51" s="128">
        <v>2.0299999999999998</v>
      </c>
      <c r="BG51" s="128">
        <v>2.0299999999999998</v>
      </c>
      <c r="BH51" s="128">
        <v>2.04</v>
      </c>
      <c r="BI51" s="128">
        <v>2.0499999999999998</v>
      </c>
      <c r="BJ51" s="128">
        <v>2.06</v>
      </c>
      <c r="BK51" s="128">
        <v>2.06</v>
      </c>
      <c r="BL51" s="128">
        <v>2.0699999999999998</v>
      </c>
      <c r="BM51" s="128">
        <v>2.08</v>
      </c>
      <c r="BN51" s="128">
        <v>2.09</v>
      </c>
      <c r="BO51" s="128">
        <v>2.1</v>
      </c>
      <c r="BP51" s="128">
        <v>2.1</v>
      </c>
      <c r="BQ51" s="128">
        <v>2.11</v>
      </c>
      <c r="BR51" s="128">
        <v>2.12</v>
      </c>
      <c r="BS51" s="128">
        <v>2.13</v>
      </c>
      <c r="BT51" s="128">
        <v>2.14</v>
      </c>
      <c r="BU51" s="128">
        <v>2.15</v>
      </c>
      <c r="BV51" s="128">
        <v>2.16</v>
      </c>
      <c r="BW51" s="128">
        <v>2.17</v>
      </c>
      <c r="BX51" s="128">
        <v>2.17</v>
      </c>
      <c r="BY51" s="128">
        <v>2.1800000000000002</v>
      </c>
      <c r="BZ51" s="128">
        <v>2.19</v>
      </c>
      <c r="CA51" s="128">
        <v>2.2000000000000002</v>
      </c>
      <c r="CB51" s="128">
        <v>2.21</v>
      </c>
      <c r="CC51" s="128">
        <v>2.2200000000000002</v>
      </c>
      <c r="CD51" s="128">
        <v>2.23</v>
      </c>
      <c r="CE51" s="128">
        <v>2.2400000000000002</v>
      </c>
      <c r="CF51" s="128">
        <v>2.25</v>
      </c>
      <c r="CG51" s="128">
        <v>2.2599999999999998</v>
      </c>
      <c r="CH51" s="128">
        <v>2.2799999999999998</v>
      </c>
      <c r="CI51" s="128">
        <v>2.29</v>
      </c>
      <c r="CJ51" s="128">
        <v>2.2999999999999998</v>
      </c>
      <c r="CK51" s="128">
        <v>2.31</v>
      </c>
      <c r="CL51" s="128">
        <v>2.3199999999999998</v>
      </c>
      <c r="CM51" s="128">
        <v>2.33</v>
      </c>
      <c r="CN51" s="128">
        <v>2.35</v>
      </c>
      <c r="CO51" s="128">
        <v>2.36</v>
      </c>
      <c r="CP51" s="128">
        <v>2.37</v>
      </c>
      <c r="CQ51" s="128">
        <v>2.38</v>
      </c>
      <c r="CR51" s="128">
        <v>2.4</v>
      </c>
      <c r="CS51" s="128">
        <v>2.41</v>
      </c>
      <c r="CT51" s="128">
        <v>2.42</v>
      </c>
      <c r="CU51" s="128">
        <v>2.44</v>
      </c>
      <c r="CV51" s="128">
        <v>2.4500000000000002</v>
      </c>
      <c r="CW51" s="128">
        <v>2.4700000000000002</v>
      </c>
      <c r="CX51" s="128">
        <v>2.48</v>
      </c>
      <c r="CZ51" s="126">
        <f>SUMIF(MatrixF5[[1]:[2]],MatrixF5[[#This Row],[Столбец1]])/MatrixF5[[#This Row],[Столбец1]]</f>
        <v>38.999999999999964</v>
      </c>
      <c r="DA51" s="126">
        <f>SUMIF(MatrixF5[[1]:[2]],MatrixF5[[#This Row],[Столбец1]]+1)/(MatrixF5[[#This Row],[Столбец1]]+1)</f>
        <v>43.000000000000014</v>
      </c>
    </row>
    <row r="52" spans="1:105" ht="21" customHeight="1" x14ac:dyDescent="0.25">
      <c r="A52" s="127">
        <v>1.49</v>
      </c>
      <c r="B52" s="128">
        <v>1.49</v>
      </c>
      <c r="C52" s="128">
        <v>1.5</v>
      </c>
      <c r="D52" s="128">
        <v>1.52</v>
      </c>
      <c r="E52" s="128">
        <v>1.53</v>
      </c>
      <c r="F52" s="128">
        <v>1.55</v>
      </c>
      <c r="G52" s="128">
        <v>1.56</v>
      </c>
      <c r="H52" s="128">
        <v>1.58</v>
      </c>
      <c r="I52" s="128">
        <v>1.59</v>
      </c>
      <c r="J52" s="128">
        <v>1.6</v>
      </c>
      <c r="K52" s="128">
        <v>1.61</v>
      </c>
      <c r="L52" s="128">
        <v>1.63</v>
      </c>
      <c r="M52" s="128">
        <v>1.64</v>
      </c>
      <c r="N52" s="128">
        <v>1.65</v>
      </c>
      <c r="O52" s="128">
        <v>1.66</v>
      </c>
      <c r="P52" s="128">
        <v>1.68</v>
      </c>
      <c r="Q52" s="128">
        <v>1.69</v>
      </c>
      <c r="R52" s="128">
        <v>1.7</v>
      </c>
      <c r="S52" s="128">
        <v>1.71</v>
      </c>
      <c r="T52" s="128">
        <v>1.72</v>
      </c>
      <c r="U52" s="128">
        <v>1.73</v>
      </c>
      <c r="V52" s="128">
        <v>1.74</v>
      </c>
      <c r="W52" s="128">
        <v>1.75</v>
      </c>
      <c r="X52" s="128">
        <v>1.76</v>
      </c>
      <c r="Y52" s="128">
        <v>1.77</v>
      </c>
      <c r="Z52" s="128">
        <v>1.78</v>
      </c>
      <c r="AA52" s="128">
        <v>1.79</v>
      </c>
      <c r="AB52" s="128">
        <v>1.8</v>
      </c>
      <c r="AC52" s="128">
        <v>1.81</v>
      </c>
      <c r="AD52" s="128">
        <v>1.82</v>
      </c>
      <c r="AE52" s="128">
        <v>1.83</v>
      </c>
      <c r="AF52" s="128">
        <v>1.84</v>
      </c>
      <c r="AG52" s="128">
        <v>1.85</v>
      </c>
      <c r="AH52" s="128">
        <v>1.86</v>
      </c>
      <c r="AI52" s="128">
        <v>1.86</v>
      </c>
      <c r="AJ52" s="128">
        <v>1.87</v>
      </c>
      <c r="AK52" s="128">
        <v>1.88</v>
      </c>
      <c r="AL52" s="128">
        <v>1.89</v>
      </c>
      <c r="AM52" s="128">
        <v>1.9</v>
      </c>
      <c r="AN52" s="128">
        <v>1.91</v>
      </c>
      <c r="AO52" s="128">
        <v>1.91</v>
      </c>
      <c r="AP52" s="128">
        <v>1.92</v>
      </c>
      <c r="AQ52" s="128">
        <v>1.93</v>
      </c>
      <c r="AR52" s="128">
        <v>1.94</v>
      </c>
      <c r="AS52" s="128">
        <v>1.94</v>
      </c>
      <c r="AT52" s="128">
        <v>1.95</v>
      </c>
      <c r="AU52" s="128">
        <v>1.96</v>
      </c>
      <c r="AV52" s="128">
        <v>1.97</v>
      </c>
      <c r="AW52" s="128">
        <v>1.97</v>
      </c>
      <c r="AX52" s="128">
        <v>1.98</v>
      </c>
      <c r="AY52" s="128">
        <v>1.99</v>
      </c>
      <c r="AZ52" s="128">
        <v>1.99</v>
      </c>
      <c r="BA52" s="128">
        <v>2</v>
      </c>
      <c r="BB52" s="128">
        <v>2.0099999999999998</v>
      </c>
      <c r="BC52" s="128">
        <v>2.0099999999999998</v>
      </c>
      <c r="BD52" s="128">
        <v>2.02</v>
      </c>
      <c r="BE52" s="128">
        <v>2.0299999999999998</v>
      </c>
      <c r="BF52" s="128">
        <v>2.0299999999999998</v>
      </c>
      <c r="BG52" s="128">
        <v>2.04</v>
      </c>
      <c r="BH52" s="128">
        <v>2.0499999999999998</v>
      </c>
      <c r="BI52" s="128">
        <v>2.06</v>
      </c>
      <c r="BJ52" s="128">
        <v>2.06</v>
      </c>
      <c r="BK52" s="128">
        <v>2.0699999999999998</v>
      </c>
      <c r="BL52" s="128">
        <v>2.08</v>
      </c>
      <c r="BM52" s="128">
        <v>2.09</v>
      </c>
      <c r="BN52" s="128">
        <v>2.1</v>
      </c>
      <c r="BO52" s="128">
        <v>2.1</v>
      </c>
      <c r="BP52" s="128">
        <v>2.11</v>
      </c>
      <c r="BQ52" s="128">
        <v>2.12</v>
      </c>
      <c r="BR52" s="128">
        <v>2.13</v>
      </c>
      <c r="BS52" s="128">
        <v>2.14</v>
      </c>
      <c r="BT52" s="128">
        <v>2.15</v>
      </c>
      <c r="BU52" s="128">
        <v>2.16</v>
      </c>
      <c r="BV52" s="128">
        <v>2.16</v>
      </c>
      <c r="BW52" s="128">
        <v>2.17</v>
      </c>
      <c r="BX52" s="128">
        <v>2.1800000000000002</v>
      </c>
      <c r="BY52" s="128">
        <v>2.19</v>
      </c>
      <c r="BZ52" s="128">
        <v>2.2000000000000002</v>
      </c>
      <c r="CA52" s="128">
        <v>2.21</v>
      </c>
      <c r="CB52" s="128">
        <v>2.2200000000000002</v>
      </c>
      <c r="CC52" s="128">
        <v>2.23</v>
      </c>
      <c r="CD52" s="128">
        <v>2.2400000000000002</v>
      </c>
      <c r="CE52" s="128">
        <v>2.25</v>
      </c>
      <c r="CF52" s="128">
        <v>2.2599999999999998</v>
      </c>
      <c r="CG52" s="128">
        <v>2.27</v>
      </c>
      <c r="CH52" s="128">
        <v>2.2799999999999998</v>
      </c>
      <c r="CI52" s="128">
        <v>2.2999999999999998</v>
      </c>
      <c r="CJ52" s="128">
        <v>2.31</v>
      </c>
      <c r="CK52" s="128">
        <v>2.3199999999999998</v>
      </c>
      <c r="CL52" s="128">
        <v>2.33</v>
      </c>
      <c r="CM52" s="128">
        <v>2.34</v>
      </c>
      <c r="CN52" s="128">
        <v>2.35</v>
      </c>
      <c r="CO52" s="128">
        <v>2.37</v>
      </c>
      <c r="CP52" s="128">
        <v>2.38</v>
      </c>
      <c r="CQ52" s="128">
        <v>2.39</v>
      </c>
      <c r="CR52" s="128">
        <v>2.41</v>
      </c>
      <c r="CS52" s="128">
        <v>2.42</v>
      </c>
      <c r="CT52" s="128">
        <v>2.4300000000000002</v>
      </c>
      <c r="CU52" s="128">
        <v>2.4500000000000002</v>
      </c>
      <c r="CV52" s="128">
        <v>2.46</v>
      </c>
      <c r="CW52" s="128">
        <v>2.48</v>
      </c>
      <c r="CX52" s="128">
        <v>2.4900000000000002</v>
      </c>
      <c r="CZ52" s="126">
        <f>SUMIF(MatrixF5[[1]:[2]],MatrixF5[[#This Row],[Столбец1]])/MatrixF5[[#This Row],[Столбец1]]</f>
        <v>40.000000000000014</v>
      </c>
      <c r="DA52" s="126">
        <f>SUMIF(MatrixF5[[1]:[2]],MatrixF5[[#This Row],[Столбец1]]+1)/(MatrixF5[[#This Row],[Столбец1]]+1)</f>
        <v>41.999999999999979</v>
      </c>
    </row>
    <row r="53" spans="1:105" ht="21" customHeight="1" x14ac:dyDescent="0.25">
      <c r="A53" s="127">
        <v>1.5</v>
      </c>
      <c r="B53" s="128">
        <v>1.5</v>
      </c>
      <c r="C53" s="128">
        <v>1.51</v>
      </c>
      <c r="D53" s="128">
        <v>1.53</v>
      </c>
      <c r="E53" s="128">
        <v>1.54</v>
      </c>
      <c r="F53" s="128">
        <v>1.56</v>
      </c>
      <c r="G53" s="128">
        <v>1.57</v>
      </c>
      <c r="H53" s="128">
        <v>1.58</v>
      </c>
      <c r="I53" s="128">
        <v>1.6</v>
      </c>
      <c r="J53" s="128">
        <v>1.61</v>
      </c>
      <c r="K53" s="128">
        <v>1.62</v>
      </c>
      <c r="L53" s="128">
        <v>1.64</v>
      </c>
      <c r="M53" s="128">
        <v>1.65</v>
      </c>
      <c r="N53" s="128">
        <v>1.66</v>
      </c>
      <c r="O53" s="128">
        <v>1.67</v>
      </c>
      <c r="P53" s="128">
        <v>1.68</v>
      </c>
      <c r="Q53" s="128">
        <v>1.7</v>
      </c>
      <c r="R53" s="128">
        <v>1.71</v>
      </c>
      <c r="S53" s="128">
        <v>1.72</v>
      </c>
      <c r="T53" s="128">
        <v>1.73</v>
      </c>
      <c r="U53" s="128">
        <v>1.74</v>
      </c>
      <c r="V53" s="128">
        <v>1.75</v>
      </c>
      <c r="W53" s="128">
        <v>1.76</v>
      </c>
      <c r="X53" s="128">
        <v>1.77</v>
      </c>
      <c r="Y53" s="128">
        <v>1.78</v>
      </c>
      <c r="Z53" s="128">
        <v>1.79</v>
      </c>
      <c r="AA53" s="128">
        <v>1.8</v>
      </c>
      <c r="AB53" s="128">
        <v>1.81</v>
      </c>
      <c r="AC53" s="128">
        <v>1.82</v>
      </c>
      <c r="AD53" s="128">
        <v>1.83</v>
      </c>
      <c r="AE53" s="128">
        <v>1.84</v>
      </c>
      <c r="AF53" s="128">
        <v>1.85</v>
      </c>
      <c r="AG53" s="128">
        <v>1.85</v>
      </c>
      <c r="AH53" s="128">
        <v>1.86</v>
      </c>
      <c r="AI53" s="128">
        <v>1.87</v>
      </c>
      <c r="AJ53" s="128">
        <v>1.88</v>
      </c>
      <c r="AK53" s="128">
        <v>1.89</v>
      </c>
      <c r="AL53" s="128">
        <v>1.9</v>
      </c>
      <c r="AM53" s="128">
        <v>1.91</v>
      </c>
      <c r="AN53" s="128">
        <v>1.91</v>
      </c>
      <c r="AO53" s="128">
        <v>1.92</v>
      </c>
      <c r="AP53" s="128">
        <v>1.93</v>
      </c>
      <c r="AQ53" s="128">
        <v>1.94</v>
      </c>
      <c r="AR53" s="128">
        <v>1.94</v>
      </c>
      <c r="AS53" s="128">
        <v>1.95</v>
      </c>
      <c r="AT53" s="128">
        <v>1.96</v>
      </c>
      <c r="AU53" s="128">
        <v>1.97</v>
      </c>
      <c r="AV53" s="128">
        <v>1.97</v>
      </c>
      <c r="AW53" s="128">
        <v>1.98</v>
      </c>
      <c r="AX53" s="128">
        <v>1.99</v>
      </c>
      <c r="AY53" s="128">
        <v>1.99</v>
      </c>
      <c r="AZ53" s="128">
        <v>2</v>
      </c>
      <c r="BA53" s="128">
        <v>2.0099999999999998</v>
      </c>
      <c r="BB53" s="128">
        <v>2.0099999999999998</v>
      </c>
      <c r="BC53" s="128">
        <v>2.02</v>
      </c>
      <c r="BD53" s="128">
        <v>2.0299999999999998</v>
      </c>
      <c r="BE53" s="128">
        <v>2.0299999999999998</v>
      </c>
      <c r="BF53" s="128">
        <v>2.04</v>
      </c>
      <c r="BG53" s="128">
        <v>2.0499999999999998</v>
      </c>
      <c r="BH53" s="128">
        <v>2.06</v>
      </c>
      <c r="BI53" s="128">
        <v>2.06</v>
      </c>
      <c r="BJ53" s="128">
        <v>2.0699999999999998</v>
      </c>
      <c r="BK53" s="128">
        <v>2.08</v>
      </c>
      <c r="BL53" s="128">
        <v>2.09</v>
      </c>
      <c r="BM53" s="128">
        <v>2.09</v>
      </c>
      <c r="BN53" s="128">
        <v>2.1</v>
      </c>
      <c r="BO53" s="128">
        <v>2.11</v>
      </c>
      <c r="BP53" s="128">
        <v>2.12</v>
      </c>
      <c r="BQ53" s="128">
        <v>2.13</v>
      </c>
      <c r="BR53" s="128">
        <v>2.14</v>
      </c>
      <c r="BS53" s="128">
        <v>2.15</v>
      </c>
      <c r="BT53" s="128">
        <v>2.15</v>
      </c>
      <c r="BU53" s="128">
        <v>2.16</v>
      </c>
      <c r="BV53" s="128">
        <v>2.17</v>
      </c>
      <c r="BW53" s="128">
        <v>2.1800000000000002</v>
      </c>
      <c r="BX53" s="128">
        <v>2.19</v>
      </c>
      <c r="BY53" s="128">
        <v>2.2000000000000002</v>
      </c>
      <c r="BZ53" s="128">
        <v>2.21</v>
      </c>
      <c r="CA53" s="128">
        <v>2.2200000000000002</v>
      </c>
      <c r="CB53" s="128">
        <v>2.23</v>
      </c>
      <c r="CC53" s="128">
        <v>2.2400000000000002</v>
      </c>
      <c r="CD53" s="128">
        <v>2.25</v>
      </c>
      <c r="CE53" s="128">
        <v>2.2599999999999998</v>
      </c>
      <c r="CF53" s="128">
        <v>2.27</v>
      </c>
      <c r="CG53" s="128">
        <v>2.2799999999999998</v>
      </c>
      <c r="CH53" s="128">
        <v>2.29</v>
      </c>
      <c r="CI53" s="128">
        <v>2.2999999999999998</v>
      </c>
      <c r="CJ53" s="128">
        <v>2.3199999999999998</v>
      </c>
      <c r="CK53" s="128">
        <v>2.33</v>
      </c>
      <c r="CL53" s="128">
        <v>2.34</v>
      </c>
      <c r="CM53" s="128">
        <v>2.35</v>
      </c>
      <c r="CN53" s="128">
        <v>2.36</v>
      </c>
      <c r="CO53" s="128">
        <v>2.38</v>
      </c>
      <c r="CP53" s="128">
        <v>2.39</v>
      </c>
      <c r="CQ53" s="128">
        <v>2.4</v>
      </c>
      <c r="CR53" s="128">
        <v>2.42</v>
      </c>
      <c r="CS53" s="128">
        <v>2.4300000000000002</v>
      </c>
      <c r="CT53" s="128">
        <v>2.44</v>
      </c>
      <c r="CU53" s="128">
        <v>2.46</v>
      </c>
      <c r="CV53" s="128">
        <v>2.4700000000000002</v>
      </c>
      <c r="CW53" s="128">
        <v>2.4900000000000002</v>
      </c>
      <c r="CX53" s="128">
        <v>2.5</v>
      </c>
      <c r="CZ53" s="126">
        <f>SUMIF(MatrixF5[[1]:[2]],MatrixF5[[#This Row],[Столбец1]])/MatrixF5[[#This Row],[Столбец1]]</f>
        <v>61</v>
      </c>
      <c r="DA53" s="126">
        <f>SUMIF(MatrixF5[[1]:[2]],MatrixF5[[#This Row],[Столбец1]]+1)/(MatrixF5[[#This Row],[Столбец1]]+1)</f>
        <v>61</v>
      </c>
    </row>
    <row r="54" spans="1:105" ht="21" customHeight="1" x14ac:dyDescent="0.25">
      <c r="A54" s="127">
        <v>1.51</v>
      </c>
      <c r="B54" s="128">
        <v>1.51</v>
      </c>
      <c r="C54" s="128">
        <v>1.52</v>
      </c>
      <c r="D54" s="128">
        <v>1.54</v>
      </c>
      <c r="E54" s="128">
        <v>1.55</v>
      </c>
      <c r="F54" s="128">
        <v>1.57</v>
      </c>
      <c r="G54" s="128">
        <v>1.58</v>
      </c>
      <c r="H54" s="128">
        <v>1.59</v>
      </c>
      <c r="I54" s="128">
        <v>1.61</v>
      </c>
      <c r="J54" s="128">
        <v>1.62</v>
      </c>
      <c r="K54" s="128">
        <v>1.63</v>
      </c>
      <c r="L54" s="128">
        <v>1.65</v>
      </c>
      <c r="M54" s="128">
        <v>1.66</v>
      </c>
      <c r="N54" s="128">
        <v>1.67</v>
      </c>
      <c r="O54" s="128">
        <v>1.68</v>
      </c>
      <c r="P54" s="128">
        <v>1.69</v>
      </c>
      <c r="Q54" s="128">
        <v>1.7</v>
      </c>
      <c r="R54" s="128">
        <v>1.72</v>
      </c>
      <c r="S54" s="128">
        <v>1.73</v>
      </c>
      <c r="T54" s="128">
        <v>1.74</v>
      </c>
      <c r="U54" s="128">
        <v>1.75</v>
      </c>
      <c r="V54" s="128">
        <v>1.76</v>
      </c>
      <c r="W54" s="128">
        <v>1.77</v>
      </c>
      <c r="X54" s="128">
        <v>1.78</v>
      </c>
      <c r="Y54" s="128">
        <v>1.79</v>
      </c>
      <c r="Z54" s="128">
        <v>1.8</v>
      </c>
      <c r="AA54" s="128">
        <v>1.81</v>
      </c>
      <c r="AB54" s="128">
        <v>1.82</v>
      </c>
      <c r="AC54" s="128">
        <v>1.83</v>
      </c>
      <c r="AD54" s="128">
        <v>1.84</v>
      </c>
      <c r="AE54" s="128">
        <v>1.84</v>
      </c>
      <c r="AF54" s="128">
        <v>1.85</v>
      </c>
      <c r="AG54" s="128">
        <v>1.86</v>
      </c>
      <c r="AH54" s="128">
        <v>1.87</v>
      </c>
      <c r="AI54" s="128">
        <v>1.88</v>
      </c>
      <c r="AJ54" s="128">
        <v>1.89</v>
      </c>
      <c r="AK54" s="128">
        <v>1.9</v>
      </c>
      <c r="AL54" s="128">
        <v>1.9</v>
      </c>
      <c r="AM54" s="128">
        <v>1.91</v>
      </c>
      <c r="AN54" s="128">
        <v>1.92</v>
      </c>
      <c r="AO54" s="128">
        <v>1.93</v>
      </c>
      <c r="AP54" s="128">
        <v>1.94</v>
      </c>
      <c r="AQ54" s="128">
        <v>1.94</v>
      </c>
      <c r="AR54" s="128">
        <v>1.95</v>
      </c>
      <c r="AS54" s="128">
        <v>1.96</v>
      </c>
      <c r="AT54" s="128">
        <v>1.97</v>
      </c>
      <c r="AU54" s="128">
        <v>1.97</v>
      </c>
      <c r="AV54" s="128">
        <v>1.98</v>
      </c>
      <c r="AW54" s="128">
        <v>1.99</v>
      </c>
      <c r="AX54" s="128">
        <v>1.99</v>
      </c>
      <c r="AY54" s="128">
        <v>2</v>
      </c>
      <c r="AZ54" s="128">
        <v>2.0099999999999998</v>
      </c>
      <c r="BA54" s="128">
        <v>2.0099999999999998</v>
      </c>
      <c r="BB54" s="128">
        <v>2.02</v>
      </c>
      <c r="BC54" s="128">
        <v>2.0299999999999998</v>
      </c>
      <c r="BD54" s="128">
        <v>2.0299999999999998</v>
      </c>
      <c r="BE54" s="128">
        <v>2.04</v>
      </c>
      <c r="BF54" s="128">
        <v>2.0499999999999998</v>
      </c>
      <c r="BG54" s="128">
        <v>2.06</v>
      </c>
      <c r="BH54" s="128">
        <v>2.06</v>
      </c>
      <c r="BI54" s="128">
        <v>2.0699999999999998</v>
      </c>
      <c r="BJ54" s="128">
        <v>2.08</v>
      </c>
      <c r="BK54" s="128">
        <v>2.09</v>
      </c>
      <c r="BL54" s="128">
        <v>2.09</v>
      </c>
      <c r="BM54" s="128">
        <v>2.1</v>
      </c>
      <c r="BN54" s="128">
        <v>2.11</v>
      </c>
      <c r="BO54" s="128">
        <v>2.12</v>
      </c>
      <c r="BP54" s="128">
        <v>2.13</v>
      </c>
      <c r="BQ54" s="128">
        <v>2.14</v>
      </c>
      <c r="BR54" s="128">
        <v>2.14</v>
      </c>
      <c r="BS54" s="128">
        <v>2.15</v>
      </c>
      <c r="BT54" s="128">
        <v>2.16</v>
      </c>
      <c r="BU54" s="128">
        <v>2.17</v>
      </c>
      <c r="BV54" s="128">
        <v>2.1800000000000002</v>
      </c>
      <c r="BW54" s="128">
        <v>2.19</v>
      </c>
      <c r="BX54" s="128">
        <v>2.2000000000000002</v>
      </c>
      <c r="BY54" s="128">
        <v>2.21</v>
      </c>
      <c r="BZ54" s="128">
        <v>2.2200000000000002</v>
      </c>
      <c r="CA54" s="128">
        <v>2.23</v>
      </c>
      <c r="CB54" s="128">
        <v>2.2400000000000002</v>
      </c>
      <c r="CC54" s="128">
        <v>2.25</v>
      </c>
      <c r="CD54" s="128">
        <v>2.2599999999999998</v>
      </c>
      <c r="CE54" s="128">
        <v>2.27</v>
      </c>
      <c r="CF54" s="128">
        <v>2.2799999999999998</v>
      </c>
      <c r="CG54" s="128">
        <v>2.29</v>
      </c>
      <c r="CH54" s="128">
        <v>2.2999999999999998</v>
      </c>
      <c r="CI54" s="128">
        <v>2.31</v>
      </c>
      <c r="CJ54" s="128">
        <v>2.3199999999999998</v>
      </c>
      <c r="CK54" s="128">
        <v>2.34</v>
      </c>
      <c r="CL54" s="128">
        <v>2.35</v>
      </c>
      <c r="CM54" s="128">
        <v>2.36</v>
      </c>
      <c r="CN54" s="128">
        <v>2.37</v>
      </c>
      <c r="CO54" s="128">
        <v>2.39</v>
      </c>
      <c r="CP54" s="128">
        <v>2.4</v>
      </c>
      <c r="CQ54" s="128">
        <v>2.41</v>
      </c>
      <c r="CR54" s="128">
        <v>2.42</v>
      </c>
      <c r="CS54" s="128">
        <v>2.44</v>
      </c>
      <c r="CT54" s="128">
        <v>2.4500000000000002</v>
      </c>
      <c r="CU54" s="128">
        <v>2.4700000000000002</v>
      </c>
      <c r="CV54" s="128">
        <v>2.48</v>
      </c>
      <c r="CW54" s="128">
        <v>2.5</v>
      </c>
      <c r="CX54" s="128">
        <v>2.5099999999999998</v>
      </c>
      <c r="CZ54" s="126">
        <f>SUMIF(MatrixF5[[1]:[2]],MatrixF5[[#This Row],[Столбец1]])/MatrixF5[[#This Row],[Столбец1]]</f>
        <v>41.999999999999979</v>
      </c>
      <c r="DA54" s="126">
        <f>SUMIF(MatrixF5[[1]:[2]],MatrixF5[[#This Row],[Столбец1]]+1)/(MatrixF5[[#This Row],[Столбец1]]+1)</f>
        <v>40.000000000000014</v>
      </c>
    </row>
    <row r="55" spans="1:105" ht="21" customHeight="1" x14ac:dyDescent="0.25">
      <c r="A55" s="127">
        <v>1.52</v>
      </c>
      <c r="B55" s="128">
        <v>1.52</v>
      </c>
      <c r="C55" s="128">
        <v>1.53</v>
      </c>
      <c r="D55" s="128">
        <v>1.55</v>
      </c>
      <c r="E55" s="128">
        <v>1.56</v>
      </c>
      <c r="F55" s="128">
        <v>1.58</v>
      </c>
      <c r="G55" s="128">
        <v>1.59</v>
      </c>
      <c r="H55" s="128">
        <v>1.6</v>
      </c>
      <c r="I55" s="128">
        <v>1.62</v>
      </c>
      <c r="J55" s="128">
        <v>1.63</v>
      </c>
      <c r="K55" s="128">
        <v>1.64</v>
      </c>
      <c r="L55" s="128">
        <v>1.65</v>
      </c>
      <c r="M55" s="128">
        <v>1.67</v>
      </c>
      <c r="N55" s="128">
        <v>1.68</v>
      </c>
      <c r="O55" s="128">
        <v>1.69</v>
      </c>
      <c r="P55" s="128">
        <v>1.7</v>
      </c>
      <c r="Q55" s="128">
        <v>1.71</v>
      </c>
      <c r="R55" s="128">
        <v>1.72</v>
      </c>
      <c r="S55" s="128">
        <v>1.74</v>
      </c>
      <c r="T55" s="128">
        <v>1.75</v>
      </c>
      <c r="U55" s="128">
        <v>1.76</v>
      </c>
      <c r="V55" s="128">
        <v>1.77</v>
      </c>
      <c r="W55" s="128">
        <v>1.78</v>
      </c>
      <c r="X55" s="128">
        <v>1.79</v>
      </c>
      <c r="Y55" s="128">
        <v>1.8</v>
      </c>
      <c r="Z55" s="128">
        <v>1.81</v>
      </c>
      <c r="AA55" s="128">
        <v>1.82</v>
      </c>
      <c r="AB55" s="128">
        <v>1.83</v>
      </c>
      <c r="AC55" s="128">
        <v>1.83</v>
      </c>
      <c r="AD55" s="128">
        <v>1.84</v>
      </c>
      <c r="AE55" s="128">
        <v>1.85</v>
      </c>
      <c r="AF55" s="128">
        <v>1.86</v>
      </c>
      <c r="AG55" s="128">
        <v>1.87</v>
      </c>
      <c r="AH55" s="128">
        <v>1.88</v>
      </c>
      <c r="AI55" s="128">
        <v>1.89</v>
      </c>
      <c r="AJ55" s="128">
        <v>1.9</v>
      </c>
      <c r="AK55" s="128">
        <v>1.9</v>
      </c>
      <c r="AL55" s="128">
        <v>1.91</v>
      </c>
      <c r="AM55" s="128">
        <v>1.92</v>
      </c>
      <c r="AN55" s="128">
        <v>1.93</v>
      </c>
      <c r="AO55" s="128">
        <v>1.94</v>
      </c>
      <c r="AP55" s="128">
        <v>1.94</v>
      </c>
      <c r="AQ55" s="128">
        <v>1.95</v>
      </c>
      <c r="AR55" s="128">
        <v>1.96</v>
      </c>
      <c r="AS55" s="128">
        <v>1.97</v>
      </c>
      <c r="AT55" s="128">
        <v>1.97</v>
      </c>
      <c r="AU55" s="128">
        <v>1.98</v>
      </c>
      <c r="AV55" s="128">
        <v>1.99</v>
      </c>
      <c r="AW55" s="128">
        <v>1.99</v>
      </c>
      <c r="AX55" s="128">
        <v>2</v>
      </c>
      <c r="AY55" s="128">
        <v>2.0099999999999998</v>
      </c>
      <c r="AZ55" s="128">
        <v>2.0099999999999998</v>
      </c>
      <c r="BA55" s="128">
        <v>2.02</v>
      </c>
      <c r="BB55" s="128">
        <v>2.0299999999999998</v>
      </c>
      <c r="BC55" s="128">
        <v>2.0299999999999998</v>
      </c>
      <c r="BD55" s="128">
        <v>2.04</v>
      </c>
      <c r="BE55" s="128">
        <v>2.0499999999999998</v>
      </c>
      <c r="BF55" s="128">
        <v>2.06</v>
      </c>
      <c r="BG55" s="128">
        <v>2.06</v>
      </c>
      <c r="BH55" s="128">
        <v>2.0699999999999998</v>
      </c>
      <c r="BI55" s="128">
        <v>2.08</v>
      </c>
      <c r="BJ55" s="128">
        <v>2.09</v>
      </c>
      <c r="BK55" s="128">
        <v>2.09</v>
      </c>
      <c r="BL55" s="128">
        <v>2.1</v>
      </c>
      <c r="BM55" s="128">
        <v>2.11</v>
      </c>
      <c r="BN55" s="128">
        <v>2.12</v>
      </c>
      <c r="BO55" s="128">
        <v>2.13</v>
      </c>
      <c r="BP55" s="128">
        <v>2.13</v>
      </c>
      <c r="BQ55" s="128">
        <v>2.14</v>
      </c>
      <c r="BR55" s="128">
        <v>2.15</v>
      </c>
      <c r="BS55" s="128">
        <v>2.16</v>
      </c>
      <c r="BT55" s="128">
        <v>2.17</v>
      </c>
      <c r="BU55" s="128">
        <v>2.1800000000000002</v>
      </c>
      <c r="BV55" s="128">
        <v>2.19</v>
      </c>
      <c r="BW55" s="128">
        <v>2.2000000000000002</v>
      </c>
      <c r="BX55" s="128">
        <v>2.21</v>
      </c>
      <c r="BY55" s="128">
        <v>2.2200000000000002</v>
      </c>
      <c r="BZ55" s="128">
        <v>2.23</v>
      </c>
      <c r="CA55" s="128">
        <v>2.2400000000000002</v>
      </c>
      <c r="CB55" s="128">
        <v>2.25</v>
      </c>
      <c r="CC55" s="128">
        <v>2.2599999999999998</v>
      </c>
      <c r="CD55" s="128">
        <v>2.27</v>
      </c>
      <c r="CE55" s="128">
        <v>2.2799999999999998</v>
      </c>
      <c r="CF55" s="128">
        <v>2.29</v>
      </c>
      <c r="CG55" s="128">
        <v>2.2999999999999998</v>
      </c>
      <c r="CH55" s="128">
        <v>2.31</v>
      </c>
      <c r="CI55" s="128">
        <v>2.3199999999999998</v>
      </c>
      <c r="CJ55" s="128">
        <v>2.33</v>
      </c>
      <c r="CK55" s="128">
        <v>2.35</v>
      </c>
      <c r="CL55" s="128">
        <v>2.36</v>
      </c>
      <c r="CM55" s="128">
        <v>2.37</v>
      </c>
      <c r="CN55" s="128">
        <v>2.38</v>
      </c>
      <c r="CO55" s="128">
        <v>2.39</v>
      </c>
      <c r="CP55" s="128">
        <v>2.41</v>
      </c>
      <c r="CQ55" s="128">
        <v>2.42</v>
      </c>
      <c r="CR55" s="128">
        <v>2.4300000000000002</v>
      </c>
      <c r="CS55" s="128">
        <v>2.4500000000000002</v>
      </c>
      <c r="CT55" s="128">
        <v>2.46</v>
      </c>
      <c r="CU55" s="128">
        <v>2.48</v>
      </c>
      <c r="CV55" s="128">
        <v>2.4900000000000002</v>
      </c>
      <c r="CW55" s="128">
        <v>2.5</v>
      </c>
      <c r="CX55" s="128">
        <v>2.52</v>
      </c>
      <c r="CZ55" s="126">
        <f>SUMIF(MatrixF5[[1]:[2]],MatrixF5[[#This Row],[Столбец1]])/MatrixF5[[#This Row],[Столбец1]]</f>
        <v>45.000000000000028</v>
      </c>
      <c r="DA55" s="126">
        <f>SUMIF(MatrixF5[[1]:[2]],MatrixF5[[#This Row],[Столбец1]]+1)/(MatrixF5[[#This Row],[Столбец1]]+1)</f>
        <v>38.999999999999993</v>
      </c>
    </row>
    <row r="56" spans="1:105" ht="21" customHeight="1" x14ac:dyDescent="0.25">
      <c r="A56" s="127">
        <v>1.53</v>
      </c>
      <c r="B56" s="128">
        <v>1.53</v>
      </c>
      <c r="C56" s="128">
        <v>1.54</v>
      </c>
      <c r="D56" s="128">
        <v>1.56</v>
      </c>
      <c r="E56" s="128">
        <v>1.57</v>
      </c>
      <c r="F56" s="128">
        <v>1.59</v>
      </c>
      <c r="G56" s="128">
        <v>1.6</v>
      </c>
      <c r="H56" s="128">
        <v>1.61</v>
      </c>
      <c r="I56" s="128">
        <v>1.63</v>
      </c>
      <c r="J56" s="128">
        <v>1.64</v>
      </c>
      <c r="K56" s="128">
        <v>1.65</v>
      </c>
      <c r="L56" s="128">
        <v>1.66</v>
      </c>
      <c r="M56" s="128">
        <v>1.68</v>
      </c>
      <c r="N56" s="128">
        <v>1.69</v>
      </c>
      <c r="O56" s="128">
        <v>1.7</v>
      </c>
      <c r="P56" s="128">
        <v>1.71</v>
      </c>
      <c r="Q56" s="128">
        <v>1.72</v>
      </c>
      <c r="R56" s="128">
        <v>1.73</v>
      </c>
      <c r="S56" s="128">
        <v>1.74</v>
      </c>
      <c r="T56" s="128">
        <v>1.75</v>
      </c>
      <c r="U56" s="128">
        <v>1.76</v>
      </c>
      <c r="V56" s="128">
        <v>1.78</v>
      </c>
      <c r="W56" s="128">
        <v>1.79</v>
      </c>
      <c r="X56" s="128">
        <v>1.8</v>
      </c>
      <c r="Y56" s="128">
        <v>1.8</v>
      </c>
      <c r="Z56" s="128">
        <v>1.81</v>
      </c>
      <c r="AA56" s="128">
        <v>1.82</v>
      </c>
      <c r="AB56" s="128">
        <v>1.83</v>
      </c>
      <c r="AC56" s="128">
        <v>1.84</v>
      </c>
      <c r="AD56" s="128">
        <v>1.85</v>
      </c>
      <c r="AE56" s="128">
        <v>1.86</v>
      </c>
      <c r="AF56" s="128">
        <v>1.87</v>
      </c>
      <c r="AG56" s="128">
        <v>1.88</v>
      </c>
      <c r="AH56" s="128">
        <v>1.89</v>
      </c>
      <c r="AI56" s="128">
        <v>1.89</v>
      </c>
      <c r="AJ56" s="128">
        <v>1.9</v>
      </c>
      <c r="AK56" s="128">
        <v>1.91</v>
      </c>
      <c r="AL56" s="128">
        <v>1.92</v>
      </c>
      <c r="AM56" s="128">
        <v>1.93</v>
      </c>
      <c r="AN56" s="128">
        <v>1.93</v>
      </c>
      <c r="AO56" s="128">
        <v>1.94</v>
      </c>
      <c r="AP56" s="128">
        <v>1.95</v>
      </c>
      <c r="AQ56" s="128">
        <v>1.96</v>
      </c>
      <c r="AR56" s="128">
        <v>1.96</v>
      </c>
      <c r="AS56" s="128">
        <v>1.97</v>
      </c>
      <c r="AT56" s="128">
        <v>1.98</v>
      </c>
      <c r="AU56" s="128">
        <v>1.99</v>
      </c>
      <c r="AV56" s="128">
        <v>1.99</v>
      </c>
      <c r="AW56" s="128">
        <v>2</v>
      </c>
      <c r="AX56" s="128">
        <v>2.0099999999999998</v>
      </c>
      <c r="AY56" s="128">
        <v>2.0099999999999998</v>
      </c>
      <c r="AZ56" s="128">
        <v>2.02</v>
      </c>
      <c r="BA56" s="128">
        <v>2.0299999999999998</v>
      </c>
      <c r="BB56" s="128">
        <v>2.0299999999999998</v>
      </c>
      <c r="BC56" s="128">
        <v>2.04</v>
      </c>
      <c r="BD56" s="128">
        <v>2.0499999999999998</v>
      </c>
      <c r="BE56" s="128">
        <v>2.06</v>
      </c>
      <c r="BF56" s="128">
        <v>2.06</v>
      </c>
      <c r="BG56" s="128">
        <v>2.0699999999999998</v>
      </c>
      <c r="BH56" s="128">
        <v>2.08</v>
      </c>
      <c r="BI56" s="128">
        <v>2.09</v>
      </c>
      <c r="BJ56" s="128">
        <v>2.09</v>
      </c>
      <c r="BK56" s="128">
        <v>2.1</v>
      </c>
      <c r="BL56" s="128">
        <v>2.11</v>
      </c>
      <c r="BM56" s="128">
        <v>2.12</v>
      </c>
      <c r="BN56" s="128">
        <v>2.12</v>
      </c>
      <c r="BO56" s="128">
        <v>2.13</v>
      </c>
      <c r="BP56" s="128">
        <v>2.14</v>
      </c>
      <c r="BQ56" s="128">
        <v>2.15</v>
      </c>
      <c r="BR56" s="128">
        <v>2.16</v>
      </c>
      <c r="BS56" s="128">
        <v>2.17</v>
      </c>
      <c r="BT56" s="128">
        <v>2.1800000000000002</v>
      </c>
      <c r="BU56" s="128">
        <v>2.19</v>
      </c>
      <c r="BV56" s="128">
        <v>2.2000000000000002</v>
      </c>
      <c r="BW56" s="128">
        <v>2.2000000000000002</v>
      </c>
      <c r="BX56" s="128">
        <v>2.21</v>
      </c>
      <c r="BY56" s="128">
        <v>2.2200000000000002</v>
      </c>
      <c r="BZ56" s="128">
        <v>2.23</v>
      </c>
      <c r="CA56" s="128">
        <v>2.2400000000000002</v>
      </c>
      <c r="CB56" s="128">
        <v>2.25</v>
      </c>
      <c r="CC56" s="128">
        <v>2.2599999999999998</v>
      </c>
      <c r="CD56" s="128">
        <v>2.27</v>
      </c>
      <c r="CE56" s="128">
        <v>2.29</v>
      </c>
      <c r="CF56" s="128">
        <v>2.2999999999999998</v>
      </c>
      <c r="CG56" s="128">
        <v>2.31</v>
      </c>
      <c r="CH56" s="128">
        <v>2.3199999999999998</v>
      </c>
      <c r="CI56" s="128">
        <v>2.33</v>
      </c>
      <c r="CJ56" s="128">
        <v>2.34</v>
      </c>
      <c r="CK56" s="128">
        <v>2.35</v>
      </c>
      <c r="CL56" s="128">
        <v>2.37</v>
      </c>
      <c r="CM56" s="128">
        <v>2.38</v>
      </c>
      <c r="CN56" s="128">
        <v>2.39</v>
      </c>
      <c r="CO56" s="128">
        <v>2.4</v>
      </c>
      <c r="CP56" s="128">
        <v>2.42</v>
      </c>
      <c r="CQ56" s="128">
        <v>2.4300000000000002</v>
      </c>
      <c r="CR56" s="128">
        <v>2.44</v>
      </c>
      <c r="CS56" s="128">
        <v>2.46</v>
      </c>
      <c r="CT56" s="128">
        <v>2.4700000000000002</v>
      </c>
      <c r="CU56" s="128">
        <v>2.4900000000000002</v>
      </c>
      <c r="CV56" s="128">
        <v>2.5</v>
      </c>
      <c r="CW56" s="128">
        <v>2.5099999999999998</v>
      </c>
      <c r="CX56" s="128">
        <v>2.5299999999999998</v>
      </c>
      <c r="CZ56" s="126">
        <f>SUMIF(MatrixF5[[1]:[2]],MatrixF5[[#This Row],[Столбец1]])/MatrixF5[[#This Row],[Столбец1]]</f>
        <v>48.000000000000028</v>
      </c>
      <c r="DA56" s="126">
        <f>SUMIF(MatrixF5[[1]:[2]],MatrixF5[[#This Row],[Столбец1]]+1)/(MatrixF5[[#This Row],[Столбец1]]+1)</f>
        <v>42.000000000000007</v>
      </c>
    </row>
    <row r="57" spans="1:105" ht="21" customHeight="1" x14ac:dyDescent="0.25">
      <c r="A57" s="127">
        <v>1.54</v>
      </c>
      <c r="B57" s="128">
        <v>1.54</v>
      </c>
      <c r="C57" s="128">
        <v>1.55</v>
      </c>
      <c r="D57" s="128">
        <v>1.57</v>
      </c>
      <c r="E57" s="128">
        <v>1.58</v>
      </c>
      <c r="F57" s="128">
        <v>1.6</v>
      </c>
      <c r="G57" s="128">
        <v>1.61</v>
      </c>
      <c r="H57" s="128">
        <v>1.62</v>
      </c>
      <c r="I57" s="128">
        <v>1.64</v>
      </c>
      <c r="J57" s="128">
        <v>1.65</v>
      </c>
      <c r="K57" s="128">
        <v>1.66</v>
      </c>
      <c r="L57" s="128">
        <v>1.67</v>
      </c>
      <c r="M57" s="128">
        <v>1.68</v>
      </c>
      <c r="N57" s="128">
        <v>1.7</v>
      </c>
      <c r="O57" s="128">
        <v>1.71</v>
      </c>
      <c r="P57" s="128">
        <v>1.72</v>
      </c>
      <c r="Q57" s="128">
        <v>1.73</v>
      </c>
      <c r="R57" s="128">
        <v>1.74</v>
      </c>
      <c r="S57" s="128">
        <v>1.75</v>
      </c>
      <c r="T57" s="128">
        <v>1.76</v>
      </c>
      <c r="U57" s="128">
        <v>1.77</v>
      </c>
      <c r="V57" s="128">
        <v>1.78</v>
      </c>
      <c r="W57" s="128">
        <v>1.79</v>
      </c>
      <c r="X57" s="128">
        <v>1.8</v>
      </c>
      <c r="Y57" s="128">
        <v>1.81</v>
      </c>
      <c r="Z57" s="128">
        <v>1.82</v>
      </c>
      <c r="AA57" s="128">
        <v>1.83</v>
      </c>
      <c r="AB57" s="128">
        <v>1.84</v>
      </c>
      <c r="AC57" s="128">
        <v>1.85</v>
      </c>
      <c r="AD57" s="128">
        <v>1.86</v>
      </c>
      <c r="AE57" s="128">
        <v>1.87</v>
      </c>
      <c r="AF57" s="128">
        <v>1.88</v>
      </c>
      <c r="AG57" s="128">
        <v>1.89</v>
      </c>
      <c r="AH57" s="128">
        <v>1.89</v>
      </c>
      <c r="AI57" s="128">
        <v>1.9</v>
      </c>
      <c r="AJ57" s="128">
        <v>1.91</v>
      </c>
      <c r="AK57" s="128">
        <v>1.92</v>
      </c>
      <c r="AL57" s="128">
        <v>1.93</v>
      </c>
      <c r="AM57" s="128">
        <v>1.93</v>
      </c>
      <c r="AN57" s="128">
        <v>1.94</v>
      </c>
      <c r="AO57" s="128">
        <v>1.95</v>
      </c>
      <c r="AP57" s="128">
        <v>1.96</v>
      </c>
      <c r="AQ57" s="128">
        <v>1.96</v>
      </c>
      <c r="AR57" s="128">
        <v>1.97</v>
      </c>
      <c r="AS57" s="128">
        <v>1.98</v>
      </c>
      <c r="AT57" s="128">
        <v>1.99</v>
      </c>
      <c r="AU57" s="128">
        <v>1.99</v>
      </c>
      <c r="AV57" s="128">
        <v>2</v>
      </c>
      <c r="AW57" s="128">
        <v>2.0099999999999998</v>
      </c>
      <c r="AX57" s="128">
        <v>2.0099999999999998</v>
      </c>
      <c r="AY57" s="128">
        <v>2.02</v>
      </c>
      <c r="AZ57" s="128">
        <v>2.0299999999999998</v>
      </c>
      <c r="BA57" s="128">
        <v>2.0299999999999998</v>
      </c>
      <c r="BB57" s="128">
        <v>2.04</v>
      </c>
      <c r="BC57" s="128">
        <v>2.0499999999999998</v>
      </c>
      <c r="BD57" s="128">
        <v>2.0499999999999998</v>
      </c>
      <c r="BE57" s="128">
        <v>2.06</v>
      </c>
      <c r="BF57" s="128">
        <v>2.0699999999999998</v>
      </c>
      <c r="BG57" s="128">
        <v>2.08</v>
      </c>
      <c r="BH57" s="128">
        <v>2.08</v>
      </c>
      <c r="BI57" s="128">
        <v>2.09</v>
      </c>
      <c r="BJ57" s="128">
        <v>2.1</v>
      </c>
      <c r="BK57" s="128">
        <v>2.11</v>
      </c>
      <c r="BL57" s="128">
        <v>2.12</v>
      </c>
      <c r="BM57" s="128">
        <v>2.12</v>
      </c>
      <c r="BN57" s="128">
        <v>2.13</v>
      </c>
      <c r="BO57" s="128">
        <v>2.14</v>
      </c>
      <c r="BP57" s="128">
        <v>2.15</v>
      </c>
      <c r="BQ57" s="128">
        <v>2.16</v>
      </c>
      <c r="BR57" s="128">
        <v>2.17</v>
      </c>
      <c r="BS57" s="128">
        <v>2.1800000000000002</v>
      </c>
      <c r="BT57" s="128">
        <v>2.1800000000000002</v>
      </c>
      <c r="BU57" s="128">
        <v>2.19</v>
      </c>
      <c r="BV57" s="128">
        <v>2.2000000000000002</v>
      </c>
      <c r="BW57" s="128">
        <v>2.21</v>
      </c>
      <c r="BX57" s="128">
        <v>2.2200000000000002</v>
      </c>
      <c r="BY57" s="128">
        <v>2.23</v>
      </c>
      <c r="BZ57" s="128">
        <v>2.2400000000000002</v>
      </c>
      <c r="CA57" s="128">
        <v>2.25</v>
      </c>
      <c r="CB57" s="128">
        <v>2.2599999999999998</v>
      </c>
      <c r="CC57" s="128">
        <v>2.27</v>
      </c>
      <c r="CD57" s="128">
        <v>2.2799999999999998</v>
      </c>
      <c r="CE57" s="128">
        <v>2.29</v>
      </c>
      <c r="CF57" s="128">
        <v>2.31</v>
      </c>
      <c r="CG57" s="128">
        <v>2.3199999999999998</v>
      </c>
      <c r="CH57" s="128">
        <v>2.33</v>
      </c>
      <c r="CI57" s="128">
        <v>2.34</v>
      </c>
      <c r="CJ57" s="128">
        <v>2.35</v>
      </c>
      <c r="CK57" s="128">
        <v>2.36</v>
      </c>
      <c r="CL57" s="128">
        <v>2.38</v>
      </c>
      <c r="CM57" s="128">
        <v>2.39</v>
      </c>
      <c r="CN57" s="128">
        <v>2.4</v>
      </c>
      <c r="CO57" s="128">
        <v>2.41</v>
      </c>
      <c r="CP57" s="128">
        <v>2.4300000000000002</v>
      </c>
      <c r="CQ57" s="128">
        <v>2.44</v>
      </c>
      <c r="CR57" s="128">
        <v>2.4500000000000002</v>
      </c>
      <c r="CS57" s="128">
        <v>2.4700000000000002</v>
      </c>
      <c r="CT57" s="128">
        <v>2.48</v>
      </c>
      <c r="CU57" s="128">
        <v>2.5</v>
      </c>
      <c r="CV57" s="128">
        <v>2.5099999999999998</v>
      </c>
      <c r="CW57" s="128">
        <v>2.52</v>
      </c>
      <c r="CX57" s="128">
        <v>2.54</v>
      </c>
      <c r="CZ57" s="126">
        <f>SUMIF(MatrixF5[[1]:[2]],MatrixF5[[#This Row],[Столбец1]])/MatrixF5[[#This Row],[Столбец1]]</f>
        <v>49.000000000000014</v>
      </c>
      <c r="DA57" s="126">
        <f>SUMIF(MatrixF5[[1]:[2]],MatrixF5[[#This Row],[Столбец1]]+1)/(MatrixF5[[#This Row],[Столбец1]]+1)</f>
        <v>41.000000000000036</v>
      </c>
    </row>
    <row r="58" spans="1:105" ht="21" customHeight="1" x14ac:dyDescent="0.25">
      <c r="A58" s="127">
        <v>1.55</v>
      </c>
      <c r="B58" s="128">
        <v>1.55</v>
      </c>
      <c r="C58" s="128">
        <v>1.56</v>
      </c>
      <c r="D58" s="128">
        <v>1.58</v>
      </c>
      <c r="E58" s="128">
        <v>1.59</v>
      </c>
      <c r="F58" s="128">
        <v>1.61</v>
      </c>
      <c r="G58" s="128">
        <v>1.62</v>
      </c>
      <c r="H58" s="128">
        <v>1.63</v>
      </c>
      <c r="I58" s="128">
        <v>1.64</v>
      </c>
      <c r="J58" s="128">
        <v>1.66</v>
      </c>
      <c r="K58" s="128">
        <v>1.67</v>
      </c>
      <c r="L58" s="128">
        <v>1.68</v>
      </c>
      <c r="M58" s="128">
        <v>1.69</v>
      </c>
      <c r="N58" s="128">
        <v>1.71</v>
      </c>
      <c r="O58" s="128">
        <v>1.72</v>
      </c>
      <c r="P58" s="128">
        <v>1.73</v>
      </c>
      <c r="Q58" s="128">
        <v>1.74</v>
      </c>
      <c r="R58" s="128">
        <v>1.75</v>
      </c>
      <c r="S58" s="128">
        <v>1.76</v>
      </c>
      <c r="T58" s="128">
        <v>1.77</v>
      </c>
      <c r="U58" s="128">
        <v>1.78</v>
      </c>
      <c r="V58" s="128">
        <v>1.79</v>
      </c>
      <c r="W58" s="128">
        <v>1.8</v>
      </c>
      <c r="X58" s="128">
        <v>1.81</v>
      </c>
      <c r="Y58" s="128">
        <v>1.82</v>
      </c>
      <c r="Z58" s="128">
        <v>1.83</v>
      </c>
      <c r="AA58" s="128">
        <v>1.84</v>
      </c>
      <c r="AB58" s="128">
        <v>1.85</v>
      </c>
      <c r="AC58" s="128">
        <v>1.86</v>
      </c>
      <c r="AD58" s="128">
        <v>1.87</v>
      </c>
      <c r="AE58" s="128">
        <v>1.88</v>
      </c>
      <c r="AF58" s="128">
        <v>1.88</v>
      </c>
      <c r="AG58" s="128">
        <v>1.89</v>
      </c>
      <c r="AH58" s="128">
        <v>1.9</v>
      </c>
      <c r="AI58" s="128">
        <v>1.91</v>
      </c>
      <c r="AJ58" s="128">
        <v>1.92</v>
      </c>
      <c r="AK58" s="128">
        <v>1.93</v>
      </c>
      <c r="AL58" s="128">
        <v>1.93</v>
      </c>
      <c r="AM58" s="128">
        <v>1.94</v>
      </c>
      <c r="AN58" s="128">
        <v>1.95</v>
      </c>
      <c r="AO58" s="128">
        <v>1.96</v>
      </c>
      <c r="AP58" s="128">
        <v>1.96</v>
      </c>
      <c r="AQ58" s="128">
        <v>1.97</v>
      </c>
      <c r="AR58" s="128">
        <v>1.98</v>
      </c>
      <c r="AS58" s="128">
        <v>1.99</v>
      </c>
      <c r="AT58" s="128">
        <v>1.99</v>
      </c>
      <c r="AU58" s="128">
        <v>2</v>
      </c>
      <c r="AV58" s="128">
        <v>2.0099999999999998</v>
      </c>
      <c r="AW58" s="128">
        <v>2.0099999999999998</v>
      </c>
      <c r="AX58" s="128">
        <v>2.02</v>
      </c>
      <c r="AY58" s="128">
        <v>2.0299999999999998</v>
      </c>
      <c r="AZ58" s="128">
        <v>2.0299999999999998</v>
      </c>
      <c r="BA58" s="128">
        <v>2.04</v>
      </c>
      <c r="BB58" s="128">
        <v>2.0499999999999998</v>
      </c>
      <c r="BC58" s="128">
        <v>2.06</v>
      </c>
      <c r="BD58" s="128">
        <v>2.06</v>
      </c>
      <c r="BE58" s="128">
        <v>2.0699999999999998</v>
      </c>
      <c r="BF58" s="128">
        <v>2.08</v>
      </c>
      <c r="BG58" s="128">
        <v>2.08</v>
      </c>
      <c r="BH58" s="128">
        <v>2.09</v>
      </c>
      <c r="BI58" s="128">
        <v>2.1</v>
      </c>
      <c r="BJ58" s="128">
        <v>2.11</v>
      </c>
      <c r="BK58" s="128">
        <v>2.12</v>
      </c>
      <c r="BL58" s="128">
        <v>2.12</v>
      </c>
      <c r="BM58" s="128">
        <v>2.13</v>
      </c>
      <c r="BN58" s="128">
        <v>2.14</v>
      </c>
      <c r="BO58" s="128">
        <v>2.15</v>
      </c>
      <c r="BP58" s="128">
        <v>2.16</v>
      </c>
      <c r="BQ58" s="128">
        <v>2.17</v>
      </c>
      <c r="BR58" s="128">
        <v>2.17</v>
      </c>
      <c r="BS58" s="128">
        <v>2.1800000000000002</v>
      </c>
      <c r="BT58" s="128">
        <v>2.19</v>
      </c>
      <c r="BU58" s="128">
        <v>2.2000000000000002</v>
      </c>
      <c r="BV58" s="128">
        <v>2.21</v>
      </c>
      <c r="BW58" s="128">
        <v>2.2200000000000002</v>
      </c>
      <c r="BX58" s="128">
        <v>2.23</v>
      </c>
      <c r="BY58" s="128">
        <v>2.2400000000000002</v>
      </c>
      <c r="BZ58" s="128">
        <v>2.25</v>
      </c>
      <c r="CA58" s="128">
        <v>2.2599999999999998</v>
      </c>
      <c r="CB58" s="128">
        <v>2.27</v>
      </c>
      <c r="CC58" s="128">
        <v>2.2799999999999998</v>
      </c>
      <c r="CD58" s="128">
        <v>2.29</v>
      </c>
      <c r="CE58" s="128">
        <v>2.2999999999999998</v>
      </c>
      <c r="CF58" s="128">
        <v>2.31</v>
      </c>
      <c r="CG58" s="128">
        <v>2.3199999999999998</v>
      </c>
      <c r="CH58" s="128">
        <v>2.34</v>
      </c>
      <c r="CI58" s="128">
        <v>2.35</v>
      </c>
      <c r="CJ58" s="128">
        <v>2.36</v>
      </c>
      <c r="CK58" s="128">
        <v>2.37</v>
      </c>
      <c r="CL58" s="128">
        <v>2.38</v>
      </c>
      <c r="CM58" s="128">
        <v>2.4</v>
      </c>
      <c r="CN58" s="128">
        <v>2.41</v>
      </c>
      <c r="CO58" s="128">
        <v>2.42</v>
      </c>
      <c r="CP58" s="128">
        <v>2.44</v>
      </c>
      <c r="CQ58" s="128">
        <v>2.4500000000000002</v>
      </c>
      <c r="CR58" s="128">
        <v>2.46</v>
      </c>
      <c r="CS58" s="128">
        <v>2.48</v>
      </c>
      <c r="CT58" s="128">
        <v>2.4900000000000002</v>
      </c>
      <c r="CU58" s="128">
        <v>2.5</v>
      </c>
      <c r="CV58" s="128">
        <v>2.52</v>
      </c>
      <c r="CW58" s="128">
        <v>2.5299999999999998</v>
      </c>
      <c r="CX58" s="128">
        <v>2.5499999999999998</v>
      </c>
      <c r="CZ58" s="126">
        <f>SUMIF(MatrixF5[[1]:[2]],MatrixF5[[#This Row],[Столбец1]])/MatrixF5[[#This Row],[Столбец1]]</f>
        <v>51.99999999999995</v>
      </c>
      <c r="DA58" s="126">
        <f>SUMIF(MatrixF5[[1]:[2]],MatrixF5[[#This Row],[Столбец1]]+1)/(MatrixF5[[#This Row],[Столбец1]]+1)</f>
        <v>37.999999999999979</v>
      </c>
    </row>
    <row r="59" spans="1:105" ht="21" customHeight="1" x14ac:dyDescent="0.25">
      <c r="A59" s="127">
        <v>1.56</v>
      </c>
      <c r="B59" s="128">
        <v>1.56</v>
      </c>
      <c r="C59" s="128">
        <v>1.57</v>
      </c>
      <c r="D59" s="128">
        <v>1.59</v>
      </c>
      <c r="E59" s="128">
        <v>1.6</v>
      </c>
      <c r="F59" s="128">
        <v>1.62</v>
      </c>
      <c r="G59" s="128">
        <v>1.63</v>
      </c>
      <c r="H59" s="128">
        <v>1.64</v>
      </c>
      <c r="I59" s="128">
        <v>1.65</v>
      </c>
      <c r="J59" s="128">
        <v>1.67</v>
      </c>
      <c r="K59" s="128">
        <v>1.68</v>
      </c>
      <c r="L59" s="128">
        <v>1.69</v>
      </c>
      <c r="M59" s="128">
        <v>1.7</v>
      </c>
      <c r="N59" s="128">
        <v>1.71</v>
      </c>
      <c r="O59" s="128">
        <v>1.73</v>
      </c>
      <c r="P59" s="128">
        <v>1.74</v>
      </c>
      <c r="Q59" s="128">
        <v>1.75</v>
      </c>
      <c r="R59" s="128">
        <v>1.76</v>
      </c>
      <c r="S59" s="128">
        <v>1.77</v>
      </c>
      <c r="T59" s="128">
        <v>1.78</v>
      </c>
      <c r="U59" s="128">
        <v>1.79</v>
      </c>
      <c r="V59" s="128">
        <v>1.8</v>
      </c>
      <c r="W59" s="128">
        <v>1.81</v>
      </c>
      <c r="X59" s="128">
        <v>1.82</v>
      </c>
      <c r="Y59" s="128">
        <v>1.83</v>
      </c>
      <c r="Z59" s="128">
        <v>1.84</v>
      </c>
      <c r="AA59" s="128">
        <v>1.85</v>
      </c>
      <c r="AB59" s="128">
        <v>1.86</v>
      </c>
      <c r="AC59" s="128">
        <v>1.87</v>
      </c>
      <c r="AD59" s="128">
        <v>1.88</v>
      </c>
      <c r="AE59" s="128">
        <v>1.88</v>
      </c>
      <c r="AF59" s="128">
        <v>1.89</v>
      </c>
      <c r="AG59" s="128">
        <v>1.9</v>
      </c>
      <c r="AH59" s="128">
        <v>1.91</v>
      </c>
      <c r="AI59" s="128">
        <v>1.92</v>
      </c>
      <c r="AJ59" s="128">
        <v>1.93</v>
      </c>
      <c r="AK59" s="128">
        <v>1.93</v>
      </c>
      <c r="AL59" s="128">
        <v>1.94</v>
      </c>
      <c r="AM59" s="128">
        <v>1.95</v>
      </c>
      <c r="AN59" s="128">
        <v>1.96</v>
      </c>
      <c r="AO59" s="128">
        <v>1.96</v>
      </c>
      <c r="AP59" s="128">
        <v>1.97</v>
      </c>
      <c r="AQ59" s="128">
        <v>1.98</v>
      </c>
      <c r="AR59" s="128">
        <v>1.99</v>
      </c>
      <c r="AS59" s="128">
        <v>1.99</v>
      </c>
      <c r="AT59" s="128">
        <v>2</v>
      </c>
      <c r="AU59" s="128">
        <v>2.0099999999999998</v>
      </c>
      <c r="AV59" s="128">
        <v>2.0099999999999998</v>
      </c>
      <c r="AW59" s="128">
        <v>2.02</v>
      </c>
      <c r="AX59" s="128">
        <v>2.0299999999999998</v>
      </c>
      <c r="AY59" s="128">
        <v>2.0299999999999998</v>
      </c>
      <c r="AZ59" s="128">
        <v>2.04</v>
      </c>
      <c r="BA59" s="128">
        <v>2.0499999999999998</v>
      </c>
      <c r="BB59" s="128">
        <v>2.06</v>
      </c>
      <c r="BC59" s="128">
        <v>2.06</v>
      </c>
      <c r="BD59" s="128">
        <v>2.0699999999999998</v>
      </c>
      <c r="BE59" s="128">
        <v>2.08</v>
      </c>
      <c r="BF59" s="128">
        <v>2.08</v>
      </c>
      <c r="BG59" s="128">
        <v>2.09</v>
      </c>
      <c r="BH59" s="128">
        <v>2.1</v>
      </c>
      <c r="BI59" s="128">
        <v>2.11</v>
      </c>
      <c r="BJ59" s="128">
        <v>2.11</v>
      </c>
      <c r="BK59" s="128">
        <v>2.12</v>
      </c>
      <c r="BL59" s="128">
        <v>2.13</v>
      </c>
      <c r="BM59" s="128">
        <v>2.14</v>
      </c>
      <c r="BN59" s="128">
        <v>2.15</v>
      </c>
      <c r="BO59" s="128">
        <v>2.16</v>
      </c>
      <c r="BP59" s="128">
        <v>2.16</v>
      </c>
      <c r="BQ59" s="128">
        <v>2.17</v>
      </c>
      <c r="BR59" s="128">
        <v>2.1800000000000002</v>
      </c>
      <c r="BS59" s="128">
        <v>2.19</v>
      </c>
      <c r="BT59" s="128">
        <v>2.2000000000000002</v>
      </c>
      <c r="BU59" s="128">
        <v>2.21</v>
      </c>
      <c r="BV59" s="128">
        <v>2.2200000000000002</v>
      </c>
      <c r="BW59" s="128">
        <v>2.23</v>
      </c>
      <c r="BX59" s="128">
        <v>2.2400000000000002</v>
      </c>
      <c r="BY59" s="128">
        <v>2.25</v>
      </c>
      <c r="BZ59" s="128">
        <v>2.2599999999999998</v>
      </c>
      <c r="CA59" s="128">
        <v>2.27</v>
      </c>
      <c r="CB59" s="128">
        <v>2.2799999999999998</v>
      </c>
      <c r="CC59" s="128">
        <v>2.29</v>
      </c>
      <c r="CD59" s="128">
        <v>2.2999999999999998</v>
      </c>
      <c r="CE59" s="128">
        <v>2.31</v>
      </c>
      <c r="CF59" s="128">
        <v>2.3199999999999998</v>
      </c>
      <c r="CG59" s="128">
        <v>2.33</v>
      </c>
      <c r="CH59" s="128">
        <v>2.34</v>
      </c>
      <c r="CI59" s="128">
        <v>2.36</v>
      </c>
      <c r="CJ59" s="128">
        <v>2.37</v>
      </c>
      <c r="CK59" s="128">
        <v>2.38</v>
      </c>
      <c r="CL59" s="128">
        <v>2.39</v>
      </c>
      <c r="CM59" s="128">
        <v>2.41</v>
      </c>
      <c r="CN59" s="128">
        <v>2.42</v>
      </c>
      <c r="CO59" s="128">
        <v>2.4300000000000002</v>
      </c>
      <c r="CP59" s="128">
        <v>2.44</v>
      </c>
      <c r="CQ59" s="128">
        <v>2.46</v>
      </c>
      <c r="CR59" s="128">
        <v>2.4700000000000002</v>
      </c>
      <c r="CS59" s="128">
        <v>2.4900000000000002</v>
      </c>
      <c r="CT59" s="128">
        <v>2.5</v>
      </c>
      <c r="CU59" s="128">
        <v>2.5099999999999998</v>
      </c>
      <c r="CV59" s="128">
        <v>2.5299999999999998</v>
      </c>
      <c r="CW59" s="128">
        <v>2.54</v>
      </c>
      <c r="CX59" s="128">
        <v>2.56</v>
      </c>
      <c r="CZ59" s="126">
        <f>SUMIF(MatrixF5[[1]:[2]],MatrixF5[[#This Row],[Столбец1]])/MatrixF5[[#This Row],[Столбец1]]</f>
        <v>51.000000000000036</v>
      </c>
      <c r="DA59" s="126">
        <f>SUMIF(MatrixF5[[1]:[2]],MatrixF5[[#This Row],[Столбец1]]+1)/(MatrixF5[[#This Row],[Столбец1]]+1)</f>
        <v>39.000000000000014</v>
      </c>
    </row>
    <row r="60" spans="1:105" ht="21" customHeight="1" x14ac:dyDescent="0.25">
      <c r="A60" s="127">
        <v>1.57</v>
      </c>
      <c r="B60" s="128">
        <v>1.57</v>
      </c>
      <c r="C60" s="128">
        <v>1.58</v>
      </c>
      <c r="D60" s="128">
        <v>1.6</v>
      </c>
      <c r="E60" s="128">
        <v>1.61</v>
      </c>
      <c r="F60" s="128">
        <v>1.62</v>
      </c>
      <c r="G60" s="128">
        <v>1.64</v>
      </c>
      <c r="H60" s="128">
        <v>1.65</v>
      </c>
      <c r="I60" s="128">
        <v>1.66</v>
      </c>
      <c r="J60" s="128">
        <v>1.68</v>
      </c>
      <c r="K60" s="128">
        <v>1.69</v>
      </c>
      <c r="L60" s="128">
        <v>1.7</v>
      </c>
      <c r="M60" s="128">
        <v>1.71</v>
      </c>
      <c r="N60" s="128">
        <v>1.72</v>
      </c>
      <c r="O60" s="128">
        <v>1.73</v>
      </c>
      <c r="P60" s="128">
        <v>1.75</v>
      </c>
      <c r="Q60" s="128">
        <v>1.76</v>
      </c>
      <c r="R60" s="128">
        <v>1.77</v>
      </c>
      <c r="S60" s="128">
        <v>1.78</v>
      </c>
      <c r="T60" s="128">
        <v>1.79</v>
      </c>
      <c r="U60" s="128">
        <v>1.8</v>
      </c>
      <c r="V60" s="128">
        <v>1.81</v>
      </c>
      <c r="W60" s="128">
        <v>1.82</v>
      </c>
      <c r="X60" s="128">
        <v>1.83</v>
      </c>
      <c r="Y60" s="128">
        <v>1.84</v>
      </c>
      <c r="Z60" s="128">
        <v>1.85</v>
      </c>
      <c r="AA60" s="128">
        <v>1.86</v>
      </c>
      <c r="AB60" s="128">
        <v>1.87</v>
      </c>
      <c r="AC60" s="128">
        <v>1.87</v>
      </c>
      <c r="AD60" s="128">
        <v>1.88</v>
      </c>
      <c r="AE60" s="128">
        <v>1.89</v>
      </c>
      <c r="AF60" s="128">
        <v>1.9</v>
      </c>
      <c r="AG60" s="128">
        <v>1.91</v>
      </c>
      <c r="AH60" s="128">
        <v>1.92</v>
      </c>
      <c r="AI60" s="128">
        <v>1.92</v>
      </c>
      <c r="AJ60" s="128">
        <v>1.93</v>
      </c>
      <c r="AK60" s="128">
        <v>1.94</v>
      </c>
      <c r="AL60" s="128">
        <v>1.95</v>
      </c>
      <c r="AM60" s="128">
        <v>1.96</v>
      </c>
      <c r="AN60" s="128">
        <v>1.96</v>
      </c>
      <c r="AO60" s="128">
        <v>1.97</v>
      </c>
      <c r="AP60" s="128">
        <v>1.98</v>
      </c>
      <c r="AQ60" s="128">
        <v>1.99</v>
      </c>
      <c r="AR60" s="128">
        <v>1.99</v>
      </c>
      <c r="AS60" s="128">
        <v>2</v>
      </c>
      <c r="AT60" s="128">
        <v>2.0099999999999998</v>
      </c>
      <c r="AU60" s="128">
        <v>2.0099999999999998</v>
      </c>
      <c r="AV60" s="128">
        <v>2.02</v>
      </c>
      <c r="AW60" s="128">
        <v>2.0299999999999998</v>
      </c>
      <c r="AX60" s="128">
        <v>2.0299999999999998</v>
      </c>
      <c r="AY60" s="128">
        <v>2.04</v>
      </c>
      <c r="AZ60" s="128">
        <v>2.0499999999999998</v>
      </c>
      <c r="BA60" s="128">
        <v>2.06</v>
      </c>
      <c r="BB60" s="128">
        <v>2.06</v>
      </c>
      <c r="BC60" s="128">
        <v>2.0699999999999998</v>
      </c>
      <c r="BD60" s="128">
        <v>2.08</v>
      </c>
      <c r="BE60" s="128">
        <v>2.08</v>
      </c>
      <c r="BF60" s="128">
        <v>2.09</v>
      </c>
      <c r="BG60" s="128">
        <v>2.1</v>
      </c>
      <c r="BH60" s="128">
        <v>2.11</v>
      </c>
      <c r="BI60" s="128">
        <v>2.11</v>
      </c>
      <c r="BJ60" s="128">
        <v>2.12</v>
      </c>
      <c r="BK60" s="128">
        <v>2.13</v>
      </c>
      <c r="BL60" s="128">
        <v>2.14</v>
      </c>
      <c r="BM60" s="128">
        <v>2.15</v>
      </c>
      <c r="BN60" s="128">
        <v>2.15</v>
      </c>
      <c r="BO60" s="128">
        <v>2.16</v>
      </c>
      <c r="BP60" s="128">
        <v>2.17</v>
      </c>
      <c r="BQ60" s="128">
        <v>2.1800000000000002</v>
      </c>
      <c r="BR60" s="128">
        <v>2.19</v>
      </c>
      <c r="BS60" s="128">
        <v>2.2000000000000002</v>
      </c>
      <c r="BT60" s="128">
        <v>2.21</v>
      </c>
      <c r="BU60" s="128">
        <v>2.2200000000000002</v>
      </c>
      <c r="BV60" s="128">
        <v>2.23</v>
      </c>
      <c r="BW60" s="128">
        <v>2.2400000000000002</v>
      </c>
      <c r="BX60" s="128">
        <v>2.25</v>
      </c>
      <c r="BY60" s="128">
        <v>2.2599999999999998</v>
      </c>
      <c r="BZ60" s="128">
        <v>2.27</v>
      </c>
      <c r="CA60" s="128">
        <v>2.2799999999999998</v>
      </c>
      <c r="CB60" s="128">
        <v>2.29</v>
      </c>
      <c r="CC60" s="128">
        <v>2.2999999999999998</v>
      </c>
      <c r="CD60" s="128">
        <v>2.31</v>
      </c>
      <c r="CE60" s="128">
        <v>2.3199999999999998</v>
      </c>
      <c r="CF60" s="128">
        <v>2.33</v>
      </c>
      <c r="CG60" s="128">
        <v>2.34</v>
      </c>
      <c r="CH60" s="128">
        <v>2.35</v>
      </c>
      <c r="CI60" s="128">
        <v>2.37</v>
      </c>
      <c r="CJ60" s="128">
        <v>2.38</v>
      </c>
      <c r="CK60" s="128">
        <v>2.39</v>
      </c>
      <c r="CL60" s="128">
        <v>2.4</v>
      </c>
      <c r="CM60" s="128">
        <v>2.41</v>
      </c>
      <c r="CN60" s="128">
        <v>2.4300000000000002</v>
      </c>
      <c r="CO60" s="128">
        <v>2.44</v>
      </c>
      <c r="CP60" s="128">
        <v>2.4500000000000002</v>
      </c>
      <c r="CQ60" s="128">
        <v>2.4700000000000002</v>
      </c>
      <c r="CR60" s="128">
        <v>2.48</v>
      </c>
      <c r="CS60" s="128">
        <v>2.5</v>
      </c>
      <c r="CT60" s="128">
        <v>2.5099999999999998</v>
      </c>
      <c r="CU60" s="128">
        <v>2.52</v>
      </c>
      <c r="CV60" s="128">
        <v>2.54</v>
      </c>
      <c r="CW60" s="128">
        <v>2.5499999999999998</v>
      </c>
      <c r="CX60" s="128">
        <v>2.57</v>
      </c>
      <c r="CZ60" s="126">
        <f>SUMIF(MatrixF5[[1]:[2]],MatrixF5[[#This Row],[Столбец1]])/MatrixF5[[#This Row],[Столбец1]]</f>
        <v>51.99999999999995</v>
      </c>
      <c r="DA60" s="126">
        <f>SUMIF(MatrixF5[[1]:[2]],MatrixF5[[#This Row],[Столбец1]]+1)/(MatrixF5[[#This Row],[Столбец1]]+1)</f>
        <v>35.999999999999964</v>
      </c>
    </row>
    <row r="61" spans="1:105" ht="21" customHeight="1" x14ac:dyDescent="0.25">
      <c r="A61" s="127">
        <v>1.58</v>
      </c>
      <c r="B61" s="128">
        <v>1.58</v>
      </c>
      <c r="C61" s="128">
        <v>1.59</v>
      </c>
      <c r="D61" s="128">
        <v>1.61</v>
      </c>
      <c r="E61" s="128">
        <v>1.62</v>
      </c>
      <c r="F61" s="128">
        <v>1.63</v>
      </c>
      <c r="G61" s="128">
        <v>1.65</v>
      </c>
      <c r="H61" s="128">
        <v>1.66</v>
      </c>
      <c r="I61" s="128">
        <v>1.67</v>
      </c>
      <c r="J61" s="128">
        <v>1.69</v>
      </c>
      <c r="K61" s="128">
        <v>1.7</v>
      </c>
      <c r="L61" s="128">
        <v>1.71</v>
      </c>
      <c r="M61" s="128">
        <v>1.72</v>
      </c>
      <c r="N61" s="128">
        <v>1.73</v>
      </c>
      <c r="O61" s="128">
        <v>1.74</v>
      </c>
      <c r="P61" s="128">
        <v>1.75</v>
      </c>
      <c r="Q61" s="128">
        <v>1.77</v>
      </c>
      <c r="R61" s="128">
        <v>1.78</v>
      </c>
      <c r="S61" s="128">
        <v>1.79</v>
      </c>
      <c r="T61" s="128">
        <v>1.8</v>
      </c>
      <c r="U61" s="128">
        <v>1.81</v>
      </c>
      <c r="V61" s="128">
        <v>1.82</v>
      </c>
      <c r="W61" s="128">
        <v>1.83</v>
      </c>
      <c r="X61" s="128">
        <v>1.84</v>
      </c>
      <c r="Y61" s="128">
        <v>1.85</v>
      </c>
      <c r="Z61" s="128">
        <v>1.85</v>
      </c>
      <c r="AA61" s="128">
        <v>1.86</v>
      </c>
      <c r="AB61" s="128">
        <v>1.87</v>
      </c>
      <c r="AC61" s="128">
        <v>1.88</v>
      </c>
      <c r="AD61" s="128">
        <v>1.89</v>
      </c>
      <c r="AE61" s="128">
        <v>1.9</v>
      </c>
      <c r="AF61" s="128">
        <v>1.91</v>
      </c>
      <c r="AG61" s="128">
        <v>1.92</v>
      </c>
      <c r="AH61" s="128">
        <v>1.92</v>
      </c>
      <c r="AI61" s="128">
        <v>1.93</v>
      </c>
      <c r="AJ61" s="128">
        <v>1.94</v>
      </c>
      <c r="AK61" s="128">
        <v>1.95</v>
      </c>
      <c r="AL61" s="128">
        <v>1.96</v>
      </c>
      <c r="AM61" s="128">
        <v>1.96</v>
      </c>
      <c r="AN61" s="128">
        <v>1.97</v>
      </c>
      <c r="AO61" s="128">
        <v>1.98</v>
      </c>
      <c r="AP61" s="128">
        <v>1.99</v>
      </c>
      <c r="AQ61" s="128">
        <v>1.99</v>
      </c>
      <c r="AR61" s="128">
        <v>2</v>
      </c>
      <c r="AS61" s="128">
        <v>2.0099999999999998</v>
      </c>
      <c r="AT61" s="128">
        <v>2.0099999999999998</v>
      </c>
      <c r="AU61" s="128">
        <v>2.02</v>
      </c>
      <c r="AV61" s="128">
        <v>2.0299999999999998</v>
      </c>
      <c r="AW61" s="128">
        <v>2.04</v>
      </c>
      <c r="AX61" s="128">
        <v>2.04</v>
      </c>
      <c r="AY61" s="128">
        <v>2.0499999999999998</v>
      </c>
      <c r="AZ61" s="128">
        <v>2.06</v>
      </c>
      <c r="BA61" s="128">
        <v>2.06</v>
      </c>
      <c r="BB61" s="128">
        <v>2.0699999999999998</v>
      </c>
      <c r="BC61" s="128">
        <v>2.08</v>
      </c>
      <c r="BD61" s="128">
        <v>2.08</v>
      </c>
      <c r="BE61" s="128">
        <v>2.09</v>
      </c>
      <c r="BF61" s="128">
        <v>2.1</v>
      </c>
      <c r="BG61" s="128">
        <v>2.11</v>
      </c>
      <c r="BH61" s="128">
        <v>2.11</v>
      </c>
      <c r="BI61" s="128">
        <v>2.12</v>
      </c>
      <c r="BJ61" s="128">
        <v>2.13</v>
      </c>
      <c r="BK61" s="128">
        <v>2.14</v>
      </c>
      <c r="BL61" s="128">
        <v>2.14</v>
      </c>
      <c r="BM61" s="128">
        <v>2.15</v>
      </c>
      <c r="BN61" s="128">
        <v>2.16</v>
      </c>
      <c r="BO61" s="128">
        <v>2.17</v>
      </c>
      <c r="BP61" s="128">
        <v>2.1800000000000002</v>
      </c>
      <c r="BQ61" s="128">
        <v>2.19</v>
      </c>
      <c r="BR61" s="128">
        <v>2.2000000000000002</v>
      </c>
      <c r="BS61" s="128">
        <v>2.21</v>
      </c>
      <c r="BT61" s="128">
        <v>2.2200000000000002</v>
      </c>
      <c r="BU61" s="128">
        <v>2.2200000000000002</v>
      </c>
      <c r="BV61" s="128">
        <v>2.23</v>
      </c>
      <c r="BW61" s="128">
        <v>2.2400000000000002</v>
      </c>
      <c r="BX61" s="128">
        <v>2.25</v>
      </c>
      <c r="BY61" s="128">
        <v>2.2599999999999998</v>
      </c>
      <c r="BZ61" s="128">
        <v>2.27</v>
      </c>
      <c r="CA61" s="128">
        <v>2.2799999999999998</v>
      </c>
      <c r="CB61" s="128">
        <v>2.2999999999999998</v>
      </c>
      <c r="CC61" s="128">
        <v>2.31</v>
      </c>
      <c r="CD61" s="128">
        <v>2.3199999999999998</v>
      </c>
      <c r="CE61" s="128">
        <v>2.33</v>
      </c>
      <c r="CF61" s="128">
        <v>2.34</v>
      </c>
      <c r="CG61" s="128">
        <v>2.35</v>
      </c>
      <c r="CH61" s="128">
        <v>2.36</v>
      </c>
      <c r="CI61" s="128">
        <v>2.37</v>
      </c>
      <c r="CJ61" s="128">
        <v>2.39</v>
      </c>
      <c r="CK61" s="128">
        <v>2.4</v>
      </c>
      <c r="CL61" s="128">
        <v>2.41</v>
      </c>
      <c r="CM61" s="128">
        <v>2.42</v>
      </c>
      <c r="CN61" s="128">
        <v>2.44</v>
      </c>
      <c r="CO61" s="128">
        <v>2.4500000000000002</v>
      </c>
      <c r="CP61" s="128">
        <v>2.46</v>
      </c>
      <c r="CQ61" s="128">
        <v>2.48</v>
      </c>
      <c r="CR61" s="128">
        <v>2.4900000000000002</v>
      </c>
      <c r="CS61" s="128">
        <v>2.5</v>
      </c>
      <c r="CT61" s="128">
        <v>2.52</v>
      </c>
      <c r="CU61" s="128">
        <v>2.5299999999999998</v>
      </c>
      <c r="CV61" s="128">
        <v>2.5499999999999998</v>
      </c>
      <c r="CW61" s="128">
        <v>2.56</v>
      </c>
      <c r="CX61" s="128">
        <v>2.58</v>
      </c>
      <c r="CZ61" s="126">
        <f>SUMIF(MatrixF5[[1]:[2]],MatrixF5[[#This Row],[Столбец1]])/MatrixF5[[#This Row],[Столбец1]]</f>
        <v>56.999999999999957</v>
      </c>
      <c r="DA61" s="126">
        <f>SUMIF(MatrixF5[[1]:[2]],MatrixF5[[#This Row],[Столбец1]]+1)/(MatrixF5[[#This Row],[Столбец1]]+1)</f>
        <v>37.999999999999979</v>
      </c>
    </row>
    <row r="62" spans="1:105" ht="21" customHeight="1" x14ac:dyDescent="0.25">
      <c r="A62" s="127">
        <v>1.59</v>
      </c>
      <c r="B62" s="128">
        <v>1.59</v>
      </c>
      <c r="C62" s="128">
        <v>1.6</v>
      </c>
      <c r="D62" s="128">
        <v>1.62</v>
      </c>
      <c r="E62" s="128">
        <v>1.63</v>
      </c>
      <c r="F62" s="128">
        <v>1.64</v>
      </c>
      <c r="G62" s="128">
        <v>1.66</v>
      </c>
      <c r="H62" s="128">
        <v>1.67</v>
      </c>
      <c r="I62" s="128">
        <v>1.68</v>
      </c>
      <c r="J62" s="128">
        <v>1.69</v>
      </c>
      <c r="K62" s="128">
        <v>1.71</v>
      </c>
      <c r="L62" s="128">
        <v>1.72</v>
      </c>
      <c r="M62" s="128">
        <v>1.73</v>
      </c>
      <c r="N62" s="128">
        <v>1.74</v>
      </c>
      <c r="O62" s="128">
        <v>1.75</v>
      </c>
      <c r="P62" s="128">
        <v>1.76</v>
      </c>
      <c r="Q62" s="128">
        <v>1.77</v>
      </c>
      <c r="R62" s="128">
        <v>1.78</v>
      </c>
      <c r="S62" s="128">
        <v>1.79</v>
      </c>
      <c r="T62" s="128">
        <v>1.81</v>
      </c>
      <c r="U62" s="128">
        <v>1.82</v>
      </c>
      <c r="V62" s="128">
        <v>1.82</v>
      </c>
      <c r="W62" s="128">
        <v>1.83</v>
      </c>
      <c r="X62" s="128">
        <v>1.84</v>
      </c>
      <c r="Y62" s="128">
        <v>1.85</v>
      </c>
      <c r="Z62" s="128">
        <v>1.86</v>
      </c>
      <c r="AA62" s="128">
        <v>1.87</v>
      </c>
      <c r="AB62" s="128">
        <v>1.88</v>
      </c>
      <c r="AC62" s="128">
        <v>1.89</v>
      </c>
      <c r="AD62" s="128">
        <v>1.9</v>
      </c>
      <c r="AE62" s="128">
        <v>1.91</v>
      </c>
      <c r="AF62" s="128">
        <v>1.92</v>
      </c>
      <c r="AG62" s="128">
        <v>1.92</v>
      </c>
      <c r="AH62" s="128">
        <v>1.93</v>
      </c>
      <c r="AI62" s="128">
        <v>1.94</v>
      </c>
      <c r="AJ62" s="128">
        <v>1.95</v>
      </c>
      <c r="AK62" s="128">
        <v>1.96</v>
      </c>
      <c r="AL62" s="128">
        <v>1.96</v>
      </c>
      <c r="AM62" s="128">
        <v>1.97</v>
      </c>
      <c r="AN62" s="128">
        <v>1.98</v>
      </c>
      <c r="AO62" s="128">
        <v>1.99</v>
      </c>
      <c r="AP62" s="128">
        <v>1.99</v>
      </c>
      <c r="AQ62" s="128">
        <v>2</v>
      </c>
      <c r="AR62" s="128">
        <v>2.0099999999999998</v>
      </c>
      <c r="AS62" s="128">
        <v>2.0099999999999998</v>
      </c>
      <c r="AT62" s="128">
        <v>2.02</v>
      </c>
      <c r="AU62" s="128">
        <v>2.0299999999999998</v>
      </c>
      <c r="AV62" s="128">
        <v>2.04</v>
      </c>
      <c r="AW62" s="128">
        <v>2.04</v>
      </c>
      <c r="AX62" s="128">
        <v>2.0499999999999998</v>
      </c>
      <c r="AY62" s="128">
        <v>2.06</v>
      </c>
      <c r="AZ62" s="128">
        <v>2.06</v>
      </c>
      <c r="BA62" s="128">
        <v>2.0699999999999998</v>
      </c>
      <c r="BB62" s="128">
        <v>2.08</v>
      </c>
      <c r="BC62" s="128">
        <v>2.09</v>
      </c>
      <c r="BD62" s="128">
        <v>2.09</v>
      </c>
      <c r="BE62" s="128">
        <v>2.1</v>
      </c>
      <c r="BF62" s="128">
        <v>2.11</v>
      </c>
      <c r="BG62" s="128">
        <v>2.11</v>
      </c>
      <c r="BH62" s="128">
        <v>2.12</v>
      </c>
      <c r="BI62" s="128">
        <v>2.13</v>
      </c>
      <c r="BJ62" s="128">
        <v>2.14</v>
      </c>
      <c r="BK62" s="128">
        <v>2.14</v>
      </c>
      <c r="BL62" s="128">
        <v>2.15</v>
      </c>
      <c r="BM62" s="128">
        <v>2.16</v>
      </c>
      <c r="BN62" s="128">
        <v>2.17</v>
      </c>
      <c r="BO62" s="128">
        <v>2.1800000000000002</v>
      </c>
      <c r="BP62" s="128">
        <v>2.19</v>
      </c>
      <c r="BQ62" s="128">
        <v>2.2000000000000002</v>
      </c>
      <c r="BR62" s="128">
        <v>2.2000000000000002</v>
      </c>
      <c r="BS62" s="128">
        <v>2.21</v>
      </c>
      <c r="BT62" s="128">
        <v>2.2200000000000002</v>
      </c>
      <c r="BU62" s="128">
        <v>2.23</v>
      </c>
      <c r="BV62" s="128">
        <v>2.2400000000000002</v>
      </c>
      <c r="BW62" s="128">
        <v>2.25</v>
      </c>
      <c r="BX62" s="128">
        <v>2.2599999999999998</v>
      </c>
      <c r="BY62" s="128">
        <v>2.27</v>
      </c>
      <c r="BZ62" s="128">
        <v>2.2799999999999998</v>
      </c>
      <c r="CA62" s="128">
        <v>2.29</v>
      </c>
      <c r="CB62" s="128">
        <v>2.2999999999999998</v>
      </c>
      <c r="CC62" s="128">
        <v>2.31</v>
      </c>
      <c r="CD62" s="128">
        <v>2.3199999999999998</v>
      </c>
      <c r="CE62" s="128">
        <v>2.34</v>
      </c>
      <c r="CF62" s="128">
        <v>2.35</v>
      </c>
      <c r="CG62" s="128">
        <v>2.36</v>
      </c>
      <c r="CH62" s="128">
        <v>2.37</v>
      </c>
      <c r="CI62" s="128">
        <v>2.38</v>
      </c>
      <c r="CJ62" s="128">
        <v>2.39</v>
      </c>
      <c r="CK62" s="128">
        <v>2.41</v>
      </c>
      <c r="CL62" s="128">
        <v>2.42</v>
      </c>
      <c r="CM62" s="128">
        <v>2.4300000000000002</v>
      </c>
      <c r="CN62" s="128">
        <v>2.4500000000000002</v>
      </c>
      <c r="CO62" s="128">
        <v>2.46</v>
      </c>
      <c r="CP62" s="128">
        <v>2.4700000000000002</v>
      </c>
      <c r="CQ62" s="128">
        <v>2.4900000000000002</v>
      </c>
      <c r="CR62" s="128">
        <v>2.5</v>
      </c>
      <c r="CS62" s="128">
        <v>2.5099999999999998</v>
      </c>
      <c r="CT62" s="128">
        <v>2.5299999999999998</v>
      </c>
      <c r="CU62" s="128">
        <v>2.54</v>
      </c>
      <c r="CV62" s="128">
        <v>2.56</v>
      </c>
      <c r="CW62" s="128">
        <v>2.57</v>
      </c>
      <c r="CX62" s="128">
        <v>2.59</v>
      </c>
      <c r="CZ62" s="126">
        <f>SUMIF(MatrixF5[[1]:[2]],MatrixF5[[#This Row],[Столбец1]])/MatrixF5[[#This Row],[Столбец1]]</f>
        <v>56.000000000000071</v>
      </c>
      <c r="DA62" s="126">
        <f>SUMIF(MatrixF5[[1]:[2]],MatrixF5[[#This Row],[Столбец1]]+1)/(MatrixF5[[#This Row],[Столбец1]]+1)</f>
        <v>35.000000000000028</v>
      </c>
    </row>
    <row r="63" spans="1:105" ht="21" customHeight="1" x14ac:dyDescent="0.25">
      <c r="A63" s="127">
        <v>1.6</v>
      </c>
      <c r="B63" s="128">
        <v>1.6</v>
      </c>
      <c r="C63" s="128">
        <v>1.61</v>
      </c>
      <c r="D63" s="128">
        <v>1.63</v>
      </c>
      <c r="E63" s="128">
        <v>1.64</v>
      </c>
      <c r="F63" s="128">
        <v>1.65</v>
      </c>
      <c r="G63" s="128">
        <v>1.67</v>
      </c>
      <c r="H63" s="128">
        <v>1.68</v>
      </c>
      <c r="I63" s="128">
        <v>1.69</v>
      </c>
      <c r="J63" s="128">
        <v>1.7</v>
      </c>
      <c r="K63" s="128">
        <v>1.72</v>
      </c>
      <c r="L63" s="128">
        <v>1.73</v>
      </c>
      <c r="M63" s="128">
        <v>1.74</v>
      </c>
      <c r="N63" s="128">
        <v>1.75</v>
      </c>
      <c r="O63" s="128">
        <v>1.76</v>
      </c>
      <c r="P63" s="128">
        <v>1.77</v>
      </c>
      <c r="Q63" s="128">
        <v>1.78</v>
      </c>
      <c r="R63" s="128">
        <v>1.79</v>
      </c>
      <c r="S63" s="128">
        <v>1.8</v>
      </c>
      <c r="T63" s="128">
        <v>1.81</v>
      </c>
      <c r="U63" s="128">
        <v>1.82</v>
      </c>
      <c r="V63" s="128">
        <v>1.83</v>
      </c>
      <c r="W63" s="128">
        <v>1.84</v>
      </c>
      <c r="X63" s="128">
        <v>1.85</v>
      </c>
      <c r="Y63" s="128">
        <v>1.86</v>
      </c>
      <c r="Z63" s="128">
        <v>1.87</v>
      </c>
      <c r="AA63" s="128">
        <v>1.88</v>
      </c>
      <c r="AB63" s="128">
        <v>1.89</v>
      </c>
      <c r="AC63" s="128">
        <v>1.9</v>
      </c>
      <c r="AD63" s="128">
        <v>1.91</v>
      </c>
      <c r="AE63" s="128">
        <v>1.91</v>
      </c>
      <c r="AF63" s="128">
        <v>1.92</v>
      </c>
      <c r="AG63" s="128">
        <v>1.93</v>
      </c>
      <c r="AH63" s="128">
        <v>1.94</v>
      </c>
      <c r="AI63" s="128">
        <v>1.95</v>
      </c>
      <c r="AJ63" s="128">
        <v>1.96</v>
      </c>
      <c r="AK63" s="128">
        <v>1.96</v>
      </c>
      <c r="AL63" s="128">
        <v>1.97</v>
      </c>
      <c r="AM63" s="128">
        <v>1.98</v>
      </c>
      <c r="AN63" s="128">
        <v>1.99</v>
      </c>
      <c r="AO63" s="128">
        <v>1.99</v>
      </c>
      <c r="AP63" s="128">
        <v>2</v>
      </c>
      <c r="AQ63" s="128">
        <v>2.0099999999999998</v>
      </c>
      <c r="AR63" s="128">
        <v>2.0099999999999998</v>
      </c>
      <c r="AS63" s="128">
        <v>2.02</v>
      </c>
      <c r="AT63" s="128">
        <v>2.0299999999999998</v>
      </c>
      <c r="AU63" s="128">
        <v>2.04</v>
      </c>
      <c r="AV63" s="128">
        <v>2.04</v>
      </c>
      <c r="AW63" s="128">
        <v>2.0499999999999998</v>
      </c>
      <c r="AX63" s="128">
        <v>2.06</v>
      </c>
      <c r="AY63" s="128">
        <v>2.06</v>
      </c>
      <c r="AZ63" s="128">
        <v>2.0699999999999998</v>
      </c>
      <c r="BA63" s="128">
        <v>2.08</v>
      </c>
      <c r="BB63" s="128">
        <v>2.09</v>
      </c>
      <c r="BC63" s="128">
        <v>2.09</v>
      </c>
      <c r="BD63" s="128">
        <v>2.1</v>
      </c>
      <c r="BE63" s="128">
        <v>2.11</v>
      </c>
      <c r="BF63" s="128">
        <v>2.11</v>
      </c>
      <c r="BG63" s="128">
        <v>2.12</v>
      </c>
      <c r="BH63" s="128">
        <v>2.13</v>
      </c>
      <c r="BI63" s="128">
        <v>2.14</v>
      </c>
      <c r="BJ63" s="128">
        <v>2.14</v>
      </c>
      <c r="BK63" s="128">
        <v>2.15</v>
      </c>
      <c r="BL63" s="128">
        <v>2.16</v>
      </c>
      <c r="BM63" s="128">
        <v>2.17</v>
      </c>
      <c r="BN63" s="128">
        <v>2.1800000000000002</v>
      </c>
      <c r="BO63" s="128">
        <v>2.19</v>
      </c>
      <c r="BP63" s="128">
        <v>2.19</v>
      </c>
      <c r="BQ63" s="128">
        <v>2.2000000000000002</v>
      </c>
      <c r="BR63" s="128">
        <v>2.21</v>
      </c>
      <c r="BS63" s="128">
        <v>2.2200000000000002</v>
      </c>
      <c r="BT63" s="128">
        <v>2.23</v>
      </c>
      <c r="BU63" s="128">
        <v>2.2400000000000002</v>
      </c>
      <c r="BV63" s="128">
        <v>2.25</v>
      </c>
      <c r="BW63" s="128">
        <v>2.2599999999999998</v>
      </c>
      <c r="BX63" s="128">
        <v>2.27</v>
      </c>
      <c r="BY63" s="128">
        <v>2.2799999999999998</v>
      </c>
      <c r="BZ63" s="128">
        <v>2.29</v>
      </c>
      <c r="CA63" s="128">
        <v>2.2999999999999998</v>
      </c>
      <c r="CB63" s="128">
        <v>2.31</v>
      </c>
      <c r="CC63" s="128">
        <v>2.3199999999999998</v>
      </c>
      <c r="CD63" s="128">
        <v>2.33</v>
      </c>
      <c r="CE63" s="128">
        <v>2.34</v>
      </c>
      <c r="CF63" s="128">
        <v>2.36</v>
      </c>
      <c r="CG63" s="128">
        <v>2.37</v>
      </c>
      <c r="CH63" s="128">
        <v>2.38</v>
      </c>
      <c r="CI63" s="128">
        <v>2.39</v>
      </c>
      <c r="CJ63" s="128">
        <v>2.4</v>
      </c>
      <c r="CK63" s="128">
        <v>2.42</v>
      </c>
      <c r="CL63" s="128">
        <v>2.4300000000000002</v>
      </c>
      <c r="CM63" s="128">
        <v>2.44</v>
      </c>
      <c r="CN63" s="128">
        <v>2.4500000000000002</v>
      </c>
      <c r="CO63" s="128">
        <v>2.4700000000000002</v>
      </c>
      <c r="CP63" s="128">
        <v>2.48</v>
      </c>
      <c r="CQ63" s="128">
        <v>2.5</v>
      </c>
      <c r="CR63" s="128">
        <v>2.5099999999999998</v>
      </c>
      <c r="CS63" s="128">
        <v>2.52</v>
      </c>
      <c r="CT63" s="128">
        <v>2.54</v>
      </c>
      <c r="CU63" s="128">
        <v>2.5499999999999998</v>
      </c>
      <c r="CV63" s="128">
        <v>2.57</v>
      </c>
      <c r="CW63" s="128">
        <v>2.58</v>
      </c>
      <c r="CX63" s="128">
        <v>2.6</v>
      </c>
      <c r="CZ63" s="126">
        <f>SUMIF(MatrixF5[[1]:[2]],MatrixF5[[#This Row],[Столбец1]])/MatrixF5[[#This Row],[Столбец1]]</f>
        <v>54.999999999999964</v>
      </c>
      <c r="DA63" s="126">
        <f>SUMIF(MatrixF5[[1]:[2]],MatrixF5[[#This Row],[Столбец1]]+1)/(MatrixF5[[#This Row],[Столбец1]]+1)</f>
        <v>31.999999999999989</v>
      </c>
    </row>
    <row r="64" spans="1:105" ht="21" customHeight="1" x14ac:dyDescent="0.25">
      <c r="A64" s="127">
        <v>1.61</v>
      </c>
      <c r="B64" s="128">
        <v>1.61</v>
      </c>
      <c r="C64" s="128">
        <v>1.62</v>
      </c>
      <c r="D64" s="128">
        <v>1.64</v>
      </c>
      <c r="E64" s="128">
        <v>1.65</v>
      </c>
      <c r="F64" s="128">
        <v>1.66</v>
      </c>
      <c r="G64" s="128">
        <v>1.68</v>
      </c>
      <c r="H64" s="128">
        <v>1.69</v>
      </c>
      <c r="I64" s="128">
        <v>1.7</v>
      </c>
      <c r="J64" s="128">
        <v>1.71</v>
      </c>
      <c r="K64" s="128">
        <v>1.72</v>
      </c>
      <c r="L64" s="128">
        <v>1.74</v>
      </c>
      <c r="M64" s="128">
        <v>1.75</v>
      </c>
      <c r="N64" s="128">
        <v>1.76</v>
      </c>
      <c r="O64" s="128">
        <v>1.77</v>
      </c>
      <c r="P64" s="128">
        <v>1.78</v>
      </c>
      <c r="Q64" s="128">
        <v>1.79</v>
      </c>
      <c r="R64" s="128">
        <v>1.8</v>
      </c>
      <c r="S64" s="128">
        <v>1.81</v>
      </c>
      <c r="T64" s="128">
        <v>1.82</v>
      </c>
      <c r="U64" s="128">
        <v>1.83</v>
      </c>
      <c r="V64" s="128">
        <v>1.84</v>
      </c>
      <c r="W64" s="128">
        <v>1.85</v>
      </c>
      <c r="X64" s="128">
        <v>1.86</v>
      </c>
      <c r="Y64" s="128">
        <v>1.87</v>
      </c>
      <c r="Z64" s="128">
        <v>1.88</v>
      </c>
      <c r="AA64" s="128">
        <v>1.89</v>
      </c>
      <c r="AB64" s="128">
        <v>1.9</v>
      </c>
      <c r="AC64" s="128">
        <v>1.91</v>
      </c>
      <c r="AD64" s="128">
        <v>1.91</v>
      </c>
      <c r="AE64" s="128">
        <v>1.92</v>
      </c>
      <c r="AF64" s="128">
        <v>1.93</v>
      </c>
      <c r="AG64" s="128">
        <v>1.94</v>
      </c>
      <c r="AH64" s="128">
        <v>1.95</v>
      </c>
      <c r="AI64" s="128">
        <v>1.95</v>
      </c>
      <c r="AJ64" s="128">
        <v>1.96</v>
      </c>
      <c r="AK64" s="128">
        <v>1.97</v>
      </c>
      <c r="AL64" s="128">
        <v>1.98</v>
      </c>
      <c r="AM64" s="128">
        <v>1.99</v>
      </c>
      <c r="AN64" s="128">
        <v>1.99</v>
      </c>
      <c r="AO64" s="128">
        <v>2</v>
      </c>
      <c r="AP64" s="128">
        <v>2.0099999999999998</v>
      </c>
      <c r="AQ64" s="128">
        <v>2.0099999999999998</v>
      </c>
      <c r="AR64" s="128">
        <v>2.02</v>
      </c>
      <c r="AS64" s="128">
        <v>2.0299999999999998</v>
      </c>
      <c r="AT64" s="128">
        <v>2.04</v>
      </c>
      <c r="AU64" s="128">
        <v>2.04</v>
      </c>
      <c r="AV64" s="128">
        <v>2.0499999999999998</v>
      </c>
      <c r="AW64" s="128">
        <v>2.06</v>
      </c>
      <c r="AX64" s="128">
        <v>2.06</v>
      </c>
      <c r="AY64" s="128">
        <v>2.0699999999999998</v>
      </c>
      <c r="AZ64" s="128">
        <v>2.08</v>
      </c>
      <c r="BA64" s="128">
        <v>2.09</v>
      </c>
      <c r="BB64" s="128">
        <v>2.09</v>
      </c>
      <c r="BC64" s="128">
        <v>2.1</v>
      </c>
      <c r="BD64" s="128">
        <v>2.11</v>
      </c>
      <c r="BE64" s="128">
        <v>2.12</v>
      </c>
      <c r="BF64" s="128">
        <v>2.12</v>
      </c>
      <c r="BG64" s="128">
        <v>2.13</v>
      </c>
      <c r="BH64" s="128">
        <v>2.14</v>
      </c>
      <c r="BI64" s="128">
        <v>2.14</v>
      </c>
      <c r="BJ64" s="128">
        <v>2.15</v>
      </c>
      <c r="BK64" s="128">
        <v>2.16</v>
      </c>
      <c r="BL64" s="128">
        <v>2.17</v>
      </c>
      <c r="BM64" s="128">
        <v>2.1800000000000002</v>
      </c>
      <c r="BN64" s="128">
        <v>2.1800000000000002</v>
      </c>
      <c r="BO64" s="128">
        <v>2.19</v>
      </c>
      <c r="BP64" s="128">
        <v>2.2000000000000002</v>
      </c>
      <c r="BQ64" s="128">
        <v>2.21</v>
      </c>
      <c r="BR64" s="128">
        <v>2.2200000000000002</v>
      </c>
      <c r="BS64" s="128">
        <v>2.23</v>
      </c>
      <c r="BT64" s="128">
        <v>2.2400000000000002</v>
      </c>
      <c r="BU64" s="128">
        <v>2.25</v>
      </c>
      <c r="BV64" s="128">
        <v>2.2599999999999998</v>
      </c>
      <c r="BW64" s="128">
        <v>2.27</v>
      </c>
      <c r="BX64" s="128">
        <v>2.2799999999999998</v>
      </c>
      <c r="BY64" s="128">
        <v>2.29</v>
      </c>
      <c r="BZ64" s="128">
        <v>2.2999999999999998</v>
      </c>
      <c r="CA64" s="128">
        <v>2.31</v>
      </c>
      <c r="CB64" s="128">
        <v>2.3199999999999998</v>
      </c>
      <c r="CC64" s="128">
        <v>2.33</v>
      </c>
      <c r="CD64" s="128">
        <v>2.34</v>
      </c>
      <c r="CE64" s="128">
        <v>2.35</v>
      </c>
      <c r="CF64" s="128">
        <v>2.36</v>
      </c>
      <c r="CG64" s="128">
        <v>2.38</v>
      </c>
      <c r="CH64" s="128">
        <v>2.39</v>
      </c>
      <c r="CI64" s="128">
        <v>2.4</v>
      </c>
      <c r="CJ64" s="128">
        <v>2.41</v>
      </c>
      <c r="CK64" s="128">
        <v>2.42</v>
      </c>
      <c r="CL64" s="128">
        <v>2.44</v>
      </c>
      <c r="CM64" s="128">
        <v>2.4500000000000002</v>
      </c>
      <c r="CN64" s="128">
        <v>2.46</v>
      </c>
      <c r="CO64" s="128">
        <v>2.48</v>
      </c>
      <c r="CP64" s="128">
        <v>2.4900000000000002</v>
      </c>
      <c r="CQ64" s="128">
        <v>2.5</v>
      </c>
      <c r="CR64" s="128">
        <v>2.52</v>
      </c>
      <c r="CS64" s="128">
        <v>2.5299999999999998</v>
      </c>
      <c r="CT64" s="128">
        <v>2.5499999999999998</v>
      </c>
      <c r="CU64" s="128">
        <v>2.56</v>
      </c>
      <c r="CV64" s="128">
        <v>2.58</v>
      </c>
      <c r="CW64" s="128">
        <v>2.59</v>
      </c>
      <c r="CX64" s="128">
        <v>2.61</v>
      </c>
      <c r="CZ64" s="126">
        <f>SUMIF(MatrixF5[[1]:[2]],MatrixF5[[#This Row],[Столбец1]])/MatrixF5[[#This Row],[Столбец1]]</f>
        <v>59.999999999999986</v>
      </c>
      <c r="DA64" s="126">
        <f>SUMIF(MatrixF5[[1]:[2]],MatrixF5[[#This Row],[Столбец1]]+1)/(MatrixF5[[#This Row],[Столбец1]]+1)</f>
        <v>34.999999999999993</v>
      </c>
    </row>
    <row r="65" spans="1:105" ht="21" customHeight="1" x14ac:dyDescent="0.25">
      <c r="A65" s="127">
        <v>1.62</v>
      </c>
      <c r="B65" s="128">
        <v>1.62</v>
      </c>
      <c r="C65" s="128">
        <v>1.63</v>
      </c>
      <c r="D65" s="128">
        <v>1.65</v>
      </c>
      <c r="E65" s="128">
        <v>1.66</v>
      </c>
      <c r="F65" s="128">
        <v>1.67</v>
      </c>
      <c r="G65" s="128">
        <v>1.69</v>
      </c>
      <c r="H65" s="128">
        <v>1.7</v>
      </c>
      <c r="I65" s="128">
        <v>1.71</v>
      </c>
      <c r="J65" s="128">
        <v>1.72</v>
      </c>
      <c r="K65" s="128">
        <v>1.73</v>
      </c>
      <c r="L65" s="128">
        <v>1.75</v>
      </c>
      <c r="M65" s="128">
        <v>1.76</v>
      </c>
      <c r="N65" s="128">
        <v>1.77</v>
      </c>
      <c r="O65" s="128">
        <v>1.78</v>
      </c>
      <c r="P65" s="128">
        <v>1.79</v>
      </c>
      <c r="Q65" s="128">
        <v>1.8</v>
      </c>
      <c r="R65" s="128">
        <v>1.81</v>
      </c>
      <c r="S65" s="128">
        <v>1.82</v>
      </c>
      <c r="T65" s="128">
        <v>1.83</v>
      </c>
      <c r="U65" s="128">
        <v>1.84</v>
      </c>
      <c r="V65" s="128">
        <v>1.85</v>
      </c>
      <c r="W65" s="128">
        <v>1.86</v>
      </c>
      <c r="X65" s="128">
        <v>1.87</v>
      </c>
      <c r="Y65" s="128">
        <v>1.88</v>
      </c>
      <c r="Z65" s="128">
        <v>1.89</v>
      </c>
      <c r="AA65" s="128">
        <v>1.9</v>
      </c>
      <c r="AB65" s="128">
        <v>1.9</v>
      </c>
      <c r="AC65" s="128">
        <v>1.91</v>
      </c>
      <c r="AD65" s="128">
        <v>1.92</v>
      </c>
      <c r="AE65" s="128">
        <v>1.93</v>
      </c>
      <c r="AF65" s="128">
        <v>1.94</v>
      </c>
      <c r="AG65" s="128">
        <v>1.95</v>
      </c>
      <c r="AH65" s="128">
        <v>1.95</v>
      </c>
      <c r="AI65" s="128">
        <v>1.96</v>
      </c>
      <c r="AJ65" s="128">
        <v>1.97</v>
      </c>
      <c r="AK65" s="128">
        <v>1.98</v>
      </c>
      <c r="AL65" s="128">
        <v>1.99</v>
      </c>
      <c r="AM65" s="128">
        <v>1.99</v>
      </c>
      <c r="AN65" s="128">
        <v>2</v>
      </c>
      <c r="AO65" s="128">
        <v>2.0099999999999998</v>
      </c>
      <c r="AP65" s="128">
        <v>2.0099999999999998</v>
      </c>
      <c r="AQ65" s="128">
        <v>2.02</v>
      </c>
      <c r="AR65" s="128">
        <v>2.0299999999999998</v>
      </c>
      <c r="AS65" s="128">
        <v>2.04</v>
      </c>
      <c r="AT65" s="128">
        <v>2.04</v>
      </c>
      <c r="AU65" s="128">
        <v>2.0499999999999998</v>
      </c>
      <c r="AV65" s="128">
        <v>2.06</v>
      </c>
      <c r="AW65" s="128">
        <v>2.0699999999999998</v>
      </c>
      <c r="AX65" s="128">
        <v>2.0699999999999998</v>
      </c>
      <c r="AY65" s="128">
        <v>2.08</v>
      </c>
      <c r="AZ65" s="128">
        <v>2.09</v>
      </c>
      <c r="BA65" s="128">
        <v>2.09</v>
      </c>
      <c r="BB65" s="128">
        <v>2.1</v>
      </c>
      <c r="BC65" s="128">
        <v>2.11</v>
      </c>
      <c r="BD65" s="128">
        <v>2.12</v>
      </c>
      <c r="BE65" s="128">
        <v>2.12</v>
      </c>
      <c r="BF65" s="128">
        <v>2.13</v>
      </c>
      <c r="BG65" s="128">
        <v>2.14</v>
      </c>
      <c r="BH65" s="128">
        <v>2.14</v>
      </c>
      <c r="BI65" s="128">
        <v>2.15</v>
      </c>
      <c r="BJ65" s="128">
        <v>2.16</v>
      </c>
      <c r="BK65" s="128">
        <v>2.17</v>
      </c>
      <c r="BL65" s="128">
        <v>2.17</v>
      </c>
      <c r="BM65" s="128">
        <v>2.1800000000000002</v>
      </c>
      <c r="BN65" s="128">
        <v>2.19</v>
      </c>
      <c r="BO65" s="128">
        <v>2.2000000000000002</v>
      </c>
      <c r="BP65" s="128">
        <v>2.21</v>
      </c>
      <c r="BQ65" s="128">
        <v>2.2200000000000002</v>
      </c>
      <c r="BR65" s="128">
        <v>2.23</v>
      </c>
      <c r="BS65" s="128">
        <v>2.2400000000000002</v>
      </c>
      <c r="BT65" s="128">
        <v>2.25</v>
      </c>
      <c r="BU65" s="128">
        <v>2.2599999999999998</v>
      </c>
      <c r="BV65" s="128">
        <v>2.27</v>
      </c>
      <c r="BW65" s="128">
        <v>2.2799999999999998</v>
      </c>
      <c r="BX65" s="128">
        <v>2.29</v>
      </c>
      <c r="BY65" s="128">
        <v>2.2999999999999998</v>
      </c>
      <c r="BZ65" s="128">
        <v>2.31</v>
      </c>
      <c r="CA65" s="128">
        <v>2.3199999999999998</v>
      </c>
      <c r="CB65" s="128">
        <v>2.33</v>
      </c>
      <c r="CC65" s="128">
        <v>2.34</v>
      </c>
      <c r="CD65" s="128">
        <v>2.35</v>
      </c>
      <c r="CE65" s="128">
        <v>2.36</v>
      </c>
      <c r="CF65" s="128">
        <v>2.37</v>
      </c>
      <c r="CG65" s="128">
        <v>2.38</v>
      </c>
      <c r="CH65" s="128">
        <v>2.4</v>
      </c>
      <c r="CI65" s="128">
        <v>2.41</v>
      </c>
      <c r="CJ65" s="128">
        <v>2.42</v>
      </c>
      <c r="CK65" s="128">
        <v>2.4300000000000002</v>
      </c>
      <c r="CL65" s="128">
        <v>2.4500000000000002</v>
      </c>
      <c r="CM65" s="128">
        <v>2.46</v>
      </c>
      <c r="CN65" s="128">
        <v>2.4700000000000002</v>
      </c>
      <c r="CO65" s="128">
        <v>2.4900000000000002</v>
      </c>
      <c r="CP65" s="128">
        <v>2.5</v>
      </c>
      <c r="CQ65" s="128">
        <v>2.5099999999999998</v>
      </c>
      <c r="CR65" s="128">
        <v>2.5299999999999998</v>
      </c>
      <c r="CS65" s="128">
        <v>2.54</v>
      </c>
      <c r="CT65" s="128">
        <v>2.56</v>
      </c>
      <c r="CU65" s="128">
        <v>2.57</v>
      </c>
      <c r="CV65" s="128">
        <v>2.59</v>
      </c>
      <c r="CW65" s="128">
        <v>2.6</v>
      </c>
      <c r="CX65" s="128">
        <v>2.62</v>
      </c>
      <c r="CZ65" s="126">
        <f>SUMIF(MatrixF5[[1]:[2]],MatrixF5[[#This Row],[Столбец1]])/MatrixF5[[#This Row],[Столбец1]]</f>
        <v>63.000000000000043</v>
      </c>
      <c r="DA65" s="126">
        <f>SUMIF(MatrixF5[[1]:[2]],MatrixF5[[#This Row],[Столбец1]]+1)/(MatrixF5[[#This Row],[Столбец1]]+1)</f>
        <v>34.000000000000007</v>
      </c>
    </row>
    <row r="66" spans="1:105" ht="21" customHeight="1" x14ac:dyDescent="0.25">
      <c r="A66" s="127">
        <v>1.63</v>
      </c>
      <c r="B66" s="128">
        <v>1.63</v>
      </c>
      <c r="C66" s="128">
        <v>1.64</v>
      </c>
      <c r="D66" s="128">
        <v>1.66</v>
      </c>
      <c r="E66" s="128">
        <v>1.67</v>
      </c>
      <c r="F66" s="128">
        <v>1.68</v>
      </c>
      <c r="G66" s="128">
        <v>1.7</v>
      </c>
      <c r="H66" s="128">
        <v>1.71</v>
      </c>
      <c r="I66" s="128">
        <v>1.72</v>
      </c>
      <c r="J66" s="128">
        <v>1.73</v>
      </c>
      <c r="K66" s="128">
        <v>1.74</v>
      </c>
      <c r="L66" s="128">
        <v>1.75</v>
      </c>
      <c r="M66" s="128">
        <v>1.77</v>
      </c>
      <c r="N66" s="128">
        <v>1.78</v>
      </c>
      <c r="O66" s="128">
        <v>1.79</v>
      </c>
      <c r="P66" s="128">
        <v>1.8</v>
      </c>
      <c r="Q66" s="128">
        <v>1.81</v>
      </c>
      <c r="R66" s="128">
        <v>1.82</v>
      </c>
      <c r="S66" s="128">
        <v>1.83</v>
      </c>
      <c r="T66" s="128">
        <v>1.84</v>
      </c>
      <c r="U66" s="128">
        <v>1.85</v>
      </c>
      <c r="V66" s="128">
        <v>1.86</v>
      </c>
      <c r="W66" s="128">
        <v>1.87</v>
      </c>
      <c r="X66" s="128">
        <v>1.88</v>
      </c>
      <c r="Y66" s="128">
        <v>1.89</v>
      </c>
      <c r="Z66" s="128">
        <v>1.9</v>
      </c>
      <c r="AA66" s="128">
        <v>1.9</v>
      </c>
      <c r="AB66" s="128">
        <v>1.91</v>
      </c>
      <c r="AC66" s="128">
        <v>1.92</v>
      </c>
      <c r="AD66" s="128">
        <v>1.93</v>
      </c>
      <c r="AE66" s="128">
        <v>1.94</v>
      </c>
      <c r="AF66" s="128">
        <v>1.95</v>
      </c>
      <c r="AG66" s="128">
        <v>1.95</v>
      </c>
      <c r="AH66" s="128">
        <v>1.96</v>
      </c>
      <c r="AI66" s="128">
        <v>1.97</v>
      </c>
      <c r="AJ66" s="128">
        <v>1.98</v>
      </c>
      <c r="AK66" s="128">
        <v>1.99</v>
      </c>
      <c r="AL66" s="128">
        <v>1.99</v>
      </c>
      <c r="AM66" s="128">
        <v>2</v>
      </c>
      <c r="AN66" s="128">
        <v>2.0099999999999998</v>
      </c>
      <c r="AO66" s="128">
        <v>2.0099999999999998</v>
      </c>
      <c r="AP66" s="128">
        <v>2.02</v>
      </c>
      <c r="AQ66" s="128">
        <v>2.0299999999999998</v>
      </c>
      <c r="AR66" s="128">
        <v>2.04</v>
      </c>
      <c r="AS66" s="128">
        <v>2.04</v>
      </c>
      <c r="AT66" s="128">
        <v>2.0499999999999998</v>
      </c>
      <c r="AU66" s="128">
        <v>2.06</v>
      </c>
      <c r="AV66" s="128">
        <v>2.0699999999999998</v>
      </c>
      <c r="AW66" s="128">
        <v>2.0699999999999998</v>
      </c>
      <c r="AX66" s="128">
        <v>2.08</v>
      </c>
      <c r="AY66" s="128">
        <v>2.09</v>
      </c>
      <c r="AZ66" s="128">
        <v>2.09</v>
      </c>
      <c r="BA66" s="128">
        <v>2.1</v>
      </c>
      <c r="BB66" s="128">
        <v>2.11</v>
      </c>
      <c r="BC66" s="128">
        <v>2.12</v>
      </c>
      <c r="BD66" s="128">
        <v>2.12</v>
      </c>
      <c r="BE66" s="128">
        <v>2.13</v>
      </c>
      <c r="BF66" s="128">
        <v>2.14</v>
      </c>
      <c r="BG66" s="128">
        <v>2.15</v>
      </c>
      <c r="BH66" s="128">
        <v>2.15</v>
      </c>
      <c r="BI66" s="128">
        <v>2.16</v>
      </c>
      <c r="BJ66" s="128">
        <v>2.17</v>
      </c>
      <c r="BK66" s="128">
        <v>2.1800000000000002</v>
      </c>
      <c r="BL66" s="128">
        <v>2.1800000000000002</v>
      </c>
      <c r="BM66" s="128">
        <v>2.19</v>
      </c>
      <c r="BN66" s="128">
        <v>2.2000000000000002</v>
      </c>
      <c r="BO66" s="128">
        <v>2.21</v>
      </c>
      <c r="BP66" s="128">
        <v>2.2200000000000002</v>
      </c>
      <c r="BQ66" s="128">
        <v>2.23</v>
      </c>
      <c r="BR66" s="128">
        <v>2.23</v>
      </c>
      <c r="BS66" s="128">
        <v>2.2400000000000002</v>
      </c>
      <c r="BT66" s="128">
        <v>2.25</v>
      </c>
      <c r="BU66" s="128">
        <v>2.2599999999999998</v>
      </c>
      <c r="BV66" s="128">
        <v>2.27</v>
      </c>
      <c r="BW66" s="128">
        <v>2.2799999999999998</v>
      </c>
      <c r="BX66" s="128">
        <v>2.29</v>
      </c>
      <c r="BY66" s="128">
        <v>2.2999999999999998</v>
      </c>
      <c r="BZ66" s="128">
        <v>2.31</v>
      </c>
      <c r="CA66" s="128">
        <v>2.33</v>
      </c>
      <c r="CB66" s="128">
        <v>2.34</v>
      </c>
      <c r="CC66" s="128">
        <v>2.35</v>
      </c>
      <c r="CD66" s="128">
        <v>2.36</v>
      </c>
      <c r="CE66" s="128">
        <v>2.37</v>
      </c>
      <c r="CF66" s="128">
        <v>2.38</v>
      </c>
      <c r="CG66" s="128">
        <v>2.39</v>
      </c>
      <c r="CH66" s="128">
        <v>2.41</v>
      </c>
      <c r="CI66" s="128">
        <v>2.42</v>
      </c>
      <c r="CJ66" s="128">
        <v>2.4300000000000002</v>
      </c>
      <c r="CK66" s="128">
        <v>2.44</v>
      </c>
      <c r="CL66" s="128">
        <v>2.46</v>
      </c>
      <c r="CM66" s="128">
        <v>2.4700000000000002</v>
      </c>
      <c r="CN66" s="128">
        <v>2.48</v>
      </c>
      <c r="CO66" s="128">
        <v>2.5</v>
      </c>
      <c r="CP66" s="128">
        <v>2.5099999999999998</v>
      </c>
      <c r="CQ66" s="128">
        <v>2.52</v>
      </c>
      <c r="CR66" s="128">
        <v>2.54</v>
      </c>
      <c r="CS66" s="128">
        <v>2.5499999999999998</v>
      </c>
      <c r="CT66" s="128">
        <v>2.57</v>
      </c>
      <c r="CU66" s="128">
        <v>2.58</v>
      </c>
      <c r="CV66" s="128">
        <v>2.6</v>
      </c>
      <c r="CW66" s="128">
        <v>2.61</v>
      </c>
      <c r="CX66" s="128">
        <v>2.63</v>
      </c>
      <c r="CZ66" s="126">
        <f>SUMIF(MatrixF5[[1]:[2]],MatrixF5[[#This Row],[Столбец1]])/MatrixF5[[#This Row],[Столбец1]]</f>
        <v>59.999999999999964</v>
      </c>
      <c r="DA66" s="126">
        <f>SUMIF(MatrixF5[[1]:[2]],MatrixF5[[#This Row],[Столбец1]]+1)/(MatrixF5[[#This Row],[Столбец1]]+1)</f>
        <v>29</v>
      </c>
    </row>
    <row r="67" spans="1:105" ht="21" customHeight="1" x14ac:dyDescent="0.25">
      <c r="A67" s="127">
        <v>1.64</v>
      </c>
      <c r="B67" s="128">
        <v>1.64</v>
      </c>
      <c r="C67" s="128">
        <v>1.65</v>
      </c>
      <c r="D67" s="128">
        <v>1.67</v>
      </c>
      <c r="E67" s="128">
        <v>1.68</v>
      </c>
      <c r="F67" s="128">
        <v>1.69</v>
      </c>
      <c r="G67" s="128">
        <v>1.7</v>
      </c>
      <c r="H67" s="128">
        <v>1.72</v>
      </c>
      <c r="I67" s="128">
        <v>1.73</v>
      </c>
      <c r="J67" s="128">
        <v>1.74</v>
      </c>
      <c r="K67" s="128">
        <v>1.75</v>
      </c>
      <c r="L67" s="128">
        <v>1.76</v>
      </c>
      <c r="M67" s="128">
        <v>1.77</v>
      </c>
      <c r="N67" s="128">
        <v>1.79</v>
      </c>
      <c r="O67" s="128">
        <v>1.8</v>
      </c>
      <c r="P67" s="128">
        <v>1.81</v>
      </c>
      <c r="Q67" s="128">
        <v>1.82</v>
      </c>
      <c r="R67" s="128">
        <v>1.83</v>
      </c>
      <c r="S67" s="128">
        <v>1.84</v>
      </c>
      <c r="T67" s="128">
        <v>1.85</v>
      </c>
      <c r="U67" s="128">
        <v>1.86</v>
      </c>
      <c r="V67" s="128">
        <v>1.87</v>
      </c>
      <c r="W67" s="128">
        <v>1.88</v>
      </c>
      <c r="X67" s="128">
        <v>1.89</v>
      </c>
      <c r="Y67" s="128">
        <v>1.89</v>
      </c>
      <c r="Z67" s="128">
        <v>1.9</v>
      </c>
      <c r="AA67" s="128">
        <v>1.91</v>
      </c>
      <c r="AB67" s="128">
        <v>1.92</v>
      </c>
      <c r="AC67" s="128">
        <v>1.93</v>
      </c>
      <c r="AD67" s="128">
        <v>1.94</v>
      </c>
      <c r="AE67" s="128">
        <v>1.95</v>
      </c>
      <c r="AF67" s="128">
        <v>1.95</v>
      </c>
      <c r="AG67" s="128">
        <v>1.96</v>
      </c>
      <c r="AH67" s="128">
        <v>1.97</v>
      </c>
      <c r="AI67" s="128">
        <v>1.98</v>
      </c>
      <c r="AJ67" s="128">
        <v>1.99</v>
      </c>
      <c r="AK67" s="128">
        <v>1.99</v>
      </c>
      <c r="AL67" s="128">
        <v>2</v>
      </c>
      <c r="AM67" s="128">
        <v>2.0099999999999998</v>
      </c>
      <c r="AN67" s="128">
        <v>2.0099999999999998</v>
      </c>
      <c r="AO67" s="128">
        <v>2.02</v>
      </c>
      <c r="AP67" s="128">
        <v>2.0299999999999998</v>
      </c>
      <c r="AQ67" s="128">
        <v>2.04</v>
      </c>
      <c r="AR67" s="128">
        <v>2.04</v>
      </c>
      <c r="AS67" s="128">
        <v>2.0499999999999998</v>
      </c>
      <c r="AT67" s="128">
        <v>2.06</v>
      </c>
      <c r="AU67" s="128">
        <v>2.0699999999999998</v>
      </c>
      <c r="AV67" s="128">
        <v>2.0699999999999998</v>
      </c>
      <c r="AW67" s="128">
        <v>2.08</v>
      </c>
      <c r="AX67" s="128">
        <v>2.09</v>
      </c>
      <c r="AY67" s="128">
        <v>2.1</v>
      </c>
      <c r="AZ67" s="128">
        <v>2.1</v>
      </c>
      <c r="BA67" s="128">
        <v>2.11</v>
      </c>
      <c r="BB67" s="128">
        <v>2.12</v>
      </c>
      <c r="BC67" s="128">
        <v>2.12</v>
      </c>
      <c r="BD67" s="128">
        <v>2.13</v>
      </c>
      <c r="BE67" s="128">
        <v>2.14</v>
      </c>
      <c r="BF67" s="128">
        <v>2.15</v>
      </c>
      <c r="BG67" s="128">
        <v>2.15</v>
      </c>
      <c r="BH67" s="128">
        <v>2.16</v>
      </c>
      <c r="BI67" s="128">
        <v>2.17</v>
      </c>
      <c r="BJ67" s="128">
        <v>2.1800000000000002</v>
      </c>
      <c r="BK67" s="128">
        <v>2.1800000000000002</v>
      </c>
      <c r="BL67" s="128">
        <v>2.19</v>
      </c>
      <c r="BM67" s="128">
        <v>2.2000000000000002</v>
      </c>
      <c r="BN67" s="128">
        <v>2.21</v>
      </c>
      <c r="BO67" s="128">
        <v>2.21</v>
      </c>
      <c r="BP67" s="128">
        <v>2.2200000000000002</v>
      </c>
      <c r="BQ67" s="128">
        <v>2.23</v>
      </c>
      <c r="BR67" s="128">
        <v>2.2400000000000002</v>
      </c>
      <c r="BS67" s="128">
        <v>2.25</v>
      </c>
      <c r="BT67" s="128">
        <v>2.2599999999999998</v>
      </c>
      <c r="BU67" s="128">
        <v>2.27</v>
      </c>
      <c r="BV67" s="128">
        <v>2.2799999999999998</v>
      </c>
      <c r="BW67" s="128">
        <v>2.29</v>
      </c>
      <c r="BX67" s="128">
        <v>2.2999999999999998</v>
      </c>
      <c r="BY67" s="128">
        <v>2.31</v>
      </c>
      <c r="BZ67" s="128">
        <v>2.3199999999999998</v>
      </c>
      <c r="CA67" s="128">
        <v>2.33</v>
      </c>
      <c r="CB67" s="128">
        <v>2.34</v>
      </c>
      <c r="CC67" s="128">
        <v>2.36</v>
      </c>
      <c r="CD67" s="128">
        <v>2.37</v>
      </c>
      <c r="CE67" s="128">
        <v>2.38</v>
      </c>
      <c r="CF67" s="128">
        <v>2.39</v>
      </c>
      <c r="CG67" s="128">
        <v>2.4</v>
      </c>
      <c r="CH67" s="128">
        <v>2.41</v>
      </c>
      <c r="CI67" s="128">
        <v>2.4300000000000002</v>
      </c>
      <c r="CJ67" s="128">
        <v>2.44</v>
      </c>
      <c r="CK67" s="128">
        <v>2.4500000000000002</v>
      </c>
      <c r="CL67" s="128">
        <v>2.46</v>
      </c>
      <c r="CM67" s="128">
        <v>2.48</v>
      </c>
      <c r="CN67" s="128">
        <v>2.4900000000000002</v>
      </c>
      <c r="CO67" s="128">
        <v>2.5</v>
      </c>
      <c r="CP67" s="128">
        <v>2.52</v>
      </c>
      <c r="CQ67" s="128">
        <v>2.5299999999999998</v>
      </c>
      <c r="CR67" s="128">
        <v>2.5499999999999998</v>
      </c>
      <c r="CS67" s="128">
        <v>2.56</v>
      </c>
      <c r="CT67" s="128">
        <v>2.58</v>
      </c>
      <c r="CU67" s="128">
        <v>2.59</v>
      </c>
      <c r="CV67" s="128">
        <v>2.61</v>
      </c>
      <c r="CW67" s="128">
        <v>2.62</v>
      </c>
      <c r="CX67" s="128">
        <v>2.64</v>
      </c>
      <c r="CZ67" s="126">
        <f>SUMIF(MatrixF5[[1]:[2]],MatrixF5[[#This Row],[Столбец1]])/MatrixF5[[#This Row],[Столбец1]]</f>
        <v>61.000000000000014</v>
      </c>
      <c r="DA67" s="126">
        <f>SUMIF(MatrixF5[[1]:[2]],MatrixF5[[#This Row],[Столбец1]]+1)/(MatrixF5[[#This Row],[Столбец1]]+1)</f>
        <v>30.000000000000004</v>
      </c>
    </row>
    <row r="68" spans="1:105" ht="21" customHeight="1" x14ac:dyDescent="0.25">
      <c r="A68" s="127">
        <v>1.65</v>
      </c>
      <c r="B68" s="128">
        <v>1.65</v>
      </c>
      <c r="C68" s="128">
        <v>1.66</v>
      </c>
      <c r="D68" s="128">
        <v>1.68</v>
      </c>
      <c r="E68" s="128">
        <v>1.69</v>
      </c>
      <c r="F68" s="128">
        <v>1.7</v>
      </c>
      <c r="G68" s="128">
        <v>1.71</v>
      </c>
      <c r="H68" s="128">
        <v>1.73</v>
      </c>
      <c r="I68" s="128">
        <v>1.74</v>
      </c>
      <c r="J68" s="128">
        <v>1.75</v>
      </c>
      <c r="K68" s="128">
        <v>1.76</v>
      </c>
      <c r="L68" s="128">
        <v>1.77</v>
      </c>
      <c r="M68" s="128">
        <v>1.78</v>
      </c>
      <c r="N68" s="128">
        <v>1.79</v>
      </c>
      <c r="O68" s="128">
        <v>1.81</v>
      </c>
      <c r="P68" s="128">
        <v>1.82</v>
      </c>
      <c r="Q68" s="128">
        <v>1.83</v>
      </c>
      <c r="R68" s="128">
        <v>1.84</v>
      </c>
      <c r="S68" s="128">
        <v>1.85</v>
      </c>
      <c r="T68" s="128">
        <v>1.86</v>
      </c>
      <c r="U68" s="128">
        <v>1.87</v>
      </c>
      <c r="V68" s="128">
        <v>1.87</v>
      </c>
      <c r="W68" s="128">
        <v>1.88</v>
      </c>
      <c r="X68" s="128">
        <v>1.89</v>
      </c>
      <c r="Y68" s="128">
        <v>1.9</v>
      </c>
      <c r="Z68" s="128">
        <v>1.91</v>
      </c>
      <c r="AA68" s="128">
        <v>1.92</v>
      </c>
      <c r="AB68" s="128">
        <v>1.93</v>
      </c>
      <c r="AC68" s="128">
        <v>1.94</v>
      </c>
      <c r="AD68" s="128">
        <v>1.95</v>
      </c>
      <c r="AE68" s="128">
        <v>1.95</v>
      </c>
      <c r="AF68" s="128">
        <v>1.96</v>
      </c>
      <c r="AG68" s="128">
        <v>1.97</v>
      </c>
      <c r="AH68" s="128">
        <v>1.98</v>
      </c>
      <c r="AI68" s="128">
        <v>1.98</v>
      </c>
      <c r="AJ68" s="128">
        <v>1.99</v>
      </c>
      <c r="AK68" s="128">
        <v>2</v>
      </c>
      <c r="AL68" s="128">
        <v>2.0099999999999998</v>
      </c>
      <c r="AM68" s="128">
        <v>2.0099999999999998</v>
      </c>
      <c r="AN68" s="128">
        <v>2.02</v>
      </c>
      <c r="AO68" s="128">
        <v>2.0299999999999998</v>
      </c>
      <c r="AP68" s="128">
        <v>2.04</v>
      </c>
      <c r="AQ68" s="128">
        <v>2.04</v>
      </c>
      <c r="AR68" s="128">
        <v>2.0499999999999998</v>
      </c>
      <c r="AS68" s="128">
        <v>2.06</v>
      </c>
      <c r="AT68" s="128">
        <v>2.0699999999999998</v>
      </c>
      <c r="AU68" s="128">
        <v>2.0699999999999998</v>
      </c>
      <c r="AV68" s="128">
        <v>2.08</v>
      </c>
      <c r="AW68" s="128">
        <v>2.09</v>
      </c>
      <c r="AX68" s="128">
        <v>2.1</v>
      </c>
      <c r="AY68" s="128">
        <v>2.1</v>
      </c>
      <c r="AZ68" s="128">
        <v>2.11</v>
      </c>
      <c r="BA68" s="128">
        <v>2.12</v>
      </c>
      <c r="BB68" s="128">
        <v>2.13</v>
      </c>
      <c r="BC68" s="128">
        <v>2.13</v>
      </c>
      <c r="BD68" s="128">
        <v>2.14</v>
      </c>
      <c r="BE68" s="128">
        <v>2.15</v>
      </c>
      <c r="BF68" s="128">
        <v>2.16</v>
      </c>
      <c r="BG68" s="128">
        <v>2.16</v>
      </c>
      <c r="BH68" s="128">
        <v>2.17</v>
      </c>
      <c r="BI68" s="128">
        <v>2.1800000000000002</v>
      </c>
      <c r="BJ68" s="128">
        <v>2.19</v>
      </c>
      <c r="BK68" s="128">
        <v>2.19</v>
      </c>
      <c r="BL68" s="128">
        <v>2.2000000000000002</v>
      </c>
      <c r="BM68" s="128">
        <v>2.21</v>
      </c>
      <c r="BN68" s="128">
        <v>2.21</v>
      </c>
      <c r="BO68" s="128">
        <v>2.2200000000000002</v>
      </c>
      <c r="BP68" s="128">
        <v>2.23</v>
      </c>
      <c r="BQ68" s="128">
        <v>2.2400000000000002</v>
      </c>
      <c r="BR68" s="128">
        <v>2.25</v>
      </c>
      <c r="BS68" s="128">
        <v>2.2599999999999998</v>
      </c>
      <c r="BT68" s="128">
        <v>2.27</v>
      </c>
      <c r="BU68" s="128">
        <v>2.2799999999999998</v>
      </c>
      <c r="BV68" s="128">
        <v>2.29</v>
      </c>
      <c r="BW68" s="128">
        <v>2.2999999999999998</v>
      </c>
      <c r="BX68" s="128">
        <v>2.31</v>
      </c>
      <c r="BY68" s="128">
        <v>2.3199999999999998</v>
      </c>
      <c r="BZ68" s="128">
        <v>2.33</v>
      </c>
      <c r="CA68" s="128">
        <v>2.34</v>
      </c>
      <c r="CB68" s="128">
        <v>2.35</v>
      </c>
      <c r="CC68" s="128">
        <v>2.36</v>
      </c>
      <c r="CD68" s="128">
        <v>2.37</v>
      </c>
      <c r="CE68" s="128">
        <v>2.39</v>
      </c>
      <c r="CF68" s="128">
        <v>2.4</v>
      </c>
      <c r="CG68" s="128">
        <v>2.41</v>
      </c>
      <c r="CH68" s="128">
        <v>2.42</v>
      </c>
      <c r="CI68" s="128">
        <v>2.4300000000000002</v>
      </c>
      <c r="CJ68" s="128">
        <v>2.4500000000000002</v>
      </c>
      <c r="CK68" s="128">
        <v>2.46</v>
      </c>
      <c r="CL68" s="128">
        <v>2.4700000000000002</v>
      </c>
      <c r="CM68" s="128">
        <v>2.4900000000000002</v>
      </c>
      <c r="CN68" s="128">
        <v>2.5</v>
      </c>
      <c r="CO68" s="128">
        <v>2.5099999999999998</v>
      </c>
      <c r="CP68" s="128">
        <v>2.5299999999999998</v>
      </c>
      <c r="CQ68" s="128">
        <v>2.54</v>
      </c>
      <c r="CR68" s="128">
        <v>2.56</v>
      </c>
      <c r="CS68" s="128">
        <v>2.57</v>
      </c>
      <c r="CT68" s="128">
        <v>2.59</v>
      </c>
      <c r="CU68" s="128">
        <v>2.6</v>
      </c>
      <c r="CV68" s="128">
        <v>2.62</v>
      </c>
      <c r="CW68" s="128">
        <v>2.63</v>
      </c>
      <c r="CX68" s="128">
        <v>2.65</v>
      </c>
      <c r="CZ68" s="126">
        <f>SUMIF(MatrixF5[[1]:[2]],MatrixF5[[#This Row],[Столбец1]])/MatrixF5[[#This Row],[Столбец1]]</f>
        <v>64.000000000000071</v>
      </c>
      <c r="DA68" s="126">
        <f>SUMIF(MatrixF5[[1]:[2]],MatrixF5[[#This Row],[Столбец1]]+1)/(MatrixF5[[#This Row],[Столбец1]]+1)</f>
        <v>31.000000000000007</v>
      </c>
    </row>
    <row r="69" spans="1:105" ht="21" customHeight="1" x14ac:dyDescent="0.25">
      <c r="A69" s="127">
        <v>1.66</v>
      </c>
      <c r="B69" s="128">
        <v>1.66</v>
      </c>
      <c r="C69" s="128">
        <v>1.67</v>
      </c>
      <c r="D69" s="128">
        <v>1.69</v>
      </c>
      <c r="E69" s="128">
        <v>1.7</v>
      </c>
      <c r="F69" s="128">
        <v>1.71</v>
      </c>
      <c r="G69" s="128">
        <v>1.72</v>
      </c>
      <c r="H69" s="128">
        <v>1.74</v>
      </c>
      <c r="I69" s="128">
        <v>1.75</v>
      </c>
      <c r="J69" s="128">
        <v>1.76</v>
      </c>
      <c r="K69" s="128">
        <v>1.77</v>
      </c>
      <c r="L69" s="128">
        <v>1.78</v>
      </c>
      <c r="M69" s="128">
        <v>1.79</v>
      </c>
      <c r="N69" s="128">
        <v>1.8</v>
      </c>
      <c r="O69" s="128">
        <v>1.81</v>
      </c>
      <c r="P69" s="128">
        <v>1.82</v>
      </c>
      <c r="Q69" s="128">
        <v>1.83</v>
      </c>
      <c r="R69" s="128">
        <v>1.84</v>
      </c>
      <c r="S69" s="128">
        <v>1.85</v>
      </c>
      <c r="T69" s="128">
        <v>1.86</v>
      </c>
      <c r="U69" s="128">
        <v>1.87</v>
      </c>
      <c r="V69" s="128">
        <v>1.88</v>
      </c>
      <c r="W69" s="128">
        <v>1.89</v>
      </c>
      <c r="X69" s="128">
        <v>1.9</v>
      </c>
      <c r="Y69" s="128">
        <v>1.91</v>
      </c>
      <c r="Z69" s="128">
        <v>1.92</v>
      </c>
      <c r="AA69" s="128">
        <v>1.93</v>
      </c>
      <c r="AB69" s="128">
        <v>1.94</v>
      </c>
      <c r="AC69" s="128">
        <v>1.94</v>
      </c>
      <c r="AD69" s="128">
        <v>1.95</v>
      </c>
      <c r="AE69" s="128">
        <v>1.96</v>
      </c>
      <c r="AF69" s="128">
        <v>1.97</v>
      </c>
      <c r="AG69" s="128">
        <v>1.98</v>
      </c>
      <c r="AH69" s="128">
        <v>1.98</v>
      </c>
      <c r="AI69" s="128">
        <v>1.99</v>
      </c>
      <c r="AJ69" s="128">
        <v>2</v>
      </c>
      <c r="AK69" s="128">
        <v>2.0099999999999998</v>
      </c>
      <c r="AL69" s="128">
        <v>2.0099999999999998</v>
      </c>
      <c r="AM69" s="128">
        <v>2.02</v>
      </c>
      <c r="AN69" s="128">
        <v>2.0299999999999998</v>
      </c>
      <c r="AO69" s="128">
        <v>2.04</v>
      </c>
      <c r="AP69" s="128">
        <v>2.04</v>
      </c>
      <c r="AQ69" s="128">
        <v>2.0499999999999998</v>
      </c>
      <c r="AR69" s="128">
        <v>2.06</v>
      </c>
      <c r="AS69" s="128">
        <v>2.0699999999999998</v>
      </c>
      <c r="AT69" s="128">
        <v>2.0699999999999998</v>
      </c>
      <c r="AU69" s="128">
        <v>2.08</v>
      </c>
      <c r="AV69" s="128">
        <v>2.09</v>
      </c>
      <c r="AW69" s="128">
        <v>2.1</v>
      </c>
      <c r="AX69" s="128">
        <v>2.1</v>
      </c>
      <c r="AY69" s="128">
        <v>2.11</v>
      </c>
      <c r="AZ69" s="128">
        <v>2.12</v>
      </c>
      <c r="BA69" s="128">
        <v>2.13</v>
      </c>
      <c r="BB69" s="128">
        <v>2.13</v>
      </c>
      <c r="BC69" s="128">
        <v>2.14</v>
      </c>
      <c r="BD69" s="128">
        <v>2.15</v>
      </c>
      <c r="BE69" s="128">
        <v>2.16</v>
      </c>
      <c r="BF69" s="128">
        <v>2.16</v>
      </c>
      <c r="BG69" s="128">
        <v>2.17</v>
      </c>
      <c r="BH69" s="128">
        <v>2.1800000000000002</v>
      </c>
      <c r="BI69" s="128">
        <v>2.19</v>
      </c>
      <c r="BJ69" s="128">
        <v>2.19</v>
      </c>
      <c r="BK69" s="128">
        <v>2.2000000000000002</v>
      </c>
      <c r="BL69" s="128">
        <v>2.21</v>
      </c>
      <c r="BM69" s="128">
        <v>2.2200000000000002</v>
      </c>
      <c r="BN69" s="128">
        <v>2.2200000000000002</v>
      </c>
      <c r="BO69" s="128">
        <v>2.23</v>
      </c>
      <c r="BP69" s="128">
        <v>2.2400000000000002</v>
      </c>
      <c r="BQ69" s="128">
        <v>2.25</v>
      </c>
      <c r="BR69" s="128">
        <v>2.2599999999999998</v>
      </c>
      <c r="BS69" s="128">
        <v>2.27</v>
      </c>
      <c r="BT69" s="128">
        <v>2.2799999999999998</v>
      </c>
      <c r="BU69" s="128">
        <v>2.29</v>
      </c>
      <c r="BV69" s="128">
        <v>2.2999999999999998</v>
      </c>
      <c r="BW69" s="128">
        <v>2.31</v>
      </c>
      <c r="BX69" s="128">
        <v>2.3199999999999998</v>
      </c>
      <c r="BY69" s="128">
        <v>2.33</v>
      </c>
      <c r="BZ69" s="128">
        <v>2.34</v>
      </c>
      <c r="CA69" s="128">
        <v>2.35</v>
      </c>
      <c r="CB69" s="128">
        <v>2.36</v>
      </c>
      <c r="CC69" s="128">
        <v>2.37</v>
      </c>
      <c r="CD69" s="128">
        <v>2.38</v>
      </c>
      <c r="CE69" s="128">
        <v>2.39</v>
      </c>
      <c r="CF69" s="128">
        <v>2.41</v>
      </c>
      <c r="CG69" s="128">
        <v>2.42</v>
      </c>
      <c r="CH69" s="128">
        <v>2.4300000000000002</v>
      </c>
      <c r="CI69" s="128">
        <v>2.44</v>
      </c>
      <c r="CJ69" s="128">
        <v>2.46</v>
      </c>
      <c r="CK69" s="128">
        <v>2.4700000000000002</v>
      </c>
      <c r="CL69" s="128">
        <v>2.48</v>
      </c>
      <c r="CM69" s="128">
        <v>2.5</v>
      </c>
      <c r="CN69" s="128">
        <v>2.5099999999999998</v>
      </c>
      <c r="CO69" s="128">
        <v>2.52</v>
      </c>
      <c r="CP69" s="128">
        <v>2.54</v>
      </c>
      <c r="CQ69" s="128">
        <v>2.5499999999999998</v>
      </c>
      <c r="CR69" s="128">
        <v>2.57</v>
      </c>
      <c r="CS69" s="128">
        <v>2.58</v>
      </c>
      <c r="CT69" s="128">
        <v>2.6</v>
      </c>
      <c r="CU69" s="128">
        <v>2.61</v>
      </c>
      <c r="CV69" s="128">
        <v>2.63</v>
      </c>
      <c r="CW69" s="128">
        <v>2.64</v>
      </c>
      <c r="CX69" s="128">
        <v>2.66</v>
      </c>
      <c r="CZ69" s="126">
        <f>SUMIF(MatrixF5[[1]:[2]],MatrixF5[[#This Row],[Столбец1]])/MatrixF5[[#This Row],[Столбец1]]</f>
        <v>66.999999999999915</v>
      </c>
      <c r="DA69" s="126">
        <f>SUMIF(MatrixF5[[1]:[2]],MatrixF5[[#This Row],[Столбец1]]+1)/(MatrixF5[[#This Row],[Столбец1]]+1)</f>
        <v>25.999999999999982</v>
      </c>
    </row>
    <row r="70" spans="1:105" ht="21" customHeight="1" x14ac:dyDescent="0.25">
      <c r="A70" s="127">
        <v>1.67</v>
      </c>
      <c r="B70" s="128">
        <v>1.67</v>
      </c>
      <c r="C70" s="128">
        <v>1.68</v>
      </c>
      <c r="D70" s="128">
        <v>1.7</v>
      </c>
      <c r="E70" s="128">
        <v>1.71</v>
      </c>
      <c r="F70" s="128">
        <v>1.72</v>
      </c>
      <c r="G70" s="128">
        <v>1.73</v>
      </c>
      <c r="H70" s="128">
        <v>1.75</v>
      </c>
      <c r="I70" s="128">
        <v>1.76</v>
      </c>
      <c r="J70" s="128">
        <v>1.77</v>
      </c>
      <c r="K70" s="128">
        <v>1.78</v>
      </c>
      <c r="L70" s="128">
        <v>1.79</v>
      </c>
      <c r="M70" s="128">
        <v>1.8</v>
      </c>
      <c r="N70" s="128">
        <v>1.81</v>
      </c>
      <c r="O70" s="128">
        <v>1.82</v>
      </c>
      <c r="P70" s="128">
        <v>1.83</v>
      </c>
      <c r="Q70" s="128">
        <v>1.84</v>
      </c>
      <c r="R70" s="128">
        <v>1.85</v>
      </c>
      <c r="S70" s="128">
        <v>1.86</v>
      </c>
      <c r="T70" s="128">
        <v>1.87</v>
      </c>
      <c r="U70" s="128">
        <v>1.88</v>
      </c>
      <c r="V70" s="128">
        <v>1.89</v>
      </c>
      <c r="W70" s="128">
        <v>1.9</v>
      </c>
      <c r="X70" s="128">
        <v>1.91</v>
      </c>
      <c r="Y70" s="128">
        <v>1.92</v>
      </c>
      <c r="Z70" s="128">
        <v>1.93</v>
      </c>
      <c r="AA70" s="128">
        <v>1.94</v>
      </c>
      <c r="AB70" s="128">
        <v>1.94</v>
      </c>
      <c r="AC70" s="128">
        <v>1.95</v>
      </c>
      <c r="AD70" s="128">
        <v>1.96</v>
      </c>
      <c r="AE70" s="128">
        <v>1.97</v>
      </c>
      <c r="AF70" s="128">
        <v>1.98</v>
      </c>
      <c r="AG70" s="128">
        <v>1.98</v>
      </c>
      <c r="AH70" s="128">
        <v>1.99</v>
      </c>
      <c r="AI70" s="128">
        <v>2</v>
      </c>
      <c r="AJ70" s="128">
        <v>2.0099999999999998</v>
      </c>
      <c r="AK70" s="128">
        <v>2.02</v>
      </c>
      <c r="AL70" s="128">
        <v>2.02</v>
      </c>
      <c r="AM70" s="128">
        <v>2.0299999999999998</v>
      </c>
      <c r="AN70" s="128">
        <v>2.04</v>
      </c>
      <c r="AO70" s="128">
        <v>2.0499999999999998</v>
      </c>
      <c r="AP70" s="128">
        <v>2.0499999999999998</v>
      </c>
      <c r="AQ70" s="128">
        <v>2.06</v>
      </c>
      <c r="AR70" s="128">
        <v>2.0699999999999998</v>
      </c>
      <c r="AS70" s="128">
        <v>2.08</v>
      </c>
      <c r="AT70" s="128">
        <v>2.08</v>
      </c>
      <c r="AU70" s="128">
        <v>2.09</v>
      </c>
      <c r="AV70" s="128">
        <v>2.1</v>
      </c>
      <c r="AW70" s="128">
        <v>2.11</v>
      </c>
      <c r="AX70" s="128">
        <v>2.11</v>
      </c>
      <c r="AY70" s="128">
        <v>2.12</v>
      </c>
      <c r="AZ70" s="128">
        <v>2.13</v>
      </c>
      <c r="BA70" s="128">
        <v>2.14</v>
      </c>
      <c r="BB70" s="128">
        <v>2.14</v>
      </c>
      <c r="BC70" s="128">
        <v>2.15</v>
      </c>
      <c r="BD70" s="128">
        <v>2.16</v>
      </c>
      <c r="BE70" s="128">
        <v>2.17</v>
      </c>
      <c r="BF70" s="128">
        <v>2.17</v>
      </c>
      <c r="BG70" s="128">
        <v>2.1800000000000002</v>
      </c>
      <c r="BH70" s="128">
        <v>2.19</v>
      </c>
      <c r="BI70" s="128">
        <v>2.2000000000000002</v>
      </c>
      <c r="BJ70" s="128">
        <v>2.2000000000000002</v>
      </c>
      <c r="BK70" s="128">
        <v>2.21</v>
      </c>
      <c r="BL70" s="128">
        <v>2.2200000000000002</v>
      </c>
      <c r="BM70" s="128">
        <v>2.23</v>
      </c>
      <c r="BN70" s="128">
        <v>2.23</v>
      </c>
      <c r="BO70" s="128">
        <v>2.2400000000000002</v>
      </c>
      <c r="BP70" s="128">
        <v>2.25</v>
      </c>
      <c r="BQ70" s="128">
        <v>2.2599999999999998</v>
      </c>
      <c r="BR70" s="128">
        <v>2.27</v>
      </c>
      <c r="BS70" s="128">
        <v>2.27</v>
      </c>
      <c r="BT70" s="128">
        <v>2.2799999999999998</v>
      </c>
      <c r="BU70" s="128">
        <v>2.29</v>
      </c>
      <c r="BV70" s="128">
        <v>2.2999999999999998</v>
      </c>
      <c r="BW70" s="128">
        <v>2.31</v>
      </c>
      <c r="BX70" s="128">
        <v>2.33</v>
      </c>
      <c r="BY70" s="128">
        <v>2.34</v>
      </c>
      <c r="BZ70" s="128">
        <v>2.35</v>
      </c>
      <c r="CA70" s="128">
        <v>2.36</v>
      </c>
      <c r="CB70" s="128">
        <v>2.37</v>
      </c>
      <c r="CC70" s="128">
        <v>2.38</v>
      </c>
      <c r="CD70" s="128">
        <v>2.39</v>
      </c>
      <c r="CE70" s="128">
        <v>2.4</v>
      </c>
      <c r="CF70" s="128">
        <v>2.42</v>
      </c>
      <c r="CG70" s="128">
        <v>2.4300000000000002</v>
      </c>
      <c r="CH70" s="128">
        <v>2.44</v>
      </c>
      <c r="CI70" s="128">
        <v>2.4500000000000002</v>
      </c>
      <c r="CJ70" s="128">
        <v>2.46</v>
      </c>
      <c r="CK70" s="128">
        <v>2.48</v>
      </c>
      <c r="CL70" s="128">
        <v>2.4900000000000002</v>
      </c>
      <c r="CM70" s="128">
        <v>2.5</v>
      </c>
      <c r="CN70" s="128">
        <v>2.52</v>
      </c>
      <c r="CO70" s="128">
        <v>2.5299999999999998</v>
      </c>
      <c r="CP70" s="128">
        <v>2.5499999999999998</v>
      </c>
      <c r="CQ70" s="128">
        <v>2.56</v>
      </c>
      <c r="CR70" s="128">
        <v>2.58</v>
      </c>
      <c r="CS70" s="128">
        <v>2.59</v>
      </c>
      <c r="CT70" s="128">
        <v>2.61</v>
      </c>
      <c r="CU70" s="128">
        <v>2.62</v>
      </c>
      <c r="CV70" s="128">
        <v>2.64</v>
      </c>
      <c r="CW70" s="128">
        <v>2.65</v>
      </c>
      <c r="CX70" s="128">
        <v>2.67</v>
      </c>
      <c r="CZ70" s="126">
        <f>SUMIF(MatrixF5[[1]:[2]],MatrixF5[[#This Row],[Столбец1]])/MatrixF5[[#This Row],[Столбец1]]</f>
        <v>63.00000000000005</v>
      </c>
      <c r="DA70" s="126">
        <f>SUMIF(MatrixF5[[1]:[2]],MatrixF5[[#This Row],[Столбец1]]+1)/(MatrixF5[[#This Row],[Столбец1]]+1)</f>
        <v>26.000000000000011</v>
      </c>
    </row>
    <row r="71" spans="1:105" ht="21" customHeight="1" x14ac:dyDescent="0.25">
      <c r="A71" s="127">
        <v>1.68</v>
      </c>
      <c r="B71" s="128">
        <v>1.68</v>
      </c>
      <c r="C71" s="128">
        <v>1.69</v>
      </c>
      <c r="D71" s="128">
        <v>1.71</v>
      </c>
      <c r="E71" s="128">
        <v>1.72</v>
      </c>
      <c r="F71" s="128">
        <v>1.73</v>
      </c>
      <c r="G71" s="128">
        <v>1.74</v>
      </c>
      <c r="H71" s="128">
        <v>1.75</v>
      </c>
      <c r="I71" s="128">
        <v>1.77</v>
      </c>
      <c r="J71" s="128">
        <v>1.78</v>
      </c>
      <c r="K71" s="128">
        <v>1.79</v>
      </c>
      <c r="L71" s="128">
        <v>1.8</v>
      </c>
      <c r="M71" s="128">
        <v>1.81</v>
      </c>
      <c r="N71" s="128">
        <v>1.82</v>
      </c>
      <c r="O71" s="128">
        <v>1.83</v>
      </c>
      <c r="P71" s="128">
        <v>1.84</v>
      </c>
      <c r="Q71" s="128">
        <v>1.85</v>
      </c>
      <c r="R71" s="128">
        <v>1.86</v>
      </c>
      <c r="S71" s="128">
        <v>1.87</v>
      </c>
      <c r="T71" s="128">
        <v>1.88</v>
      </c>
      <c r="U71" s="128">
        <v>1.89</v>
      </c>
      <c r="V71" s="128">
        <v>1.9</v>
      </c>
      <c r="W71" s="128">
        <v>1.91</v>
      </c>
      <c r="X71" s="128">
        <v>1.92</v>
      </c>
      <c r="Y71" s="128">
        <v>1.93</v>
      </c>
      <c r="Z71" s="128">
        <v>1.94</v>
      </c>
      <c r="AA71" s="128">
        <v>1.94</v>
      </c>
      <c r="AB71" s="128">
        <v>1.95</v>
      </c>
      <c r="AC71" s="128">
        <v>1.96</v>
      </c>
      <c r="AD71" s="128">
        <v>1.97</v>
      </c>
      <c r="AE71" s="128">
        <v>1.98</v>
      </c>
      <c r="AF71" s="128">
        <v>1.98</v>
      </c>
      <c r="AG71" s="128">
        <v>1.99</v>
      </c>
      <c r="AH71" s="128">
        <v>2</v>
      </c>
      <c r="AI71" s="128">
        <v>2.0099999999999998</v>
      </c>
      <c r="AJ71" s="128">
        <v>2.02</v>
      </c>
      <c r="AK71" s="128">
        <v>2.02</v>
      </c>
      <c r="AL71" s="128">
        <v>2.0299999999999998</v>
      </c>
      <c r="AM71" s="128">
        <v>2.04</v>
      </c>
      <c r="AN71" s="128">
        <v>2.0499999999999998</v>
      </c>
      <c r="AO71" s="128">
        <v>2.0499999999999998</v>
      </c>
      <c r="AP71" s="128">
        <v>2.06</v>
      </c>
      <c r="AQ71" s="128">
        <v>2.0699999999999998</v>
      </c>
      <c r="AR71" s="128">
        <v>2.08</v>
      </c>
      <c r="AS71" s="128">
        <v>2.08</v>
      </c>
      <c r="AT71" s="128">
        <v>2.09</v>
      </c>
      <c r="AU71" s="128">
        <v>2.1</v>
      </c>
      <c r="AV71" s="128">
        <v>2.11</v>
      </c>
      <c r="AW71" s="128">
        <v>2.11</v>
      </c>
      <c r="AX71" s="128">
        <v>2.12</v>
      </c>
      <c r="AY71" s="128">
        <v>2.13</v>
      </c>
      <c r="AZ71" s="128">
        <v>2.14</v>
      </c>
      <c r="BA71" s="128">
        <v>2.14</v>
      </c>
      <c r="BB71" s="128">
        <v>2.15</v>
      </c>
      <c r="BC71" s="128">
        <v>2.16</v>
      </c>
      <c r="BD71" s="128">
        <v>2.17</v>
      </c>
      <c r="BE71" s="128">
        <v>2.17</v>
      </c>
      <c r="BF71" s="128">
        <v>2.1800000000000002</v>
      </c>
      <c r="BG71" s="128">
        <v>2.19</v>
      </c>
      <c r="BH71" s="128">
        <v>2.2000000000000002</v>
      </c>
      <c r="BI71" s="128">
        <v>2.2000000000000002</v>
      </c>
      <c r="BJ71" s="128">
        <v>2.21</v>
      </c>
      <c r="BK71" s="128">
        <v>2.2200000000000002</v>
      </c>
      <c r="BL71" s="128">
        <v>2.23</v>
      </c>
      <c r="BM71" s="128">
        <v>2.23</v>
      </c>
      <c r="BN71" s="128">
        <v>2.2400000000000002</v>
      </c>
      <c r="BO71" s="128">
        <v>2.25</v>
      </c>
      <c r="BP71" s="128">
        <v>2.2599999999999998</v>
      </c>
      <c r="BQ71" s="128">
        <v>2.27</v>
      </c>
      <c r="BR71" s="128">
        <v>2.27</v>
      </c>
      <c r="BS71" s="128">
        <v>2.2799999999999998</v>
      </c>
      <c r="BT71" s="128">
        <v>2.29</v>
      </c>
      <c r="BU71" s="128">
        <v>2.2999999999999998</v>
      </c>
      <c r="BV71" s="128">
        <v>2.31</v>
      </c>
      <c r="BW71" s="128">
        <v>2.3199999999999998</v>
      </c>
      <c r="BX71" s="128">
        <v>2.33</v>
      </c>
      <c r="BY71" s="128">
        <v>2.34</v>
      </c>
      <c r="BZ71" s="128">
        <v>2.35</v>
      </c>
      <c r="CA71" s="128">
        <v>2.37</v>
      </c>
      <c r="CB71" s="128">
        <v>2.38</v>
      </c>
      <c r="CC71" s="128">
        <v>2.39</v>
      </c>
      <c r="CD71" s="128">
        <v>2.4</v>
      </c>
      <c r="CE71" s="128">
        <v>2.41</v>
      </c>
      <c r="CF71" s="128">
        <v>2.42</v>
      </c>
      <c r="CG71" s="128">
        <v>2.44</v>
      </c>
      <c r="CH71" s="128">
        <v>2.4500000000000002</v>
      </c>
      <c r="CI71" s="128">
        <v>2.46</v>
      </c>
      <c r="CJ71" s="128">
        <v>2.4700000000000002</v>
      </c>
      <c r="CK71" s="128">
        <v>2.4900000000000002</v>
      </c>
      <c r="CL71" s="128">
        <v>2.5</v>
      </c>
      <c r="CM71" s="128">
        <v>2.5099999999999998</v>
      </c>
      <c r="CN71" s="128">
        <v>2.5299999999999998</v>
      </c>
      <c r="CO71" s="128">
        <v>2.54</v>
      </c>
      <c r="CP71" s="128">
        <v>2.56</v>
      </c>
      <c r="CQ71" s="128">
        <v>2.57</v>
      </c>
      <c r="CR71" s="128">
        <v>2.58</v>
      </c>
      <c r="CS71" s="128">
        <v>2.6</v>
      </c>
      <c r="CT71" s="128">
        <v>2.62</v>
      </c>
      <c r="CU71" s="128">
        <v>2.63</v>
      </c>
      <c r="CV71" s="128">
        <v>2.65</v>
      </c>
      <c r="CW71" s="128">
        <v>2.66</v>
      </c>
      <c r="CX71" s="128">
        <v>2.68</v>
      </c>
      <c r="CZ71" s="126">
        <f>SUMIF(MatrixF5[[1]:[2]],MatrixF5[[#This Row],[Столбец1]])/MatrixF5[[#This Row],[Столбец1]]</f>
        <v>68.000000000000114</v>
      </c>
      <c r="DA71" s="126">
        <f>SUMIF(MatrixF5[[1]:[2]],MatrixF5[[#This Row],[Столбец1]]+1)/(MatrixF5[[#This Row],[Столбец1]]+1)</f>
        <v>27.000000000000014</v>
      </c>
    </row>
    <row r="72" spans="1:105" ht="21" customHeight="1" x14ac:dyDescent="0.25">
      <c r="A72" s="127">
        <v>1.69</v>
      </c>
      <c r="B72" s="128">
        <v>1.69</v>
      </c>
      <c r="C72" s="128">
        <v>1.7</v>
      </c>
      <c r="D72" s="128">
        <v>1.72</v>
      </c>
      <c r="E72" s="128">
        <v>1.73</v>
      </c>
      <c r="F72" s="128">
        <v>1.74</v>
      </c>
      <c r="G72" s="128">
        <v>1.75</v>
      </c>
      <c r="H72" s="128">
        <v>1.76</v>
      </c>
      <c r="I72" s="128">
        <v>1.78</v>
      </c>
      <c r="J72" s="128">
        <v>1.79</v>
      </c>
      <c r="K72" s="128">
        <v>1.8</v>
      </c>
      <c r="L72" s="128">
        <v>1.81</v>
      </c>
      <c r="M72" s="128">
        <v>1.82</v>
      </c>
      <c r="N72" s="128">
        <v>1.83</v>
      </c>
      <c r="O72" s="128">
        <v>1.84</v>
      </c>
      <c r="P72" s="128">
        <v>1.85</v>
      </c>
      <c r="Q72" s="128">
        <v>1.86</v>
      </c>
      <c r="R72" s="128">
        <v>1.87</v>
      </c>
      <c r="S72" s="128">
        <v>1.88</v>
      </c>
      <c r="T72" s="128">
        <v>1.89</v>
      </c>
      <c r="U72" s="128">
        <v>1.9</v>
      </c>
      <c r="V72" s="128">
        <v>1.91</v>
      </c>
      <c r="W72" s="128">
        <v>1.92</v>
      </c>
      <c r="X72" s="128">
        <v>1.93</v>
      </c>
      <c r="Y72" s="128">
        <v>1.93</v>
      </c>
      <c r="Z72" s="128">
        <v>1.94</v>
      </c>
      <c r="AA72" s="128">
        <v>1.95</v>
      </c>
      <c r="AB72" s="128">
        <v>1.96</v>
      </c>
      <c r="AC72" s="128">
        <v>1.97</v>
      </c>
      <c r="AD72" s="128">
        <v>1.98</v>
      </c>
      <c r="AE72" s="128">
        <v>1.98</v>
      </c>
      <c r="AF72" s="128">
        <v>1.99</v>
      </c>
      <c r="AG72" s="128">
        <v>2</v>
      </c>
      <c r="AH72" s="128">
        <v>2.0099999999999998</v>
      </c>
      <c r="AI72" s="128">
        <v>2.02</v>
      </c>
      <c r="AJ72" s="128">
        <v>2.02</v>
      </c>
      <c r="AK72" s="128">
        <v>2.0299999999999998</v>
      </c>
      <c r="AL72" s="128">
        <v>2.04</v>
      </c>
      <c r="AM72" s="128">
        <v>2.0499999999999998</v>
      </c>
      <c r="AN72" s="128">
        <v>2.0499999999999998</v>
      </c>
      <c r="AO72" s="128">
        <v>2.06</v>
      </c>
      <c r="AP72" s="128">
        <v>2.0699999999999998</v>
      </c>
      <c r="AQ72" s="128">
        <v>2.08</v>
      </c>
      <c r="AR72" s="128">
        <v>2.08</v>
      </c>
      <c r="AS72" s="128">
        <v>2.09</v>
      </c>
      <c r="AT72" s="128">
        <v>2.1</v>
      </c>
      <c r="AU72" s="128">
        <v>2.11</v>
      </c>
      <c r="AV72" s="128">
        <v>2.11</v>
      </c>
      <c r="AW72" s="128">
        <v>2.12</v>
      </c>
      <c r="AX72" s="128">
        <v>2.13</v>
      </c>
      <c r="AY72" s="128">
        <v>2.14</v>
      </c>
      <c r="AZ72" s="128">
        <v>2.15</v>
      </c>
      <c r="BA72" s="128">
        <v>2.15</v>
      </c>
      <c r="BB72" s="128">
        <v>2.16</v>
      </c>
      <c r="BC72" s="128">
        <v>2.17</v>
      </c>
      <c r="BD72" s="128">
        <v>2.1800000000000002</v>
      </c>
      <c r="BE72" s="128">
        <v>2.1800000000000002</v>
      </c>
      <c r="BF72" s="128">
        <v>2.19</v>
      </c>
      <c r="BG72" s="128">
        <v>2.2000000000000002</v>
      </c>
      <c r="BH72" s="128">
        <v>2.21</v>
      </c>
      <c r="BI72" s="128">
        <v>2.21</v>
      </c>
      <c r="BJ72" s="128">
        <v>2.2200000000000002</v>
      </c>
      <c r="BK72" s="128">
        <v>2.23</v>
      </c>
      <c r="BL72" s="128">
        <v>2.2400000000000002</v>
      </c>
      <c r="BM72" s="128">
        <v>2.2400000000000002</v>
      </c>
      <c r="BN72" s="128">
        <v>2.25</v>
      </c>
      <c r="BO72" s="128">
        <v>2.2599999999999998</v>
      </c>
      <c r="BP72" s="128">
        <v>2.27</v>
      </c>
      <c r="BQ72" s="128">
        <v>2.27</v>
      </c>
      <c r="BR72" s="128">
        <v>2.2799999999999998</v>
      </c>
      <c r="BS72" s="128">
        <v>2.29</v>
      </c>
      <c r="BT72" s="128">
        <v>2.2999999999999998</v>
      </c>
      <c r="BU72" s="128">
        <v>2.31</v>
      </c>
      <c r="BV72" s="128">
        <v>2.3199999999999998</v>
      </c>
      <c r="BW72" s="128">
        <v>2.33</v>
      </c>
      <c r="BX72" s="128">
        <v>2.34</v>
      </c>
      <c r="BY72" s="128">
        <v>2.35</v>
      </c>
      <c r="BZ72" s="128">
        <v>2.36</v>
      </c>
      <c r="CA72" s="128">
        <v>2.37</v>
      </c>
      <c r="CB72" s="128">
        <v>2.39</v>
      </c>
      <c r="CC72" s="128">
        <v>2.4</v>
      </c>
      <c r="CD72" s="128">
        <v>2.41</v>
      </c>
      <c r="CE72" s="128">
        <v>2.42</v>
      </c>
      <c r="CF72" s="128">
        <v>2.4300000000000002</v>
      </c>
      <c r="CG72" s="128">
        <v>2.44</v>
      </c>
      <c r="CH72" s="128">
        <v>2.46</v>
      </c>
      <c r="CI72" s="128">
        <v>2.4700000000000002</v>
      </c>
      <c r="CJ72" s="128">
        <v>2.48</v>
      </c>
      <c r="CK72" s="128">
        <v>2.5</v>
      </c>
      <c r="CL72" s="128">
        <v>2.5099999999999998</v>
      </c>
      <c r="CM72" s="128">
        <v>2.52</v>
      </c>
      <c r="CN72" s="128">
        <v>2.54</v>
      </c>
      <c r="CO72" s="128">
        <v>2.5499999999999998</v>
      </c>
      <c r="CP72" s="128">
        <v>2.56</v>
      </c>
      <c r="CQ72" s="128">
        <v>2.58</v>
      </c>
      <c r="CR72" s="128">
        <v>2.59</v>
      </c>
      <c r="CS72" s="128">
        <v>2.61</v>
      </c>
      <c r="CT72" s="128">
        <v>2.62</v>
      </c>
      <c r="CU72" s="128">
        <v>2.64</v>
      </c>
      <c r="CV72" s="128">
        <v>2.66</v>
      </c>
      <c r="CW72" s="128">
        <v>2.67</v>
      </c>
      <c r="CX72" s="128">
        <v>2.69</v>
      </c>
      <c r="CZ72" s="126">
        <f>SUMIF(MatrixF5[[1]:[2]],MatrixF5[[#This Row],[Столбец1]])/MatrixF5[[#This Row],[Столбец1]]</f>
        <v>70.999999999999943</v>
      </c>
      <c r="DA72" s="126">
        <f>SUMIF(MatrixF5[[1]:[2]],MatrixF5[[#This Row],[Столбец1]]+1)/(MatrixF5[[#This Row],[Столбец1]]+1)</f>
        <v>25.999999999999993</v>
      </c>
    </row>
    <row r="73" spans="1:105" ht="21" customHeight="1" x14ac:dyDescent="0.25">
      <c r="A73" s="127">
        <v>1.7</v>
      </c>
      <c r="B73" s="128">
        <v>1.7</v>
      </c>
      <c r="C73" s="128">
        <v>1.71</v>
      </c>
      <c r="D73" s="128">
        <v>1.73</v>
      </c>
      <c r="E73" s="128">
        <v>1.74</v>
      </c>
      <c r="F73" s="128">
        <v>1.75</v>
      </c>
      <c r="G73" s="128">
        <v>1.76</v>
      </c>
      <c r="H73" s="128">
        <v>1.77</v>
      </c>
      <c r="I73" s="128">
        <v>1.79</v>
      </c>
      <c r="J73" s="128">
        <v>1.8</v>
      </c>
      <c r="K73" s="128">
        <v>1.81</v>
      </c>
      <c r="L73" s="128">
        <v>1.82</v>
      </c>
      <c r="M73" s="128">
        <v>1.83</v>
      </c>
      <c r="N73" s="128">
        <v>1.84</v>
      </c>
      <c r="O73" s="128">
        <v>1.85</v>
      </c>
      <c r="P73" s="128">
        <v>1.86</v>
      </c>
      <c r="Q73" s="128">
        <v>1.87</v>
      </c>
      <c r="R73" s="128">
        <v>1.88</v>
      </c>
      <c r="S73" s="128">
        <v>1.89</v>
      </c>
      <c r="T73" s="128">
        <v>1.9</v>
      </c>
      <c r="U73" s="128">
        <v>1.91</v>
      </c>
      <c r="V73" s="128">
        <v>1.92</v>
      </c>
      <c r="W73" s="128">
        <v>1.93</v>
      </c>
      <c r="X73" s="128">
        <v>1.93</v>
      </c>
      <c r="Y73" s="128">
        <v>1.94</v>
      </c>
      <c r="Z73" s="128">
        <v>1.95</v>
      </c>
      <c r="AA73" s="128">
        <v>1.96</v>
      </c>
      <c r="AB73" s="128">
        <v>1.97</v>
      </c>
      <c r="AC73" s="128">
        <v>1.98</v>
      </c>
      <c r="AD73" s="128">
        <v>1.98</v>
      </c>
      <c r="AE73" s="128">
        <v>1.99</v>
      </c>
      <c r="AF73" s="128">
        <v>2</v>
      </c>
      <c r="AG73" s="128">
        <v>2.0099999999999998</v>
      </c>
      <c r="AH73" s="128">
        <v>2.02</v>
      </c>
      <c r="AI73" s="128">
        <v>2.02</v>
      </c>
      <c r="AJ73" s="128">
        <v>2.0299999999999998</v>
      </c>
      <c r="AK73" s="128">
        <v>2.04</v>
      </c>
      <c r="AL73" s="128">
        <v>2.0499999999999998</v>
      </c>
      <c r="AM73" s="128">
        <v>2.0499999999999998</v>
      </c>
      <c r="AN73" s="128">
        <v>2.06</v>
      </c>
      <c r="AO73" s="128">
        <v>2.0699999999999998</v>
      </c>
      <c r="AP73" s="128">
        <v>2.08</v>
      </c>
      <c r="AQ73" s="128">
        <v>2.08</v>
      </c>
      <c r="AR73" s="128">
        <v>2.09</v>
      </c>
      <c r="AS73" s="128">
        <v>2.1</v>
      </c>
      <c r="AT73" s="128">
        <v>2.11</v>
      </c>
      <c r="AU73" s="128">
        <v>2.12</v>
      </c>
      <c r="AV73" s="128">
        <v>2.12</v>
      </c>
      <c r="AW73" s="128">
        <v>2.13</v>
      </c>
      <c r="AX73" s="128">
        <v>2.14</v>
      </c>
      <c r="AY73" s="128">
        <v>2.15</v>
      </c>
      <c r="AZ73" s="128">
        <v>2.15</v>
      </c>
      <c r="BA73" s="128">
        <v>2.16</v>
      </c>
      <c r="BB73" s="128">
        <v>2.17</v>
      </c>
      <c r="BC73" s="128">
        <v>2.1800000000000002</v>
      </c>
      <c r="BD73" s="128">
        <v>2.1800000000000002</v>
      </c>
      <c r="BE73" s="128">
        <v>2.19</v>
      </c>
      <c r="BF73" s="128">
        <v>2.2000000000000002</v>
      </c>
      <c r="BG73" s="128">
        <v>2.21</v>
      </c>
      <c r="BH73" s="128">
        <v>2.2200000000000002</v>
      </c>
      <c r="BI73" s="128">
        <v>2.2200000000000002</v>
      </c>
      <c r="BJ73" s="128">
        <v>2.23</v>
      </c>
      <c r="BK73" s="128">
        <v>2.2400000000000002</v>
      </c>
      <c r="BL73" s="128">
        <v>2.25</v>
      </c>
      <c r="BM73" s="128">
        <v>2.25</v>
      </c>
      <c r="BN73" s="128">
        <v>2.2599999999999998</v>
      </c>
      <c r="BO73" s="128">
        <v>2.27</v>
      </c>
      <c r="BP73" s="128">
        <v>2.2799999999999998</v>
      </c>
      <c r="BQ73" s="128">
        <v>2.2799999999999998</v>
      </c>
      <c r="BR73" s="128">
        <v>2.29</v>
      </c>
      <c r="BS73" s="128">
        <v>2.2999999999999998</v>
      </c>
      <c r="BT73" s="128">
        <v>2.31</v>
      </c>
      <c r="BU73" s="128">
        <v>2.3199999999999998</v>
      </c>
      <c r="BV73" s="128">
        <v>2.33</v>
      </c>
      <c r="BW73" s="128">
        <v>2.34</v>
      </c>
      <c r="BX73" s="128">
        <v>2.35</v>
      </c>
      <c r="BY73" s="128">
        <v>2.36</v>
      </c>
      <c r="BZ73" s="128">
        <v>2.37</v>
      </c>
      <c r="CA73" s="128">
        <v>2.38</v>
      </c>
      <c r="CB73" s="128">
        <v>2.39</v>
      </c>
      <c r="CC73" s="128">
        <v>2.4</v>
      </c>
      <c r="CD73" s="128">
        <v>2.42</v>
      </c>
      <c r="CE73" s="128">
        <v>2.4300000000000002</v>
      </c>
      <c r="CF73" s="128">
        <v>2.44</v>
      </c>
      <c r="CG73" s="128">
        <v>2.4500000000000002</v>
      </c>
      <c r="CH73" s="128">
        <v>2.4700000000000002</v>
      </c>
      <c r="CI73" s="128">
        <v>2.48</v>
      </c>
      <c r="CJ73" s="128">
        <v>2.4900000000000002</v>
      </c>
      <c r="CK73" s="128">
        <v>2.5</v>
      </c>
      <c r="CL73" s="128">
        <v>2.52</v>
      </c>
      <c r="CM73" s="128">
        <v>2.5299999999999998</v>
      </c>
      <c r="CN73" s="128">
        <v>2.5499999999999998</v>
      </c>
      <c r="CO73" s="128">
        <v>2.56</v>
      </c>
      <c r="CP73" s="128">
        <v>2.57</v>
      </c>
      <c r="CQ73" s="128">
        <v>2.59</v>
      </c>
      <c r="CR73" s="128">
        <v>2.6</v>
      </c>
      <c r="CS73" s="128">
        <v>2.62</v>
      </c>
      <c r="CT73" s="128">
        <v>2.63</v>
      </c>
      <c r="CU73" s="128">
        <v>2.65</v>
      </c>
      <c r="CV73" s="128">
        <v>2.67</v>
      </c>
      <c r="CW73" s="128">
        <v>2.68</v>
      </c>
      <c r="CX73" s="128">
        <v>2.7</v>
      </c>
      <c r="CZ73" s="126">
        <f>SUMIF(MatrixF5[[1]:[2]],MatrixF5[[#This Row],[Столбец1]])/MatrixF5[[#This Row],[Столбец1]]</f>
        <v>72.000000000000085</v>
      </c>
      <c r="DA73" s="126">
        <f>SUMIF(MatrixF5[[1]:[2]],MatrixF5[[#This Row],[Столбец1]]+1)/(MatrixF5[[#This Row],[Столбец1]]+1)</f>
        <v>25.000000000000007</v>
      </c>
    </row>
    <row r="74" spans="1:105" ht="21" customHeight="1" x14ac:dyDescent="0.25">
      <c r="A74" s="127">
        <v>1.71</v>
      </c>
      <c r="B74" s="128">
        <v>1.71</v>
      </c>
      <c r="C74" s="128">
        <v>1.72</v>
      </c>
      <c r="D74" s="128">
        <v>1.74</v>
      </c>
      <c r="E74" s="128">
        <v>1.75</v>
      </c>
      <c r="F74" s="128">
        <v>1.76</v>
      </c>
      <c r="G74" s="128">
        <v>1.77</v>
      </c>
      <c r="H74" s="128">
        <v>1.78</v>
      </c>
      <c r="I74" s="128">
        <v>1.79</v>
      </c>
      <c r="J74" s="128">
        <v>1.81</v>
      </c>
      <c r="K74" s="128">
        <v>1.82</v>
      </c>
      <c r="L74" s="128">
        <v>1.83</v>
      </c>
      <c r="M74" s="128">
        <v>1.84</v>
      </c>
      <c r="N74" s="128">
        <v>1.85</v>
      </c>
      <c r="O74" s="128">
        <v>1.86</v>
      </c>
      <c r="P74" s="128">
        <v>1.87</v>
      </c>
      <c r="Q74" s="128">
        <v>1.88</v>
      </c>
      <c r="R74" s="128">
        <v>1.89</v>
      </c>
      <c r="S74" s="128">
        <v>1.9</v>
      </c>
      <c r="T74" s="128">
        <v>1.91</v>
      </c>
      <c r="U74" s="128">
        <v>1.92</v>
      </c>
      <c r="V74" s="128">
        <v>1.92</v>
      </c>
      <c r="W74" s="128">
        <v>1.93</v>
      </c>
      <c r="X74" s="128">
        <v>1.94</v>
      </c>
      <c r="Y74" s="128">
        <v>1.95</v>
      </c>
      <c r="Z74" s="128">
        <v>1.96</v>
      </c>
      <c r="AA74" s="128">
        <v>1.97</v>
      </c>
      <c r="AB74" s="128">
        <v>1.98</v>
      </c>
      <c r="AC74" s="128">
        <v>1.98</v>
      </c>
      <c r="AD74" s="128">
        <v>1.99</v>
      </c>
      <c r="AE74" s="128">
        <v>2</v>
      </c>
      <c r="AF74" s="128">
        <v>2.0099999999999998</v>
      </c>
      <c r="AG74" s="128">
        <v>2.02</v>
      </c>
      <c r="AH74" s="128">
        <v>2.02</v>
      </c>
      <c r="AI74" s="128">
        <v>2.0299999999999998</v>
      </c>
      <c r="AJ74" s="128">
        <v>2.04</v>
      </c>
      <c r="AK74" s="128">
        <v>2.0499999999999998</v>
      </c>
      <c r="AL74" s="128">
        <v>2.0499999999999998</v>
      </c>
      <c r="AM74" s="128">
        <v>2.06</v>
      </c>
      <c r="AN74" s="128">
        <v>2.0699999999999998</v>
      </c>
      <c r="AO74" s="128">
        <v>2.08</v>
      </c>
      <c r="AP74" s="128">
        <v>2.09</v>
      </c>
      <c r="AQ74" s="128">
        <v>2.09</v>
      </c>
      <c r="AR74" s="128">
        <v>2.1</v>
      </c>
      <c r="AS74" s="128">
        <v>2.11</v>
      </c>
      <c r="AT74" s="128">
        <v>2.12</v>
      </c>
      <c r="AU74" s="128">
        <v>2.12</v>
      </c>
      <c r="AV74" s="128">
        <v>2.13</v>
      </c>
      <c r="AW74" s="128">
        <v>2.14</v>
      </c>
      <c r="AX74" s="128">
        <v>2.15</v>
      </c>
      <c r="AY74" s="128">
        <v>2.16</v>
      </c>
      <c r="AZ74" s="128">
        <v>2.16</v>
      </c>
      <c r="BA74" s="128">
        <v>2.17</v>
      </c>
      <c r="BB74" s="128">
        <v>2.1800000000000002</v>
      </c>
      <c r="BC74" s="128">
        <v>2.19</v>
      </c>
      <c r="BD74" s="128">
        <v>2.19</v>
      </c>
      <c r="BE74" s="128">
        <v>2.2000000000000002</v>
      </c>
      <c r="BF74" s="128">
        <v>2.21</v>
      </c>
      <c r="BG74" s="128">
        <v>2.2200000000000002</v>
      </c>
      <c r="BH74" s="128">
        <v>2.2200000000000002</v>
      </c>
      <c r="BI74" s="128">
        <v>2.23</v>
      </c>
      <c r="BJ74" s="128">
        <v>2.2400000000000002</v>
      </c>
      <c r="BK74" s="128">
        <v>2.25</v>
      </c>
      <c r="BL74" s="128">
        <v>2.2599999999999998</v>
      </c>
      <c r="BM74" s="128">
        <v>2.2599999999999998</v>
      </c>
      <c r="BN74" s="128">
        <v>2.27</v>
      </c>
      <c r="BO74" s="128">
        <v>2.2799999999999998</v>
      </c>
      <c r="BP74" s="128">
        <v>2.29</v>
      </c>
      <c r="BQ74" s="128">
        <v>2.29</v>
      </c>
      <c r="BR74" s="128">
        <v>2.2999999999999998</v>
      </c>
      <c r="BS74" s="128">
        <v>2.31</v>
      </c>
      <c r="BT74" s="128">
        <v>2.3199999999999998</v>
      </c>
      <c r="BU74" s="128">
        <v>2.33</v>
      </c>
      <c r="BV74" s="128">
        <v>2.34</v>
      </c>
      <c r="BW74" s="128">
        <v>2.35</v>
      </c>
      <c r="BX74" s="128">
        <v>2.36</v>
      </c>
      <c r="BY74" s="128">
        <v>2.37</v>
      </c>
      <c r="BZ74" s="128">
        <v>2.38</v>
      </c>
      <c r="CA74" s="128">
        <v>2.39</v>
      </c>
      <c r="CB74" s="128">
        <v>2.4</v>
      </c>
      <c r="CC74" s="128">
        <v>2.41</v>
      </c>
      <c r="CD74" s="128">
        <v>2.42</v>
      </c>
      <c r="CE74" s="128">
        <v>2.44</v>
      </c>
      <c r="CF74" s="128">
        <v>2.4500000000000002</v>
      </c>
      <c r="CG74" s="128">
        <v>2.46</v>
      </c>
      <c r="CH74" s="128">
        <v>2.4700000000000002</v>
      </c>
      <c r="CI74" s="128">
        <v>2.4900000000000002</v>
      </c>
      <c r="CJ74" s="128">
        <v>2.5</v>
      </c>
      <c r="CK74" s="128">
        <v>2.5099999999999998</v>
      </c>
      <c r="CL74" s="128">
        <v>2.5299999999999998</v>
      </c>
      <c r="CM74" s="128">
        <v>2.54</v>
      </c>
      <c r="CN74" s="128">
        <v>2.5499999999999998</v>
      </c>
      <c r="CO74" s="128">
        <v>2.57</v>
      </c>
      <c r="CP74" s="128">
        <v>2.58</v>
      </c>
      <c r="CQ74" s="128">
        <v>2.6</v>
      </c>
      <c r="CR74" s="128">
        <v>2.61</v>
      </c>
      <c r="CS74" s="128">
        <v>2.63</v>
      </c>
      <c r="CT74" s="128">
        <v>2.64</v>
      </c>
      <c r="CU74" s="128">
        <v>2.66</v>
      </c>
      <c r="CV74" s="128">
        <v>2.68</v>
      </c>
      <c r="CW74" s="128">
        <v>2.69</v>
      </c>
      <c r="CX74" s="128">
        <v>2.71</v>
      </c>
      <c r="CZ74" s="126">
        <f>SUMIF(MatrixF5[[1]:[2]],MatrixF5[[#This Row],[Столбец1]])/MatrixF5[[#This Row],[Столбец1]]</f>
        <v>70.999999999999886</v>
      </c>
      <c r="DA74" s="126">
        <f>SUMIF(MatrixF5[[1]:[2]],MatrixF5[[#This Row],[Столбец1]]+1)/(MatrixF5[[#This Row],[Столбец1]]+1)</f>
        <v>22.000000000000004</v>
      </c>
    </row>
    <row r="75" spans="1:105" ht="21" customHeight="1" x14ac:dyDescent="0.25">
      <c r="A75" s="127">
        <v>1.72</v>
      </c>
      <c r="B75" s="128">
        <v>1.72</v>
      </c>
      <c r="C75" s="128">
        <v>1.73</v>
      </c>
      <c r="D75" s="128">
        <v>1.75</v>
      </c>
      <c r="E75" s="128">
        <v>1.76</v>
      </c>
      <c r="F75" s="128">
        <v>1.77</v>
      </c>
      <c r="G75" s="128">
        <v>1.78</v>
      </c>
      <c r="H75" s="128">
        <v>1.79</v>
      </c>
      <c r="I75" s="128">
        <v>1.8</v>
      </c>
      <c r="J75" s="128">
        <v>1.81</v>
      </c>
      <c r="K75" s="128">
        <v>1.83</v>
      </c>
      <c r="L75" s="128">
        <v>1.84</v>
      </c>
      <c r="M75" s="128">
        <v>1.85</v>
      </c>
      <c r="N75" s="128">
        <v>1.86</v>
      </c>
      <c r="O75" s="128">
        <v>1.87</v>
      </c>
      <c r="P75" s="128">
        <v>1.88</v>
      </c>
      <c r="Q75" s="128">
        <v>1.89</v>
      </c>
      <c r="R75" s="128">
        <v>1.9</v>
      </c>
      <c r="S75" s="128">
        <v>1.91</v>
      </c>
      <c r="T75" s="128">
        <v>1.92</v>
      </c>
      <c r="U75" s="128">
        <v>1.92</v>
      </c>
      <c r="V75" s="128">
        <v>1.93</v>
      </c>
      <c r="W75" s="128">
        <v>1.94</v>
      </c>
      <c r="X75" s="128">
        <v>1.95</v>
      </c>
      <c r="Y75" s="128">
        <v>1.96</v>
      </c>
      <c r="Z75" s="128">
        <v>1.97</v>
      </c>
      <c r="AA75" s="128">
        <v>1.98</v>
      </c>
      <c r="AB75" s="128">
        <v>1.98</v>
      </c>
      <c r="AC75" s="128">
        <v>1.99</v>
      </c>
      <c r="AD75" s="128">
        <v>2</v>
      </c>
      <c r="AE75" s="128">
        <v>2.0099999999999998</v>
      </c>
      <c r="AF75" s="128">
        <v>2.02</v>
      </c>
      <c r="AG75" s="128">
        <v>2.02</v>
      </c>
      <c r="AH75" s="128">
        <v>2.0299999999999998</v>
      </c>
      <c r="AI75" s="128">
        <v>2.04</v>
      </c>
      <c r="AJ75" s="128">
        <v>2.0499999999999998</v>
      </c>
      <c r="AK75" s="128">
        <v>2.0499999999999998</v>
      </c>
      <c r="AL75" s="128">
        <v>2.06</v>
      </c>
      <c r="AM75" s="128">
        <v>2.0699999999999998</v>
      </c>
      <c r="AN75" s="128">
        <v>2.08</v>
      </c>
      <c r="AO75" s="128">
        <v>2.09</v>
      </c>
      <c r="AP75" s="128">
        <v>2.09</v>
      </c>
      <c r="AQ75" s="128">
        <v>2.1</v>
      </c>
      <c r="AR75" s="128">
        <v>2.11</v>
      </c>
      <c r="AS75" s="128">
        <v>2.12</v>
      </c>
      <c r="AT75" s="128">
        <v>2.12</v>
      </c>
      <c r="AU75" s="128">
        <v>2.13</v>
      </c>
      <c r="AV75" s="128">
        <v>2.14</v>
      </c>
      <c r="AW75" s="128">
        <v>2.15</v>
      </c>
      <c r="AX75" s="128">
        <v>2.16</v>
      </c>
      <c r="AY75" s="128">
        <v>2.16</v>
      </c>
      <c r="AZ75" s="128">
        <v>2.17</v>
      </c>
      <c r="BA75" s="128">
        <v>2.1800000000000002</v>
      </c>
      <c r="BB75" s="128">
        <v>2.19</v>
      </c>
      <c r="BC75" s="128">
        <v>2.2000000000000002</v>
      </c>
      <c r="BD75" s="128">
        <v>2.2000000000000002</v>
      </c>
      <c r="BE75" s="128">
        <v>2.21</v>
      </c>
      <c r="BF75" s="128">
        <v>2.2200000000000002</v>
      </c>
      <c r="BG75" s="128">
        <v>2.23</v>
      </c>
      <c r="BH75" s="128">
        <v>2.23</v>
      </c>
      <c r="BI75" s="128">
        <v>2.2400000000000002</v>
      </c>
      <c r="BJ75" s="128">
        <v>2.25</v>
      </c>
      <c r="BK75" s="128">
        <v>2.2599999999999998</v>
      </c>
      <c r="BL75" s="128">
        <v>2.27</v>
      </c>
      <c r="BM75" s="128">
        <v>2.27</v>
      </c>
      <c r="BN75" s="128">
        <v>2.2799999999999998</v>
      </c>
      <c r="BO75" s="128">
        <v>2.29</v>
      </c>
      <c r="BP75" s="128">
        <v>2.2999999999999998</v>
      </c>
      <c r="BQ75" s="128">
        <v>2.2999999999999998</v>
      </c>
      <c r="BR75" s="128">
        <v>2.31</v>
      </c>
      <c r="BS75" s="128">
        <v>2.3199999999999998</v>
      </c>
      <c r="BT75" s="128">
        <v>2.33</v>
      </c>
      <c r="BU75" s="128">
        <v>2.34</v>
      </c>
      <c r="BV75" s="128">
        <v>2.34</v>
      </c>
      <c r="BW75" s="128">
        <v>2.35</v>
      </c>
      <c r="BX75" s="128">
        <v>2.37</v>
      </c>
      <c r="BY75" s="128">
        <v>2.38</v>
      </c>
      <c r="BZ75" s="128">
        <v>2.39</v>
      </c>
      <c r="CA75" s="128">
        <v>2.4</v>
      </c>
      <c r="CB75" s="128">
        <v>2.41</v>
      </c>
      <c r="CC75" s="128">
        <v>2.42</v>
      </c>
      <c r="CD75" s="128">
        <v>2.4300000000000002</v>
      </c>
      <c r="CE75" s="128">
        <v>2.4500000000000002</v>
      </c>
      <c r="CF75" s="128">
        <v>2.46</v>
      </c>
      <c r="CG75" s="128">
        <v>2.4700000000000002</v>
      </c>
      <c r="CH75" s="128">
        <v>2.48</v>
      </c>
      <c r="CI75" s="128">
        <v>2.5</v>
      </c>
      <c r="CJ75" s="128">
        <v>2.5099999999999998</v>
      </c>
      <c r="CK75" s="128">
        <v>2.52</v>
      </c>
      <c r="CL75" s="128">
        <v>2.54</v>
      </c>
      <c r="CM75" s="128">
        <v>2.5499999999999998</v>
      </c>
      <c r="CN75" s="128">
        <v>2.56</v>
      </c>
      <c r="CO75" s="128">
        <v>2.58</v>
      </c>
      <c r="CP75" s="128">
        <v>2.59</v>
      </c>
      <c r="CQ75" s="128">
        <v>2.61</v>
      </c>
      <c r="CR75" s="128">
        <v>2.62</v>
      </c>
      <c r="CS75" s="128">
        <v>2.64</v>
      </c>
      <c r="CT75" s="128">
        <v>2.65</v>
      </c>
      <c r="CU75" s="128">
        <v>2.67</v>
      </c>
      <c r="CV75" s="128">
        <v>2.69</v>
      </c>
      <c r="CW75" s="128">
        <v>2.7</v>
      </c>
      <c r="CX75" s="128">
        <v>2.72</v>
      </c>
      <c r="CZ75" s="126">
        <f>SUMIF(MatrixF5[[1]:[2]],MatrixF5[[#This Row],[Столбец1]])/MatrixF5[[#This Row],[Столбец1]]</f>
        <v>75.999999999999972</v>
      </c>
      <c r="DA75" s="126">
        <f>SUMIF(MatrixF5[[1]:[2]],MatrixF5[[#This Row],[Столбец1]]+1)/(MatrixF5[[#This Row],[Столбец1]]+1)</f>
        <v>23.999999999999996</v>
      </c>
    </row>
    <row r="76" spans="1:105" ht="21" customHeight="1" x14ac:dyDescent="0.25">
      <c r="A76" s="127">
        <v>1.73</v>
      </c>
      <c r="B76" s="128">
        <v>1.73</v>
      </c>
      <c r="C76" s="128">
        <v>1.74</v>
      </c>
      <c r="D76" s="128">
        <v>1.75</v>
      </c>
      <c r="E76" s="128">
        <v>1.77</v>
      </c>
      <c r="F76" s="128">
        <v>1.78</v>
      </c>
      <c r="G76" s="128">
        <v>1.79</v>
      </c>
      <c r="H76" s="128">
        <v>1.8</v>
      </c>
      <c r="I76" s="128">
        <v>1.81</v>
      </c>
      <c r="J76" s="128">
        <v>1.82</v>
      </c>
      <c r="K76" s="128">
        <v>1.83</v>
      </c>
      <c r="L76" s="128">
        <v>1.85</v>
      </c>
      <c r="M76" s="128">
        <v>1.86</v>
      </c>
      <c r="N76" s="128">
        <v>1.87</v>
      </c>
      <c r="O76" s="128">
        <v>1.88</v>
      </c>
      <c r="P76" s="128">
        <v>1.89</v>
      </c>
      <c r="Q76" s="128">
        <v>1.9</v>
      </c>
      <c r="R76" s="128">
        <v>1.91</v>
      </c>
      <c r="S76" s="128">
        <v>1.91</v>
      </c>
      <c r="T76" s="128">
        <v>1.92</v>
      </c>
      <c r="U76" s="128">
        <v>1.93</v>
      </c>
      <c r="V76" s="128">
        <v>1.94</v>
      </c>
      <c r="W76" s="128">
        <v>1.95</v>
      </c>
      <c r="X76" s="128">
        <v>1.96</v>
      </c>
      <c r="Y76" s="128">
        <v>1.97</v>
      </c>
      <c r="Z76" s="128">
        <v>1.98</v>
      </c>
      <c r="AA76" s="128">
        <v>1.98</v>
      </c>
      <c r="AB76" s="128">
        <v>1.99</v>
      </c>
      <c r="AC76" s="128">
        <v>2</v>
      </c>
      <c r="AD76" s="128">
        <v>2.0099999999999998</v>
      </c>
      <c r="AE76" s="128">
        <v>2.02</v>
      </c>
      <c r="AF76" s="128">
        <v>2.02</v>
      </c>
      <c r="AG76" s="128">
        <v>2.0299999999999998</v>
      </c>
      <c r="AH76" s="128">
        <v>2.04</v>
      </c>
      <c r="AI76" s="128">
        <v>2.0499999999999998</v>
      </c>
      <c r="AJ76" s="128">
        <v>2.06</v>
      </c>
      <c r="AK76" s="128">
        <v>2.06</v>
      </c>
      <c r="AL76" s="128">
        <v>2.0699999999999998</v>
      </c>
      <c r="AM76" s="128">
        <v>2.08</v>
      </c>
      <c r="AN76" s="128">
        <v>2.09</v>
      </c>
      <c r="AO76" s="128">
        <v>2.09</v>
      </c>
      <c r="AP76" s="128">
        <v>2.1</v>
      </c>
      <c r="AQ76" s="128">
        <v>2.11</v>
      </c>
      <c r="AR76" s="128">
        <v>2.12</v>
      </c>
      <c r="AS76" s="128">
        <v>2.13</v>
      </c>
      <c r="AT76" s="128">
        <v>2.13</v>
      </c>
      <c r="AU76" s="128">
        <v>2.14</v>
      </c>
      <c r="AV76" s="128">
        <v>2.15</v>
      </c>
      <c r="AW76" s="128">
        <v>2.16</v>
      </c>
      <c r="AX76" s="128">
        <v>2.17</v>
      </c>
      <c r="AY76" s="128">
        <v>2.17</v>
      </c>
      <c r="AZ76" s="128">
        <v>2.1800000000000002</v>
      </c>
      <c r="BA76" s="128">
        <v>2.19</v>
      </c>
      <c r="BB76" s="128">
        <v>2.2000000000000002</v>
      </c>
      <c r="BC76" s="128">
        <v>2.2000000000000002</v>
      </c>
      <c r="BD76" s="128">
        <v>2.21</v>
      </c>
      <c r="BE76" s="128">
        <v>2.2200000000000002</v>
      </c>
      <c r="BF76" s="128">
        <v>2.23</v>
      </c>
      <c r="BG76" s="128">
        <v>2.2400000000000002</v>
      </c>
      <c r="BH76" s="128">
        <v>2.2400000000000002</v>
      </c>
      <c r="BI76" s="128">
        <v>2.25</v>
      </c>
      <c r="BJ76" s="128">
        <v>2.2599999999999998</v>
      </c>
      <c r="BK76" s="128">
        <v>2.27</v>
      </c>
      <c r="BL76" s="128">
        <v>2.2799999999999998</v>
      </c>
      <c r="BM76" s="128">
        <v>2.2799999999999998</v>
      </c>
      <c r="BN76" s="128">
        <v>2.29</v>
      </c>
      <c r="BO76" s="128">
        <v>2.2999999999999998</v>
      </c>
      <c r="BP76" s="128">
        <v>2.31</v>
      </c>
      <c r="BQ76" s="128">
        <v>2.31</v>
      </c>
      <c r="BR76" s="128">
        <v>2.3199999999999998</v>
      </c>
      <c r="BS76" s="128">
        <v>2.33</v>
      </c>
      <c r="BT76" s="128">
        <v>2.34</v>
      </c>
      <c r="BU76" s="128">
        <v>2.35</v>
      </c>
      <c r="BV76" s="128">
        <v>2.35</v>
      </c>
      <c r="BW76" s="128">
        <v>2.36</v>
      </c>
      <c r="BX76" s="128">
        <v>2.37</v>
      </c>
      <c r="BY76" s="128">
        <v>2.38</v>
      </c>
      <c r="BZ76" s="128">
        <v>2.4</v>
      </c>
      <c r="CA76" s="128">
        <v>2.41</v>
      </c>
      <c r="CB76" s="128">
        <v>2.42</v>
      </c>
      <c r="CC76" s="128">
        <v>2.4300000000000002</v>
      </c>
      <c r="CD76" s="128">
        <v>2.44</v>
      </c>
      <c r="CE76" s="128">
        <v>2.4500000000000002</v>
      </c>
      <c r="CF76" s="128">
        <v>2.4700000000000002</v>
      </c>
      <c r="CG76" s="128">
        <v>2.48</v>
      </c>
      <c r="CH76" s="128">
        <v>2.4900000000000002</v>
      </c>
      <c r="CI76" s="128">
        <v>2.5</v>
      </c>
      <c r="CJ76" s="128">
        <v>2.52</v>
      </c>
      <c r="CK76" s="128">
        <v>2.5299999999999998</v>
      </c>
      <c r="CL76" s="128">
        <v>2.54</v>
      </c>
      <c r="CM76" s="128">
        <v>2.56</v>
      </c>
      <c r="CN76" s="128">
        <v>2.57</v>
      </c>
      <c r="CO76" s="128">
        <v>2.59</v>
      </c>
      <c r="CP76" s="128">
        <v>2.6</v>
      </c>
      <c r="CQ76" s="128">
        <v>2.62</v>
      </c>
      <c r="CR76" s="128">
        <v>2.63</v>
      </c>
      <c r="CS76" s="128">
        <v>2.65</v>
      </c>
      <c r="CT76" s="128">
        <v>2.66</v>
      </c>
      <c r="CU76" s="128">
        <v>2.68</v>
      </c>
      <c r="CV76" s="128">
        <v>2.7</v>
      </c>
      <c r="CW76" s="128">
        <v>2.71</v>
      </c>
      <c r="CX76" s="128">
        <v>2.73</v>
      </c>
      <c r="CZ76" s="126">
        <f>SUMIF(MatrixF5[[1]:[2]],MatrixF5[[#This Row],[Столбец1]])/MatrixF5[[#This Row],[Столбец1]]</f>
        <v>75.000000000000057</v>
      </c>
      <c r="DA76" s="126">
        <f>SUMIF(MatrixF5[[1]:[2]],MatrixF5[[#This Row],[Столбец1]]+1)/(MatrixF5[[#This Row],[Столбец1]]+1)</f>
        <v>20.999999999999989</v>
      </c>
    </row>
    <row r="77" spans="1:105" ht="21" customHeight="1" x14ac:dyDescent="0.25">
      <c r="A77" s="127">
        <v>1.74</v>
      </c>
      <c r="B77" s="128">
        <v>1.74</v>
      </c>
      <c r="C77" s="128">
        <v>1.75</v>
      </c>
      <c r="D77" s="128">
        <v>1.76</v>
      </c>
      <c r="E77" s="128">
        <v>1.78</v>
      </c>
      <c r="F77" s="128">
        <v>1.79</v>
      </c>
      <c r="G77" s="128">
        <v>1.8</v>
      </c>
      <c r="H77" s="128">
        <v>1.81</v>
      </c>
      <c r="I77" s="128">
        <v>1.82</v>
      </c>
      <c r="J77" s="128">
        <v>1.83</v>
      </c>
      <c r="K77" s="128">
        <v>1.84</v>
      </c>
      <c r="L77" s="128">
        <v>1.85</v>
      </c>
      <c r="M77" s="128">
        <v>1.86</v>
      </c>
      <c r="N77" s="128">
        <v>1.87</v>
      </c>
      <c r="O77" s="128">
        <v>1.88</v>
      </c>
      <c r="P77" s="128">
        <v>1.89</v>
      </c>
      <c r="Q77" s="128">
        <v>1.9</v>
      </c>
      <c r="R77" s="128">
        <v>1.91</v>
      </c>
      <c r="S77" s="128">
        <v>1.92</v>
      </c>
      <c r="T77" s="128">
        <v>1.93</v>
      </c>
      <c r="U77" s="128">
        <v>1.94</v>
      </c>
      <c r="V77" s="128">
        <v>1.95</v>
      </c>
      <c r="W77" s="128">
        <v>1.96</v>
      </c>
      <c r="X77" s="128">
        <v>1.97</v>
      </c>
      <c r="Y77" s="128">
        <v>1.98</v>
      </c>
      <c r="Z77" s="128">
        <v>1.98</v>
      </c>
      <c r="AA77" s="128">
        <v>1.99</v>
      </c>
      <c r="AB77" s="128">
        <v>2</v>
      </c>
      <c r="AC77" s="128">
        <v>2.0099999999999998</v>
      </c>
      <c r="AD77" s="128">
        <v>2.02</v>
      </c>
      <c r="AE77" s="128">
        <v>2.02</v>
      </c>
      <c r="AF77" s="128">
        <v>2.0299999999999998</v>
      </c>
      <c r="AG77" s="128">
        <v>2.04</v>
      </c>
      <c r="AH77" s="128">
        <v>2.0499999999999998</v>
      </c>
      <c r="AI77" s="128">
        <v>2.06</v>
      </c>
      <c r="AJ77" s="128">
        <v>2.06</v>
      </c>
      <c r="AK77" s="128">
        <v>2.0699999999999998</v>
      </c>
      <c r="AL77" s="128">
        <v>2.08</v>
      </c>
      <c r="AM77" s="128">
        <v>2.09</v>
      </c>
      <c r="AN77" s="128">
        <v>2.1</v>
      </c>
      <c r="AO77" s="128">
        <v>2.1</v>
      </c>
      <c r="AP77" s="128">
        <v>2.11</v>
      </c>
      <c r="AQ77" s="128">
        <v>2.12</v>
      </c>
      <c r="AR77" s="128">
        <v>2.13</v>
      </c>
      <c r="AS77" s="128">
        <v>2.13</v>
      </c>
      <c r="AT77" s="128">
        <v>2.14</v>
      </c>
      <c r="AU77" s="128">
        <v>2.15</v>
      </c>
      <c r="AV77" s="128">
        <v>2.16</v>
      </c>
      <c r="AW77" s="128">
        <v>2.17</v>
      </c>
      <c r="AX77" s="128">
        <v>2.17</v>
      </c>
      <c r="AY77" s="128">
        <v>2.1800000000000002</v>
      </c>
      <c r="AZ77" s="128">
        <v>2.19</v>
      </c>
      <c r="BA77" s="128">
        <v>2.2000000000000002</v>
      </c>
      <c r="BB77" s="128">
        <v>2.21</v>
      </c>
      <c r="BC77" s="128">
        <v>2.21</v>
      </c>
      <c r="BD77" s="128">
        <v>2.2200000000000002</v>
      </c>
      <c r="BE77" s="128">
        <v>2.23</v>
      </c>
      <c r="BF77" s="128">
        <v>2.2400000000000002</v>
      </c>
      <c r="BG77" s="128">
        <v>2.25</v>
      </c>
      <c r="BH77" s="128">
        <v>2.25</v>
      </c>
      <c r="BI77" s="128">
        <v>2.2599999999999998</v>
      </c>
      <c r="BJ77" s="128">
        <v>2.27</v>
      </c>
      <c r="BK77" s="128">
        <v>2.2799999999999998</v>
      </c>
      <c r="BL77" s="128">
        <v>2.29</v>
      </c>
      <c r="BM77" s="128">
        <v>2.29</v>
      </c>
      <c r="BN77" s="128">
        <v>2.2999999999999998</v>
      </c>
      <c r="BO77" s="128">
        <v>2.31</v>
      </c>
      <c r="BP77" s="128">
        <v>2.3199999999999998</v>
      </c>
      <c r="BQ77" s="128">
        <v>2.33</v>
      </c>
      <c r="BR77" s="128">
        <v>2.33</v>
      </c>
      <c r="BS77" s="128">
        <v>2.34</v>
      </c>
      <c r="BT77" s="128">
        <v>2.35</v>
      </c>
      <c r="BU77" s="128">
        <v>2.36</v>
      </c>
      <c r="BV77" s="128">
        <v>2.37</v>
      </c>
      <c r="BW77" s="128">
        <v>2.37</v>
      </c>
      <c r="BX77" s="128">
        <v>2.38</v>
      </c>
      <c r="BY77" s="128">
        <v>2.39</v>
      </c>
      <c r="BZ77" s="128">
        <v>2.4</v>
      </c>
      <c r="CA77" s="128">
        <v>2.41</v>
      </c>
      <c r="CB77" s="128">
        <v>2.4300000000000002</v>
      </c>
      <c r="CC77" s="128">
        <v>2.44</v>
      </c>
      <c r="CD77" s="128">
        <v>2.4500000000000002</v>
      </c>
      <c r="CE77" s="128">
        <v>2.46</v>
      </c>
      <c r="CF77" s="128">
        <v>2.4700000000000002</v>
      </c>
      <c r="CG77" s="128">
        <v>2.4900000000000002</v>
      </c>
      <c r="CH77" s="128">
        <v>2.5</v>
      </c>
      <c r="CI77" s="128">
        <v>2.5099999999999998</v>
      </c>
      <c r="CJ77" s="128">
        <v>2.5299999999999998</v>
      </c>
      <c r="CK77" s="128">
        <v>2.54</v>
      </c>
      <c r="CL77" s="128">
        <v>2.5499999999999998</v>
      </c>
      <c r="CM77" s="128">
        <v>2.57</v>
      </c>
      <c r="CN77" s="128">
        <v>2.58</v>
      </c>
      <c r="CO77" s="128">
        <v>2.6</v>
      </c>
      <c r="CP77" s="128">
        <v>2.61</v>
      </c>
      <c r="CQ77" s="128">
        <v>2.63</v>
      </c>
      <c r="CR77" s="128">
        <v>2.64</v>
      </c>
      <c r="CS77" s="128">
        <v>2.66</v>
      </c>
      <c r="CT77" s="128">
        <v>2.67</v>
      </c>
      <c r="CU77" s="128">
        <v>2.69</v>
      </c>
      <c r="CV77" s="128">
        <v>2.71</v>
      </c>
      <c r="CW77" s="128">
        <v>2.72</v>
      </c>
      <c r="CX77" s="128">
        <v>2.74</v>
      </c>
      <c r="CZ77" s="126">
        <f>SUMIF(MatrixF5[[1]:[2]],MatrixF5[[#This Row],[Столбец1]])/MatrixF5[[#This Row],[Столбец1]]</f>
        <v>74.999999999999915</v>
      </c>
      <c r="DA77" s="126">
        <f>SUMIF(MatrixF5[[1]:[2]],MatrixF5[[#This Row],[Столбец1]]+1)/(MatrixF5[[#This Row],[Столбец1]]+1)</f>
        <v>20.000000000000007</v>
      </c>
    </row>
    <row r="78" spans="1:105" ht="21" customHeight="1" x14ac:dyDescent="0.25">
      <c r="A78" s="127">
        <v>1.75</v>
      </c>
      <c r="B78" s="128">
        <v>1.75</v>
      </c>
      <c r="C78" s="128">
        <v>1.76</v>
      </c>
      <c r="D78" s="128">
        <v>1.77</v>
      </c>
      <c r="E78" s="128">
        <v>1.79</v>
      </c>
      <c r="F78" s="128">
        <v>1.8</v>
      </c>
      <c r="G78" s="128">
        <v>1.81</v>
      </c>
      <c r="H78" s="128">
        <v>1.82</v>
      </c>
      <c r="I78" s="128">
        <v>1.83</v>
      </c>
      <c r="J78" s="128">
        <v>1.84</v>
      </c>
      <c r="K78" s="128">
        <v>1.85</v>
      </c>
      <c r="L78" s="128">
        <v>1.86</v>
      </c>
      <c r="M78" s="128">
        <v>1.87</v>
      </c>
      <c r="N78" s="128">
        <v>1.88</v>
      </c>
      <c r="O78" s="128">
        <v>1.89</v>
      </c>
      <c r="P78" s="128">
        <v>1.9</v>
      </c>
      <c r="Q78" s="128">
        <v>1.91</v>
      </c>
      <c r="R78" s="128">
        <v>1.92</v>
      </c>
      <c r="S78" s="128">
        <v>1.93</v>
      </c>
      <c r="T78" s="128">
        <v>1.94</v>
      </c>
      <c r="U78" s="128">
        <v>1.95</v>
      </c>
      <c r="V78" s="128">
        <v>1.96</v>
      </c>
      <c r="W78" s="128">
        <v>1.97</v>
      </c>
      <c r="X78" s="128">
        <v>1.98</v>
      </c>
      <c r="Y78" s="128">
        <v>1.98</v>
      </c>
      <c r="Z78" s="128">
        <v>1.99</v>
      </c>
      <c r="AA78" s="128">
        <v>2</v>
      </c>
      <c r="AB78" s="128">
        <v>2.0099999999999998</v>
      </c>
      <c r="AC78" s="128">
        <v>2.02</v>
      </c>
      <c r="AD78" s="128">
        <v>2.02</v>
      </c>
      <c r="AE78" s="128">
        <v>2.0299999999999998</v>
      </c>
      <c r="AF78" s="128">
        <v>2.04</v>
      </c>
      <c r="AG78" s="128">
        <v>2.0499999999999998</v>
      </c>
      <c r="AH78" s="128">
        <v>2.06</v>
      </c>
      <c r="AI78" s="128">
        <v>2.06</v>
      </c>
      <c r="AJ78" s="128">
        <v>2.0699999999999998</v>
      </c>
      <c r="AK78" s="128">
        <v>2.08</v>
      </c>
      <c r="AL78" s="128">
        <v>2.09</v>
      </c>
      <c r="AM78" s="128">
        <v>2.1</v>
      </c>
      <c r="AN78" s="128">
        <v>2.1</v>
      </c>
      <c r="AO78" s="128">
        <v>2.11</v>
      </c>
      <c r="AP78" s="128">
        <v>2.12</v>
      </c>
      <c r="AQ78" s="128">
        <v>2.13</v>
      </c>
      <c r="AR78" s="128">
        <v>2.14</v>
      </c>
      <c r="AS78" s="128">
        <v>2.14</v>
      </c>
      <c r="AT78" s="128">
        <v>2.15</v>
      </c>
      <c r="AU78" s="128">
        <v>2.16</v>
      </c>
      <c r="AV78" s="128">
        <v>2.17</v>
      </c>
      <c r="AW78" s="128">
        <v>2.1800000000000002</v>
      </c>
      <c r="AX78" s="128">
        <v>2.1800000000000002</v>
      </c>
      <c r="AY78" s="128">
        <v>2.19</v>
      </c>
      <c r="AZ78" s="128">
        <v>2.2000000000000002</v>
      </c>
      <c r="BA78" s="128">
        <v>2.21</v>
      </c>
      <c r="BB78" s="128">
        <v>2.2200000000000002</v>
      </c>
      <c r="BC78" s="128">
        <v>2.2200000000000002</v>
      </c>
      <c r="BD78" s="128">
        <v>2.23</v>
      </c>
      <c r="BE78" s="128">
        <v>2.2400000000000002</v>
      </c>
      <c r="BF78" s="128">
        <v>2.25</v>
      </c>
      <c r="BG78" s="128">
        <v>2.2599999999999998</v>
      </c>
      <c r="BH78" s="128">
        <v>2.2599999999999998</v>
      </c>
      <c r="BI78" s="128">
        <v>2.27</v>
      </c>
      <c r="BJ78" s="128">
        <v>2.2799999999999998</v>
      </c>
      <c r="BK78" s="128">
        <v>2.29</v>
      </c>
      <c r="BL78" s="128">
        <v>2.2999999999999998</v>
      </c>
      <c r="BM78" s="128">
        <v>2.2999999999999998</v>
      </c>
      <c r="BN78" s="128">
        <v>2.31</v>
      </c>
      <c r="BO78" s="128">
        <v>2.3199999999999998</v>
      </c>
      <c r="BP78" s="128">
        <v>2.33</v>
      </c>
      <c r="BQ78" s="128">
        <v>2.34</v>
      </c>
      <c r="BR78" s="128">
        <v>2.34</v>
      </c>
      <c r="BS78" s="128">
        <v>2.35</v>
      </c>
      <c r="BT78" s="128">
        <v>2.36</v>
      </c>
      <c r="BU78" s="128">
        <v>2.37</v>
      </c>
      <c r="BV78" s="128">
        <v>2.38</v>
      </c>
      <c r="BW78" s="128">
        <v>2.38</v>
      </c>
      <c r="BX78" s="128">
        <v>2.39</v>
      </c>
      <c r="BY78" s="128">
        <v>2.4</v>
      </c>
      <c r="BZ78" s="128">
        <v>2.41</v>
      </c>
      <c r="CA78" s="128">
        <v>2.42</v>
      </c>
      <c r="CB78" s="128">
        <v>2.4300000000000002</v>
      </c>
      <c r="CC78" s="128">
        <v>2.4500000000000002</v>
      </c>
      <c r="CD78" s="128">
        <v>2.46</v>
      </c>
      <c r="CE78" s="128">
        <v>2.4700000000000002</v>
      </c>
      <c r="CF78" s="128">
        <v>2.48</v>
      </c>
      <c r="CG78" s="128">
        <v>2.5</v>
      </c>
      <c r="CH78" s="128">
        <v>2.5099999999999998</v>
      </c>
      <c r="CI78" s="128">
        <v>2.52</v>
      </c>
      <c r="CJ78" s="128">
        <v>2.54</v>
      </c>
      <c r="CK78" s="128">
        <v>2.5499999999999998</v>
      </c>
      <c r="CL78" s="128">
        <v>2.56</v>
      </c>
      <c r="CM78" s="128">
        <v>2.58</v>
      </c>
      <c r="CN78" s="128">
        <v>2.59</v>
      </c>
      <c r="CO78" s="128">
        <v>2.61</v>
      </c>
      <c r="CP78" s="128">
        <v>2.62</v>
      </c>
      <c r="CQ78" s="128">
        <v>2.64</v>
      </c>
      <c r="CR78" s="128">
        <v>2.65</v>
      </c>
      <c r="CS78" s="128">
        <v>2.67</v>
      </c>
      <c r="CT78" s="128">
        <v>2.68</v>
      </c>
      <c r="CU78" s="128">
        <v>2.7</v>
      </c>
      <c r="CV78" s="128">
        <v>2.72</v>
      </c>
      <c r="CW78" s="128">
        <v>2.73</v>
      </c>
      <c r="CX78" s="128">
        <v>2.75</v>
      </c>
      <c r="CZ78" s="126">
        <f>SUMIF(MatrixF5[[1]:[2]],MatrixF5[[#This Row],[Столбец1]])/MatrixF5[[#This Row],[Столбец1]]</f>
        <v>84</v>
      </c>
      <c r="DA78" s="126">
        <f>SUMIF(MatrixF5[[1]:[2]],MatrixF5[[#This Row],[Столбец1]]+1)/(MatrixF5[[#This Row],[Столбец1]]+1)</f>
        <v>23</v>
      </c>
    </row>
    <row r="79" spans="1:105" ht="21" customHeight="1" x14ac:dyDescent="0.25">
      <c r="A79" s="127">
        <v>1.76</v>
      </c>
      <c r="B79" s="128">
        <v>1.76</v>
      </c>
      <c r="C79" s="128">
        <v>1.77</v>
      </c>
      <c r="D79" s="128">
        <v>1.78</v>
      </c>
      <c r="E79" s="128">
        <v>1.8</v>
      </c>
      <c r="F79" s="128">
        <v>1.81</v>
      </c>
      <c r="G79" s="128">
        <v>1.82</v>
      </c>
      <c r="H79" s="128">
        <v>1.83</v>
      </c>
      <c r="I79" s="128">
        <v>1.84</v>
      </c>
      <c r="J79" s="128">
        <v>1.85</v>
      </c>
      <c r="K79" s="128">
        <v>1.86</v>
      </c>
      <c r="L79" s="128">
        <v>1.87</v>
      </c>
      <c r="M79" s="128">
        <v>1.88</v>
      </c>
      <c r="N79" s="128">
        <v>1.89</v>
      </c>
      <c r="O79" s="128">
        <v>1.9</v>
      </c>
      <c r="P79" s="128">
        <v>1.91</v>
      </c>
      <c r="Q79" s="128">
        <v>1.92</v>
      </c>
      <c r="R79" s="128">
        <v>1.93</v>
      </c>
      <c r="S79" s="128">
        <v>1.94</v>
      </c>
      <c r="T79" s="128">
        <v>1.95</v>
      </c>
      <c r="U79" s="128">
        <v>1.96</v>
      </c>
      <c r="V79" s="128">
        <v>1.97</v>
      </c>
      <c r="W79" s="128">
        <v>1.98</v>
      </c>
      <c r="X79" s="128">
        <v>1.98</v>
      </c>
      <c r="Y79" s="128">
        <v>1.99</v>
      </c>
      <c r="Z79" s="128">
        <v>2</v>
      </c>
      <c r="AA79" s="128">
        <v>2.0099999999999998</v>
      </c>
      <c r="AB79" s="128">
        <v>2.02</v>
      </c>
      <c r="AC79" s="128">
        <v>2.02</v>
      </c>
      <c r="AD79" s="128">
        <v>2.0299999999999998</v>
      </c>
      <c r="AE79" s="128">
        <v>2.04</v>
      </c>
      <c r="AF79" s="128">
        <v>2.0499999999999998</v>
      </c>
      <c r="AG79" s="128">
        <v>2.06</v>
      </c>
      <c r="AH79" s="128">
        <v>2.06</v>
      </c>
      <c r="AI79" s="128">
        <v>2.0699999999999998</v>
      </c>
      <c r="AJ79" s="128">
        <v>2.08</v>
      </c>
      <c r="AK79" s="128">
        <v>2.09</v>
      </c>
      <c r="AL79" s="128">
        <v>2.1</v>
      </c>
      <c r="AM79" s="128">
        <v>2.1</v>
      </c>
      <c r="AN79" s="128">
        <v>2.11</v>
      </c>
      <c r="AO79" s="128">
        <v>2.12</v>
      </c>
      <c r="AP79" s="128">
        <v>2.13</v>
      </c>
      <c r="AQ79" s="128">
        <v>2.14</v>
      </c>
      <c r="AR79" s="128">
        <v>2.15</v>
      </c>
      <c r="AS79" s="128">
        <v>2.15</v>
      </c>
      <c r="AT79" s="128">
        <v>2.16</v>
      </c>
      <c r="AU79" s="128">
        <v>2.17</v>
      </c>
      <c r="AV79" s="128">
        <v>2.1800000000000002</v>
      </c>
      <c r="AW79" s="128">
        <v>2.19</v>
      </c>
      <c r="AX79" s="128">
        <v>2.19</v>
      </c>
      <c r="AY79" s="128">
        <v>2.2000000000000002</v>
      </c>
      <c r="AZ79" s="128">
        <v>2.21</v>
      </c>
      <c r="BA79" s="128">
        <v>2.2200000000000002</v>
      </c>
      <c r="BB79" s="128">
        <v>2.23</v>
      </c>
      <c r="BC79" s="128">
        <v>2.23</v>
      </c>
      <c r="BD79" s="128">
        <v>2.2400000000000002</v>
      </c>
      <c r="BE79" s="128">
        <v>2.25</v>
      </c>
      <c r="BF79" s="128">
        <v>2.2599999999999998</v>
      </c>
      <c r="BG79" s="128">
        <v>2.27</v>
      </c>
      <c r="BH79" s="128">
        <v>2.27</v>
      </c>
      <c r="BI79" s="128">
        <v>2.2799999999999998</v>
      </c>
      <c r="BJ79" s="128">
        <v>2.29</v>
      </c>
      <c r="BK79" s="128">
        <v>2.2999999999999998</v>
      </c>
      <c r="BL79" s="128">
        <v>2.31</v>
      </c>
      <c r="BM79" s="128">
        <v>2.31</v>
      </c>
      <c r="BN79" s="128">
        <v>2.3199999999999998</v>
      </c>
      <c r="BO79" s="128">
        <v>2.33</v>
      </c>
      <c r="BP79" s="128">
        <v>2.34</v>
      </c>
      <c r="BQ79" s="128">
        <v>2.35</v>
      </c>
      <c r="BR79" s="128">
        <v>2.35</v>
      </c>
      <c r="BS79" s="128">
        <v>2.36</v>
      </c>
      <c r="BT79" s="128">
        <v>2.37</v>
      </c>
      <c r="BU79" s="128">
        <v>2.38</v>
      </c>
      <c r="BV79" s="128">
        <v>2.39</v>
      </c>
      <c r="BW79" s="128">
        <v>2.4</v>
      </c>
      <c r="BX79" s="128">
        <v>2.4</v>
      </c>
      <c r="BY79" s="128">
        <v>2.41</v>
      </c>
      <c r="BZ79" s="128">
        <v>2.42</v>
      </c>
      <c r="CA79" s="128">
        <v>2.4300000000000002</v>
      </c>
      <c r="CB79" s="128">
        <v>2.44</v>
      </c>
      <c r="CC79" s="128">
        <v>2.4500000000000002</v>
      </c>
      <c r="CD79" s="128">
        <v>2.4700000000000002</v>
      </c>
      <c r="CE79" s="128">
        <v>2.48</v>
      </c>
      <c r="CF79" s="128">
        <v>2.4900000000000002</v>
      </c>
      <c r="CG79" s="128">
        <v>2.5</v>
      </c>
      <c r="CH79" s="128">
        <v>2.52</v>
      </c>
      <c r="CI79" s="128">
        <v>2.5299999999999998</v>
      </c>
      <c r="CJ79" s="128">
        <v>2.54</v>
      </c>
      <c r="CK79" s="128">
        <v>2.56</v>
      </c>
      <c r="CL79" s="128">
        <v>2.57</v>
      </c>
      <c r="CM79" s="128">
        <v>2.59</v>
      </c>
      <c r="CN79" s="128">
        <v>2.6</v>
      </c>
      <c r="CO79" s="128">
        <v>2.61</v>
      </c>
      <c r="CP79" s="128">
        <v>2.63</v>
      </c>
      <c r="CQ79" s="128">
        <v>2.64</v>
      </c>
      <c r="CR79" s="128">
        <v>2.66</v>
      </c>
      <c r="CS79" s="128">
        <v>2.68</v>
      </c>
      <c r="CT79" s="128">
        <v>2.69</v>
      </c>
      <c r="CU79" s="128">
        <v>2.71</v>
      </c>
      <c r="CV79" s="128">
        <v>2.73</v>
      </c>
      <c r="CW79" s="128">
        <v>2.74</v>
      </c>
      <c r="CX79" s="128">
        <v>2.76</v>
      </c>
      <c r="CZ79" s="126">
        <f>SUMIF(MatrixF5[[1]:[2]],MatrixF5[[#This Row],[Столбец1]])/MatrixF5[[#This Row],[Столбец1]]</f>
        <v>77.000000000000071</v>
      </c>
      <c r="DA79" s="126">
        <f>SUMIF(MatrixF5[[1]:[2]],MatrixF5[[#This Row],[Столбец1]]+1)/(MatrixF5[[#This Row],[Столбец1]]+1)</f>
        <v>17.999999999999993</v>
      </c>
    </row>
    <row r="80" spans="1:105" ht="21" customHeight="1" x14ac:dyDescent="0.25">
      <c r="A80" s="127">
        <v>1.77</v>
      </c>
      <c r="B80" s="128">
        <v>1.77</v>
      </c>
      <c r="C80" s="128">
        <v>1.78</v>
      </c>
      <c r="D80" s="128">
        <v>1.79</v>
      </c>
      <c r="E80" s="128">
        <v>1.81</v>
      </c>
      <c r="F80" s="128">
        <v>1.82</v>
      </c>
      <c r="G80" s="128">
        <v>1.83</v>
      </c>
      <c r="H80" s="128">
        <v>1.84</v>
      </c>
      <c r="I80" s="128">
        <v>1.85</v>
      </c>
      <c r="J80" s="128">
        <v>1.86</v>
      </c>
      <c r="K80" s="128">
        <v>1.87</v>
      </c>
      <c r="L80" s="128">
        <v>1.88</v>
      </c>
      <c r="M80" s="128">
        <v>1.89</v>
      </c>
      <c r="N80" s="128">
        <v>1.9</v>
      </c>
      <c r="O80" s="128">
        <v>1.91</v>
      </c>
      <c r="P80" s="128">
        <v>1.92</v>
      </c>
      <c r="Q80" s="128">
        <v>1.93</v>
      </c>
      <c r="R80" s="128">
        <v>1.94</v>
      </c>
      <c r="S80" s="128">
        <v>1.95</v>
      </c>
      <c r="T80" s="128">
        <v>1.96</v>
      </c>
      <c r="U80" s="128">
        <v>1.97</v>
      </c>
      <c r="V80" s="128">
        <v>1.97</v>
      </c>
      <c r="W80" s="128">
        <v>1.98</v>
      </c>
      <c r="X80" s="128">
        <v>1.99</v>
      </c>
      <c r="Y80" s="128">
        <v>2</v>
      </c>
      <c r="Z80" s="128">
        <v>2.0099999999999998</v>
      </c>
      <c r="AA80" s="128">
        <v>2.02</v>
      </c>
      <c r="AB80" s="128">
        <v>2.02</v>
      </c>
      <c r="AC80" s="128">
        <v>2.0299999999999998</v>
      </c>
      <c r="AD80" s="128">
        <v>2.04</v>
      </c>
      <c r="AE80" s="128">
        <v>2.0499999999999998</v>
      </c>
      <c r="AF80" s="128">
        <v>2.06</v>
      </c>
      <c r="AG80" s="128">
        <v>2.0699999999999998</v>
      </c>
      <c r="AH80" s="128">
        <v>2.0699999999999998</v>
      </c>
      <c r="AI80" s="128">
        <v>2.08</v>
      </c>
      <c r="AJ80" s="128">
        <v>2.09</v>
      </c>
      <c r="AK80" s="128">
        <v>2.1</v>
      </c>
      <c r="AL80" s="128">
        <v>2.11</v>
      </c>
      <c r="AM80" s="128">
        <v>2.11</v>
      </c>
      <c r="AN80" s="128">
        <v>2.12</v>
      </c>
      <c r="AO80" s="128">
        <v>2.13</v>
      </c>
      <c r="AP80" s="128">
        <v>2.14</v>
      </c>
      <c r="AQ80" s="128">
        <v>2.15</v>
      </c>
      <c r="AR80" s="128">
        <v>2.15</v>
      </c>
      <c r="AS80" s="128">
        <v>2.16</v>
      </c>
      <c r="AT80" s="128">
        <v>2.17</v>
      </c>
      <c r="AU80" s="128">
        <v>2.1800000000000002</v>
      </c>
      <c r="AV80" s="128">
        <v>2.19</v>
      </c>
      <c r="AW80" s="128">
        <v>2.2000000000000002</v>
      </c>
      <c r="AX80" s="128">
        <v>2.2000000000000002</v>
      </c>
      <c r="AY80" s="128">
        <v>2.21</v>
      </c>
      <c r="AZ80" s="128">
        <v>2.2200000000000002</v>
      </c>
      <c r="BA80" s="128">
        <v>2.23</v>
      </c>
      <c r="BB80" s="128">
        <v>2.2400000000000002</v>
      </c>
      <c r="BC80" s="128">
        <v>2.2400000000000002</v>
      </c>
      <c r="BD80" s="128">
        <v>2.25</v>
      </c>
      <c r="BE80" s="128">
        <v>2.2599999999999998</v>
      </c>
      <c r="BF80" s="128">
        <v>2.27</v>
      </c>
      <c r="BG80" s="128">
        <v>2.2799999999999998</v>
      </c>
      <c r="BH80" s="128">
        <v>2.2799999999999998</v>
      </c>
      <c r="BI80" s="128">
        <v>2.29</v>
      </c>
      <c r="BJ80" s="128">
        <v>2.2999999999999998</v>
      </c>
      <c r="BK80" s="128">
        <v>2.31</v>
      </c>
      <c r="BL80" s="128">
        <v>2.3199999999999998</v>
      </c>
      <c r="BM80" s="128">
        <v>2.33</v>
      </c>
      <c r="BN80" s="128">
        <v>2.33</v>
      </c>
      <c r="BO80" s="128">
        <v>2.34</v>
      </c>
      <c r="BP80" s="128">
        <v>2.35</v>
      </c>
      <c r="BQ80" s="128">
        <v>2.36</v>
      </c>
      <c r="BR80" s="128">
        <v>2.37</v>
      </c>
      <c r="BS80" s="128">
        <v>2.37</v>
      </c>
      <c r="BT80" s="128">
        <v>2.38</v>
      </c>
      <c r="BU80" s="128">
        <v>2.39</v>
      </c>
      <c r="BV80" s="128">
        <v>2.4</v>
      </c>
      <c r="BW80" s="128">
        <v>2.41</v>
      </c>
      <c r="BX80" s="128">
        <v>2.41</v>
      </c>
      <c r="BY80" s="128">
        <v>2.42</v>
      </c>
      <c r="BZ80" s="128">
        <v>2.4300000000000002</v>
      </c>
      <c r="CA80" s="128">
        <v>2.44</v>
      </c>
      <c r="CB80" s="128">
        <v>2.4500000000000002</v>
      </c>
      <c r="CC80" s="128">
        <v>2.46</v>
      </c>
      <c r="CD80" s="128">
        <v>2.4700000000000002</v>
      </c>
      <c r="CE80" s="128">
        <v>2.4900000000000002</v>
      </c>
      <c r="CF80" s="128">
        <v>2.5</v>
      </c>
      <c r="CG80" s="128">
        <v>2.5099999999999998</v>
      </c>
      <c r="CH80" s="128">
        <v>2.5299999999999998</v>
      </c>
      <c r="CI80" s="128">
        <v>2.54</v>
      </c>
      <c r="CJ80" s="128">
        <v>2.5499999999999998</v>
      </c>
      <c r="CK80" s="128">
        <v>2.57</v>
      </c>
      <c r="CL80" s="128">
        <v>2.58</v>
      </c>
      <c r="CM80" s="128">
        <v>2.59</v>
      </c>
      <c r="CN80" s="128">
        <v>2.61</v>
      </c>
      <c r="CO80" s="128">
        <v>2.62</v>
      </c>
      <c r="CP80" s="128">
        <v>2.64</v>
      </c>
      <c r="CQ80" s="128">
        <v>2.65</v>
      </c>
      <c r="CR80" s="128">
        <v>2.67</v>
      </c>
      <c r="CS80" s="128">
        <v>2.69</v>
      </c>
      <c r="CT80" s="128">
        <v>2.7</v>
      </c>
      <c r="CU80" s="128">
        <v>2.72</v>
      </c>
      <c r="CV80" s="128">
        <v>2.74</v>
      </c>
      <c r="CW80" s="128">
        <v>2.75</v>
      </c>
      <c r="CX80" s="128">
        <v>2.77</v>
      </c>
      <c r="CZ80" s="126">
        <f>SUMIF(MatrixF5[[1]:[2]],MatrixF5[[#This Row],[Столбец1]])/MatrixF5[[#This Row],[Столбец1]]</f>
        <v>82.000000000000014</v>
      </c>
      <c r="DA80" s="126">
        <f>SUMIF(MatrixF5[[1]:[2]],MatrixF5[[#This Row],[Столбец1]]+1)/(MatrixF5[[#This Row],[Столбец1]]+1)</f>
        <v>18.000000000000007</v>
      </c>
    </row>
    <row r="81" spans="1:105" ht="21" customHeight="1" x14ac:dyDescent="0.25">
      <c r="A81" s="127">
        <v>1.78</v>
      </c>
      <c r="B81" s="128">
        <v>1.78</v>
      </c>
      <c r="C81" s="128">
        <v>1.79</v>
      </c>
      <c r="D81" s="128">
        <v>1.8</v>
      </c>
      <c r="E81" s="128">
        <v>1.82</v>
      </c>
      <c r="F81" s="128">
        <v>1.83</v>
      </c>
      <c r="G81" s="128">
        <v>1.84</v>
      </c>
      <c r="H81" s="128">
        <v>1.85</v>
      </c>
      <c r="I81" s="128">
        <v>1.86</v>
      </c>
      <c r="J81" s="128">
        <v>1.87</v>
      </c>
      <c r="K81" s="128">
        <v>1.88</v>
      </c>
      <c r="L81" s="128">
        <v>1.89</v>
      </c>
      <c r="M81" s="128">
        <v>1.9</v>
      </c>
      <c r="N81" s="128">
        <v>1.91</v>
      </c>
      <c r="O81" s="128">
        <v>1.92</v>
      </c>
      <c r="P81" s="128">
        <v>1.93</v>
      </c>
      <c r="Q81" s="128">
        <v>1.94</v>
      </c>
      <c r="R81" s="128">
        <v>1.95</v>
      </c>
      <c r="S81" s="128">
        <v>1.96</v>
      </c>
      <c r="T81" s="128">
        <v>1.97</v>
      </c>
      <c r="U81" s="128">
        <v>1.97</v>
      </c>
      <c r="V81" s="128">
        <v>1.98</v>
      </c>
      <c r="W81" s="128">
        <v>1.99</v>
      </c>
      <c r="X81" s="128">
        <v>2</v>
      </c>
      <c r="Y81" s="128">
        <v>2.0099999999999998</v>
      </c>
      <c r="Z81" s="128">
        <v>2.02</v>
      </c>
      <c r="AA81" s="128">
        <v>2.02</v>
      </c>
      <c r="AB81" s="128">
        <v>2.0299999999999998</v>
      </c>
      <c r="AC81" s="128">
        <v>2.04</v>
      </c>
      <c r="AD81" s="128">
        <v>2.0499999999999998</v>
      </c>
      <c r="AE81" s="128">
        <v>2.06</v>
      </c>
      <c r="AF81" s="128">
        <v>2.0699999999999998</v>
      </c>
      <c r="AG81" s="128">
        <v>2.0699999999999998</v>
      </c>
      <c r="AH81" s="128">
        <v>2.08</v>
      </c>
      <c r="AI81" s="128">
        <v>2.09</v>
      </c>
      <c r="AJ81" s="128">
        <v>2.1</v>
      </c>
      <c r="AK81" s="128">
        <v>2.11</v>
      </c>
      <c r="AL81" s="128">
        <v>2.11</v>
      </c>
      <c r="AM81" s="128">
        <v>2.12</v>
      </c>
      <c r="AN81" s="128">
        <v>2.13</v>
      </c>
      <c r="AO81" s="128">
        <v>2.14</v>
      </c>
      <c r="AP81" s="128">
        <v>2.15</v>
      </c>
      <c r="AQ81" s="128">
        <v>2.16</v>
      </c>
      <c r="AR81" s="128">
        <v>2.16</v>
      </c>
      <c r="AS81" s="128">
        <v>2.17</v>
      </c>
      <c r="AT81" s="128">
        <v>2.1800000000000002</v>
      </c>
      <c r="AU81" s="128">
        <v>2.19</v>
      </c>
      <c r="AV81" s="128">
        <v>2.2000000000000002</v>
      </c>
      <c r="AW81" s="128">
        <v>2.2000000000000002</v>
      </c>
      <c r="AX81" s="128">
        <v>2.21</v>
      </c>
      <c r="AY81" s="128">
        <v>2.2200000000000002</v>
      </c>
      <c r="AZ81" s="128">
        <v>2.23</v>
      </c>
      <c r="BA81" s="128">
        <v>2.2400000000000002</v>
      </c>
      <c r="BB81" s="128">
        <v>2.25</v>
      </c>
      <c r="BC81" s="128">
        <v>2.25</v>
      </c>
      <c r="BD81" s="128">
        <v>2.2599999999999998</v>
      </c>
      <c r="BE81" s="128">
        <v>2.27</v>
      </c>
      <c r="BF81" s="128">
        <v>2.2799999999999998</v>
      </c>
      <c r="BG81" s="128">
        <v>2.29</v>
      </c>
      <c r="BH81" s="128">
        <v>2.2999999999999998</v>
      </c>
      <c r="BI81" s="128">
        <v>2.2999999999999998</v>
      </c>
      <c r="BJ81" s="128">
        <v>2.31</v>
      </c>
      <c r="BK81" s="128">
        <v>2.3199999999999998</v>
      </c>
      <c r="BL81" s="128">
        <v>2.33</v>
      </c>
      <c r="BM81" s="128">
        <v>2.34</v>
      </c>
      <c r="BN81" s="128">
        <v>2.34</v>
      </c>
      <c r="BO81" s="128">
        <v>2.35</v>
      </c>
      <c r="BP81" s="128">
        <v>2.36</v>
      </c>
      <c r="BQ81" s="128">
        <v>2.37</v>
      </c>
      <c r="BR81" s="128">
        <v>2.38</v>
      </c>
      <c r="BS81" s="128">
        <v>2.39</v>
      </c>
      <c r="BT81" s="128">
        <v>2.39</v>
      </c>
      <c r="BU81" s="128">
        <v>2.4</v>
      </c>
      <c r="BV81" s="128">
        <v>2.41</v>
      </c>
      <c r="BW81" s="128">
        <v>2.42</v>
      </c>
      <c r="BX81" s="128">
        <v>2.4300000000000002</v>
      </c>
      <c r="BY81" s="128">
        <v>2.4300000000000002</v>
      </c>
      <c r="BZ81" s="128">
        <v>2.44</v>
      </c>
      <c r="CA81" s="128">
        <v>2.4500000000000002</v>
      </c>
      <c r="CB81" s="128">
        <v>2.46</v>
      </c>
      <c r="CC81" s="128">
        <v>2.4700000000000002</v>
      </c>
      <c r="CD81" s="128">
        <v>2.48</v>
      </c>
      <c r="CE81" s="128">
        <v>2.5</v>
      </c>
      <c r="CF81" s="128">
        <v>2.5099999999999998</v>
      </c>
      <c r="CG81" s="128">
        <v>2.52</v>
      </c>
      <c r="CH81" s="128">
        <v>2.5299999999999998</v>
      </c>
      <c r="CI81" s="128">
        <v>2.5499999999999998</v>
      </c>
      <c r="CJ81" s="128">
        <v>2.56</v>
      </c>
      <c r="CK81" s="128">
        <v>2.58</v>
      </c>
      <c r="CL81" s="128">
        <v>2.59</v>
      </c>
      <c r="CM81" s="128">
        <v>2.6</v>
      </c>
      <c r="CN81" s="128">
        <v>2.62</v>
      </c>
      <c r="CO81" s="128">
        <v>2.63</v>
      </c>
      <c r="CP81" s="128">
        <v>2.65</v>
      </c>
      <c r="CQ81" s="128">
        <v>2.66</v>
      </c>
      <c r="CR81" s="128">
        <v>2.68</v>
      </c>
      <c r="CS81" s="128">
        <v>2.7</v>
      </c>
      <c r="CT81" s="128">
        <v>2.71</v>
      </c>
      <c r="CU81" s="128">
        <v>2.73</v>
      </c>
      <c r="CV81" s="128">
        <v>2.75</v>
      </c>
      <c r="CW81" s="128">
        <v>2.76</v>
      </c>
      <c r="CX81" s="128">
        <v>2.78</v>
      </c>
      <c r="CZ81" s="126">
        <f>SUMIF(MatrixF5[[1]:[2]],MatrixF5[[#This Row],[Столбец1]])/MatrixF5[[#This Row],[Столбец1]]</f>
        <v>83.000000000000043</v>
      </c>
      <c r="DA81" s="126">
        <f>SUMIF(MatrixF5[[1]:[2]],MatrixF5[[#This Row],[Столбец1]]+1)/(MatrixF5[[#This Row],[Столбец1]]+1)</f>
        <v>17.000000000000004</v>
      </c>
    </row>
    <row r="82" spans="1:105" ht="21" customHeight="1" x14ac:dyDescent="0.25">
      <c r="A82" s="127">
        <v>1.79</v>
      </c>
      <c r="B82" s="128">
        <v>1.79</v>
      </c>
      <c r="C82" s="128">
        <v>1.8</v>
      </c>
      <c r="D82" s="128">
        <v>1.81</v>
      </c>
      <c r="E82" s="128">
        <v>1.83</v>
      </c>
      <c r="F82" s="128">
        <v>1.84</v>
      </c>
      <c r="G82" s="128">
        <v>1.85</v>
      </c>
      <c r="H82" s="128">
        <v>1.86</v>
      </c>
      <c r="I82" s="128">
        <v>1.87</v>
      </c>
      <c r="J82" s="128">
        <v>1.88</v>
      </c>
      <c r="K82" s="128">
        <v>1.89</v>
      </c>
      <c r="L82" s="128">
        <v>1.9</v>
      </c>
      <c r="M82" s="128">
        <v>1.91</v>
      </c>
      <c r="N82" s="128">
        <v>1.92</v>
      </c>
      <c r="O82" s="128">
        <v>1.93</v>
      </c>
      <c r="P82" s="128">
        <v>1.94</v>
      </c>
      <c r="Q82" s="128">
        <v>1.95</v>
      </c>
      <c r="R82" s="128">
        <v>1.96</v>
      </c>
      <c r="S82" s="128">
        <v>1.97</v>
      </c>
      <c r="T82" s="128">
        <v>1.97</v>
      </c>
      <c r="U82" s="128">
        <v>1.98</v>
      </c>
      <c r="V82" s="128">
        <v>1.99</v>
      </c>
      <c r="W82" s="128">
        <v>2</v>
      </c>
      <c r="X82" s="128">
        <v>2.0099999999999998</v>
      </c>
      <c r="Y82" s="128">
        <v>2.02</v>
      </c>
      <c r="Z82" s="128">
        <v>2.02</v>
      </c>
      <c r="AA82" s="128">
        <v>2.0299999999999998</v>
      </c>
      <c r="AB82" s="128">
        <v>2.04</v>
      </c>
      <c r="AC82" s="128">
        <v>2.0499999999999998</v>
      </c>
      <c r="AD82" s="128">
        <v>2.06</v>
      </c>
      <c r="AE82" s="128">
        <v>2.0699999999999998</v>
      </c>
      <c r="AF82" s="128">
        <v>2.0699999999999998</v>
      </c>
      <c r="AG82" s="128">
        <v>2.08</v>
      </c>
      <c r="AH82" s="128">
        <v>2.09</v>
      </c>
      <c r="AI82" s="128">
        <v>2.1</v>
      </c>
      <c r="AJ82" s="128">
        <v>2.11</v>
      </c>
      <c r="AK82" s="128">
        <v>2.12</v>
      </c>
      <c r="AL82" s="128">
        <v>2.12</v>
      </c>
      <c r="AM82" s="128">
        <v>2.13</v>
      </c>
      <c r="AN82" s="128">
        <v>2.14</v>
      </c>
      <c r="AO82" s="128">
        <v>2.15</v>
      </c>
      <c r="AP82" s="128">
        <v>2.16</v>
      </c>
      <c r="AQ82" s="128">
        <v>2.17</v>
      </c>
      <c r="AR82" s="128">
        <v>2.17</v>
      </c>
      <c r="AS82" s="128">
        <v>2.1800000000000002</v>
      </c>
      <c r="AT82" s="128">
        <v>2.19</v>
      </c>
      <c r="AU82" s="128">
        <v>2.2000000000000002</v>
      </c>
      <c r="AV82" s="128">
        <v>2.21</v>
      </c>
      <c r="AW82" s="128">
        <v>2.21</v>
      </c>
      <c r="AX82" s="128">
        <v>2.2200000000000002</v>
      </c>
      <c r="AY82" s="128">
        <v>2.23</v>
      </c>
      <c r="AZ82" s="128">
        <v>2.2400000000000002</v>
      </c>
      <c r="BA82" s="128">
        <v>2.25</v>
      </c>
      <c r="BB82" s="128">
        <v>2.2599999999999998</v>
      </c>
      <c r="BC82" s="128">
        <v>2.2599999999999998</v>
      </c>
      <c r="BD82" s="128">
        <v>2.27</v>
      </c>
      <c r="BE82" s="128">
        <v>2.2799999999999998</v>
      </c>
      <c r="BF82" s="128">
        <v>2.29</v>
      </c>
      <c r="BG82" s="128">
        <v>2.2999999999999998</v>
      </c>
      <c r="BH82" s="128">
        <v>2.31</v>
      </c>
      <c r="BI82" s="128">
        <v>2.31</v>
      </c>
      <c r="BJ82" s="128">
        <v>2.3199999999999998</v>
      </c>
      <c r="BK82" s="128">
        <v>2.33</v>
      </c>
      <c r="BL82" s="128">
        <v>2.34</v>
      </c>
      <c r="BM82" s="128">
        <v>2.35</v>
      </c>
      <c r="BN82" s="128">
        <v>2.36</v>
      </c>
      <c r="BO82" s="128">
        <v>2.36</v>
      </c>
      <c r="BP82" s="128">
        <v>2.37</v>
      </c>
      <c r="BQ82" s="128">
        <v>2.38</v>
      </c>
      <c r="BR82" s="128">
        <v>2.39</v>
      </c>
      <c r="BS82" s="128">
        <v>2.4</v>
      </c>
      <c r="BT82" s="128">
        <v>2.4</v>
      </c>
      <c r="BU82" s="128">
        <v>2.41</v>
      </c>
      <c r="BV82" s="128">
        <v>2.42</v>
      </c>
      <c r="BW82" s="128">
        <v>2.4300000000000002</v>
      </c>
      <c r="BX82" s="128">
        <v>2.44</v>
      </c>
      <c r="BY82" s="128">
        <v>2.4500000000000002</v>
      </c>
      <c r="BZ82" s="128">
        <v>2.4500000000000002</v>
      </c>
      <c r="CA82" s="128">
        <v>2.46</v>
      </c>
      <c r="CB82" s="128">
        <v>2.4700000000000002</v>
      </c>
      <c r="CC82" s="128">
        <v>2.48</v>
      </c>
      <c r="CD82" s="128">
        <v>2.4900000000000002</v>
      </c>
      <c r="CE82" s="128">
        <v>2.5</v>
      </c>
      <c r="CF82" s="128">
        <v>2.52</v>
      </c>
      <c r="CG82" s="128">
        <v>2.5299999999999998</v>
      </c>
      <c r="CH82" s="128">
        <v>2.54</v>
      </c>
      <c r="CI82" s="128">
        <v>2.56</v>
      </c>
      <c r="CJ82" s="128">
        <v>2.57</v>
      </c>
      <c r="CK82" s="128">
        <v>2.58</v>
      </c>
      <c r="CL82" s="128">
        <v>2.6</v>
      </c>
      <c r="CM82" s="128">
        <v>2.61</v>
      </c>
      <c r="CN82" s="128">
        <v>2.63</v>
      </c>
      <c r="CO82" s="128">
        <v>2.64</v>
      </c>
      <c r="CP82" s="128">
        <v>2.66</v>
      </c>
      <c r="CQ82" s="128">
        <v>2.67</v>
      </c>
      <c r="CR82" s="128">
        <v>2.69</v>
      </c>
      <c r="CS82" s="128">
        <v>2.7</v>
      </c>
      <c r="CT82" s="128">
        <v>2.72</v>
      </c>
      <c r="CU82" s="128">
        <v>2.74</v>
      </c>
      <c r="CV82" s="128">
        <v>2.75</v>
      </c>
      <c r="CW82" s="128">
        <v>2.77</v>
      </c>
      <c r="CX82" s="128">
        <v>2.79</v>
      </c>
      <c r="CZ82" s="126">
        <f>SUMIF(MatrixF5[[1]:[2]],MatrixF5[[#This Row],[Столбец1]])/MatrixF5[[#This Row],[Столбец1]]</f>
        <v>87.000000000000043</v>
      </c>
      <c r="DA82" s="126">
        <f>SUMIF(MatrixF5[[1]:[2]],MatrixF5[[#This Row],[Столбец1]]+1)/(MatrixF5[[#This Row],[Столбец1]]+1)</f>
        <v>17.999999999999996</v>
      </c>
    </row>
    <row r="83" spans="1:105" ht="21" customHeight="1" x14ac:dyDescent="0.25">
      <c r="A83" s="127">
        <v>1.8</v>
      </c>
      <c r="B83" s="128">
        <v>1.8</v>
      </c>
      <c r="C83" s="128">
        <v>1.81</v>
      </c>
      <c r="D83" s="128">
        <v>1.82</v>
      </c>
      <c r="E83" s="128">
        <v>1.83</v>
      </c>
      <c r="F83" s="128">
        <v>1.85</v>
      </c>
      <c r="G83" s="128">
        <v>1.86</v>
      </c>
      <c r="H83" s="128">
        <v>1.87</v>
      </c>
      <c r="I83" s="128">
        <v>1.88</v>
      </c>
      <c r="J83" s="128">
        <v>1.89</v>
      </c>
      <c r="K83" s="128">
        <v>1.9</v>
      </c>
      <c r="L83" s="128">
        <v>1.91</v>
      </c>
      <c r="M83" s="128">
        <v>1.92</v>
      </c>
      <c r="N83" s="128">
        <v>1.93</v>
      </c>
      <c r="O83" s="128">
        <v>1.94</v>
      </c>
      <c r="P83" s="128">
        <v>1.95</v>
      </c>
      <c r="Q83" s="128">
        <v>1.96</v>
      </c>
      <c r="R83" s="128">
        <v>1.97</v>
      </c>
      <c r="S83" s="128">
        <v>1.97</v>
      </c>
      <c r="T83" s="128">
        <v>1.98</v>
      </c>
      <c r="U83" s="128">
        <v>1.99</v>
      </c>
      <c r="V83" s="128">
        <v>2</v>
      </c>
      <c r="W83" s="128">
        <v>2.0099999999999998</v>
      </c>
      <c r="X83" s="128">
        <v>2.02</v>
      </c>
      <c r="Y83" s="128">
        <v>2.0299999999999998</v>
      </c>
      <c r="Z83" s="128">
        <v>2.0299999999999998</v>
      </c>
      <c r="AA83" s="128">
        <v>2.04</v>
      </c>
      <c r="AB83" s="128">
        <v>2.0499999999999998</v>
      </c>
      <c r="AC83" s="128">
        <v>2.06</v>
      </c>
      <c r="AD83" s="128">
        <v>2.0699999999999998</v>
      </c>
      <c r="AE83" s="128">
        <v>2.08</v>
      </c>
      <c r="AF83" s="128">
        <v>2.08</v>
      </c>
      <c r="AG83" s="128">
        <v>2.09</v>
      </c>
      <c r="AH83" s="128">
        <v>2.1</v>
      </c>
      <c r="AI83" s="128">
        <v>2.11</v>
      </c>
      <c r="AJ83" s="128">
        <v>2.12</v>
      </c>
      <c r="AK83" s="128">
        <v>2.12</v>
      </c>
      <c r="AL83" s="128">
        <v>2.13</v>
      </c>
      <c r="AM83" s="128">
        <v>2.14</v>
      </c>
      <c r="AN83" s="128">
        <v>2.15</v>
      </c>
      <c r="AO83" s="128">
        <v>2.16</v>
      </c>
      <c r="AP83" s="128">
        <v>2.17</v>
      </c>
      <c r="AQ83" s="128">
        <v>2.1800000000000002</v>
      </c>
      <c r="AR83" s="128">
        <v>2.1800000000000002</v>
      </c>
      <c r="AS83" s="128">
        <v>2.19</v>
      </c>
      <c r="AT83" s="128">
        <v>2.2000000000000002</v>
      </c>
      <c r="AU83" s="128">
        <v>2.21</v>
      </c>
      <c r="AV83" s="128">
        <v>2.2200000000000002</v>
      </c>
      <c r="AW83" s="128">
        <v>2.23</v>
      </c>
      <c r="AX83" s="128">
        <v>2.23</v>
      </c>
      <c r="AY83" s="128">
        <v>2.2400000000000002</v>
      </c>
      <c r="AZ83" s="128">
        <v>2.25</v>
      </c>
      <c r="BA83" s="128">
        <v>2.2599999999999998</v>
      </c>
      <c r="BB83" s="128">
        <v>2.27</v>
      </c>
      <c r="BC83" s="128">
        <v>2.27</v>
      </c>
      <c r="BD83" s="128">
        <v>2.2799999999999998</v>
      </c>
      <c r="BE83" s="128">
        <v>2.29</v>
      </c>
      <c r="BF83" s="128">
        <v>2.2999999999999998</v>
      </c>
      <c r="BG83" s="128">
        <v>2.31</v>
      </c>
      <c r="BH83" s="128">
        <v>2.3199999999999998</v>
      </c>
      <c r="BI83" s="128">
        <v>2.3199999999999998</v>
      </c>
      <c r="BJ83" s="128">
        <v>2.33</v>
      </c>
      <c r="BK83" s="128">
        <v>2.34</v>
      </c>
      <c r="BL83" s="128">
        <v>2.35</v>
      </c>
      <c r="BM83" s="128">
        <v>2.36</v>
      </c>
      <c r="BN83" s="128">
        <v>2.37</v>
      </c>
      <c r="BO83" s="128">
        <v>2.37</v>
      </c>
      <c r="BP83" s="128">
        <v>2.38</v>
      </c>
      <c r="BQ83" s="128">
        <v>2.39</v>
      </c>
      <c r="BR83" s="128">
        <v>2.4</v>
      </c>
      <c r="BS83" s="128">
        <v>2.41</v>
      </c>
      <c r="BT83" s="128">
        <v>2.42</v>
      </c>
      <c r="BU83" s="128">
        <v>2.42</v>
      </c>
      <c r="BV83" s="128">
        <v>2.4300000000000002</v>
      </c>
      <c r="BW83" s="128">
        <v>2.44</v>
      </c>
      <c r="BX83" s="128">
        <v>2.4500000000000002</v>
      </c>
      <c r="BY83" s="128">
        <v>2.46</v>
      </c>
      <c r="BZ83" s="128">
        <v>2.4700000000000002</v>
      </c>
      <c r="CA83" s="128">
        <v>2.4700000000000002</v>
      </c>
      <c r="CB83" s="128">
        <v>2.48</v>
      </c>
      <c r="CC83" s="128">
        <v>2.4900000000000002</v>
      </c>
      <c r="CD83" s="128">
        <v>2.5</v>
      </c>
      <c r="CE83" s="128">
        <v>2.5099999999999998</v>
      </c>
      <c r="CF83" s="128">
        <v>2.5299999999999998</v>
      </c>
      <c r="CG83" s="128">
        <v>2.54</v>
      </c>
      <c r="CH83" s="128">
        <v>2.5499999999999998</v>
      </c>
      <c r="CI83" s="128">
        <v>2.57</v>
      </c>
      <c r="CJ83" s="128">
        <v>2.58</v>
      </c>
      <c r="CK83" s="128">
        <v>2.59</v>
      </c>
      <c r="CL83" s="128">
        <v>2.61</v>
      </c>
      <c r="CM83" s="128">
        <v>2.62</v>
      </c>
      <c r="CN83" s="128">
        <v>2.64</v>
      </c>
      <c r="CO83" s="128">
        <v>2.65</v>
      </c>
      <c r="CP83" s="128">
        <v>2.67</v>
      </c>
      <c r="CQ83" s="128">
        <v>2.68</v>
      </c>
      <c r="CR83" s="128">
        <v>2.7</v>
      </c>
      <c r="CS83" s="128">
        <v>2.71</v>
      </c>
      <c r="CT83" s="128">
        <v>2.73</v>
      </c>
      <c r="CU83" s="128">
        <v>2.75</v>
      </c>
      <c r="CV83" s="128">
        <v>2.76</v>
      </c>
      <c r="CW83" s="128">
        <v>2.78</v>
      </c>
      <c r="CX83" s="128">
        <v>2.8</v>
      </c>
      <c r="CZ83" s="126">
        <f>SUMIF(MatrixF5[[1]:[2]],MatrixF5[[#This Row],[Столбец1]])/MatrixF5[[#This Row],[Столбец1]]</f>
        <v>86</v>
      </c>
      <c r="DA83" s="126">
        <f>SUMIF(MatrixF5[[1]:[2]],MatrixF5[[#This Row],[Столбец1]]+1)/(MatrixF5[[#This Row],[Столбец1]]+1)</f>
        <v>14.999999999999998</v>
      </c>
    </row>
    <row r="84" spans="1:105" ht="21" customHeight="1" x14ac:dyDescent="0.25">
      <c r="A84" s="127">
        <v>1.81</v>
      </c>
      <c r="B84" s="128">
        <v>1.81</v>
      </c>
      <c r="C84" s="128">
        <v>1.82</v>
      </c>
      <c r="D84" s="128">
        <v>1.83</v>
      </c>
      <c r="E84" s="128">
        <v>1.84</v>
      </c>
      <c r="F84" s="128">
        <v>1.86</v>
      </c>
      <c r="G84" s="128">
        <v>1.87</v>
      </c>
      <c r="H84" s="128">
        <v>1.88</v>
      </c>
      <c r="I84" s="128">
        <v>1.89</v>
      </c>
      <c r="J84" s="128">
        <v>1.9</v>
      </c>
      <c r="K84" s="128">
        <v>1.91</v>
      </c>
      <c r="L84" s="128">
        <v>1.92</v>
      </c>
      <c r="M84" s="128">
        <v>1.93</v>
      </c>
      <c r="N84" s="128">
        <v>1.94</v>
      </c>
      <c r="O84" s="128">
        <v>1.95</v>
      </c>
      <c r="P84" s="128">
        <v>1.96</v>
      </c>
      <c r="Q84" s="128">
        <v>1.97</v>
      </c>
      <c r="R84" s="128">
        <v>1.97</v>
      </c>
      <c r="S84" s="128">
        <v>1.98</v>
      </c>
      <c r="T84" s="128">
        <v>1.99</v>
      </c>
      <c r="U84" s="128">
        <v>2</v>
      </c>
      <c r="V84" s="128">
        <v>2.0099999999999998</v>
      </c>
      <c r="W84" s="128">
        <v>2.02</v>
      </c>
      <c r="X84" s="128">
        <v>2.0299999999999998</v>
      </c>
      <c r="Y84" s="128">
        <v>2.0299999999999998</v>
      </c>
      <c r="Z84" s="128">
        <v>2.04</v>
      </c>
      <c r="AA84" s="128">
        <v>2.0499999999999998</v>
      </c>
      <c r="AB84" s="128">
        <v>2.06</v>
      </c>
      <c r="AC84" s="128">
        <v>2.0699999999999998</v>
      </c>
      <c r="AD84" s="128">
        <v>2.08</v>
      </c>
      <c r="AE84" s="128">
        <v>2.08</v>
      </c>
      <c r="AF84" s="128">
        <v>2.09</v>
      </c>
      <c r="AG84" s="128">
        <v>2.1</v>
      </c>
      <c r="AH84" s="128">
        <v>2.11</v>
      </c>
      <c r="AI84" s="128">
        <v>2.12</v>
      </c>
      <c r="AJ84" s="128">
        <v>2.13</v>
      </c>
      <c r="AK84" s="128">
        <v>2.13</v>
      </c>
      <c r="AL84" s="128">
        <v>2.14</v>
      </c>
      <c r="AM84" s="128">
        <v>2.15</v>
      </c>
      <c r="AN84" s="128">
        <v>2.16</v>
      </c>
      <c r="AO84" s="128">
        <v>2.17</v>
      </c>
      <c r="AP84" s="128">
        <v>2.1800000000000002</v>
      </c>
      <c r="AQ84" s="128">
        <v>2.1800000000000002</v>
      </c>
      <c r="AR84" s="128">
        <v>2.19</v>
      </c>
      <c r="AS84" s="128">
        <v>2.2000000000000002</v>
      </c>
      <c r="AT84" s="128">
        <v>2.21</v>
      </c>
      <c r="AU84" s="128">
        <v>2.2200000000000002</v>
      </c>
      <c r="AV84" s="128">
        <v>2.23</v>
      </c>
      <c r="AW84" s="128">
        <v>2.2400000000000002</v>
      </c>
      <c r="AX84" s="128">
        <v>2.2400000000000002</v>
      </c>
      <c r="AY84" s="128">
        <v>2.25</v>
      </c>
      <c r="AZ84" s="128">
        <v>2.2599999999999998</v>
      </c>
      <c r="BA84" s="128">
        <v>2.27</v>
      </c>
      <c r="BB84" s="128">
        <v>2.2799999999999998</v>
      </c>
      <c r="BC84" s="128">
        <v>2.29</v>
      </c>
      <c r="BD84" s="128">
        <v>2.29</v>
      </c>
      <c r="BE84" s="128">
        <v>2.2999999999999998</v>
      </c>
      <c r="BF84" s="128">
        <v>2.31</v>
      </c>
      <c r="BG84" s="128">
        <v>2.3199999999999998</v>
      </c>
      <c r="BH84" s="128">
        <v>2.33</v>
      </c>
      <c r="BI84" s="128">
        <v>2.34</v>
      </c>
      <c r="BJ84" s="128">
        <v>2.34</v>
      </c>
      <c r="BK84" s="128">
        <v>2.35</v>
      </c>
      <c r="BL84" s="128">
        <v>2.36</v>
      </c>
      <c r="BM84" s="128">
        <v>2.37</v>
      </c>
      <c r="BN84" s="128">
        <v>2.38</v>
      </c>
      <c r="BO84" s="128">
        <v>2.39</v>
      </c>
      <c r="BP84" s="128">
        <v>2.39</v>
      </c>
      <c r="BQ84" s="128">
        <v>2.4</v>
      </c>
      <c r="BR84" s="128">
        <v>2.41</v>
      </c>
      <c r="BS84" s="128">
        <v>2.42</v>
      </c>
      <c r="BT84" s="128">
        <v>2.4300000000000002</v>
      </c>
      <c r="BU84" s="128">
        <v>2.44</v>
      </c>
      <c r="BV84" s="128">
        <v>2.4500000000000002</v>
      </c>
      <c r="BW84" s="128">
        <v>2.4500000000000002</v>
      </c>
      <c r="BX84" s="128">
        <v>2.46</v>
      </c>
      <c r="BY84" s="128">
        <v>2.4700000000000002</v>
      </c>
      <c r="BZ84" s="128">
        <v>2.48</v>
      </c>
      <c r="CA84" s="128">
        <v>2.4900000000000002</v>
      </c>
      <c r="CB84" s="128">
        <v>2.5</v>
      </c>
      <c r="CC84" s="128">
        <v>2.5</v>
      </c>
      <c r="CD84" s="128">
        <v>2.5099999999999998</v>
      </c>
      <c r="CE84" s="128">
        <v>2.52</v>
      </c>
      <c r="CF84" s="128">
        <v>2.5299999999999998</v>
      </c>
      <c r="CG84" s="128">
        <v>2.5499999999999998</v>
      </c>
      <c r="CH84" s="128">
        <v>2.56</v>
      </c>
      <c r="CI84" s="128">
        <v>2.57</v>
      </c>
      <c r="CJ84" s="128">
        <v>2.59</v>
      </c>
      <c r="CK84" s="128">
        <v>2.6</v>
      </c>
      <c r="CL84" s="128">
        <v>2.62</v>
      </c>
      <c r="CM84" s="128">
        <v>2.63</v>
      </c>
      <c r="CN84" s="128">
        <v>2.65</v>
      </c>
      <c r="CO84" s="128">
        <v>2.66</v>
      </c>
      <c r="CP84" s="128">
        <v>2.68</v>
      </c>
      <c r="CQ84" s="128">
        <v>2.69</v>
      </c>
      <c r="CR84" s="128">
        <v>2.71</v>
      </c>
      <c r="CS84" s="128">
        <v>2.72</v>
      </c>
      <c r="CT84" s="128">
        <v>2.74</v>
      </c>
      <c r="CU84" s="128">
        <v>2.76</v>
      </c>
      <c r="CV84" s="128">
        <v>2.77</v>
      </c>
      <c r="CW84" s="128">
        <v>2.79</v>
      </c>
      <c r="CX84" s="128">
        <v>2.81</v>
      </c>
      <c r="CZ84" s="126">
        <f>SUMIF(MatrixF5[[1]:[2]],MatrixF5[[#This Row],[Столбец1]])/MatrixF5[[#This Row],[Столбец1]]</f>
        <v>89.000000000000071</v>
      </c>
      <c r="DA84" s="126">
        <f>SUMIF(MatrixF5[[1]:[2]],MatrixF5[[#This Row],[Столбец1]]+1)/(MatrixF5[[#This Row],[Столбец1]]+1)</f>
        <v>13.999999999999998</v>
      </c>
    </row>
    <row r="85" spans="1:105" ht="21" customHeight="1" x14ac:dyDescent="0.25">
      <c r="A85" s="127">
        <v>1.82</v>
      </c>
      <c r="B85" s="128">
        <v>1.82</v>
      </c>
      <c r="C85" s="128">
        <v>1.83</v>
      </c>
      <c r="D85" s="128">
        <v>1.84</v>
      </c>
      <c r="E85" s="128">
        <v>1.85</v>
      </c>
      <c r="F85" s="128">
        <v>1.87</v>
      </c>
      <c r="G85" s="128">
        <v>1.88</v>
      </c>
      <c r="H85" s="128">
        <v>1.89</v>
      </c>
      <c r="I85" s="128">
        <v>1.9</v>
      </c>
      <c r="J85" s="128">
        <v>1.91</v>
      </c>
      <c r="K85" s="128">
        <v>1.92</v>
      </c>
      <c r="L85" s="128">
        <v>1.93</v>
      </c>
      <c r="M85" s="128">
        <v>1.94</v>
      </c>
      <c r="N85" s="128">
        <v>1.95</v>
      </c>
      <c r="O85" s="128">
        <v>1.96</v>
      </c>
      <c r="P85" s="128">
        <v>1.96</v>
      </c>
      <c r="Q85" s="128">
        <v>1.97</v>
      </c>
      <c r="R85" s="128">
        <v>1.98</v>
      </c>
      <c r="S85" s="128">
        <v>1.99</v>
      </c>
      <c r="T85" s="128">
        <v>2</v>
      </c>
      <c r="U85" s="128">
        <v>2.0099999999999998</v>
      </c>
      <c r="V85" s="128">
        <v>2.02</v>
      </c>
      <c r="W85" s="128">
        <v>2.0299999999999998</v>
      </c>
      <c r="X85" s="128">
        <v>2.0299999999999998</v>
      </c>
      <c r="Y85" s="128">
        <v>2.04</v>
      </c>
      <c r="Z85" s="128">
        <v>2.0499999999999998</v>
      </c>
      <c r="AA85" s="128">
        <v>2.06</v>
      </c>
      <c r="AB85" s="128">
        <v>2.0699999999999998</v>
      </c>
      <c r="AC85" s="128">
        <v>2.08</v>
      </c>
      <c r="AD85" s="128">
        <v>2.08</v>
      </c>
      <c r="AE85" s="128">
        <v>2.09</v>
      </c>
      <c r="AF85" s="128">
        <v>2.1</v>
      </c>
      <c r="AG85" s="128">
        <v>2.11</v>
      </c>
      <c r="AH85" s="128">
        <v>2.12</v>
      </c>
      <c r="AI85" s="128">
        <v>2.13</v>
      </c>
      <c r="AJ85" s="128">
        <v>2.14</v>
      </c>
      <c r="AK85" s="128">
        <v>2.14</v>
      </c>
      <c r="AL85" s="128">
        <v>2.15</v>
      </c>
      <c r="AM85" s="128">
        <v>2.16</v>
      </c>
      <c r="AN85" s="128">
        <v>2.17</v>
      </c>
      <c r="AO85" s="128">
        <v>2.1800000000000002</v>
      </c>
      <c r="AP85" s="128">
        <v>2.19</v>
      </c>
      <c r="AQ85" s="128">
        <v>2.19</v>
      </c>
      <c r="AR85" s="128">
        <v>2.2000000000000002</v>
      </c>
      <c r="AS85" s="128">
        <v>2.21</v>
      </c>
      <c r="AT85" s="128">
        <v>2.2200000000000002</v>
      </c>
      <c r="AU85" s="128">
        <v>2.23</v>
      </c>
      <c r="AV85" s="128">
        <v>2.2400000000000002</v>
      </c>
      <c r="AW85" s="128">
        <v>2.25</v>
      </c>
      <c r="AX85" s="128">
        <v>2.25</v>
      </c>
      <c r="AY85" s="128">
        <v>2.2599999999999998</v>
      </c>
      <c r="AZ85" s="128">
        <v>2.27</v>
      </c>
      <c r="BA85" s="128">
        <v>2.2799999999999998</v>
      </c>
      <c r="BB85" s="128">
        <v>2.29</v>
      </c>
      <c r="BC85" s="128">
        <v>2.2999999999999998</v>
      </c>
      <c r="BD85" s="128">
        <v>2.31</v>
      </c>
      <c r="BE85" s="128">
        <v>2.31</v>
      </c>
      <c r="BF85" s="128">
        <v>2.3199999999999998</v>
      </c>
      <c r="BG85" s="128">
        <v>2.33</v>
      </c>
      <c r="BH85" s="128">
        <v>2.34</v>
      </c>
      <c r="BI85" s="128">
        <v>2.35</v>
      </c>
      <c r="BJ85" s="128">
        <v>2.36</v>
      </c>
      <c r="BK85" s="128">
        <v>2.36</v>
      </c>
      <c r="BL85" s="128">
        <v>2.37</v>
      </c>
      <c r="BM85" s="128">
        <v>2.38</v>
      </c>
      <c r="BN85" s="128">
        <v>2.39</v>
      </c>
      <c r="BO85" s="128">
        <v>2.4</v>
      </c>
      <c r="BP85" s="128">
        <v>2.41</v>
      </c>
      <c r="BQ85" s="128">
        <v>2.42</v>
      </c>
      <c r="BR85" s="128">
        <v>2.42</v>
      </c>
      <c r="BS85" s="128">
        <v>2.4300000000000002</v>
      </c>
      <c r="BT85" s="128">
        <v>2.44</v>
      </c>
      <c r="BU85" s="128">
        <v>2.4500000000000002</v>
      </c>
      <c r="BV85" s="128">
        <v>2.46</v>
      </c>
      <c r="BW85" s="128">
        <v>2.4700000000000002</v>
      </c>
      <c r="BX85" s="128">
        <v>2.4700000000000002</v>
      </c>
      <c r="BY85" s="128">
        <v>2.48</v>
      </c>
      <c r="BZ85" s="128">
        <v>2.4900000000000002</v>
      </c>
      <c r="CA85" s="128">
        <v>2.5</v>
      </c>
      <c r="CB85" s="128">
        <v>2.5099999999999998</v>
      </c>
      <c r="CC85" s="128">
        <v>2.52</v>
      </c>
      <c r="CD85" s="128">
        <v>2.5299999999999998</v>
      </c>
      <c r="CE85" s="128">
        <v>2.5299999999999998</v>
      </c>
      <c r="CF85" s="128">
        <v>2.54</v>
      </c>
      <c r="CG85" s="128">
        <v>2.56</v>
      </c>
      <c r="CH85" s="128">
        <v>2.57</v>
      </c>
      <c r="CI85" s="128">
        <v>2.58</v>
      </c>
      <c r="CJ85" s="128">
        <v>2.6</v>
      </c>
      <c r="CK85" s="128">
        <v>2.61</v>
      </c>
      <c r="CL85" s="128">
        <v>2.62</v>
      </c>
      <c r="CM85" s="128">
        <v>2.64</v>
      </c>
      <c r="CN85" s="128">
        <v>2.65</v>
      </c>
      <c r="CO85" s="128">
        <v>2.67</v>
      </c>
      <c r="CP85" s="128">
        <v>2.69</v>
      </c>
      <c r="CQ85" s="128">
        <v>2.7</v>
      </c>
      <c r="CR85" s="128">
        <v>2.72</v>
      </c>
      <c r="CS85" s="128">
        <v>2.73</v>
      </c>
      <c r="CT85" s="128">
        <v>2.75</v>
      </c>
      <c r="CU85" s="128">
        <v>2.77</v>
      </c>
      <c r="CV85" s="128">
        <v>2.78</v>
      </c>
      <c r="CW85" s="128">
        <v>2.8</v>
      </c>
      <c r="CX85" s="128">
        <v>2.82</v>
      </c>
      <c r="CZ85" s="126">
        <f>SUMIF(MatrixF5[[1]:[2]],MatrixF5[[#This Row],[Столбец1]])/MatrixF5[[#This Row],[Столбец1]]</f>
        <v>91.999999999999787</v>
      </c>
      <c r="DA85" s="126">
        <f>SUMIF(MatrixF5[[1]:[2]],MatrixF5[[#This Row],[Столбец1]]+1)/(MatrixF5[[#This Row],[Столбец1]]+1)</f>
        <v>13.999999999999998</v>
      </c>
    </row>
    <row r="86" spans="1:105" ht="21" customHeight="1" x14ac:dyDescent="0.25">
      <c r="A86" s="127">
        <v>1.83</v>
      </c>
      <c r="B86" s="128">
        <v>1.83</v>
      </c>
      <c r="C86" s="128">
        <v>1.84</v>
      </c>
      <c r="D86" s="128">
        <v>1.85</v>
      </c>
      <c r="E86" s="128">
        <v>1.86</v>
      </c>
      <c r="F86" s="128">
        <v>1.88</v>
      </c>
      <c r="G86" s="128">
        <v>1.89</v>
      </c>
      <c r="H86" s="128">
        <v>1.9</v>
      </c>
      <c r="I86" s="128">
        <v>1.91</v>
      </c>
      <c r="J86" s="128">
        <v>1.92</v>
      </c>
      <c r="K86" s="128">
        <v>1.93</v>
      </c>
      <c r="L86" s="128">
        <v>1.94</v>
      </c>
      <c r="M86" s="128">
        <v>1.95</v>
      </c>
      <c r="N86" s="128">
        <v>1.96</v>
      </c>
      <c r="O86" s="128">
        <v>1.96</v>
      </c>
      <c r="P86" s="128">
        <v>1.97</v>
      </c>
      <c r="Q86" s="128">
        <v>1.98</v>
      </c>
      <c r="R86" s="128">
        <v>1.99</v>
      </c>
      <c r="S86" s="128">
        <v>2</v>
      </c>
      <c r="T86" s="128">
        <v>2.0099999999999998</v>
      </c>
      <c r="U86" s="128">
        <v>2.02</v>
      </c>
      <c r="V86" s="128">
        <v>2.0299999999999998</v>
      </c>
      <c r="W86" s="128">
        <v>2.0299999999999998</v>
      </c>
      <c r="X86" s="128">
        <v>2.04</v>
      </c>
      <c r="Y86" s="128">
        <v>2.0499999999999998</v>
      </c>
      <c r="Z86" s="128">
        <v>2.06</v>
      </c>
      <c r="AA86" s="128">
        <v>2.0699999999999998</v>
      </c>
      <c r="AB86" s="128">
        <v>2.08</v>
      </c>
      <c r="AC86" s="128">
        <v>2.09</v>
      </c>
      <c r="AD86" s="128">
        <v>2.09</v>
      </c>
      <c r="AE86" s="128">
        <v>2.1</v>
      </c>
      <c r="AF86" s="128">
        <v>2.11</v>
      </c>
      <c r="AG86" s="128">
        <v>2.12</v>
      </c>
      <c r="AH86" s="128">
        <v>2.13</v>
      </c>
      <c r="AI86" s="128">
        <v>2.14</v>
      </c>
      <c r="AJ86" s="128">
        <v>2.15</v>
      </c>
      <c r="AK86" s="128">
        <v>2.15</v>
      </c>
      <c r="AL86" s="128">
        <v>2.16</v>
      </c>
      <c r="AM86" s="128">
        <v>2.17</v>
      </c>
      <c r="AN86" s="128">
        <v>2.1800000000000002</v>
      </c>
      <c r="AO86" s="128">
        <v>2.19</v>
      </c>
      <c r="AP86" s="128">
        <v>2.2000000000000002</v>
      </c>
      <c r="AQ86" s="128">
        <v>2.21</v>
      </c>
      <c r="AR86" s="128">
        <v>2.21</v>
      </c>
      <c r="AS86" s="128">
        <v>2.2200000000000002</v>
      </c>
      <c r="AT86" s="128">
        <v>2.23</v>
      </c>
      <c r="AU86" s="128">
        <v>2.2400000000000002</v>
      </c>
      <c r="AV86" s="128">
        <v>2.25</v>
      </c>
      <c r="AW86" s="128">
        <v>2.2599999999999998</v>
      </c>
      <c r="AX86" s="128">
        <v>2.2599999999999998</v>
      </c>
      <c r="AY86" s="128">
        <v>2.27</v>
      </c>
      <c r="AZ86" s="128">
        <v>2.2799999999999998</v>
      </c>
      <c r="BA86" s="128">
        <v>2.29</v>
      </c>
      <c r="BB86" s="128">
        <v>2.2999999999999998</v>
      </c>
      <c r="BC86" s="128">
        <v>2.31</v>
      </c>
      <c r="BD86" s="128">
        <v>2.3199999999999998</v>
      </c>
      <c r="BE86" s="128">
        <v>2.3199999999999998</v>
      </c>
      <c r="BF86" s="128">
        <v>2.33</v>
      </c>
      <c r="BG86" s="128">
        <v>2.34</v>
      </c>
      <c r="BH86" s="128">
        <v>2.35</v>
      </c>
      <c r="BI86" s="128">
        <v>2.36</v>
      </c>
      <c r="BJ86" s="128">
        <v>2.37</v>
      </c>
      <c r="BK86" s="128">
        <v>2.38</v>
      </c>
      <c r="BL86" s="128">
        <v>2.38</v>
      </c>
      <c r="BM86" s="128">
        <v>2.39</v>
      </c>
      <c r="BN86" s="128">
        <v>2.4</v>
      </c>
      <c r="BO86" s="128">
        <v>2.41</v>
      </c>
      <c r="BP86" s="128">
        <v>2.42</v>
      </c>
      <c r="BQ86" s="128">
        <v>2.4300000000000002</v>
      </c>
      <c r="BR86" s="128">
        <v>2.44</v>
      </c>
      <c r="BS86" s="128">
        <v>2.44</v>
      </c>
      <c r="BT86" s="128">
        <v>2.4500000000000002</v>
      </c>
      <c r="BU86" s="128">
        <v>2.46</v>
      </c>
      <c r="BV86" s="128">
        <v>2.4700000000000002</v>
      </c>
      <c r="BW86" s="128">
        <v>2.48</v>
      </c>
      <c r="BX86" s="128">
        <v>2.4900000000000002</v>
      </c>
      <c r="BY86" s="128">
        <v>2.5</v>
      </c>
      <c r="BZ86" s="128">
        <v>2.5</v>
      </c>
      <c r="CA86" s="128">
        <v>2.5099999999999998</v>
      </c>
      <c r="CB86" s="128">
        <v>2.52</v>
      </c>
      <c r="CC86" s="128">
        <v>2.5299999999999998</v>
      </c>
      <c r="CD86" s="128">
        <v>2.54</v>
      </c>
      <c r="CE86" s="128">
        <v>2.5499999999999998</v>
      </c>
      <c r="CF86" s="128">
        <v>2.56</v>
      </c>
      <c r="CG86" s="128">
        <v>2.56</v>
      </c>
      <c r="CH86" s="128">
        <v>2.58</v>
      </c>
      <c r="CI86" s="128">
        <v>2.59</v>
      </c>
      <c r="CJ86" s="128">
        <v>2.61</v>
      </c>
      <c r="CK86" s="128">
        <v>2.62</v>
      </c>
      <c r="CL86" s="128">
        <v>2.63</v>
      </c>
      <c r="CM86" s="128">
        <v>2.65</v>
      </c>
      <c r="CN86" s="128">
        <v>2.66</v>
      </c>
      <c r="CO86" s="128">
        <v>2.68</v>
      </c>
      <c r="CP86" s="128">
        <v>2.69</v>
      </c>
      <c r="CQ86" s="128">
        <v>2.71</v>
      </c>
      <c r="CR86" s="128">
        <v>2.73</v>
      </c>
      <c r="CS86" s="128">
        <v>2.74</v>
      </c>
      <c r="CT86" s="128">
        <v>2.76</v>
      </c>
      <c r="CU86" s="128">
        <v>2.78</v>
      </c>
      <c r="CV86" s="128">
        <v>2.79</v>
      </c>
      <c r="CW86" s="128">
        <v>2.81</v>
      </c>
      <c r="CX86" s="128">
        <v>2.83</v>
      </c>
      <c r="CZ86" s="126">
        <f>SUMIF(MatrixF5[[1]:[2]],MatrixF5[[#This Row],[Столбец1]])/MatrixF5[[#This Row],[Столбец1]]</f>
        <v>95.000000000000114</v>
      </c>
      <c r="DA86" s="126">
        <f>SUMIF(MatrixF5[[1]:[2]],MatrixF5[[#This Row],[Столбец1]]+1)/(MatrixF5[[#This Row],[Столбец1]]+1)</f>
        <v>14.999999999999996</v>
      </c>
    </row>
    <row r="87" spans="1:105" ht="21" customHeight="1" x14ac:dyDescent="0.25">
      <c r="A87" s="127">
        <v>1.84</v>
      </c>
      <c r="B87" s="128">
        <v>1.84</v>
      </c>
      <c r="C87" s="128">
        <v>1.85</v>
      </c>
      <c r="D87" s="128">
        <v>1.86</v>
      </c>
      <c r="E87" s="128">
        <v>1.87</v>
      </c>
      <c r="F87" s="128">
        <v>1.88</v>
      </c>
      <c r="G87" s="128">
        <v>1.9</v>
      </c>
      <c r="H87" s="128">
        <v>1.91</v>
      </c>
      <c r="I87" s="128">
        <v>1.92</v>
      </c>
      <c r="J87" s="128">
        <v>1.93</v>
      </c>
      <c r="K87" s="128">
        <v>1.94</v>
      </c>
      <c r="L87" s="128">
        <v>1.95</v>
      </c>
      <c r="M87" s="128">
        <v>1.95</v>
      </c>
      <c r="N87" s="128">
        <v>1.96</v>
      </c>
      <c r="O87" s="128">
        <v>1.97</v>
      </c>
      <c r="P87" s="128">
        <v>1.98</v>
      </c>
      <c r="Q87" s="128">
        <v>1.99</v>
      </c>
      <c r="R87" s="128">
        <v>2</v>
      </c>
      <c r="S87" s="128">
        <v>2.0099999999999998</v>
      </c>
      <c r="T87" s="128">
        <v>2.02</v>
      </c>
      <c r="U87" s="128">
        <v>2.0299999999999998</v>
      </c>
      <c r="V87" s="128">
        <v>2.0299999999999998</v>
      </c>
      <c r="W87" s="128">
        <v>2.04</v>
      </c>
      <c r="X87" s="128">
        <v>2.0499999999999998</v>
      </c>
      <c r="Y87" s="128">
        <v>2.06</v>
      </c>
      <c r="Z87" s="128">
        <v>2.0699999999999998</v>
      </c>
      <c r="AA87" s="128">
        <v>2.08</v>
      </c>
      <c r="AB87" s="128">
        <v>2.09</v>
      </c>
      <c r="AC87" s="128">
        <v>2.09</v>
      </c>
      <c r="AD87" s="128">
        <v>2.1</v>
      </c>
      <c r="AE87" s="128">
        <v>2.11</v>
      </c>
      <c r="AF87" s="128">
        <v>2.12</v>
      </c>
      <c r="AG87" s="128">
        <v>2.13</v>
      </c>
      <c r="AH87" s="128">
        <v>2.14</v>
      </c>
      <c r="AI87" s="128">
        <v>2.15</v>
      </c>
      <c r="AJ87" s="128">
        <v>2.16</v>
      </c>
      <c r="AK87" s="128">
        <v>2.16</v>
      </c>
      <c r="AL87" s="128">
        <v>2.17</v>
      </c>
      <c r="AM87" s="128">
        <v>2.1800000000000002</v>
      </c>
      <c r="AN87" s="128">
        <v>2.19</v>
      </c>
      <c r="AO87" s="128">
        <v>2.2000000000000002</v>
      </c>
      <c r="AP87" s="128">
        <v>2.21</v>
      </c>
      <c r="AQ87" s="128">
        <v>2.2200000000000002</v>
      </c>
      <c r="AR87" s="128">
        <v>2.2200000000000002</v>
      </c>
      <c r="AS87" s="128">
        <v>2.23</v>
      </c>
      <c r="AT87" s="128">
        <v>2.2400000000000002</v>
      </c>
      <c r="AU87" s="128">
        <v>2.25</v>
      </c>
      <c r="AV87" s="128">
        <v>2.2599999999999998</v>
      </c>
      <c r="AW87" s="128">
        <v>2.27</v>
      </c>
      <c r="AX87" s="128">
        <v>2.2799999999999998</v>
      </c>
      <c r="AY87" s="128">
        <v>2.2799999999999998</v>
      </c>
      <c r="AZ87" s="128">
        <v>2.29</v>
      </c>
      <c r="BA87" s="128">
        <v>2.2999999999999998</v>
      </c>
      <c r="BB87" s="128">
        <v>2.31</v>
      </c>
      <c r="BC87" s="128">
        <v>2.3199999999999998</v>
      </c>
      <c r="BD87" s="128">
        <v>2.33</v>
      </c>
      <c r="BE87" s="128">
        <v>2.34</v>
      </c>
      <c r="BF87" s="128">
        <v>2.34</v>
      </c>
      <c r="BG87" s="128">
        <v>2.35</v>
      </c>
      <c r="BH87" s="128">
        <v>2.36</v>
      </c>
      <c r="BI87" s="128">
        <v>2.37</v>
      </c>
      <c r="BJ87" s="128">
        <v>2.38</v>
      </c>
      <c r="BK87" s="128">
        <v>2.39</v>
      </c>
      <c r="BL87" s="128">
        <v>2.4</v>
      </c>
      <c r="BM87" s="128">
        <v>2.41</v>
      </c>
      <c r="BN87" s="128">
        <v>2.41</v>
      </c>
      <c r="BO87" s="128">
        <v>2.42</v>
      </c>
      <c r="BP87" s="128">
        <v>2.4300000000000002</v>
      </c>
      <c r="BQ87" s="128">
        <v>2.44</v>
      </c>
      <c r="BR87" s="128">
        <v>2.4500000000000002</v>
      </c>
      <c r="BS87" s="128">
        <v>2.46</v>
      </c>
      <c r="BT87" s="128">
        <v>2.4700000000000002</v>
      </c>
      <c r="BU87" s="128">
        <v>2.4700000000000002</v>
      </c>
      <c r="BV87" s="128">
        <v>2.48</v>
      </c>
      <c r="BW87" s="128">
        <v>2.4900000000000002</v>
      </c>
      <c r="BX87" s="128">
        <v>2.5</v>
      </c>
      <c r="BY87" s="128">
        <v>2.5099999999999998</v>
      </c>
      <c r="BZ87" s="128">
        <v>2.52</v>
      </c>
      <c r="CA87" s="128">
        <v>2.5299999999999998</v>
      </c>
      <c r="CB87" s="128">
        <v>2.5299999999999998</v>
      </c>
      <c r="CC87" s="128">
        <v>2.54</v>
      </c>
      <c r="CD87" s="128">
        <v>2.5499999999999998</v>
      </c>
      <c r="CE87" s="128">
        <v>2.56</v>
      </c>
      <c r="CF87" s="128">
        <v>2.57</v>
      </c>
      <c r="CG87" s="128">
        <v>2.58</v>
      </c>
      <c r="CH87" s="128">
        <v>2.59</v>
      </c>
      <c r="CI87" s="128">
        <v>2.6</v>
      </c>
      <c r="CJ87" s="128">
        <v>2.61</v>
      </c>
      <c r="CK87" s="128">
        <v>2.63</v>
      </c>
      <c r="CL87" s="128">
        <v>2.64</v>
      </c>
      <c r="CM87" s="128">
        <v>2.66</v>
      </c>
      <c r="CN87" s="128">
        <v>2.67</v>
      </c>
      <c r="CO87" s="128">
        <v>2.69</v>
      </c>
      <c r="CP87" s="128">
        <v>2.7</v>
      </c>
      <c r="CQ87" s="128">
        <v>2.72</v>
      </c>
      <c r="CR87" s="128">
        <v>2.74</v>
      </c>
      <c r="CS87" s="128">
        <v>2.75</v>
      </c>
      <c r="CT87" s="128">
        <v>2.77</v>
      </c>
      <c r="CU87" s="128">
        <v>2.79</v>
      </c>
      <c r="CV87" s="128">
        <v>2.8</v>
      </c>
      <c r="CW87" s="128">
        <v>2.82</v>
      </c>
      <c r="CX87" s="128">
        <v>2.84</v>
      </c>
      <c r="CZ87" s="126">
        <f>SUMIF(MatrixF5[[1]:[2]],MatrixF5[[#This Row],[Столбец1]])/MatrixF5[[#This Row],[Столбец1]]</f>
        <v>91.000000000000128</v>
      </c>
      <c r="DA87" s="126">
        <f>SUMIF(MatrixF5[[1]:[2]],MatrixF5[[#This Row],[Столбец1]]+1)/(MatrixF5[[#This Row],[Столбец1]]+1)</f>
        <v>12</v>
      </c>
    </row>
    <row r="88" spans="1:105" ht="21" customHeight="1" x14ac:dyDescent="0.25">
      <c r="A88" s="127">
        <v>1.85</v>
      </c>
      <c r="B88" s="128">
        <v>1.85</v>
      </c>
      <c r="C88" s="128">
        <v>1.86</v>
      </c>
      <c r="D88" s="128">
        <v>1.87</v>
      </c>
      <c r="E88" s="128">
        <v>1.88</v>
      </c>
      <c r="F88" s="128">
        <v>1.89</v>
      </c>
      <c r="G88" s="128">
        <v>1.9</v>
      </c>
      <c r="H88" s="128">
        <v>1.92</v>
      </c>
      <c r="I88" s="128">
        <v>1.93</v>
      </c>
      <c r="J88" s="128">
        <v>1.94</v>
      </c>
      <c r="K88" s="128">
        <v>1.94</v>
      </c>
      <c r="L88" s="128">
        <v>1.95</v>
      </c>
      <c r="M88" s="128">
        <v>1.96</v>
      </c>
      <c r="N88" s="128">
        <v>1.97</v>
      </c>
      <c r="O88" s="128">
        <v>1.98</v>
      </c>
      <c r="P88" s="128">
        <v>1.99</v>
      </c>
      <c r="Q88" s="128">
        <v>2</v>
      </c>
      <c r="R88" s="128">
        <v>2.0099999999999998</v>
      </c>
      <c r="S88" s="128">
        <v>2.02</v>
      </c>
      <c r="T88" s="128">
        <v>2.0299999999999998</v>
      </c>
      <c r="U88" s="128">
        <v>2.0299999999999998</v>
      </c>
      <c r="V88" s="128">
        <v>2.04</v>
      </c>
      <c r="W88" s="128">
        <v>2.0499999999999998</v>
      </c>
      <c r="X88" s="128">
        <v>2.06</v>
      </c>
      <c r="Y88" s="128">
        <v>2.0699999999999998</v>
      </c>
      <c r="Z88" s="128">
        <v>2.08</v>
      </c>
      <c r="AA88" s="128">
        <v>2.09</v>
      </c>
      <c r="AB88" s="128">
        <v>2.1</v>
      </c>
      <c r="AC88" s="128">
        <v>2.1</v>
      </c>
      <c r="AD88" s="128">
        <v>2.11</v>
      </c>
      <c r="AE88" s="128">
        <v>2.12</v>
      </c>
      <c r="AF88" s="128">
        <v>2.13</v>
      </c>
      <c r="AG88" s="128">
        <v>2.14</v>
      </c>
      <c r="AH88" s="128">
        <v>2.15</v>
      </c>
      <c r="AI88" s="128">
        <v>2.16</v>
      </c>
      <c r="AJ88" s="128">
        <v>2.17</v>
      </c>
      <c r="AK88" s="128">
        <v>2.17</v>
      </c>
      <c r="AL88" s="128">
        <v>2.1800000000000002</v>
      </c>
      <c r="AM88" s="128">
        <v>2.19</v>
      </c>
      <c r="AN88" s="128">
        <v>2.2000000000000002</v>
      </c>
      <c r="AO88" s="128">
        <v>2.21</v>
      </c>
      <c r="AP88" s="128">
        <v>2.2200000000000002</v>
      </c>
      <c r="AQ88" s="128">
        <v>2.23</v>
      </c>
      <c r="AR88" s="128">
        <v>2.23</v>
      </c>
      <c r="AS88" s="128">
        <v>2.2400000000000002</v>
      </c>
      <c r="AT88" s="128">
        <v>2.25</v>
      </c>
      <c r="AU88" s="128">
        <v>2.2599999999999998</v>
      </c>
      <c r="AV88" s="128">
        <v>2.27</v>
      </c>
      <c r="AW88" s="128">
        <v>2.2799999999999998</v>
      </c>
      <c r="AX88" s="128">
        <v>2.29</v>
      </c>
      <c r="AY88" s="128">
        <v>2.2999999999999998</v>
      </c>
      <c r="AZ88" s="128">
        <v>2.2999999999999998</v>
      </c>
      <c r="BA88" s="128">
        <v>2.31</v>
      </c>
      <c r="BB88" s="128">
        <v>2.3199999999999998</v>
      </c>
      <c r="BC88" s="128">
        <v>2.33</v>
      </c>
      <c r="BD88" s="128">
        <v>2.34</v>
      </c>
      <c r="BE88" s="128">
        <v>2.35</v>
      </c>
      <c r="BF88" s="128">
        <v>2.36</v>
      </c>
      <c r="BG88" s="128">
        <v>2.37</v>
      </c>
      <c r="BH88" s="128">
        <v>2.37</v>
      </c>
      <c r="BI88" s="128">
        <v>2.38</v>
      </c>
      <c r="BJ88" s="128">
        <v>2.39</v>
      </c>
      <c r="BK88" s="128">
        <v>2.4</v>
      </c>
      <c r="BL88" s="128">
        <v>2.41</v>
      </c>
      <c r="BM88" s="128">
        <v>2.42</v>
      </c>
      <c r="BN88" s="128">
        <v>2.4300000000000002</v>
      </c>
      <c r="BO88" s="128">
        <v>2.4300000000000002</v>
      </c>
      <c r="BP88" s="128">
        <v>2.44</v>
      </c>
      <c r="BQ88" s="128">
        <v>2.4500000000000002</v>
      </c>
      <c r="BR88" s="128">
        <v>2.46</v>
      </c>
      <c r="BS88" s="128">
        <v>2.4700000000000002</v>
      </c>
      <c r="BT88" s="128">
        <v>2.48</v>
      </c>
      <c r="BU88" s="128">
        <v>2.4900000000000002</v>
      </c>
      <c r="BV88" s="128">
        <v>2.5</v>
      </c>
      <c r="BW88" s="128">
        <v>2.5</v>
      </c>
      <c r="BX88" s="128">
        <v>2.5099999999999998</v>
      </c>
      <c r="BY88" s="128">
        <v>2.52</v>
      </c>
      <c r="BZ88" s="128">
        <v>2.5299999999999998</v>
      </c>
      <c r="CA88" s="128">
        <v>2.54</v>
      </c>
      <c r="CB88" s="128">
        <v>2.5499999999999998</v>
      </c>
      <c r="CC88" s="128">
        <v>2.56</v>
      </c>
      <c r="CD88" s="128">
        <v>2.57</v>
      </c>
      <c r="CE88" s="128">
        <v>2.57</v>
      </c>
      <c r="CF88" s="128">
        <v>2.58</v>
      </c>
      <c r="CG88" s="128">
        <v>2.59</v>
      </c>
      <c r="CH88" s="128">
        <v>2.6</v>
      </c>
      <c r="CI88" s="128">
        <v>2.61</v>
      </c>
      <c r="CJ88" s="128">
        <v>2.62</v>
      </c>
      <c r="CK88" s="128">
        <v>2.64</v>
      </c>
      <c r="CL88" s="128">
        <v>2.65</v>
      </c>
      <c r="CM88" s="128">
        <v>2.67</v>
      </c>
      <c r="CN88" s="128">
        <v>2.68</v>
      </c>
      <c r="CO88" s="128">
        <v>2.7</v>
      </c>
      <c r="CP88" s="128">
        <v>2.71</v>
      </c>
      <c r="CQ88" s="128">
        <v>2.73</v>
      </c>
      <c r="CR88" s="128">
        <v>2.75</v>
      </c>
      <c r="CS88" s="128">
        <v>2.76</v>
      </c>
      <c r="CT88" s="128">
        <v>2.78</v>
      </c>
      <c r="CU88" s="128">
        <v>2.8</v>
      </c>
      <c r="CV88" s="128">
        <v>2.81</v>
      </c>
      <c r="CW88" s="128">
        <v>2.83</v>
      </c>
      <c r="CX88" s="128">
        <v>2.85</v>
      </c>
      <c r="CZ88" s="126">
        <f>SUMIF(MatrixF5[[1]:[2]],MatrixF5[[#This Row],[Столбец1]])/MatrixF5[[#This Row],[Столбец1]]</f>
        <v>95.999999999999829</v>
      </c>
      <c r="DA88" s="126">
        <f>SUMIF(MatrixF5[[1]:[2]],MatrixF5[[#This Row],[Столбец1]]+1)/(MatrixF5[[#This Row],[Столбец1]]+1)</f>
        <v>12.000000000000004</v>
      </c>
    </row>
    <row r="89" spans="1:105" ht="21" customHeight="1" x14ac:dyDescent="0.25">
      <c r="A89" s="127">
        <v>1.86</v>
      </c>
      <c r="B89" s="128">
        <v>1.86</v>
      </c>
      <c r="C89" s="128">
        <v>1.87</v>
      </c>
      <c r="D89" s="128">
        <v>1.88</v>
      </c>
      <c r="E89" s="128">
        <v>1.89</v>
      </c>
      <c r="F89" s="128">
        <v>1.9</v>
      </c>
      <c r="G89" s="128">
        <v>1.91</v>
      </c>
      <c r="H89" s="128">
        <v>1.92</v>
      </c>
      <c r="I89" s="128">
        <v>1.93</v>
      </c>
      <c r="J89" s="128">
        <v>1.94</v>
      </c>
      <c r="K89" s="128">
        <v>1.95</v>
      </c>
      <c r="L89" s="128">
        <v>1.96</v>
      </c>
      <c r="M89" s="128">
        <v>1.97</v>
      </c>
      <c r="N89" s="128">
        <v>1.98</v>
      </c>
      <c r="O89" s="128">
        <v>1.99</v>
      </c>
      <c r="P89" s="128">
        <v>2</v>
      </c>
      <c r="Q89" s="128">
        <v>2.0099999999999998</v>
      </c>
      <c r="R89" s="128">
        <v>2.02</v>
      </c>
      <c r="S89" s="128">
        <v>2.0299999999999998</v>
      </c>
      <c r="T89" s="128">
        <v>2.04</v>
      </c>
      <c r="U89" s="128">
        <v>2.04</v>
      </c>
      <c r="V89" s="128">
        <v>2.0499999999999998</v>
      </c>
      <c r="W89" s="128">
        <v>2.06</v>
      </c>
      <c r="X89" s="128">
        <v>2.0699999999999998</v>
      </c>
      <c r="Y89" s="128">
        <v>2.08</v>
      </c>
      <c r="Z89" s="128">
        <v>2.09</v>
      </c>
      <c r="AA89" s="128">
        <v>2.1</v>
      </c>
      <c r="AB89" s="128">
        <v>2.11</v>
      </c>
      <c r="AC89" s="128">
        <v>2.11</v>
      </c>
      <c r="AD89" s="128">
        <v>2.12</v>
      </c>
      <c r="AE89" s="128">
        <v>2.13</v>
      </c>
      <c r="AF89" s="128">
        <v>2.14</v>
      </c>
      <c r="AG89" s="128">
        <v>2.15</v>
      </c>
      <c r="AH89" s="128">
        <v>2.16</v>
      </c>
      <c r="AI89" s="128">
        <v>2.17</v>
      </c>
      <c r="AJ89" s="128">
        <v>2.1800000000000002</v>
      </c>
      <c r="AK89" s="128">
        <v>2.1800000000000002</v>
      </c>
      <c r="AL89" s="128">
        <v>2.19</v>
      </c>
      <c r="AM89" s="128">
        <v>2.2000000000000002</v>
      </c>
      <c r="AN89" s="128">
        <v>2.21</v>
      </c>
      <c r="AO89" s="128">
        <v>2.2200000000000002</v>
      </c>
      <c r="AP89" s="128">
        <v>2.23</v>
      </c>
      <c r="AQ89" s="128">
        <v>2.2400000000000002</v>
      </c>
      <c r="AR89" s="128">
        <v>2.25</v>
      </c>
      <c r="AS89" s="128">
        <v>2.25</v>
      </c>
      <c r="AT89" s="128">
        <v>2.2599999999999998</v>
      </c>
      <c r="AU89" s="128">
        <v>2.27</v>
      </c>
      <c r="AV89" s="128">
        <v>2.2799999999999998</v>
      </c>
      <c r="AW89" s="128">
        <v>2.29</v>
      </c>
      <c r="AX89" s="128">
        <v>2.2999999999999998</v>
      </c>
      <c r="AY89" s="128">
        <v>2.31</v>
      </c>
      <c r="AZ89" s="128">
        <v>2.3199999999999998</v>
      </c>
      <c r="BA89" s="128">
        <v>2.3199999999999998</v>
      </c>
      <c r="BB89" s="128">
        <v>2.33</v>
      </c>
      <c r="BC89" s="128">
        <v>2.34</v>
      </c>
      <c r="BD89" s="128">
        <v>2.35</v>
      </c>
      <c r="BE89" s="128">
        <v>2.36</v>
      </c>
      <c r="BF89" s="128">
        <v>2.37</v>
      </c>
      <c r="BG89" s="128">
        <v>2.38</v>
      </c>
      <c r="BH89" s="128">
        <v>2.39</v>
      </c>
      <c r="BI89" s="128">
        <v>2.39</v>
      </c>
      <c r="BJ89" s="128">
        <v>2.4</v>
      </c>
      <c r="BK89" s="128">
        <v>2.41</v>
      </c>
      <c r="BL89" s="128">
        <v>2.42</v>
      </c>
      <c r="BM89" s="128">
        <v>2.4300000000000002</v>
      </c>
      <c r="BN89" s="128">
        <v>2.44</v>
      </c>
      <c r="BO89" s="128">
        <v>2.4500000000000002</v>
      </c>
      <c r="BP89" s="128">
        <v>2.46</v>
      </c>
      <c r="BQ89" s="128">
        <v>2.46</v>
      </c>
      <c r="BR89" s="128">
        <v>2.4700000000000002</v>
      </c>
      <c r="BS89" s="128">
        <v>2.48</v>
      </c>
      <c r="BT89" s="128">
        <v>2.4900000000000002</v>
      </c>
      <c r="BU89" s="128">
        <v>2.5</v>
      </c>
      <c r="BV89" s="128">
        <v>2.5099999999999998</v>
      </c>
      <c r="BW89" s="128">
        <v>2.52</v>
      </c>
      <c r="BX89" s="128">
        <v>2.5299999999999998</v>
      </c>
      <c r="BY89" s="128">
        <v>2.54</v>
      </c>
      <c r="BZ89" s="128">
        <v>2.54</v>
      </c>
      <c r="CA89" s="128">
        <v>2.5499999999999998</v>
      </c>
      <c r="CB89" s="128">
        <v>2.56</v>
      </c>
      <c r="CC89" s="128">
        <v>2.57</v>
      </c>
      <c r="CD89" s="128">
        <v>2.58</v>
      </c>
      <c r="CE89" s="128">
        <v>2.59</v>
      </c>
      <c r="CF89" s="128">
        <v>2.6</v>
      </c>
      <c r="CG89" s="128">
        <v>2.61</v>
      </c>
      <c r="CH89" s="128">
        <v>2.61</v>
      </c>
      <c r="CI89" s="128">
        <v>2.62</v>
      </c>
      <c r="CJ89" s="128">
        <v>2.63</v>
      </c>
      <c r="CK89" s="128">
        <v>2.65</v>
      </c>
      <c r="CL89" s="128">
        <v>2.66</v>
      </c>
      <c r="CM89" s="128">
        <v>2.68</v>
      </c>
      <c r="CN89" s="128">
        <v>2.69</v>
      </c>
      <c r="CO89" s="128">
        <v>2.71</v>
      </c>
      <c r="CP89" s="128">
        <v>2.72</v>
      </c>
      <c r="CQ89" s="128">
        <v>2.74</v>
      </c>
      <c r="CR89" s="128">
        <v>2.75</v>
      </c>
      <c r="CS89" s="128">
        <v>2.77</v>
      </c>
      <c r="CT89" s="128">
        <v>2.79</v>
      </c>
      <c r="CU89" s="128">
        <v>2.81</v>
      </c>
      <c r="CV89" s="128">
        <v>2.82</v>
      </c>
      <c r="CW89" s="128">
        <v>2.84</v>
      </c>
      <c r="CX89" s="128">
        <v>2.86</v>
      </c>
      <c r="CZ89" s="126">
        <f>SUMIF(MatrixF5[[1]:[2]],MatrixF5[[#This Row],[Столбец1]])/MatrixF5[[#This Row],[Столбец1]]</f>
        <v>97.000000000000185</v>
      </c>
      <c r="DA89" s="126">
        <f>SUMIF(MatrixF5[[1]:[2]],MatrixF5[[#This Row],[Столбец1]]+1)/(MatrixF5[[#This Row],[Столбец1]]+1)</f>
        <v>10.999999999999998</v>
      </c>
    </row>
    <row r="90" spans="1:105" ht="21" customHeight="1" x14ac:dyDescent="0.25">
      <c r="A90" s="127">
        <v>1.87</v>
      </c>
      <c r="B90" s="128">
        <v>1.87</v>
      </c>
      <c r="C90" s="128">
        <v>1.88</v>
      </c>
      <c r="D90" s="128">
        <v>1.89</v>
      </c>
      <c r="E90" s="128">
        <v>1.9</v>
      </c>
      <c r="F90" s="128">
        <v>1.91</v>
      </c>
      <c r="G90" s="128">
        <v>1.92</v>
      </c>
      <c r="H90" s="128">
        <v>1.93</v>
      </c>
      <c r="I90" s="128">
        <v>1.94</v>
      </c>
      <c r="J90" s="128">
        <v>1.95</v>
      </c>
      <c r="K90" s="128">
        <v>1.96</v>
      </c>
      <c r="L90" s="128">
        <v>1.97</v>
      </c>
      <c r="M90" s="128">
        <v>1.98</v>
      </c>
      <c r="N90" s="128">
        <v>1.99</v>
      </c>
      <c r="O90" s="128">
        <v>2</v>
      </c>
      <c r="P90" s="128">
        <v>2.0099999999999998</v>
      </c>
      <c r="Q90" s="128">
        <v>2.02</v>
      </c>
      <c r="R90" s="128">
        <v>2.0299999999999998</v>
      </c>
      <c r="S90" s="128">
        <v>2.04</v>
      </c>
      <c r="T90" s="128">
        <v>2.04</v>
      </c>
      <c r="U90" s="128">
        <v>2.0499999999999998</v>
      </c>
      <c r="V90" s="128">
        <v>2.06</v>
      </c>
      <c r="W90" s="128">
        <v>2.0699999999999998</v>
      </c>
      <c r="X90" s="128">
        <v>2.08</v>
      </c>
      <c r="Y90" s="128">
        <v>2.09</v>
      </c>
      <c r="Z90" s="128">
        <v>2.1</v>
      </c>
      <c r="AA90" s="128">
        <v>2.11</v>
      </c>
      <c r="AB90" s="128">
        <v>2.12</v>
      </c>
      <c r="AC90" s="128">
        <v>2.12</v>
      </c>
      <c r="AD90" s="128">
        <v>2.13</v>
      </c>
      <c r="AE90" s="128">
        <v>2.14</v>
      </c>
      <c r="AF90" s="128">
        <v>2.15</v>
      </c>
      <c r="AG90" s="128">
        <v>2.16</v>
      </c>
      <c r="AH90" s="128">
        <v>2.17</v>
      </c>
      <c r="AI90" s="128">
        <v>2.1800000000000002</v>
      </c>
      <c r="AJ90" s="128">
        <v>2.19</v>
      </c>
      <c r="AK90" s="128">
        <v>2.19</v>
      </c>
      <c r="AL90" s="128">
        <v>2.2000000000000002</v>
      </c>
      <c r="AM90" s="128">
        <v>2.21</v>
      </c>
      <c r="AN90" s="128">
        <v>2.2200000000000002</v>
      </c>
      <c r="AO90" s="128">
        <v>2.23</v>
      </c>
      <c r="AP90" s="128">
        <v>2.2400000000000002</v>
      </c>
      <c r="AQ90" s="128">
        <v>2.25</v>
      </c>
      <c r="AR90" s="128">
        <v>2.2599999999999998</v>
      </c>
      <c r="AS90" s="128">
        <v>2.27</v>
      </c>
      <c r="AT90" s="128">
        <v>2.27</v>
      </c>
      <c r="AU90" s="128">
        <v>2.2799999999999998</v>
      </c>
      <c r="AV90" s="128">
        <v>2.29</v>
      </c>
      <c r="AW90" s="128">
        <v>2.2999999999999998</v>
      </c>
      <c r="AX90" s="128">
        <v>2.31</v>
      </c>
      <c r="AY90" s="128">
        <v>2.3199999999999998</v>
      </c>
      <c r="AZ90" s="128">
        <v>2.33</v>
      </c>
      <c r="BA90" s="128">
        <v>2.34</v>
      </c>
      <c r="BB90" s="128">
        <v>2.35</v>
      </c>
      <c r="BC90" s="128">
        <v>2.35</v>
      </c>
      <c r="BD90" s="128">
        <v>2.36</v>
      </c>
      <c r="BE90" s="128">
        <v>2.37</v>
      </c>
      <c r="BF90" s="128">
        <v>2.38</v>
      </c>
      <c r="BG90" s="128">
        <v>2.39</v>
      </c>
      <c r="BH90" s="128">
        <v>2.4</v>
      </c>
      <c r="BI90" s="128">
        <v>2.41</v>
      </c>
      <c r="BJ90" s="128">
        <v>2.42</v>
      </c>
      <c r="BK90" s="128">
        <v>2.42</v>
      </c>
      <c r="BL90" s="128">
        <v>2.4300000000000002</v>
      </c>
      <c r="BM90" s="128">
        <v>2.44</v>
      </c>
      <c r="BN90" s="128">
        <v>2.4500000000000002</v>
      </c>
      <c r="BO90" s="128">
        <v>2.46</v>
      </c>
      <c r="BP90" s="128">
        <v>2.4700000000000002</v>
      </c>
      <c r="BQ90" s="128">
        <v>2.48</v>
      </c>
      <c r="BR90" s="128">
        <v>2.4900000000000002</v>
      </c>
      <c r="BS90" s="128">
        <v>2.5</v>
      </c>
      <c r="BT90" s="128">
        <v>2.5</v>
      </c>
      <c r="BU90" s="128">
        <v>2.5099999999999998</v>
      </c>
      <c r="BV90" s="128">
        <v>2.52</v>
      </c>
      <c r="BW90" s="128">
        <v>2.5299999999999998</v>
      </c>
      <c r="BX90" s="128">
        <v>2.54</v>
      </c>
      <c r="BY90" s="128">
        <v>2.5499999999999998</v>
      </c>
      <c r="BZ90" s="128">
        <v>2.56</v>
      </c>
      <c r="CA90" s="128">
        <v>2.57</v>
      </c>
      <c r="CB90" s="128">
        <v>2.58</v>
      </c>
      <c r="CC90" s="128">
        <v>2.58</v>
      </c>
      <c r="CD90" s="128">
        <v>2.59</v>
      </c>
      <c r="CE90" s="128">
        <v>2.6</v>
      </c>
      <c r="CF90" s="128">
        <v>2.61</v>
      </c>
      <c r="CG90" s="128">
        <v>2.62</v>
      </c>
      <c r="CH90" s="128">
        <v>2.63</v>
      </c>
      <c r="CI90" s="128">
        <v>2.64</v>
      </c>
      <c r="CJ90" s="128">
        <v>2.65</v>
      </c>
      <c r="CK90" s="128">
        <v>2.65</v>
      </c>
      <c r="CL90" s="128">
        <v>2.67</v>
      </c>
      <c r="CM90" s="128">
        <v>2.68</v>
      </c>
      <c r="CN90" s="128">
        <v>2.7</v>
      </c>
      <c r="CO90" s="128">
        <v>2.72</v>
      </c>
      <c r="CP90" s="128">
        <v>2.73</v>
      </c>
      <c r="CQ90" s="128">
        <v>2.75</v>
      </c>
      <c r="CR90" s="128">
        <v>2.76</v>
      </c>
      <c r="CS90" s="128">
        <v>2.78</v>
      </c>
      <c r="CT90" s="128">
        <v>2.8</v>
      </c>
      <c r="CU90" s="128">
        <v>2.82</v>
      </c>
      <c r="CV90" s="128">
        <v>2.83</v>
      </c>
      <c r="CW90" s="128">
        <v>2.85</v>
      </c>
      <c r="CX90" s="128">
        <v>2.87</v>
      </c>
      <c r="CZ90" s="126">
        <f>SUMIF(MatrixF5[[1]:[2]],MatrixF5[[#This Row],[Столбец1]])/MatrixF5[[#This Row],[Столбец1]]</f>
        <v>97.000000000000128</v>
      </c>
      <c r="DA90" s="126">
        <f>SUMIF(MatrixF5[[1]:[2]],MatrixF5[[#This Row],[Столбец1]]+1)/(MatrixF5[[#This Row],[Столбец1]]+1)</f>
        <v>10.000000000000002</v>
      </c>
    </row>
    <row r="91" spans="1:105" ht="21" customHeight="1" x14ac:dyDescent="0.25">
      <c r="A91" s="127">
        <v>1.88</v>
      </c>
      <c r="B91" s="128">
        <v>1.88</v>
      </c>
      <c r="C91" s="128">
        <v>1.89</v>
      </c>
      <c r="D91" s="128">
        <v>1.9</v>
      </c>
      <c r="E91" s="128">
        <v>1.91</v>
      </c>
      <c r="F91" s="128">
        <v>1.92</v>
      </c>
      <c r="G91" s="128">
        <v>1.93</v>
      </c>
      <c r="H91" s="128">
        <v>1.94</v>
      </c>
      <c r="I91" s="128">
        <v>1.95</v>
      </c>
      <c r="J91" s="128">
        <v>1.96</v>
      </c>
      <c r="K91" s="128">
        <v>1.97</v>
      </c>
      <c r="L91" s="128">
        <v>1.98</v>
      </c>
      <c r="M91" s="128">
        <v>1.99</v>
      </c>
      <c r="N91" s="128">
        <v>2</v>
      </c>
      <c r="O91" s="128">
        <v>2.0099999999999998</v>
      </c>
      <c r="P91" s="128">
        <v>2.02</v>
      </c>
      <c r="Q91" s="128">
        <v>2.0299999999999998</v>
      </c>
      <c r="R91" s="128">
        <v>2.04</v>
      </c>
      <c r="S91" s="128">
        <v>2.04</v>
      </c>
      <c r="T91" s="128">
        <v>2.0499999999999998</v>
      </c>
      <c r="U91" s="128">
        <v>2.06</v>
      </c>
      <c r="V91" s="128">
        <v>2.0699999999999998</v>
      </c>
      <c r="W91" s="128">
        <v>2.08</v>
      </c>
      <c r="X91" s="128">
        <v>2.09</v>
      </c>
      <c r="Y91" s="128">
        <v>2.1</v>
      </c>
      <c r="Z91" s="128">
        <v>2.11</v>
      </c>
      <c r="AA91" s="128">
        <v>2.12</v>
      </c>
      <c r="AB91" s="128">
        <v>2.12</v>
      </c>
      <c r="AC91" s="128">
        <v>2.13</v>
      </c>
      <c r="AD91" s="128">
        <v>2.14</v>
      </c>
      <c r="AE91" s="128">
        <v>2.15</v>
      </c>
      <c r="AF91" s="128">
        <v>2.16</v>
      </c>
      <c r="AG91" s="128">
        <v>2.17</v>
      </c>
      <c r="AH91" s="128">
        <v>2.1800000000000002</v>
      </c>
      <c r="AI91" s="128">
        <v>2.19</v>
      </c>
      <c r="AJ91" s="128">
        <v>2.2000000000000002</v>
      </c>
      <c r="AK91" s="128">
        <v>2.21</v>
      </c>
      <c r="AL91" s="128">
        <v>2.21</v>
      </c>
      <c r="AM91" s="128">
        <v>2.2200000000000002</v>
      </c>
      <c r="AN91" s="128">
        <v>2.23</v>
      </c>
      <c r="AO91" s="128">
        <v>2.2400000000000002</v>
      </c>
      <c r="AP91" s="128">
        <v>2.25</v>
      </c>
      <c r="AQ91" s="128">
        <v>2.2599999999999998</v>
      </c>
      <c r="AR91" s="128">
        <v>2.27</v>
      </c>
      <c r="AS91" s="128">
        <v>2.2799999999999998</v>
      </c>
      <c r="AT91" s="128">
        <v>2.29</v>
      </c>
      <c r="AU91" s="128">
        <v>2.29</v>
      </c>
      <c r="AV91" s="128">
        <v>2.2999999999999998</v>
      </c>
      <c r="AW91" s="128">
        <v>2.31</v>
      </c>
      <c r="AX91" s="128">
        <v>2.3199999999999998</v>
      </c>
      <c r="AY91" s="128">
        <v>2.33</v>
      </c>
      <c r="AZ91" s="128">
        <v>2.34</v>
      </c>
      <c r="BA91" s="128">
        <v>2.35</v>
      </c>
      <c r="BB91" s="128">
        <v>2.36</v>
      </c>
      <c r="BC91" s="128">
        <v>2.37</v>
      </c>
      <c r="BD91" s="128">
        <v>2.38</v>
      </c>
      <c r="BE91" s="128">
        <v>2.38</v>
      </c>
      <c r="BF91" s="128">
        <v>2.39</v>
      </c>
      <c r="BG91" s="128">
        <v>2.4</v>
      </c>
      <c r="BH91" s="128">
        <v>2.41</v>
      </c>
      <c r="BI91" s="128">
        <v>2.42</v>
      </c>
      <c r="BJ91" s="128">
        <v>2.4300000000000002</v>
      </c>
      <c r="BK91" s="128">
        <v>2.44</v>
      </c>
      <c r="BL91" s="128">
        <v>2.4500000000000002</v>
      </c>
      <c r="BM91" s="128">
        <v>2.46</v>
      </c>
      <c r="BN91" s="128">
        <v>2.46</v>
      </c>
      <c r="BO91" s="128">
        <v>2.4700000000000002</v>
      </c>
      <c r="BP91" s="128">
        <v>2.48</v>
      </c>
      <c r="BQ91" s="128">
        <v>2.4900000000000002</v>
      </c>
      <c r="BR91" s="128">
        <v>2.5</v>
      </c>
      <c r="BS91" s="128">
        <v>2.5099999999999998</v>
      </c>
      <c r="BT91" s="128">
        <v>2.52</v>
      </c>
      <c r="BU91" s="128">
        <v>2.5299999999999998</v>
      </c>
      <c r="BV91" s="128">
        <v>2.54</v>
      </c>
      <c r="BW91" s="128">
        <v>2.54</v>
      </c>
      <c r="BX91" s="128">
        <v>2.5499999999999998</v>
      </c>
      <c r="BY91" s="128">
        <v>2.56</v>
      </c>
      <c r="BZ91" s="128">
        <v>2.57</v>
      </c>
      <c r="CA91" s="128">
        <v>2.58</v>
      </c>
      <c r="CB91" s="128">
        <v>2.59</v>
      </c>
      <c r="CC91" s="128">
        <v>2.6</v>
      </c>
      <c r="CD91" s="128">
        <v>2.61</v>
      </c>
      <c r="CE91" s="128">
        <v>2.62</v>
      </c>
      <c r="CF91" s="128">
        <v>2.62</v>
      </c>
      <c r="CG91" s="128">
        <v>2.63</v>
      </c>
      <c r="CH91" s="128">
        <v>2.64</v>
      </c>
      <c r="CI91" s="128">
        <v>2.65</v>
      </c>
      <c r="CJ91" s="128">
        <v>2.66</v>
      </c>
      <c r="CK91" s="128">
        <v>2.67</v>
      </c>
      <c r="CL91" s="128">
        <v>2.68</v>
      </c>
      <c r="CM91" s="128">
        <v>2.69</v>
      </c>
      <c r="CN91" s="128">
        <v>2.71</v>
      </c>
      <c r="CO91" s="128">
        <v>2.72</v>
      </c>
      <c r="CP91" s="128">
        <v>2.74</v>
      </c>
      <c r="CQ91" s="128">
        <v>2.76</v>
      </c>
      <c r="CR91" s="128">
        <v>2.77</v>
      </c>
      <c r="CS91" s="128">
        <v>2.79</v>
      </c>
      <c r="CT91" s="128">
        <v>2.81</v>
      </c>
      <c r="CU91" s="128">
        <v>2.83</v>
      </c>
      <c r="CV91" s="128">
        <v>2.84</v>
      </c>
      <c r="CW91" s="128">
        <v>2.86</v>
      </c>
      <c r="CX91" s="128">
        <v>2.88</v>
      </c>
      <c r="CZ91" s="126">
        <f>SUMIF(MatrixF5[[1]:[2]],MatrixF5[[#This Row],[Столбец1]])/MatrixF5[[#This Row],[Столбец1]]</f>
        <v>103.99999999999986</v>
      </c>
      <c r="DA91" s="126">
        <f>SUMIF(MatrixF5[[1]:[2]],MatrixF5[[#This Row],[Столбец1]]+1)/(MatrixF5[[#This Row],[Столбец1]]+1)</f>
        <v>10.999999999999998</v>
      </c>
    </row>
    <row r="92" spans="1:105" ht="21" customHeight="1" x14ac:dyDescent="0.25">
      <c r="A92" s="127">
        <v>1.89</v>
      </c>
      <c r="B92" s="128">
        <v>1.89</v>
      </c>
      <c r="C92" s="128">
        <v>1.9</v>
      </c>
      <c r="D92" s="128">
        <v>1.91</v>
      </c>
      <c r="E92" s="128">
        <v>1.92</v>
      </c>
      <c r="F92" s="128">
        <v>1.93</v>
      </c>
      <c r="G92" s="128">
        <v>1.94</v>
      </c>
      <c r="H92" s="128">
        <v>1.95</v>
      </c>
      <c r="I92" s="128">
        <v>1.96</v>
      </c>
      <c r="J92" s="128">
        <v>1.97</v>
      </c>
      <c r="K92" s="128">
        <v>1.98</v>
      </c>
      <c r="L92" s="128">
        <v>1.99</v>
      </c>
      <c r="M92" s="128">
        <v>2</v>
      </c>
      <c r="N92" s="128">
        <v>2.0099999999999998</v>
      </c>
      <c r="O92" s="128">
        <v>2.02</v>
      </c>
      <c r="P92" s="128">
        <v>2.0299999999999998</v>
      </c>
      <c r="Q92" s="128">
        <v>2.04</v>
      </c>
      <c r="R92" s="128">
        <v>2.0499999999999998</v>
      </c>
      <c r="S92" s="128">
        <v>2.0499999999999998</v>
      </c>
      <c r="T92" s="128">
        <v>2.06</v>
      </c>
      <c r="U92" s="128">
        <v>2.0699999999999998</v>
      </c>
      <c r="V92" s="128">
        <v>2.08</v>
      </c>
      <c r="W92" s="128">
        <v>2.09</v>
      </c>
      <c r="X92" s="128">
        <v>2.1</v>
      </c>
      <c r="Y92" s="128">
        <v>2.11</v>
      </c>
      <c r="Z92" s="128">
        <v>2.12</v>
      </c>
      <c r="AA92" s="128">
        <v>2.13</v>
      </c>
      <c r="AB92" s="128">
        <v>2.14</v>
      </c>
      <c r="AC92" s="128">
        <v>2.14</v>
      </c>
      <c r="AD92" s="128">
        <v>2.15</v>
      </c>
      <c r="AE92" s="128">
        <v>2.16</v>
      </c>
      <c r="AF92" s="128">
        <v>2.17</v>
      </c>
      <c r="AG92" s="128">
        <v>2.1800000000000002</v>
      </c>
      <c r="AH92" s="128">
        <v>2.19</v>
      </c>
      <c r="AI92" s="128">
        <v>2.2000000000000002</v>
      </c>
      <c r="AJ92" s="128">
        <v>2.21</v>
      </c>
      <c r="AK92" s="128">
        <v>2.2200000000000002</v>
      </c>
      <c r="AL92" s="128">
        <v>2.23</v>
      </c>
      <c r="AM92" s="128">
        <v>2.23</v>
      </c>
      <c r="AN92" s="128">
        <v>2.2400000000000002</v>
      </c>
      <c r="AO92" s="128">
        <v>2.25</v>
      </c>
      <c r="AP92" s="128">
        <v>2.2599999999999998</v>
      </c>
      <c r="AQ92" s="128">
        <v>2.27</v>
      </c>
      <c r="AR92" s="128">
        <v>2.2799999999999998</v>
      </c>
      <c r="AS92" s="128">
        <v>2.29</v>
      </c>
      <c r="AT92" s="128">
        <v>2.2999999999999998</v>
      </c>
      <c r="AU92" s="128">
        <v>2.31</v>
      </c>
      <c r="AV92" s="128">
        <v>2.3199999999999998</v>
      </c>
      <c r="AW92" s="128">
        <v>2.3199999999999998</v>
      </c>
      <c r="AX92" s="128">
        <v>2.33</v>
      </c>
      <c r="AY92" s="128">
        <v>2.34</v>
      </c>
      <c r="AZ92" s="128">
        <v>2.35</v>
      </c>
      <c r="BA92" s="128">
        <v>2.36</v>
      </c>
      <c r="BB92" s="128">
        <v>2.37</v>
      </c>
      <c r="BC92" s="128">
        <v>2.38</v>
      </c>
      <c r="BD92" s="128">
        <v>2.39</v>
      </c>
      <c r="BE92" s="128">
        <v>2.4</v>
      </c>
      <c r="BF92" s="128">
        <v>2.41</v>
      </c>
      <c r="BG92" s="128">
        <v>2.41</v>
      </c>
      <c r="BH92" s="128">
        <v>2.42</v>
      </c>
      <c r="BI92" s="128">
        <v>2.4300000000000002</v>
      </c>
      <c r="BJ92" s="128">
        <v>2.44</v>
      </c>
      <c r="BK92" s="128">
        <v>2.4500000000000002</v>
      </c>
      <c r="BL92" s="128">
        <v>2.46</v>
      </c>
      <c r="BM92" s="128">
        <v>2.4700000000000002</v>
      </c>
      <c r="BN92" s="128">
        <v>2.48</v>
      </c>
      <c r="BO92" s="128">
        <v>2.4900000000000002</v>
      </c>
      <c r="BP92" s="128">
        <v>2.5</v>
      </c>
      <c r="BQ92" s="128">
        <v>2.5</v>
      </c>
      <c r="BR92" s="128">
        <v>2.5099999999999998</v>
      </c>
      <c r="BS92" s="128">
        <v>2.52</v>
      </c>
      <c r="BT92" s="128">
        <v>2.5299999999999998</v>
      </c>
      <c r="BU92" s="128">
        <v>2.54</v>
      </c>
      <c r="BV92" s="128">
        <v>2.5499999999999998</v>
      </c>
      <c r="BW92" s="128">
        <v>2.56</v>
      </c>
      <c r="BX92" s="128">
        <v>2.57</v>
      </c>
      <c r="BY92" s="128">
        <v>2.58</v>
      </c>
      <c r="BZ92" s="128">
        <v>2.59</v>
      </c>
      <c r="CA92" s="128">
        <v>2.59</v>
      </c>
      <c r="CB92" s="128">
        <v>2.6</v>
      </c>
      <c r="CC92" s="128">
        <v>2.61</v>
      </c>
      <c r="CD92" s="128">
        <v>2.62</v>
      </c>
      <c r="CE92" s="128">
        <v>2.63</v>
      </c>
      <c r="CF92" s="128">
        <v>2.64</v>
      </c>
      <c r="CG92" s="128">
        <v>2.65</v>
      </c>
      <c r="CH92" s="128">
        <v>2.66</v>
      </c>
      <c r="CI92" s="128">
        <v>2.67</v>
      </c>
      <c r="CJ92" s="128">
        <v>2.68</v>
      </c>
      <c r="CK92" s="128">
        <v>2.68</v>
      </c>
      <c r="CL92" s="128">
        <v>2.69</v>
      </c>
      <c r="CM92" s="128">
        <v>2.7</v>
      </c>
      <c r="CN92" s="128">
        <v>2.72</v>
      </c>
      <c r="CO92" s="128">
        <v>2.73</v>
      </c>
      <c r="CP92" s="128">
        <v>2.75</v>
      </c>
      <c r="CQ92" s="128">
        <v>2.77</v>
      </c>
      <c r="CR92" s="128">
        <v>2.78</v>
      </c>
      <c r="CS92" s="128">
        <v>2.8</v>
      </c>
      <c r="CT92" s="128">
        <v>2.82</v>
      </c>
      <c r="CU92" s="128">
        <v>2.83</v>
      </c>
      <c r="CV92" s="128">
        <v>2.85</v>
      </c>
      <c r="CW92" s="128">
        <v>2.87</v>
      </c>
      <c r="CX92" s="128">
        <v>2.89</v>
      </c>
      <c r="CZ92" s="126">
        <f>SUMIF(MatrixF5[[1]:[2]],MatrixF5[[#This Row],[Столбец1]])/MatrixF5[[#This Row],[Столбец1]]</f>
        <v>102.99999999999976</v>
      </c>
      <c r="DA92" s="126">
        <f>SUMIF(MatrixF5[[1]:[2]],MatrixF5[[#This Row],[Столбец1]]+1)/(MatrixF5[[#This Row],[Столбец1]]+1)</f>
        <v>8.0000000000000018</v>
      </c>
    </row>
    <row r="93" spans="1:105" ht="21" customHeight="1" x14ac:dyDescent="0.25">
      <c r="A93" s="127">
        <v>1.9</v>
      </c>
      <c r="B93" s="128">
        <v>1.9</v>
      </c>
      <c r="C93" s="128">
        <v>1.91</v>
      </c>
      <c r="D93" s="128">
        <v>1.92</v>
      </c>
      <c r="E93" s="128">
        <v>1.93</v>
      </c>
      <c r="F93" s="128">
        <v>1.94</v>
      </c>
      <c r="G93" s="128">
        <v>1.95</v>
      </c>
      <c r="H93" s="128">
        <v>1.96</v>
      </c>
      <c r="I93" s="128">
        <v>1.97</v>
      </c>
      <c r="J93" s="128">
        <v>1.98</v>
      </c>
      <c r="K93" s="128">
        <v>1.99</v>
      </c>
      <c r="L93" s="128">
        <v>2</v>
      </c>
      <c r="M93" s="128">
        <v>2.0099999999999998</v>
      </c>
      <c r="N93" s="128">
        <v>2.02</v>
      </c>
      <c r="O93" s="128">
        <v>2.0299999999999998</v>
      </c>
      <c r="P93" s="128">
        <v>2.04</v>
      </c>
      <c r="Q93" s="128">
        <v>2.0499999999999998</v>
      </c>
      <c r="R93" s="128">
        <v>2.0499999999999998</v>
      </c>
      <c r="S93" s="128">
        <v>2.06</v>
      </c>
      <c r="T93" s="128">
        <v>2.0699999999999998</v>
      </c>
      <c r="U93" s="128">
        <v>2.08</v>
      </c>
      <c r="V93" s="128">
        <v>2.09</v>
      </c>
      <c r="W93" s="128">
        <v>2.1</v>
      </c>
      <c r="X93" s="128">
        <v>2.11</v>
      </c>
      <c r="Y93" s="128">
        <v>2.12</v>
      </c>
      <c r="Z93" s="128">
        <v>2.13</v>
      </c>
      <c r="AA93" s="128">
        <v>2.14</v>
      </c>
      <c r="AB93" s="128">
        <v>2.15</v>
      </c>
      <c r="AC93" s="128">
        <v>2.15</v>
      </c>
      <c r="AD93" s="128">
        <v>2.16</v>
      </c>
      <c r="AE93" s="128">
        <v>2.17</v>
      </c>
      <c r="AF93" s="128">
        <v>2.1800000000000002</v>
      </c>
      <c r="AG93" s="128">
        <v>2.19</v>
      </c>
      <c r="AH93" s="128">
        <v>2.2000000000000002</v>
      </c>
      <c r="AI93" s="128">
        <v>2.21</v>
      </c>
      <c r="AJ93" s="128">
        <v>2.2200000000000002</v>
      </c>
      <c r="AK93" s="128">
        <v>2.23</v>
      </c>
      <c r="AL93" s="128">
        <v>2.2400000000000002</v>
      </c>
      <c r="AM93" s="128">
        <v>2.25</v>
      </c>
      <c r="AN93" s="128">
        <v>2.25</v>
      </c>
      <c r="AO93" s="128">
        <v>2.2599999999999998</v>
      </c>
      <c r="AP93" s="128">
        <v>2.27</v>
      </c>
      <c r="AQ93" s="128">
        <v>2.2799999999999998</v>
      </c>
      <c r="AR93" s="128">
        <v>2.29</v>
      </c>
      <c r="AS93" s="128">
        <v>2.2999999999999998</v>
      </c>
      <c r="AT93" s="128">
        <v>2.31</v>
      </c>
      <c r="AU93" s="128">
        <v>2.3199999999999998</v>
      </c>
      <c r="AV93" s="128">
        <v>2.33</v>
      </c>
      <c r="AW93" s="128">
        <v>2.34</v>
      </c>
      <c r="AX93" s="128">
        <v>2.35</v>
      </c>
      <c r="AY93" s="128">
        <v>2.35</v>
      </c>
      <c r="AZ93" s="128">
        <v>2.36</v>
      </c>
      <c r="BA93" s="128">
        <v>2.37</v>
      </c>
      <c r="BB93" s="128">
        <v>2.38</v>
      </c>
      <c r="BC93" s="128">
        <v>2.39</v>
      </c>
      <c r="BD93" s="128">
        <v>2.4</v>
      </c>
      <c r="BE93" s="128">
        <v>2.41</v>
      </c>
      <c r="BF93" s="128">
        <v>2.42</v>
      </c>
      <c r="BG93" s="128">
        <v>2.4300000000000002</v>
      </c>
      <c r="BH93" s="128">
        <v>2.44</v>
      </c>
      <c r="BI93" s="128">
        <v>2.4500000000000002</v>
      </c>
      <c r="BJ93" s="128">
        <v>2.4500000000000002</v>
      </c>
      <c r="BK93" s="128">
        <v>2.46</v>
      </c>
      <c r="BL93" s="128">
        <v>2.4700000000000002</v>
      </c>
      <c r="BM93" s="128">
        <v>2.48</v>
      </c>
      <c r="BN93" s="128">
        <v>2.4900000000000002</v>
      </c>
      <c r="BO93" s="128">
        <v>2.5</v>
      </c>
      <c r="BP93" s="128">
        <v>2.5099999999999998</v>
      </c>
      <c r="BQ93" s="128">
        <v>2.52</v>
      </c>
      <c r="BR93" s="128">
        <v>2.5299999999999998</v>
      </c>
      <c r="BS93" s="128">
        <v>2.54</v>
      </c>
      <c r="BT93" s="128">
        <v>2.5499999999999998</v>
      </c>
      <c r="BU93" s="128">
        <v>2.5499999999999998</v>
      </c>
      <c r="BV93" s="128">
        <v>2.56</v>
      </c>
      <c r="BW93" s="128">
        <v>2.57</v>
      </c>
      <c r="BX93" s="128">
        <v>2.58</v>
      </c>
      <c r="BY93" s="128">
        <v>2.59</v>
      </c>
      <c r="BZ93" s="128">
        <v>2.6</v>
      </c>
      <c r="CA93" s="128">
        <v>2.61</v>
      </c>
      <c r="CB93" s="128">
        <v>2.62</v>
      </c>
      <c r="CC93" s="128">
        <v>2.63</v>
      </c>
      <c r="CD93" s="128">
        <v>2.64</v>
      </c>
      <c r="CE93" s="128">
        <v>2.65</v>
      </c>
      <c r="CF93" s="128">
        <v>2.65</v>
      </c>
      <c r="CG93" s="128">
        <v>2.66</v>
      </c>
      <c r="CH93" s="128">
        <v>2.67</v>
      </c>
      <c r="CI93" s="128">
        <v>2.68</v>
      </c>
      <c r="CJ93" s="128">
        <v>2.69</v>
      </c>
      <c r="CK93" s="128">
        <v>2.7</v>
      </c>
      <c r="CL93" s="128">
        <v>2.71</v>
      </c>
      <c r="CM93" s="128">
        <v>2.72</v>
      </c>
      <c r="CN93" s="128">
        <v>2.73</v>
      </c>
      <c r="CO93" s="128">
        <v>2.74</v>
      </c>
      <c r="CP93" s="128">
        <v>2.76</v>
      </c>
      <c r="CQ93" s="128">
        <v>2.78</v>
      </c>
      <c r="CR93" s="128">
        <v>2.79</v>
      </c>
      <c r="CS93" s="128">
        <v>2.81</v>
      </c>
      <c r="CT93" s="128">
        <v>2.83</v>
      </c>
      <c r="CU93" s="128">
        <v>2.84</v>
      </c>
      <c r="CV93" s="128">
        <v>2.86</v>
      </c>
      <c r="CW93" s="128">
        <v>2.88</v>
      </c>
      <c r="CX93" s="128">
        <v>2.9</v>
      </c>
      <c r="CZ93" s="126">
        <f>SUMIF(MatrixF5[[1]:[2]],MatrixF5[[#This Row],[Столбец1]])/MatrixF5[[#This Row],[Столбец1]]</f>
        <v>103.0000000000002</v>
      </c>
      <c r="DA93" s="126">
        <f>SUMIF(MatrixF5[[1]:[2]],MatrixF5[[#This Row],[Столбец1]]+1)/(MatrixF5[[#This Row],[Столбец1]]+1)</f>
        <v>7.9999999999999991</v>
      </c>
    </row>
    <row r="94" spans="1:105" ht="21" customHeight="1" x14ac:dyDescent="0.25">
      <c r="A94" s="127">
        <v>1.91</v>
      </c>
      <c r="B94" s="128">
        <v>1.91</v>
      </c>
      <c r="C94" s="128">
        <v>1.92</v>
      </c>
      <c r="D94" s="128">
        <v>1.93</v>
      </c>
      <c r="E94" s="128">
        <v>1.94</v>
      </c>
      <c r="F94" s="128">
        <v>1.95</v>
      </c>
      <c r="G94" s="128">
        <v>1.96</v>
      </c>
      <c r="H94" s="128">
        <v>1.97</v>
      </c>
      <c r="I94" s="128">
        <v>1.98</v>
      </c>
      <c r="J94" s="128">
        <v>1.99</v>
      </c>
      <c r="K94" s="128">
        <v>2</v>
      </c>
      <c r="L94" s="128">
        <v>2.0099999999999998</v>
      </c>
      <c r="M94" s="128">
        <v>2.02</v>
      </c>
      <c r="N94" s="128">
        <v>2.0299999999999998</v>
      </c>
      <c r="O94" s="128">
        <v>2.04</v>
      </c>
      <c r="P94" s="128">
        <v>2.0499999999999998</v>
      </c>
      <c r="Q94" s="128">
        <v>2.06</v>
      </c>
      <c r="R94" s="128">
        <v>2.06</v>
      </c>
      <c r="S94" s="128">
        <v>2.0699999999999998</v>
      </c>
      <c r="T94" s="128">
        <v>2.08</v>
      </c>
      <c r="U94" s="128">
        <v>2.09</v>
      </c>
      <c r="V94" s="128">
        <v>2.1</v>
      </c>
      <c r="W94" s="128">
        <v>2.11</v>
      </c>
      <c r="X94" s="128">
        <v>2.12</v>
      </c>
      <c r="Y94" s="128">
        <v>2.13</v>
      </c>
      <c r="Z94" s="128">
        <v>2.14</v>
      </c>
      <c r="AA94" s="128">
        <v>2.15</v>
      </c>
      <c r="AB94" s="128">
        <v>2.16</v>
      </c>
      <c r="AC94" s="128">
        <v>2.17</v>
      </c>
      <c r="AD94" s="128">
        <v>2.17</v>
      </c>
      <c r="AE94" s="128">
        <v>2.1800000000000002</v>
      </c>
      <c r="AF94" s="128">
        <v>2.19</v>
      </c>
      <c r="AG94" s="128">
        <v>2.2000000000000002</v>
      </c>
      <c r="AH94" s="128">
        <v>2.21</v>
      </c>
      <c r="AI94" s="128">
        <v>2.2200000000000002</v>
      </c>
      <c r="AJ94" s="128">
        <v>2.23</v>
      </c>
      <c r="AK94" s="128">
        <v>2.2400000000000002</v>
      </c>
      <c r="AL94" s="128">
        <v>2.25</v>
      </c>
      <c r="AM94" s="128">
        <v>2.2599999999999998</v>
      </c>
      <c r="AN94" s="128">
        <v>2.27</v>
      </c>
      <c r="AO94" s="128">
        <v>2.2799999999999998</v>
      </c>
      <c r="AP94" s="128">
        <v>2.2799999999999998</v>
      </c>
      <c r="AQ94" s="128">
        <v>2.29</v>
      </c>
      <c r="AR94" s="128">
        <v>2.2999999999999998</v>
      </c>
      <c r="AS94" s="128">
        <v>2.31</v>
      </c>
      <c r="AT94" s="128">
        <v>2.3199999999999998</v>
      </c>
      <c r="AU94" s="128">
        <v>2.33</v>
      </c>
      <c r="AV94" s="128">
        <v>2.34</v>
      </c>
      <c r="AW94" s="128">
        <v>2.35</v>
      </c>
      <c r="AX94" s="128">
        <v>2.36</v>
      </c>
      <c r="AY94" s="128">
        <v>2.37</v>
      </c>
      <c r="AZ94" s="128">
        <v>2.38</v>
      </c>
      <c r="BA94" s="128">
        <v>2.39</v>
      </c>
      <c r="BB94" s="128">
        <v>2.39</v>
      </c>
      <c r="BC94" s="128">
        <v>2.4</v>
      </c>
      <c r="BD94" s="128">
        <v>2.41</v>
      </c>
      <c r="BE94" s="128">
        <v>2.42</v>
      </c>
      <c r="BF94" s="128">
        <v>2.4300000000000002</v>
      </c>
      <c r="BG94" s="128">
        <v>2.44</v>
      </c>
      <c r="BH94" s="128">
        <v>2.4500000000000002</v>
      </c>
      <c r="BI94" s="128">
        <v>2.46</v>
      </c>
      <c r="BJ94" s="128">
        <v>2.4700000000000002</v>
      </c>
      <c r="BK94" s="128">
        <v>2.48</v>
      </c>
      <c r="BL94" s="128">
        <v>2.4900000000000002</v>
      </c>
      <c r="BM94" s="128">
        <v>2.5</v>
      </c>
      <c r="BN94" s="128">
        <v>2.5</v>
      </c>
      <c r="BO94" s="128">
        <v>2.5099999999999998</v>
      </c>
      <c r="BP94" s="128">
        <v>2.52</v>
      </c>
      <c r="BQ94" s="128">
        <v>2.5299999999999998</v>
      </c>
      <c r="BR94" s="128">
        <v>2.54</v>
      </c>
      <c r="BS94" s="128">
        <v>2.5499999999999998</v>
      </c>
      <c r="BT94" s="128">
        <v>2.56</v>
      </c>
      <c r="BU94" s="128">
        <v>2.57</v>
      </c>
      <c r="BV94" s="128">
        <v>2.58</v>
      </c>
      <c r="BW94" s="128">
        <v>2.59</v>
      </c>
      <c r="BX94" s="128">
        <v>2.6</v>
      </c>
      <c r="BY94" s="128">
        <v>2.61</v>
      </c>
      <c r="BZ94" s="128">
        <v>2.61</v>
      </c>
      <c r="CA94" s="128">
        <v>2.62</v>
      </c>
      <c r="CB94" s="128">
        <v>2.63</v>
      </c>
      <c r="CC94" s="128">
        <v>2.64</v>
      </c>
      <c r="CD94" s="128">
        <v>2.65</v>
      </c>
      <c r="CE94" s="128">
        <v>2.66</v>
      </c>
      <c r="CF94" s="128">
        <v>2.67</v>
      </c>
      <c r="CG94" s="128">
        <v>2.68</v>
      </c>
      <c r="CH94" s="128">
        <v>2.69</v>
      </c>
      <c r="CI94" s="128">
        <v>2.7</v>
      </c>
      <c r="CJ94" s="128">
        <v>2.71</v>
      </c>
      <c r="CK94" s="128">
        <v>2.72</v>
      </c>
      <c r="CL94" s="128">
        <v>2.72</v>
      </c>
      <c r="CM94" s="128">
        <v>2.73</v>
      </c>
      <c r="CN94" s="128">
        <v>2.74</v>
      </c>
      <c r="CO94" s="128">
        <v>2.75</v>
      </c>
      <c r="CP94" s="128">
        <v>2.77</v>
      </c>
      <c r="CQ94" s="128">
        <v>2.79</v>
      </c>
      <c r="CR94" s="128">
        <v>2.8</v>
      </c>
      <c r="CS94" s="128">
        <v>2.82</v>
      </c>
      <c r="CT94" s="128">
        <v>2.84</v>
      </c>
      <c r="CU94" s="128">
        <v>2.85</v>
      </c>
      <c r="CV94" s="128">
        <v>2.87</v>
      </c>
      <c r="CW94" s="128">
        <v>2.89</v>
      </c>
      <c r="CX94" s="128">
        <v>2.91</v>
      </c>
      <c r="CZ94" s="126">
        <f>SUMIF(MatrixF5[[1]:[2]],MatrixF5[[#This Row],[Столбец1]])/MatrixF5[[#This Row],[Столбец1]]</f>
        <v>107.99999999999984</v>
      </c>
      <c r="DA94" s="126">
        <f>SUMIF(MatrixF5[[1]:[2]],MatrixF5[[#This Row],[Столбец1]]+1)/(MatrixF5[[#This Row],[Столбец1]]+1)</f>
        <v>7</v>
      </c>
    </row>
    <row r="95" spans="1:105" ht="21" customHeight="1" x14ac:dyDescent="0.25">
      <c r="A95" s="127">
        <v>1.92</v>
      </c>
      <c r="B95" s="128">
        <v>1.92</v>
      </c>
      <c r="C95" s="128">
        <v>1.93</v>
      </c>
      <c r="D95" s="128">
        <v>1.94</v>
      </c>
      <c r="E95" s="128">
        <v>1.95</v>
      </c>
      <c r="F95" s="128">
        <v>1.96</v>
      </c>
      <c r="G95" s="128">
        <v>1.97</v>
      </c>
      <c r="H95" s="128">
        <v>1.98</v>
      </c>
      <c r="I95" s="128">
        <v>1.99</v>
      </c>
      <c r="J95" s="128">
        <v>2</v>
      </c>
      <c r="K95" s="128">
        <v>2.0099999999999998</v>
      </c>
      <c r="L95" s="128">
        <v>2.02</v>
      </c>
      <c r="M95" s="128">
        <v>2.0299999999999998</v>
      </c>
      <c r="N95" s="128">
        <v>2.04</v>
      </c>
      <c r="O95" s="128">
        <v>2.0499999999999998</v>
      </c>
      <c r="P95" s="128">
        <v>2.06</v>
      </c>
      <c r="Q95" s="128">
        <v>2.06</v>
      </c>
      <c r="R95" s="128">
        <v>2.0699999999999998</v>
      </c>
      <c r="S95" s="128">
        <v>2.08</v>
      </c>
      <c r="T95" s="128">
        <v>2.09</v>
      </c>
      <c r="U95" s="128">
        <v>2.1</v>
      </c>
      <c r="V95" s="128">
        <v>2.11</v>
      </c>
      <c r="W95" s="128">
        <v>2.12</v>
      </c>
      <c r="X95" s="128">
        <v>2.13</v>
      </c>
      <c r="Y95" s="128">
        <v>2.14</v>
      </c>
      <c r="Z95" s="128">
        <v>2.15</v>
      </c>
      <c r="AA95" s="128">
        <v>2.16</v>
      </c>
      <c r="AB95" s="128">
        <v>2.17</v>
      </c>
      <c r="AC95" s="128">
        <v>2.1800000000000002</v>
      </c>
      <c r="AD95" s="128">
        <v>2.19</v>
      </c>
      <c r="AE95" s="128">
        <v>2.19</v>
      </c>
      <c r="AF95" s="128">
        <v>2.2000000000000002</v>
      </c>
      <c r="AG95" s="128">
        <v>2.21</v>
      </c>
      <c r="AH95" s="128">
        <v>2.2200000000000002</v>
      </c>
      <c r="AI95" s="128">
        <v>2.23</v>
      </c>
      <c r="AJ95" s="128">
        <v>2.2400000000000002</v>
      </c>
      <c r="AK95" s="128">
        <v>2.25</v>
      </c>
      <c r="AL95" s="128">
        <v>2.2599999999999998</v>
      </c>
      <c r="AM95" s="128">
        <v>2.27</v>
      </c>
      <c r="AN95" s="128">
        <v>2.2799999999999998</v>
      </c>
      <c r="AO95" s="128">
        <v>2.29</v>
      </c>
      <c r="AP95" s="128">
        <v>2.2999999999999998</v>
      </c>
      <c r="AQ95" s="128">
        <v>2.31</v>
      </c>
      <c r="AR95" s="128">
        <v>2.31</v>
      </c>
      <c r="AS95" s="128">
        <v>2.3199999999999998</v>
      </c>
      <c r="AT95" s="128">
        <v>2.33</v>
      </c>
      <c r="AU95" s="128">
        <v>2.34</v>
      </c>
      <c r="AV95" s="128">
        <v>2.35</v>
      </c>
      <c r="AW95" s="128">
        <v>2.36</v>
      </c>
      <c r="AX95" s="128">
        <v>2.37</v>
      </c>
      <c r="AY95" s="128">
        <v>2.38</v>
      </c>
      <c r="AZ95" s="128">
        <v>2.39</v>
      </c>
      <c r="BA95" s="128">
        <v>2.4</v>
      </c>
      <c r="BB95" s="128">
        <v>2.41</v>
      </c>
      <c r="BC95" s="128">
        <v>2.42</v>
      </c>
      <c r="BD95" s="128">
        <v>2.4300000000000002</v>
      </c>
      <c r="BE95" s="128">
        <v>2.44</v>
      </c>
      <c r="BF95" s="128">
        <v>2.44</v>
      </c>
      <c r="BG95" s="128">
        <v>2.4500000000000002</v>
      </c>
      <c r="BH95" s="128">
        <v>2.46</v>
      </c>
      <c r="BI95" s="128">
        <v>2.4700000000000002</v>
      </c>
      <c r="BJ95" s="128">
        <v>2.48</v>
      </c>
      <c r="BK95" s="128">
        <v>2.4900000000000002</v>
      </c>
      <c r="BL95" s="128">
        <v>2.5</v>
      </c>
      <c r="BM95" s="128">
        <v>2.5099999999999998</v>
      </c>
      <c r="BN95" s="128">
        <v>2.52</v>
      </c>
      <c r="BO95" s="128">
        <v>2.5299999999999998</v>
      </c>
      <c r="BP95" s="128">
        <v>2.54</v>
      </c>
      <c r="BQ95" s="128">
        <v>2.5499999999999998</v>
      </c>
      <c r="BR95" s="128">
        <v>2.56</v>
      </c>
      <c r="BS95" s="128">
        <v>2.56</v>
      </c>
      <c r="BT95" s="128">
        <v>2.57</v>
      </c>
      <c r="BU95" s="128">
        <v>2.58</v>
      </c>
      <c r="BV95" s="128">
        <v>2.59</v>
      </c>
      <c r="BW95" s="128">
        <v>2.6</v>
      </c>
      <c r="BX95" s="128">
        <v>2.61</v>
      </c>
      <c r="BY95" s="128">
        <v>2.62</v>
      </c>
      <c r="BZ95" s="128">
        <v>2.63</v>
      </c>
      <c r="CA95" s="128">
        <v>2.64</v>
      </c>
      <c r="CB95" s="128">
        <v>2.65</v>
      </c>
      <c r="CC95" s="128">
        <v>2.66</v>
      </c>
      <c r="CD95" s="128">
        <v>2.67</v>
      </c>
      <c r="CE95" s="128">
        <v>2.68</v>
      </c>
      <c r="CF95" s="128">
        <v>2.69</v>
      </c>
      <c r="CG95" s="128">
        <v>2.69</v>
      </c>
      <c r="CH95" s="128">
        <v>2.7</v>
      </c>
      <c r="CI95" s="128">
        <v>2.71</v>
      </c>
      <c r="CJ95" s="128">
        <v>2.72</v>
      </c>
      <c r="CK95" s="128">
        <v>2.73</v>
      </c>
      <c r="CL95" s="128">
        <v>2.74</v>
      </c>
      <c r="CM95" s="128">
        <v>2.75</v>
      </c>
      <c r="CN95" s="128">
        <v>2.76</v>
      </c>
      <c r="CO95" s="128">
        <v>2.77</v>
      </c>
      <c r="CP95" s="128">
        <v>2.78</v>
      </c>
      <c r="CQ95" s="128">
        <v>2.79</v>
      </c>
      <c r="CR95" s="128">
        <v>2.81</v>
      </c>
      <c r="CS95" s="128">
        <v>2.83</v>
      </c>
      <c r="CT95" s="128">
        <v>2.85</v>
      </c>
      <c r="CU95" s="128">
        <v>2.86</v>
      </c>
      <c r="CV95" s="128">
        <v>2.88</v>
      </c>
      <c r="CW95" s="128">
        <v>2.9</v>
      </c>
      <c r="CX95" s="128">
        <v>2.92</v>
      </c>
      <c r="CZ95" s="126">
        <f>SUMIF(MatrixF5[[1]:[2]],MatrixF5[[#This Row],[Столбец1]])/MatrixF5[[#This Row],[Столбец1]]</f>
        <v>110.99999999999977</v>
      </c>
      <c r="DA95" s="126">
        <f>SUMIF(MatrixF5[[1]:[2]],MatrixF5[[#This Row],[Столбец1]]+1)/(MatrixF5[[#This Row],[Столбец1]]+1)</f>
        <v>6</v>
      </c>
    </row>
    <row r="96" spans="1:105" ht="21" customHeight="1" x14ac:dyDescent="0.25">
      <c r="A96" s="127">
        <v>1.93</v>
      </c>
      <c r="B96" s="128">
        <v>1.93</v>
      </c>
      <c r="C96" s="128">
        <v>1.94</v>
      </c>
      <c r="D96" s="128">
        <v>1.95</v>
      </c>
      <c r="E96" s="128">
        <v>1.96</v>
      </c>
      <c r="F96" s="128">
        <v>1.97</v>
      </c>
      <c r="G96" s="128">
        <v>1.98</v>
      </c>
      <c r="H96" s="128">
        <v>1.99</v>
      </c>
      <c r="I96" s="128">
        <v>2</v>
      </c>
      <c r="J96" s="128">
        <v>2.0099999999999998</v>
      </c>
      <c r="K96" s="128">
        <v>2.02</v>
      </c>
      <c r="L96" s="128">
        <v>2.0299999999999998</v>
      </c>
      <c r="M96" s="128">
        <v>2.04</v>
      </c>
      <c r="N96" s="128">
        <v>2.0499999999999998</v>
      </c>
      <c r="O96" s="128">
        <v>2.06</v>
      </c>
      <c r="P96" s="128">
        <v>2.0699999999999998</v>
      </c>
      <c r="Q96" s="128">
        <v>2.0699999999999998</v>
      </c>
      <c r="R96" s="128">
        <v>2.08</v>
      </c>
      <c r="S96" s="128">
        <v>2.09</v>
      </c>
      <c r="T96" s="128">
        <v>2.1</v>
      </c>
      <c r="U96" s="128">
        <v>2.11</v>
      </c>
      <c r="V96" s="128">
        <v>2.12</v>
      </c>
      <c r="W96" s="128">
        <v>2.13</v>
      </c>
      <c r="X96" s="128">
        <v>2.14</v>
      </c>
      <c r="Y96" s="128">
        <v>2.15</v>
      </c>
      <c r="Z96" s="128">
        <v>2.16</v>
      </c>
      <c r="AA96" s="128">
        <v>2.17</v>
      </c>
      <c r="AB96" s="128">
        <v>2.1800000000000002</v>
      </c>
      <c r="AC96" s="128">
        <v>2.19</v>
      </c>
      <c r="AD96" s="128">
        <v>2.2000000000000002</v>
      </c>
      <c r="AE96" s="128">
        <v>2.21</v>
      </c>
      <c r="AF96" s="128">
        <v>2.21</v>
      </c>
      <c r="AG96" s="128">
        <v>2.2200000000000002</v>
      </c>
      <c r="AH96" s="128">
        <v>2.23</v>
      </c>
      <c r="AI96" s="128">
        <v>2.2400000000000002</v>
      </c>
      <c r="AJ96" s="128">
        <v>2.25</v>
      </c>
      <c r="AK96" s="128">
        <v>2.2599999999999998</v>
      </c>
      <c r="AL96" s="128">
        <v>2.27</v>
      </c>
      <c r="AM96" s="128">
        <v>2.2799999999999998</v>
      </c>
      <c r="AN96" s="128">
        <v>2.29</v>
      </c>
      <c r="AO96" s="128">
        <v>2.2999999999999998</v>
      </c>
      <c r="AP96" s="128">
        <v>2.31</v>
      </c>
      <c r="AQ96" s="128">
        <v>2.3199999999999998</v>
      </c>
      <c r="AR96" s="128">
        <v>2.33</v>
      </c>
      <c r="AS96" s="128">
        <v>2.34</v>
      </c>
      <c r="AT96" s="128">
        <v>2.35</v>
      </c>
      <c r="AU96" s="128">
        <v>2.36</v>
      </c>
      <c r="AV96" s="128">
        <v>2.36</v>
      </c>
      <c r="AW96" s="128">
        <v>2.37</v>
      </c>
      <c r="AX96" s="128">
        <v>2.38</v>
      </c>
      <c r="AY96" s="128">
        <v>2.39</v>
      </c>
      <c r="AZ96" s="128">
        <v>2.4</v>
      </c>
      <c r="BA96" s="128">
        <v>2.41</v>
      </c>
      <c r="BB96" s="128">
        <v>2.42</v>
      </c>
      <c r="BC96" s="128">
        <v>2.4300000000000002</v>
      </c>
      <c r="BD96" s="128">
        <v>2.44</v>
      </c>
      <c r="BE96" s="128">
        <v>2.4500000000000002</v>
      </c>
      <c r="BF96" s="128">
        <v>2.46</v>
      </c>
      <c r="BG96" s="128">
        <v>2.4700000000000002</v>
      </c>
      <c r="BH96" s="128">
        <v>2.48</v>
      </c>
      <c r="BI96" s="128">
        <v>2.4900000000000002</v>
      </c>
      <c r="BJ96" s="128">
        <v>2.5</v>
      </c>
      <c r="BK96" s="128">
        <v>2.5</v>
      </c>
      <c r="BL96" s="128">
        <v>2.5099999999999998</v>
      </c>
      <c r="BM96" s="128">
        <v>2.52</v>
      </c>
      <c r="BN96" s="128">
        <v>2.5299999999999998</v>
      </c>
      <c r="BO96" s="128">
        <v>2.54</v>
      </c>
      <c r="BP96" s="128">
        <v>2.5499999999999998</v>
      </c>
      <c r="BQ96" s="128">
        <v>2.56</v>
      </c>
      <c r="BR96" s="128">
        <v>2.57</v>
      </c>
      <c r="BS96" s="128">
        <v>2.58</v>
      </c>
      <c r="BT96" s="128">
        <v>2.59</v>
      </c>
      <c r="BU96" s="128">
        <v>2.6</v>
      </c>
      <c r="BV96" s="128">
        <v>2.61</v>
      </c>
      <c r="BW96" s="128">
        <v>2.62</v>
      </c>
      <c r="BX96" s="128">
        <v>2.63</v>
      </c>
      <c r="BY96" s="128">
        <v>2.64</v>
      </c>
      <c r="BZ96" s="128">
        <v>2.64</v>
      </c>
      <c r="CA96" s="128">
        <v>2.65</v>
      </c>
      <c r="CB96" s="128">
        <v>2.66</v>
      </c>
      <c r="CC96" s="128">
        <v>2.67</v>
      </c>
      <c r="CD96" s="128">
        <v>2.68</v>
      </c>
      <c r="CE96" s="128">
        <v>2.69</v>
      </c>
      <c r="CF96" s="128">
        <v>2.7</v>
      </c>
      <c r="CG96" s="128">
        <v>2.71</v>
      </c>
      <c r="CH96" s="128">
        <v>2.72</v>
      </c>
      <c r="CI96" s="128">
        <v>2.73</v>
      </c>
      <c r="CJ96" s="128">
        <v>2.74</v>
      </c>
      <c r="CK96" s="128">
        <v>2.75</v>
      </c>
      <c r="CL96" s="128">
        <v>2.76</v>
      </c>
      <c r="CM96" s="128">
        <v>2.77</v>
      </c>
      <c r="CN96" s="128">
        <v>2.78</v>
      </c>
      <c r="CO96" s="128">
        <v>2.79</v>
      </c>
      <c r="CP96" s="128">
        <v>2.79</v>
      </c>
      <c r="CQ96" s="128">
        <v>2.8</v>
      </c>
      <c r="CR96" s="128">
        <v>2.82</v>
      </c>
      <c r="CS96" s="128">
        <v>2.84</v>
      </c>
      <c r="CT96" s="128">
        <v>2.86</v>
      </c>
      <c r="CU96" s="128">
        <v>2.87</v>
      </c>
      <c r="CV96" s="128">
        <v>2.89</v>
      </c>
      <c r="CW96" s="128">
        <v>2.91</v>
      </c>
      <c r="CX96" s="128">
        <v>2.93</v>
      </c>
      <c r="CZ96" s="126">
        <f>SUMIF(MatrixF5[[1]:[2]],MatrixF5[[#This Row],[Столбец1]])/MatrixF5[[#This Row],[Столбец1]]</f>
        <v>109.00000000000027</v>
      </c>
      <c r="DA96" s="126">
        <f>SUMIF(MatrixF5[[1]:[2]],MatrixF5[[#This Row],[Столбец1]]+1)/(MatrixF5[[#This Row],[Столбец1]]+1)</f>
        <v>6.0000000000000009</v>
      </c>
    </row>
    <row r="97" spans="1:105" ht="21" customHeight="1" x14ac:dyDescent="0.25">
      <c r="A97" s="127">
        <v>1.94</v>
      </c>
      <c r="B97" s="128">
        <v>1.94</v>
      </c>
      <c r="C97" s="128">
        <v>1.95</v>
      </c>
      <c r="D97" s="128">
        <v>1.96</v>
      </c>
      <c r="E97" s="128">
        <v>1.97</v>
      </c>
      <c r="F97" s="128">
        <v>1.98</v>
      </c>
      <c r="G97" s="128">
        <v>1.99</v>
      </c>
      <c r="H97" s="128">
        <v>2</v>
      </c>
      <c r="I97" s="128">
        <v>2.0099999999999998</v>
      </c>
      <c r="J97" s="128">
        <v>2.02</v>
      </c>
      <c r="K97" s="128">
        <v>2.0299999999999998</v>
      </c>
      <c r="L97" s="128">
        <v>2.04</v>
      </c>
      <c r="M97" s="128">
        <v>2.0499999999999998</v>
      </c>
      <c r="N97" s="128">
        <v>2.06</v>
      </c>
      <c r="O97" s="128">
        <v>2.0699999999999998</v>
      </c>
      <c r="P97" s="128">
        <v>2.08</v>
      </c>
      <c r="Q97" s="128">
        <v>2.08</v>
      </c>
      <c r="R97" s="128">
        <v>2.09</v>
      </c>
      <c r="S97" s="128">
        <v>2.1</v>
      </c>
      <c r="T97" s="128">
        <v>2.11</v>
      </c>
      <c r="U97" s="128">
        <v>2.12</v>
      </c>
      <c r="V97" s="128">
        <v>2.13</v>
      </c>
      <c r="W97" s="128">
        <v>2.14</v>
      </c>
      <c r="X97" s="128">
        <v>2.15</v>
      </c>
      <c r="Y97" s="128">
        <v>2.16</v>
      </c>
      <c r="Z97" s="128">
        <v>2.17</v>
      </c>
      <c r="AA97" s="128">
        <v>2.1800000000000002</v>
      </c>
      <c r="AB97" s="128">
        <v>2.19</v>
      </c>
      <c r="AC97" s="128">
        <v>2.2000000000000002</v>
      </c>
      <c r="AD97" s="128">
        <v>2.21</v>
      </c>
      <c r="AE97" s="128">
        <v>2.2200000000000002</v>
      </c>
      <c r="AF97" s="128">
        <v>2.23</v>
      </c>
      <c r="AG97" s="128">
        <v>2.2400000000000002</v>
      </c>
      <c r="AH97" s="128">
        <v>2.25</v>
      </c>
      <c r="AI97" s="128">
        <v>2.25</v>
      </c>
      <c r="AJ97" s="128">
        <v>2.2599999999999998</v>
      </c>
      <c r="AK97" s="128">
        <v>2.27</v>
      </c>
      <c r="AL97" s="128">
        <v>2.2799999999999998</v>
      </c>
      <c r="AM97" s="128">
        <v>2.29</v>
      </c>
      <c r="AN97" s="128">
        <v>2.2999999999999998</v>
      </c>
      <c r="AO97" s="128">
        <v>2.31</v>
      </c>
      <c r="AP97" s="128">
        <v>2.3199999999999998</v>
      </c>
      <c r="AQ97" s="128">
        <v>2.33</v>
      </c>
      <c r="AR97" s="128">
        <v>2.34</v>
      </c>
      <c r="AS97" s="128">
        <v>2.35</v>
      </c>
      <c r="AT97" s="128">
        <v>2.36</v>
      </c>
      <c r="AU97" s="128">
        <v>2.37</v>
      </c>
      <c r="AV97" s="128">
        <v>2.38</v>
      </c>
      <c r="AW97" s="128">
        <v>2.39</v>
      </c>
      <c r="AX97" s="128">
        <v>2.4</v>
      </c>
      <c r="AY97" s="128">
        <v>2.41</v>
      </c>
      <c r="AZ97" s="128">
        <v>2.42</v>
      </c>
      <c r="BA97" s="128">
        <v>2.42</v>
      </c>
      <c r="BB97" s="128">
        <v>2.4300000000000002</v>
      </c>
      <c r="BC97" s="128">
        <v>2.44</v>
      </c>
      <c r="BD97" s="128">
        <v>2.4500000000000002</v>
      </c>
      <c r="BE97" s="128">
        <v>2.46</v>
      </c>
      <c r="BF97" s="128">
        <v>2.4700000000000002</v>
      </c>
      <c r="BG97" s="128">
        <v>2.48</v>
      </c>
      <c r="BH97" s="128">
        <v>2.4900000000000002</v>
      </c>
      <c r="BI97" s="128">
        <v>2.5</v>
      </c>
      <c r="BJ97" s="128">
        <v>2.5099999999999998</v>
      </c>
      <c r="BK97" s="128">
        <v>2.52</v>
      </c>
      <c r="BL97" s="128">
        <v>2.5299999999999998</v>
      </c>
      <c r="BM97" s="128">
        <v>2.54</v>
      </c>
      <c r="BN97" s="128">
        <v>2.5499999999999998</v>
      </c>
      <c r="BO97" s="128">
        <v>2.56</v>
      </c>
      <c r="BP97" s="128">
        <v>2.57</v>
      </c>
      <c r="BQ97" s="128">
        <v>2.58</v>
      </c>
      <c r="BR97" s="128">
        <v>2.58</v>
      </c>
      <c r="BS97" s="128">
        <v>2.59</v>
      </c>
      <c r="BT97" s="128">
        <v>2.6</v>
      </c>
      <c r="BU97" s="128">
        <v>2.61</v>
      </c>
      <c r="BV97" s="128">
        <v>2.62</v>
      </c>
      <c r="BW97" s="128">
        <v>2.63</v>
      </c>
      <c r="BX97" s="128">
        <v>2.64</v>
      </c>
      <c r="BY97" s="128">
        <v>2.65</v>
      </c>
      <c r="BZ97" s="128">
        <v>2.66</v>
      </c>
      <c r="CA97" s="128">
        <v>2.67</v>
      </c>
      <c r="CB97" s="128">
        <v>2.68</v>
      </c>
      <c r="CC97" s="128">
        <v>2.69</v>
      </c>
      <c r="CD97" s="128">
        <v>2.7</v>
      </c>
      <c r="CE97" s="128">
        <v>2.71</v>
      </c>
      <c r="CF97" s="128">
        <v>2.72</v>
      </c>
      <c r="CG97" s="128">
        <v>2.73</v>
      </c>
      <c r="CH97" s="128">
        <v>2.74</v>
      </c>
      <c r="CI97" s="128">
        <v>2.75</v>
      </c>
      <c r="CJ97" s="128">
        <v>2.75</v>
      </c>
      <c r="CK97" s="128">
        <v>2.76</v>
      </c>
      <c r="CL97" s="128">
        <v>2.77</v>
      </c>
      <c r="CM97" s="128">
        <v>2.78</v>
      </c>
      <c r="CN97" s="128">
        <v>2.79</v>
      </c>
      <c r="CO97" s="128">
        <v>2.8</v>
      </c>
      <c r="CP97" s="128">
        <v>2.81</v>
      </c>
      <c r="CQ97" s="128">
        <v>2.82</v>
      </c>
      <c r="CR97" s="128">
        <v>2.83</v>
      </c>
      <c r="CS97" s="128">
        <v>2.85</v>
      </c>
      <c r="CT97" s="128">
        <v>2.87</v>
      </c>
      <c r="CU97" s="128">
        <v>2.88</v>
      </c>
      <c r="CV97" s="128">
        <v>2.9</v>
      </c>
      <c r="CW97" s="128">
        <v>2.92</v>
      </c>
      <c r="CX97" s="128">
        <v>2.94</v>
      </c>
      <c r="CZ97" s="126">
        <f>SUMIF(MatrixF5[[1]:[2]],MatrixF5[[#This Row],[Столбец1]])/MatrixF5[[#This Row],[Столбец1]]</f>
        <v>117.9999999999999</v>
      </c>
      <c r="DA97" s="126">
        <f>SUMIF(MatrixF5[[1]:[2]],MatrixF5[[#This Row],[Столбец1]]+1)/(MatrixF5[[#This Row],[Столбец1]]+1)</f>
        <v>5</v>
      </c>
    </row>
    <row r="98" spans="1:105" ht="21" customHeight="1" x14ac:dyDescent="0.25">
      <c r="A98" s="127">
        <v>1.95</v>
      </c>
      <c r="B98" s="128">
        <v>1.95</v>
      </c>
      <c r="C98" s="128">
        <v>1.96</v>
      </c>
      <c r="D98" s="128">
        <v>1.97</v>
      </c>
      <c r="E98" s="128">
        <v>1.98</v>
      </c>
      <c r="F98" s="128">
        <v>1.99</v>
      </c>
      <c r="G98" s="128">
        <v>2</v>
      </c>
      <c r="H98" s="128">
        <v>2.0099999999999998</v>
      </c>
      <c r="I98" s="128">
        <v>2.02</v>
      </c>
      <c r="J98" s="128">
        <v>2.0299999999999998</v>
      </c>
      <c r="K98" s="128">
        <v>2.04</v>
      </c>
      <c r="L98" s="128">
        <v>2.0499999999999998</v>
      </c>
      <c r="M98" s="128">
        <v>2.06</v>
      </c>
      <c r="N98" s="128">
        <v>2.0699999999999998</v>
      </c>
      <c r="O98" s="128">
        <v>2.08</v>
      </c>
      <c r="P98" s="128">
        <v>2.09</v>
      </c>
      <c r="Q98" s="128">
        <v>2.1</v>
      </c>
      <c r="R98" s="128">
        <v>2.1</v>
      </c>
      <c r="S98" s="128">
        <v>2.11</v>
      </c>
      <c r="T98" s="128">
        <v>2.12</v>
      </c>
      <c r="U98" s="128">
        <v>2.13</v>
      </c>
      <c r="V98" s="128">
        <v>2.14</v>
      </c>
      <c r="W98" s="128">
        <v>2.15</v>
      </c>
      <c r="X98" s="128">
        <v>2.16</v>
      </c>
      <c r="Y98" s="128">
        <v>2.17</v>
      </c>
      <c r="Z98" s="128">
        <v>2.1800000000000002</v>
      </c>
      <c r="AA98" s="128">
        <v>2.19</v>
      </c>
      <c r="AB98" s="128">
        <v>2.2000000000000002</v>
      </c>
      <c r="AC98" s="128">
        <v>2.21</v>
      </c>
      <c r="AD98" s="128">
        <v>2.2200000000000002</v>
      </c>
      <c r="AE98" s="128">
        <v>2.23</v>
      </c>
      <c r="AF98" s="128">
        <v>2.2400000000000002</v>
      </c>
      <c r="AG98" s="128">
        <v>2.25</v>
      </c>
      <c r="AH98" s="128">
        <v>2.2599999999999998</v>
      </c>
      <c r="AI98" s="128">
        <v>2.27</v>
      </c>
      <c r="AJ98" s="128">
        <v>2.2799999999999998</v>
      </c>
      <c r="AK98" s="128">
        <v>2.29</v>
      </c>
      <c r="AL98" s="128">
        <v>2.2999999999999998</v>
      </c>
      <c r="AM98" s="128">
        <v>2.2999999999999998</v>
      </c>
      <c r="AN98" s="128">
        <v>2.31</v>
      </c>
      <c r="AO98" s="128">
        <v>2.3199999999999998</v>
      </c>
      <c r="AP98" s="128">
        <v>2.33</v>
      </c>
      <c r="AQ98" s="128">
        <v>2.34</v>
      </c>
      <c r="AR98" s="128">
        <v>2.35</v>
      </c>
      <c r="AS98" s="128">
        <v>2.36</v>
      </c>
      <c r="AT98" s="128">
        <v>2.37</v>
      </c>
      <c r="AU98" s="128">
        <v>2.38</v>
      </c>
      <c r="AV98" s="128">
        <v>2.39</v>
      </c>
      <c r="AW98" s="128">
        <v>2.4</v>
      </c>
      <c r="AX98" s="128">
        <v>2.41</v>
      </c>
      <c r="AY98" s="128">
        <v>2.42</v>
      </c>
      <c r="AZ98" s="128">
        <v>2.4300000000000002</v>
      </c>
      <c r="BA98" s="128">
        <v>2.44</v>
      </c>
      <c r="BB98" s="128">
        <v>2.4500000000000002</v>
      </c>
      <c r="BC98" s="128">
        <v>2.46</v>
      </c>
      <c r="BD98" s="128">
        <v>2.4700000000000002</v>
      </c>
      <c r="BE98" s="128">
        <v>2.48</v>
      </c>
      <c r="BF98" s="128">
        <v>2.4900000000000002</v>
      </c>
      <c r="BG98" s="128">
        <v>2.5</v>
      </c>
      <c r="BH98" s="128">
        <v>2.5</v>
      </c>
      <c r="BI98" s="128">
        <v>2.5099999999999998</v>
      </c>
      <c r="BJ98" s="128">
        <v>2.52</v>
      </c>
      <c r="BK98" s="128">
        <v>2.5299999999999998</v>
      </c>
      <c r="BL98" s="128">
        <v>2.54</v>
      </c>
      <c r="BM98" s="128">
        <v>2.5499999999999998</v>
      </c>
      <c r="BN98" s="128">
        <v>2.56</v>
      </c>
      <c r="BO98" s="128">
        <v>2.57</v>
      </c>
      <c r="BP98" s="128">
        <v>2.58</v>
      </c>
      <c r="BQ98" s="128">
        <v>2.59</v>
      </c>
      <c r="BR98" s="128">
        <v>2.6</v>
      </c>
      <c r="BS98" s="128">
        <v>2.61</v>
      </c>
      <c r="BT98" s="128">
        <v>2.62</v>
      </c>
      <c r="BU98" s="128">
        <v>2.63</v>
      </c>
      <c r="BV98" s="128">
        <v>2.64</v>
      </c>
      <c r="BW98" s="128">
        <v>2.65</v>
      </c>
      <c r="BX98" s="128">
        <v>2.66</v>
      </c>
      <c r="BY98" s="128">
        <v>2.67</v>
      </c>
      <c r="BZ98" s="128">
        <v>2.68</v>
      </c>
      <c r="CA98" s="128">
        <v>2.69</v>
      </c>
      <c r="CB98" s="128">
        <v>2.7</v>
      </c>
      <c r="CC98" s="128">
        <v>2.7</v>
      </c>
      <c r="CD98" s="128">
        <v>2.71</v>
      </c>
      <c r="CE98" s="128">
        <v>2.72</v>
      </c>
      <c r="CF98" s="128">
        <v>2.73</v>
      </c>
      <c r="CG98" s="128">
        <v>2.74</v>
      </c>
      <c r="CH98" s="128">
        <v>2.75</v>
      </c>
      <c r="CI98" s="128">
        <v>2.76</v>
      </c>
      <c r="CJ98" s="128">
        <v>2.77</v>
      </c>
      <c r="CK98" s="128">
        <v>2.78</v>
      </c>
      <c r="CL98" s="128">
        <v>2.79</v>
      </c>
      <c r="CM98" s="128">
        <v>2.8</v>
      </c>
      <c r="CN98" s="128">
        <v>2.81</v>
      </c>
      <c r="CO98" s="128">
        <v>2.82</v>
      </c>
      <c r="CP98" s="128">
        <v>2.83</v>
      </c>
      <c r="CQ98" s="128">
        <v>2.84</v>
      </c>
      <c r="CR98" s="128">
        <v>2.85</v>
      </c>
      <c r="CS98" s="128">
        <v>2.86</v>
      </c>
      <c r="CT98" s="128">
        <v>2.88</v>
      </c>
      <c r="CU98" s="128">
        <v>2.89</v>
      </c>
      <c r="CV98" s="128">
        <v>2.91</v>
      </c>
      <c r="CW98" s="128">
        <v>2.93</v>
      </c>
      <c r="CX98" s="128">
        <v>2.95</v>
      </c>
      <c r="CZ98" s="126">
        <f>SUMIF(MatrixF5[[1]:[2]],MatrixF5[[#This Row],[Столбец1]])/MatrixF5[[#This Row],[Столбец1]]</f>
        <v>110.9999999999998</v>
      </c>
      <c r="DA98" s="126">
        <f>SUMIF(MatrixF5[[1]:[2]],MatrixF5[[#This Row],[Столбец1]]+1)/(MatrixF5[[#This Row],[Столбец1]]+1)</f>
        <v>4</v>
      </c>
    </row>
    <row r="99" spans="1:105" ht="21" customHeight="1" x14ac:dyDescent="0.25">
      <c r="A99" s="127">
        <v>1.96</v>
      </c>
      <c r="B99" s="128">
        <v>1.96</v>
      </c>
      <c r="C99" s="128">
        <v>1.97</v>
      </c>
      <c r="D99" s="128">
        <v>1.98</v>
      </c>
      <c r="E99" s="128">
        <v>1.99</v>
      </c>
      <c r="F99" s="128">
        <v>2</v>
      </c>
      <c r="G99" s="128">
        <v>2.0099999999999998</v>
      </c>
      <c r="H99" s="128">
        <v>2.02</v>
      </c>
      <c r="I99" s="128">
        <v>2.0299999999999998</v>
      </c>
      <c r="J99" s="128">
        <v>2.04</v>
      </c>
      <c r="K99" s="128">
        <v>2.0499999999999998</v>
      </c>
      <c r="L99" s="128">
        <v>2.06</v>
      </c>
      <c r="M99" s="128">
        <v>2.0699999999999998</v>
      </c>
      <c r="N99" s="128">
        <v>2.08</v>
      </c>
      <c r="O99" s="128">
        <v>2.09</v>
      </c>
      <c r="P99" s="128">
        <v>2.1</v>
      </c>
      <c r="Q99" s="128">
        <v>2.11</v>
      </c>
      <c r="R99" s="128">
        <v>2.12</v>
      </c>
      <c r="S99" s="128">
        <v>2.12</v>
      </c>
      <c r="T99" s="128">
        <v>2.13</v>
      </c>
      <c r="U99" s="128">
        <v>2.14</v>
      </c>
      <c r="V99" s="128">
        <v>2.15</v>
      </c>
      <c r="W99" s="128">
        <v>2.16</v>
      </c>
      <c r="X99" s="128">
        <v>2.17</v>
      </c>
      <c r="Y99" s="128">
        <v>2.1800000000000002</v>
      </c>
      <c r="Z99" s="128">
        <v>2.19</v>
      </c>
      <c r="AA99" s="128">
        <v>2.2000000000000002</v>
      </c>
      <c r="AB99" s="128">
        <v>2.21</v>
      </c>
      <c r="AC99" s="128">
        <v>2.2200000000000002</v>
      </c>
      <c r="AD99" s="128">
        <v>2.23</v>
      </c>
      <c r="AE99" s="128">
        <v>2.2400000000000002</v>
      </c>
      <c r="AF99" s="128">
        <v>2.25</v>
      </c>
      <c r="AG99" s="128">
        <v>2.2599999999999998</v>
      </c>
      <c r="AH99" s="128">
        <v>2.27</v>
      </c>
      <c r="AI99" s="128">
        <v>2.2799999999999998</v>
      </c>
      <c r="AJ99" s="128">
        <v>2.29</v>
      </c>
      <c r="AK99" s="128">
        <v>2.2999999999999998</v>
      </c>
      <c r="AL99" s="128">
        <v>2.31</v>
      </c>
      <c r="AM99" s="128">
        <v>2.3199999999999998</v>
      </c>
      <c r="AN99" s="128">
        <v>2.33</v>
      </c>
      <c r="AO99" s="128">
        <v>2.34</v>
      </c>
      <c r="AP99" s="128">
        <v>2.35</v>
      </c>
      <c r="AQ99" s="128">
        <v>2.36</v>
      </c>
      <c r="AR99" s="128">
        <v>2.37</v>
      </c>
      <c r="AS99" s="128">
        <v>2.38</v>
      </c>
      <c r="AT99" s="128">
        <v>2.38</v>
      </c>
      <c r="AU99" s="128">
        <v>2.39</v>
      </c>
      <c r="AV99" s="128">
        <v>2.4</v>
      </c>
      <c r="AW99" s="128">
        <v>2.41</v>
      </c>
      <c r="AX99" s="128">
        <v>2.42</v>
      </c>
      <c r="AY99" s="128">
        <v>2.4300000000000002</v>
      </c>
      <c r="AZ99" s="128">
        <v>2.44</v>
      </c>
      <c r="BA99" s="128">
        <v>2.4500000000000002</v>
      </c>
      <c r="BB99" s="128">
        <v>2.46</v>
      </c>
      <c r="BC99" s="128">
        <v>2.4700000000000002</v>
      </c>
      <c r="BD99" s="128">
        <v>2.48</v>
      </c>
      <c r="BE99" s="128">
        <v>2.4900000000000002</v>
      </c>
      <c r="BF99" s="128">
        <v>2.5</v>
      </c>
      <c r="BG99" s="128">
        <v>2.5099999999999998</v>
      </c>
      <c r="BH99" s="128">
        <v>2.52</v>
      </c>
      <c r="BI99" s="128">
        <v>2.5299999999999998</v>
      </c>
      <c r="BJ99" s="128">
        <v>2.54</v>
      </c>
      <c r="BK99" s="128">
        <v>2.5499999999999998</v>
      </c>
      <c r="BL99" s="128">
        <v>2.56</v>
      </c>
      <c r="BM99" s="128">
        <v>2.57</v>
      </c>
      <c r="BN99" s="128">
        <v>2.58</v>
      </c>
      <c r="BO99" s="128">
        <v>2.59</v>
      </c>
      <c r="BP99" s="128">
        <v>2.6</v>
      </c>
      <c r="BQ99" s="128">
        <v>2.61</v>
      </c>
      <c r="BR99" s="128">
        <v>2.62</v>
      </c>
      <c r="BS99" s="128">
        <v>2.62</v>
      </c>
      <c r="BT99" s="128">
        <v>2.63</v>
      </c>
      <c r="BU99" s="128">
        <v>2.64</v>
      </c>
      <c r="BV99" s="128">
        <v>2.65</v>
      </c>
      <c r="BW99" s="128">
        <v>2.66</v>
      </c>
      <c r="BX99" s="128">
        <v>2.67</v>
      </c>
      <c r="BY99" s="128">
        <v>2.68</v>
      </c>
      <c r="BZ99" s="128">
        <v>2.69</v>
      </c>
      <c r="CA99" s="128">
        <v>2.7</v>
      </c>
      <c r="CB99" s="128">
        <v>2.71</v>
      </c>
      <c r="CC99" s="128">
        <v>2.72</v>
      </c>
      <c r="CD99" s="128">
        <v>2.73</v>
      </c>
      <c r="CE99" s="128">
        <v>2.74</v>
      </c>
      <c r="CF99" s="128">
        <v>2.75</v>
      </c>
      <c r="CG99" s="128">
        <v>2.76</v>
      </c>
      <c r="CH99" s="128">
        <v>2.77</v>
      </c>
      <c r="CI99" s="128">
        <v>2.78</v>
      </c>
      <c r="CJ99" s="128">
        <v>2.79</v>
      </c>
      <c r="CK99" s="128">
        <v>2.8</v>
      </c>
      <c r="CL99" s="128">
        <v>2.81</v>
      </c>
      <c r="CM99" s="128">
        <v>2.82</v>
      </c>
      <c r="CN99" s="128">
        <v>2.83</v>
      </c>
      <c r="CO99" s="128">
        <v>2.84</v>
      </c>
      <c r="CP99" s="128">
        <v>2.85</v>
      </c>
      <c r="CQ99" s="128">
        <v>2.86</v>
      </c>
      <c r="CR99" s="128">
        <v>2.87</v>
      </c>
      <c r="CS99" s="128">
        <v>2.88</v>
      </c>
      <c r="CT99" s="128">
        <v>2.88</v>
      </c>
      <c r="CU99" s="128">
        <v>2.9</v>
      </c>
      <c r="CV99" s="128">
        <v>2.92</v>
      </c>
      <c r="CW99" s="128">
        <v>2.94</v>
      </c>
      <c r="CX99" s="128">
        <v>2.96</v>
      </c>
      <c r="CZ99" s="126">
        <f>SUMIF(MatrixF5[[1]:[2]],MatrixF5[[#This Row],[Столбец1]])/MatrixF5[[#This Row],[Столбец1]]</f>
        <v>119.00000000000013</v>
      </c>
      <c r="DA99" s="126">
        <f>SUMIF(MatrixF5[[1]:[2]],MatrixF5[[#This Row],[Столбец1]]+1)/(MatrixF5[[#This Row],[Столбец1]]+1)</f>
        <v>4</v>
      </c>
    </row>
    <row r="100" spans="1:105" ht="21" customHeight="1" x14ac:dyDescent="0.25">
      <c r="A100" s="127">
        <v>1.97</v>
      </c>
      <c r="B100" s="128">
        <v>1.97</v>
      </c>
      <c r="C100" s="128">
        <v>1.98</v>
      </c>
      <c r="D100" s="128">
        <v>1.99</v>
      </c>
      <c r="E100" s="128">
        <v>2</v>
      </c>
      <c r="F100" s="128">
        <v>2.0099999999999998</v>
      </c>
      <c r="G100" s="128">
        <v>2.02</v>
      </c>
      <c r="H100" s="128">
        <v>2.0299999999999998</v>
      </c>
      <c r="I100" s="128">
        <v>2.04</v>
      </c>
      <c r="J100" s="128">
        <v>2.0499999999999998</v>
      </c>
      <c r="K100" s="128">
        <v>2.06</v>
      </c>
      <c r="L100" s="128">
        <v>2.0699999999999998</v>
      </c>
      <c r="M100" s="128">
        <v>2.08</v>
      </c>
      <c r="N100" s="128">
        <v>2.09</v>
      </c>
      <c r="O100" s="128">
        <v>2.1</v>
      </c>
      <c r="P100" s="128">
        <v>2.11</v>
      </c>
      <c r="Q100" s="128">
        <v>2.12</v>
      </c>
      <c r="R100" s="128">
        <v>2.13</v>
      </c>
      <c r="S100" s="128">
        <v>2.14</v>
      </c>
      <c r="T100" s="128">
        <v>2.15</v>
      </c>
      <c r="U100" s="128">
        <v>2.16</v>
      </c>
      <c r="V100" s="128">
        <v>2.17</v>
      </c>
      <c r="W100" s="128">
        <v>2.17</v>
      </c>
      <c r="X100" s="128">
        <v>2.1800000000000002</v>
      </c>
      <c r="Y100" s="128">
        <v>2.19</v>
      </c>
      <c r="Z100" s="128">
        <v>2.2000000000000002</v>
      </c>
      <c r="AA100" s="128">
        <v>2.21</v>
      </c>
      <c r="AB100" s="128">
        <v>2.2200000000000002</v>
      </c>
      <c r="AC100" s="128">
        <v>2.23</v>
      </c>
      <c r="AD100" s="128">
        <v>2.2400000000000002</v>
      </c>
      <c r="AE100" s="128">
        <v>2.25</v>
      </c>
      <c r="AF100" s="128">
        <v>2.2599999999999998</v>
      </c>
      <c r="AG100" s="128">
        <v>2.27</v>
      </c>
      <c r="AH100" s="128">
        <v>2.2799999999999998</v>
      </c>
      <c r="AI100" s="128">
        <v>2.29</v>
      </c>
      <c r="AJ100" s="128">
        <v>2.2999999999999998</v>
      </c>
      <c r="AK100" s="128">
        <v>2.31</v>
      </c>
      <c r="AL100" s="128">
        <v>2.3199999999999998</v>
      </c>
      <c r="AM100" s="128">
        <v>2.33</v>
      </c>
      <c r="AN100" s="128">
        <v>2.34</v>
      </c>
      <c r="AO100" s="128">
        <v>2.35</v>
      </c>
      <c r="AP100" s="128">
        <v>2.36</v>
      </c>
      <c r="AQ100" s="128">
        <v>2.37</v>
      </c>
      <c r="AR100" s="128">
        <v>2.38</v>
      </c>
      <c r="AS100" s="128">
        <v>2.39</v>
      </c>
      <c r="AT100" s="128">
        <v>2.4</v>
      </c>
      <c r="AU100" s="128">
        <v>2.41</v>
      </c>
      <c r="AV100" s="128">
        <v>2.42</v>
      </c>
      <c r="AW100" s="128">
        <v>2.4300000000000002</v>
      </c>
      <c r="AX100" s="128">
        <v>2.44</v>
      </c>
      <c r="AY100" s="128">
        <v>2.4500000000000002</v>
      </c>
      <c r="AZ100" s="128">
        <v>2.46</v>
      </c>
      <c r="BA100" s="128">
        <v>2.4700000000000002</v>
      </c>
      <c r="BB100" s="128">
        <v>2.48</v>
      </c>
      <c r="BC100" s="128">
        <v>2.4900000000000002</v>
      </c>
      <c r="BD100" s="128">
        <v>2.5</v>
      </c>
      <c r="BE100" s="128">
        <v>2.5</v>
      </c>
      <c r="BF100" s="128">
        <v>2.5099999999999998</v>
      </c>
      <c r="BG100" s="128">
        <v>2.52</v>
      </c>
      <c r="BH100" s="128">
        <v>2.5299999999999998</v>
      </c>
      <c r="BI100" s="128">
        <v>2.54</v>
      </c>
      <c r="BJ100" s="128">
        <v>2.5499999999999998</v>
      </c>
      <c r="BK100" s="128">
        <v>2.56</v>
      </c>
      <c r="BL100" s="128">
        <v>2.57</v>
      </c>
      <c r="BM100" s="128">
        <v>2.58</v>
      </c>
      <c r="BN100" s="128">
        <v>2.59</v>
      </c>
      <c r="BO100" s="128">
        <v>2.6</v>
      </c>
      <c r="BP100" s="128">
        <v>2.61</v>
      </c>
      <c r="BQ100" s="128">
        <v>2.62</v>
      </c>
      <c r="BR100" s="128">
        <v>2.63</v>
      </c>
      <c r="BS100" s="128">
        <v>2.64</v>
      </c>
      <c r="BT100" s="128">
        <v>2.65</v>
      </c>
      <c r="BU100" s="128">
        <v>2.66</v>
      </c>
      <c r="BV100" s="128">
        <v>2.67</v>
      </c>
      <c r="BW100" s="128">
        <v>2.68</v>
      </c>
      <c r="BX100" s="128">
        <v>2.69</v>
      </c>
      <c r="BY100" s="128">
        <v>2.7</v>
      </c>
      <c r="BZ100" s="128">
        <v>2.71</v>
      </c>
      <c r="CA100" s="128">
        <v>2.72</v>
      </c>
      <c r="CB100" s="128">
        <v>2.73</v>
      </c>
      <c r="CC100" s="128">
        <v>2.74</v>
      </c>
      <c r="CD100" s="128">
        <v>2.75</v>
      </c>
      <c r="CE100" s="128">
        <v>2.76</v>
      </c>
      <c r="CF100" s="128">
        <v>2.77</v>
      </c>
      <c r="CG100" s="128">
        <v>2.78</v>
      </c>
      <c r="CH100" s="128">
        <v>2.79</v>
      </c>
      <c r="CI100" s="128">
        <v>2.8</v>
      </c>
      <c r="CJ100" s="128">
        <v>2.81</v>
      </c>
      <c r="CK100" s="128">
        <v>2.82</v>
      </c>
      <c r="CL100" s="128">
        <v>2.83</v>
      </c>
      <c r="CM100" s="128">
        <v>2.83</v>
      </c>
      <c r="CN100" s="128">
        <v>2.84</v>
      </c>
      <c r="CO100" s="128">
        <v>2.85</v>
      </c>
      <c r="CP100" s="128">
        <v>2.86</v>
      </c>
      <c r="CQ100" s="128">
        <v>2.87</v>
      </c>
      <c r="CR100" s="128">
        <v>2.88</v>
      </c>
      <c r="CS100" s="128">
        <v>2.89</v>
      </c>
      <c r="CT100" s="128">
        <v>2.9</v>
      </c>
      <c r="CU100" s="128">
        <v>2.91</v>
      </c>
      <c r="CV100" s="128">
        <v>2.93</v>
      </c>
      <c r="CW100" s="128">
        <v>2.95</v>
      </c>
      <c r="CX100" s="128">
        <v>2.97</v>
      </c>
      <c r="CZ100" s="126">
        <f>SUMIF(MatrixF5[[1]:[2]],MatrixF5[[#This Row],[Столбец1]])/MatrixF5[[#This Row],[Столбец1]]</f>
        <v>118.99999999999994</v>
      </c>
      <c r="DA100" s="126">
        <f>SUMIF(MatrixF5[[1]:[2]],MatrixF5[[#This Row],[Столбец1]]+1)/(MatrixF5[[#This Row],[Столбец1]]+1)</f>
        <v>3.0000000000000004</v>
      </c>
    </row>
    <row r="101" spans="1:105" ht="21" customHeight="1" x14ac:dyDescent="0.25">
      <c r="A101" s="127">
        <v>1.98</v>
      </c>
      <c r="B101" s="128">
        <v>1.98</v>
      </c>
      <c r="C101" s="128">
        <v>1.99</v>
      </c>
      <c r="D101" s="128">
        <v>2</v>
      </c>
      <c r="E101" s="128">
        <v>2.0099999999999998</v>
      </c>
      <c r="F101" s="128">
        <v>2.02</v>
      </c>
      <c r="G101" s="128">
        <v>2.0299999999999998</v>
      </c>
      <c r="H101" s="128">
        <v>2.04</v>
      </c>
      <c r="I101" s="128">
        <v>2.0499999999999998</v>
      </c>
      <c r="J101" s="128">
        <v>2.06</v>
      </c>
      <c r="K101" s="128">
        <v>2.0699999999999998</v>
      </c>
      <c r="L101" s="128">
        <v>2.08</v>
      </c>
      <c r="M101" s="128">
        <v>2.09</v>
      </c>
      <c r="N101" s="128">
        <v>2.1</v>
      </c>
      <c r="O101" s="128">
        <v>2.11</v>
      </c>
      <c r="P101" s="128">
        <v>2.12</v>
      </c>
      <c r="Q101" s="128">
        <v>2.13</v>
      </c>
      <c r="R101" s="128">
        <v>2.14</v>
      </c>
      <c r="S101" s="128">
        <v>2.15</v>
      </c>
      <c r="T101" s="128">
        <v>2.16</v>
      </c>
      <c r="U101" s="128">
        <v>2.17</v>
      </c>
      <c r="V101" s="128">
        <v>2.1800000000000002</v>
      </c>
      <c r="W101" s="128">
        <v>2.19</v>
      </c>
      <c r="X101" s="128">
        <v>2.2000000000000002</v>
      </c>
      <c r="Y101" s="128">
        <v>2.21</v>
      </c>
      <c r="Z101" s="128">
        <v>2.2200000000000002</v>
      </c>
      <c r="AA101" s="128">
        <v>2.23</v>
      </c>
      <c r="AB101" s="128">
        <v>2.2400000000000002</v>
      </c>
      <c r="AC101" s="128">
        <v>2.25</v>
      </c>
      <c r="AD101" s="128">
        <v>2.25</v>
      </c>
      <c r="AE101" s="128">
        <v>2.2599999999999998</v>
      </c>
      <c r="AF101" s="128">
        <v>2.27</v>
      </c>
      <c r="AG101" s="128">
        <v>2.2799999999999998</v>
      </c>
      <c r="AH101" s="128">
        <v>2.29</v>
      </c>
      <c r="AI101" s="128">
        <v>2.2999999999999998</v>
      </c>
      <c r="AJ101" s="128">
        <v>2.31</v>
      </c>
      <c r="AK101" s="128">
        <v>2.3199999999999998</v>
      </c>
      <c r="AL101" s="128">
        <v>2.33</v>
      </c>
      <c r="AM101" s="128">
        <v>2.34</v>
      </c>
      <c r="AN101" s="128">
        <v>2.35</v>
      </c>
      <c r="AO101" s="128">
        <v>2.36</v>
      </c>
      <c r="AP101" s="128">
        <v>2.37</v>
      </c>
      <c r="AQ101" s="128">
        <v>2.38</v>
      </c>
      <c r="AR101" s="128">
        <v>2.39</v>
      </c>
      <c r="AS101" s="128">
        <v>2.4</v>
      </c>
      <c r="AT101" s="128">
        <v>2.41</v>
      </c>
      <c r="AU101" s="128">
        <v>2.42</v>
      </c>
      <c r="AV101" s="128">
        <v>2.4300000000000002</v>
      </c>
      <c r="AW101" s="128">
        <v>2.44</v>
      </c>
      <c r="AX101" s="128">
        <v>2.4500000000000002</v>
      </c>
      <c r="AY101" s="128">
        <v>2.46</v>
      </c>
      <c r="AZ101" s="128">
        <v>2.4700000000000002</v>
      </c>
      <c r="BA101" s="128">
        <v>2.48</v>
      </c>
      <c r="BB101" s="128">
        <v>2.4900000000000002</v>
      </c>
      <c r="BC101" s="128">
        <v>2.5</v>
      </c>
      <c r="BD101" s="128">
        <v>2.5099999999999998</v>
      </c>
      <c r="BE101" s="128">
        <v>2.52</v>
      </c>
      <c r="BF101" s="128">
        <v>2.5299999999999998</v>
      </c>
      <c r="BG101" s="128">
        <v>2.54</v>
      </c>
      <c r="BH101" s="128">
        <v>2.5499999999999998</v>
      </c>
      <c r="BI101" s="128">
        <v>2.56</v>
      </c>
      <c r="BJ101" s="128">
        <v>2.57</v>
      </c>
      <c r="BK101" s="128">
        <v>2.58</v>
      </c>
      <c r="BL101" s="128">
        <v>2.59</v>
      </c>
      <c r="BM101" s="128">
        <v>2.6</v>
      </c>
      <c r="BN101" s="128">
        <v>2.61</v>
      </c>
      <c r="BO101" s="128">
        <v>2.62</v>
      </c>
      <c r="BP101" s="128">
        <v>2.63</v>
      </c>
      <c r="BQ101" s="128">
        <v>2.64</v>
      </c>
      <c r="BR101" s="128">
        <v>2.65</v>
      </c>
      <c r="BS101" s="128">
        <v>2.66</v>
      </c>
      <c r="BT101" s="128">
        <v>2.67</v>
      </c>
      <c r="BU101" s="128">
        <v>2.68</v>
      </c>
      <c r="BV101" s="128">
        <v>2.69</v>
      </c>
      <c r="BW101" s="128">
        <v>2.7</v>
      </c>
      <c r="BX101" s="128">
        <v>2.71</v>
      </c>
      <c r="BY101" s="128">
        <v>2.72</v>
      </c>
      <c r="BZ101" s="128">
        <v>2.73</v>
      </c>
      <c r="CA101" s="128">
        <v>2.74</v>
      </c>
      <c r="CB101" s="128">
        <v>2.75</v>
      </c>
      <c r="CC101" s="128">
        <v>2.75</v>
      </c>
      <c r="CD101" s="128">
        <v>2.76</v>
      </c>
      <c r="CE101" s="128">
        <v>2.77</v>
      </c>
      <c r="CF101" s="128">
        <v>2.78</v>
      </c>
      <c r="CG101" s="128">
        <v>2.79</v>
      </c>
      <c r="CH101" s="128">
        <v>2.8</v>
      </c>
      <c r="CI101" s="128">
        <v>2.81</v>
      </c>
      <c r="CJ101" s="128">
        <v>2.82</v>
      </c>
      <c r="CK101" s="128">
        <v>2.83</v>
      </c>
      <c r="CL101" s="128">
        <v>2.84</v>
      </c>
      <c r="CM101" s="128">
        <v>2.85</v>
      </c>
      <c r="CN101" s="128">
        <v>2.86</v>
      </c>
      <c r="CO101" s="128">
        <v>2.87</v>
      </c>
      <c r="CP101" s="128">
        <v>2.88</v>
      </c>
      <c r="CQ101" s="128">
        <v>2.89</v>
      </c>
      <c r="CR101" s="128">
        <v>2.9</v>
      </c>
      <c r="CS101" s="128">
        <v>2.91</v>
      </c>
      <c r="CT101" s="128">
        <v>2.92</v>
      </c>
      <c r="CU101" s="128">
        <v>2.93</v>
      </c>
      <c r="CV101" s="128">
        <v>2.94</v>
      </c>
      <c r="CW101" s="128">
        <v>2.96</v>
      </c>
      <c r="CX101" s="128">
        <v>2.98</v>
      </c>
      <c r="CZ101" s="126">
        <f>SUMIF(MatrixF5[[1]:[2]],MatrixF5[[#This Row],[Столбец1]])/MatrixF5[[#This Row],[Столбец1]]</f>
        <v>123.99999999999973</v>
      </c>
      <c r="DA101" s="126">
        <f>SUMIF(MatrixF5[[1]:[2]],MatrixF5[[#This Row],[Столбец1]]+1)/(MatrixF5[[#This Row],[Столбец1]]+1)</f>
        <v>2</v>
      </c>
    </row>
    <row r="102" spans="1:105" ht="21" customHeight="1" x14ac:dyDescent="0.25">
      <c r="A102" s="127">
        <v>1.99</v>
      </c>
      <c r="B102" s="128">
        <v>1.99</v>
      </c>
      <c r="C102" s="128">
        <v>2</v>
      </c>
      <c r="D102" s="128">
        <v>2.0099999999999998</v>
      </c>
      <c r="E102" s="128">
        <v>2.02</v>
      </c>
      <c r="F102" s="128">
        <v>2.0299999999999998</v>
      </c>
      <c r="G102" s="128">
        <v>2.04</v>
      </c>
      <c r="H102" s="128">
        <v>2.0499999999999998</v>
      </c>
      <c r="I102" s="128">
        <v>2.06</v>
      </c>
      <c r="J102" s="128">
        <v>2.0699999999999998</v>
      </c>
      <c r="K102" s="128">
        <v>2.08</v>
      </c>
      <c r="L102" s="128">
        <v>2.09</v>
      </c>
      <c r="M102" s="128">
        <v>2.1</v>
      </c>
      <c r="N102" s="128">
        <v>2.11</v>
      </c>
      <c r="O102" s="128">
        <v>2.12</v>
      </c>
      <c r="P102" s="128">
        <v>2.13</v>
      </c>
      <c r="Q102" s="128">
        <v>2.14</v>
      </c>
      <c r="R102" s="128">
        <v>2.15</v>
      </c>
      <c r="S102" s="128">
        <v>2.16</v>
      </c>
      <c r="T102" s="128">
        <v>2.17</v>
      </c>
      <c r="U102" s="128">
        <v>2.1800000000000002</v>
      </c>
      <c r="V102" s="128">
        <v>2.19</v>
      </c>
      <c r="W102" s="128">
        <v>2.2000000000000002</v>
      </c>
      <c r="X102" s="128">
        <v>2.21</v>
      </c>
      <c r="Y102" s="128">
        <v>2.2200000000000002</v>
      </c>
      <c r="Z102" s="128">
        <v>2.23</v>
      </c>
      <c r="AA102" s="128">
        <v>2.2400000000000002</v>
      </c>
      <c r="AB102" s="128">
        <v>2.25</v>
      </c>
      <c r="AC102" s="128">
        <v>2.2599999999999998</v>
      </c>
      <c r="AD102" s="128">
        <v>2.27</v>
      </c>
      <c r="AE102" s="128">
        <v>2.2799999999999998</v>
      </c>
      <c r="AF102" s="128">
        <v>2.29</v>
      </c>
      <c r="AG102" s="128">
        <v>2.2999999999999998</v>
      </c>
      <c r="AH102" s="128">
        <v>2.31</v>
      </c>
      <c r="AI102" s="128">
        <v>2.3199999999999998</v>
      </c>
      <c r="AJ102" s="128">
        <v>2.33</v>
      </c>
      <c r="AK102" s="128">
        <v>2.34</v>
      </c>
      <c r="AL102" s="128">
        <v>2.35</v>
      </c>
      <c r="AM102" s="128">
        <v>2.36</v>
      </c>
      <c r="AN102" s="128">
        <v>2.37</v>
      </c>
      <c r="AO102" s="128">
        <v>2.38</v>
      </c>
      <c r="AP102" s="128">
        <v>2.39</v>
      </c>
      <c r="AQ102" s="128">
        <v>2.4</v>
      </c>
      <c r="AR102" s="128">
        <v>2.41</v>
      </c>
      <c r="AS102" s="128">
        <v>2.42</v>
      </c>
      <c r="AT102" s="128">
        <v>2.4300000000000002</v>
      </c>
      <c r="AU102" s="128">
        <v>2.44</v>
      </c>
      <c r="AV102" s="128">
        <v>2.4500000000000002</v>
      </c>
      <c r="AW102" s="128">
        <v>2.46</v>
      </c>
      <c r="AX102" s="128">
        <v>2.4700000000000002</v>
      </c>
      <c r="AY102" s="128">
        <v>2.48</v>
      </c>
      <c r="AZ102" s="128">
        <v>2.4900000000000002</v>
      </c>
      <c r="BA102" s="128">
        <v>2.5</v>
      </c>
      <c r="BB102" s="128">
        <v>2.5</v>
      </c>
      <c r="BC102" s="128">
        <v>2.5099999999999998</v>
      </c>
      <c r="BD102" s="128">
        <v>2.52</v>
      </c>
      <c r="BE102" s="128">
        <v>2.5299999999999998</v>
      </c>
      <c r="BF102" s="128">
        <v>2.54</v>
      </c>
      <c r="BG102" s="128">
        <v>2.5499999999999998</v>
      </c>
      <c r="BH102" s="128">
        <v>2.56</v>
      </c>
      <c r="BI102" s="128">
        <v>2.57</v>
      </c>
      <c r="BJ102" s="128">
        <v>2.58</v>
      </c>
      <c r="BK102" s="128">
        <v>2.59</v>
      </c>
      <c r="BL102" s="128">
        <v>2.6</v>
      </c>
      <c r="BM102" s="128">
        <v>2.61</v>
      </c>
      <c r="BN102" s="128">
        <v>2.62</v>
      </c>
      <c r="BO102" s="128">
        <v>2.63</v>
      </c>
      <c r="BP102" s="128">
        <v>2.64</v>
      </c>
      <c r="BQ102" s="128">
        <v>2.65</v>
      </c>
      <c r="BR102" s="128">
        <v>2.66</v>
      </c>
      <c r="BS102" s="128">
        <v>2.67</v>
      </c>
      <c r="BT102" s="128">
        <v>2.68</v>
      </c>
      <c r="BU102" s="128">
        <v>2.69</v>
      </c>
      <c r="BV102" s="128">
        <v>2.7</v>
      </c>
      <c r="BW102" s="128">
        <v>2.71</v>
      </c>
      <c r="BX102" s="128">
        <v>2.72</v>
      </c>
      <c r="BY102" s="128">
        <v>2.73</v>
      </c>
      <c r="BZ102" s="128">
        <v>2.74</v>
      </c>
      <c r="CA102" s="128">
        <v>2.75</v>
      </c>
      <c r="CB102" s="128">
        <v>2.76</v>
      </c>
      <c r="CC102" s="128">
        <v>2.77</v>
      </c>
      <c r="CD102" s="128">
        <v>2.78</v>
      </c>
      <c r="CE102" s="128">
        <v>2.79</v>
      </c>
      <c r="CF102" s="128">
        <v>2.8</v>
      </c>
      <c r="CG102" s="128">
        <v>2.81</v>
      </c>
      <c r="CH102" s="128">
        <v>2.82</v>
      </c>
      <c r="CI102" s="128">
        <v>2.83</v>
      </c>
      <c r="CJ102" s="128">
        <v>2.84</v>
      </c>
      <c r="CK102" s="128">
        <v>2.85</v>
      </c>
      <c r="CL102" s="128">
        <v>2.86</v>
      </c>
      <c r="CM102" s="128">
        <v>2.87</v>
      </c>
      <c r="CN102" s="128">
        <v>2.88</v>
      </c>
      <c r="CO102" s="128">
        <v>2.89</v>
      </c>
      <c r="CP102" s="128">
        <v>2.9</v>
      </c>
      <c r="CQ102" s="128">
        <v>2.91</v>
      </c>
      <c r="CR102" s="128">
        <v>2.92</v>
      </c>
      <c r="CS102" s="128">
        <v>2.93</v>
      </c>
      <c r="CT102" s="128">
        <v>2.94</v>
      </c>
      <c r="CU102" s="128">
        <v>2.95</v>
      </c>
      <c r="CV102" s="128">
        <v>2.96</v>
      </c>
      <c r="CW102" s="128">
        <v>2.97</v>
      </c>
      <c r="CX102" s="128">
        <v>2.99</v>
      </c>
      <c r="CZ102" s="126">
        <f>SUMIF(MatrixF5[[1]:[2]],MatrixF5[[#This Row],[Столбец1]])/MatrixF5[[#This Row],[Столбец1]]</f>
        <v>131.00000000000023</v>
      </c>
      <c r="DA102" s="126">
        <f>SUMIF(MatrixF5[[1]:[2]],MatrixF5[[#This Row],[Столбец1]]+1)/(MatrixF5[[#This Row],[Столбец1]]+1)</f>
        <v>2</v>
      </c>
    </row>
    <row r="103" spans="1:105" ht="21" customHeight="1" x14ac:dyDescent="0.25">
      <c r="A103" s="127">
        <v>2</v>
      </c>
      <c r="B103" s="128">
        <v>2</v>
      </c>
      <c r="C103" s="128">
        <v>2.0099999999999998</v>
      </c>
      <c r="D103" s="128">
        <v>2.02</v>
      </c>
      <c r="E103" s="128">
        <v>2.0299999999999998</v>
      </c>
      <c r="F103" s="128">
        <v>2.04</v>
      </c>
      <c r="G103" s="128">
        <v>2.0499999999999998</v>
      </c>
      <c r="H103" s="128">
        <v>2.06</v>
      </c>
      <c r="I103" s="128">
        <v>2.0699999999999998</v>
      </c>
      <c r="J103" s="128">
        <v>2.08</v>
      </c>
      <c r="K103" s="128">
        <v>2.09</v>
      </c>
      <c r="L103" s="128">
        <v>2.1</v>
      </c>
      <c r="M103" s="128">
        <v>2.11</v>
      </c>
      <c r="N103" s="128">
        <v>2.12</v>
      </c>
      <c r="O103" s="128">
        <v>2.13</v>
      </c>
      <c r="P103" s="128">
        <v>2.14</v>
      </c>
      <c r="Q103" s="128">
        <v>2.15</v>
      </c>
      <c r="R103" s="128">
        <v>2.16</v>
      </c>
      <c r="S103" s="128">
        <v>2.17</v>
      </c>
      <c r="T103" s="128">
        <v>2.1800000000000002</v>
      </c>
      <c r="U103" s="128">
        <v>2.19</v>
      </c>
      <c r="V103" s="128">
        <v>2.2000000000000002</v>
      </c>
      <c r="W103" s="128">
        <v>2.21</v>
      </c>
      <c r="X103" s="128">
        <v>2.2200000000000002</v>
      </c>
      <c r="Y103" s="128">
        <v>2.23</v>
      </c>
      <c r="Z103" s="128">
        <v>2.2400000000000002</v>
      </c>
      <c r="AA103" s="128">
        <v>2.25</v>
      </c>
      <c r="AB103" s="128">
        <v>2.2599999999999998</v>
      </c>
      <c r="AC103" s="128">
        <v>2.27</v>
      </c>
      <c r="AD103" s="128">
        <v>2.2799999999999998</v>
      </c>
      <c r="AE103" s="128">
        <v>2.29</v>
      </c>
      <c r="AF103" s="128">
        <v>2.2999999999999998</v>
      </c>
      <c r="AG103" s="128">
        <v>2.31</v>
      </c>
      <c r="AH103" s="128">
        <v>2.3199999999999998</v>
      </c>
      <c r="AI103" s="128">
        <v>2.33</v>
      </c>
      <c r="AJ103" s="128">
        <v>2.34</v>
      </c>
      <c r="AK103" s="128">
        <v>2.35</v>
      </c>
      <c r="AL103" s="128">
        <v>2.36</v>
      </c>
      <c r="AM103" s="128">
        <v>2.37</v>
      </c>
      <c r="AN103" s="128">
        <v>2.38</v>
      </c>
      <c r="AO103" s="128">
        <v>2.39</v>
      </c>
      <c r="AP103" s="128">
        <v>2.4</v>
      </c>
      <c r="AQ103" s="128">
        <v>2.41</v>
      </c>
      <c r="AR103" s="128">
        <v>2.42</v>
      </c>
      <c r="AS103" s="128">
        <v>2.4300000000000002</v>
      </c>
      <c r="AT103" s="128">
        <v>2.44</v>
      </c>
      <c r="AU103" s="128">
        <v>2.4500000000000002</v>
      </c>
      <c r="AV103" s="128">
        <v>2.46</v>
      </c>
      <c r="AW103" s="128">
        <v>2.4700000000000002</v>
      </c>
      <c r="AX103" s="128">
        <v>2.48</v>
      </c>
      <c r="AY103" s="128">
        <v>2.4900000000000002</v>
      </c>
      <c r="AZ103" s="128">
        <v>2.5</v>
      </c>
      <c r="BA103" s="128">
        <v>2.5099999999999998</v>
      </c>
      <c r="BB103" s="128">
        <v>2.52</v>
      </c>
      <c r="BC103" s="128">
        <v>2.5299999999999998</v>
      </c>
      <c r="BD103" s="128">
        <v>2.54</v>
      </c>
      <c r="BE103" s="128">
        <v>2.5499999999999998</v>
      </c>
      <c r="BF103" s="128">
        <v>2.56</v>
      </c>
      <c r="BG103" s="128">
        <v>2.57</v>
      </c>
      <c r="BH103" s="128">
        <v>2.58</v>
      </c>
      <c r="BI103" s="128">
        <v>2.59</v>
      </c>
      <c r="BJ103" s="128">
        <v>2.6</v>
      </c>
      <c r="BK103" s="128">
        <v>2.61</v>
      </c>
      <c r="BL103" s="128">
        <v>2.62</v>
      </c>
      <c r="BM103" s="128">
        <v>2.63</v>
      </c>
      <c r="BN103" s="128">
        <v>2.64</v>
      </c>
      <c r="BO103" s="128">
        <v>2.65</v>
      </c>
      <c r="BP103" s="128">
        <v>2.66</v>
      </c>
      <c r="BQ103" s="128">
        <v>2.67</v>
      </c>
      <c r="BR103" s="128">
        <v>2.68</v>
      </c>
      <c r="BS103" s="128">
        <v>2.69</v>
      </c>
      <c r="BT103" s="128">
        <v>2.7</v>
      </c>
      <c r="BU103" s="128">
        <v>2.71</v>
      </c>
      <c r="BV103" s="128">
        <v>2.72</v>
      </c>
      <c r="BW103" s="128">
        <v>2.73</v>
      </c>
      <c r="BX103" s="128">
        <v>2.74</v>
      </c>
      <c r="BY103" s="128">
        <v>2.75</v>
      </c>
      <c r="BZ103" s="128">
        <v>2.76</v>
      </c>
      <c r="CA103" s="128">
        <v>2.77</v>
      </c>
      <c r="CB103" s="128">
        <v>2.78</v>
      </c>
      <c r="CC103" s="128">
        <v>2.79</v>
      </c>
      <c r="CD103" s="128">
        <v>2.8</v>
      </c>
      <c r="CE103" s="128">
        <v>2.81</v>
      </c>
      <c r="CF103" s="128">
        <v>2.82</v>
      </c>
      <c r="CG103" s="128">
        <v>2.83</v>
      </c>
      <c r="CH103" s="128">
        <v>2.84</v>
      </c>
      <c r="CI103" s="128">
        <v>2.85</v>
      </c>
      <c r="CJ103" s="128">
        <v>2.86</v>
      </c>
      <c r="CK103" s="128">
        <v>2.87</v>
      </c>
      <c r="CL103" s="128">
        <v>2.88</v>
      </c>
      <c r="CM103" s="128">
        <v>2.89</v>
      </c>
      <c r="CN103" s="128">
        <v>2.9</v>
      </c>
      <c r="CO103" s="128">
        <v>2.91</v>
      </c>
      <c r="CP103" s="128">
        <v>2.92</v>
      </c>
      <c r="CQ103" s="128">
        <v>2.93</v>
      </c>
      <c r="CR103" s="128">
        <v>2.94</v>
      </c>
      <c r="CS103" s="128">
        <v>2.95</v>
      </c>
      <c r="CT103" s="128">
        <v>2.96</v>
      </c>
      <c r="CU103" s="128">
        <v>2.97</v>
      </c>
      <c r="CV103" s="128">
        <v>2.98</v>
      </c>
      <c r="CW103" s="128">
        <v>2.99</v>
      </c>
      <c r="CX103" s="128">
        <v>3</v>
      </c>
      <c r="CZ103" s="126">
        <f>SUMIF(MatrixF5[[1]:[2]],MatrixF5[[#This Row],[Столбец1]])/MatrixF5[[#This Row],[Столбец1]]</f>
        <v>101</v>
      </c>
      <c r="DA103" s="126">
        <f>SUMIF(MatrixF5[[1]:[2]],MatrixF5[[#This Row],[Столбец1]]+1)/(MatrixF5[[#This Row],[Столбец1]]+1)</f>
        <v>1</v>
      </c>
    </row>
    <row r="105" spans="1:105" ht="21" customHeight="1" x14ac:dyDescent="0.25">
      <c r="B105" s="126">
        <f>SUMIF(MatrixF5[[1]:[2]],MatrixF5[[#Headers],[1]])/MatrixF5[[#Headers],[1]]</f>
        <v>1</v>
      </c>
      <c r="C105" s="126">
        <f>SUMIF(MatrixF5[[1]:[2]],MatrixF5[[#Headers],[1,01]])/MatrixF5[[#Headers],[1,01]]</f>
        <v>2</v>
      </c>
      <c r="D105" s="126">
        <f>SUMIF(MatrixF5[[1]:[2]],MatrixF5[[#Headers],[1,02]])/MatrixF5[[#Headers],[1,02]]</f>
        <v>2</v>
      </c>
      <c r="E105" s="126">
        <f>SUMIF(MatrixF5[[1]:[2]],MatrixF5[[#Headers],[1,03]])/MatrixF5[[#Headers],[1,03]]</f>
        <v>3</v>
      </c>
      <c r="F105" s="126">
        <f>SUMIF(MatrixF5[[1]:[2]],MatrixF5[[#Headers],[1,04]])/MatrixF5[[#Headers],[1,04]]</f>
        <v>4</v>
      </c>
      <c r="G105" s="126">
        <f>SUMIF(MatrixF5[[1]:[2]],MatrixF5[[#Headers],[1,05]])/MatrixF5[[#Headers],[1,05]]</f>
        <v>4</v>
      </c>
      <c r="H105" s="126">
        <f>SUMIF(MatrixF5[[1]:[2]],MatrixF5[[#Headers],[1,06]])/MatrixF5[[#Headers],[1,06]]</f>
        <v>5</v>
      </c>
      <c r="I105" s="126">
        <f>SUMIF(MatrixF5[[1]:[2]],MatrixF5[[#Headers],[1,07]])/MatrixF5[[#Headers],[1,07]]</f>
        <v>6</v>
      </c>
      <c r="J105" s="126">
        <f>SUMIF(MatrixF5[[1]:[2]],MatrixF5[[#Headers],[1,08]])/MatrixF5[[#Headers],[1,08]]</f>
        <v>6</v>
      </c>
      <c r="K105" s="126">
        <f>SUMIF(MatrixF5[[1]:[2]],MatrixF5[[#Headers],[1,09]])/MatrixF5[[#Headers],[1,09]]</f>
        <v>6.9999999999999991</v>
      </c>
      <c r="L105" s="126">
        <f>SUMIF(MatrixF5[[1]:[2]],MatrixF5[[#Headers],[1,1]])/MatrixF5[[#Headers],[1,1]]</f>
        <v>7.9999999999999982</v>
      </c>
      <c r="M105" s="126">
        <f>SUMIF(MatrixF5[[1]:[2]],MatrixF5[[#Headers],[1,11]])/MatrixF5[[#Headers],[1,11]]</f>
        <v>8</v>
      </c>
      <c r="N105" s="126">
        <f>SUMIF(MatrixF5[[1]:[2]],MatrixF5[[#Headers],[1,12]])/MatrixF5[[#Headers],[1,12]]</f>
        <v>11.000000000000002</v>
      </c>
      <c r="O105" s="126">
        <f>SUMIF(MatrixF5[[1]:[2]],MatrixF5[[#Headers],[1,13]])/MatrixF5[[#Headers],[1,13]]</f>
        <v>9.9999999999999982</v>
      </c>
      <c r="P105" s="126">
        <f>SUMIF(MatrixF5[[1]:[2]],MatrixF5[[#Headers],[1,14]])/MatrixF5[[#Headers],[1,14]]</f>
        <v>11.000000000000002</v>
      </c>
      <c r="Q105" s="126">
        <f>SUMIF(MatrixF5[[1]:[2]],MatrixF5[[#Headers],[1,15]])/MatrixF5[[#Headers],[1,15]]</f>
        <v>12.000000000000004</v>
      </c>
      <c r="R105" s="126">
        <f>SUMIF(MatrixF5[[1]:[2]],MatrixF5[[#Headers],[1,16]])/MatrixF5[[#Headers],[1,16]]</f>
        <v>12</v>
      </c>
      <c r="S105" s="126">
        <f>SUMIF(MatrixF5[[1]:[2]],MatrixF5[[#Headers],[1,17]])/MatrixF5[[#Headers],[1,17]]</f>
        <v>14.999999999999998</v>
      </c>
      <c r="T105" s="126">
        <f>SUMIF(MatrixF5[[1]:[2]],MatrixF5[[#Headers],[1,18]])/MatrixF5[[#Headers],[1,18]]</f>
        <v>14</v>
      </c>
      <c r="U105" s="126">
        <f>SUMIF(MatrixF5[[1]:[2]],MatrixF5[[#Headers],[1,19]])/MatrixF5[[#Headers],[1,19]]</f>
        <v>13.999999999999998</v>
      </c>
      <c r="V105" s="126">
        <f>SUMIF(MatrixF5[[1]:[2]],MatrixF5[[#Headers],[1,2]])/MatrixF5[[#Headers],[1,2]]</f>
        <v>14.999999999999998</v>
      </c>
      <c r="W105" s="126">
        <f>SUMIF(MatrixF5[[1]:[2]],MatrixF5[[#Headers],[1,21]])/MatrixF5[[#Headers],[1,21]]</f>
        <v>18.000000000000007</v>
      </c>
      <c r="X105" s="126">
        <f>SUMIF(MatrixF5[[1]:[2]],MatrixF5[[#Headers],[1,22]])/MatrixF5[[#Headers],[1,22]]</f>
        <v>17</v>
      </c>
      <c r="Y105" s="126">
        <f>SUMIF(MatrixF5[[1]:[2]],MatrixF5[[#Headers],[1,23]])/MatrixF5[[#Headers],[1,23]]</f>
        <v>18.000000000000004</v>
      </c>
      <c r="Z105" s="126">
        <f>SUMIF(MatrixF5[[1]:[2]],MatrixF5[[#Headers],[1,24]])/MatrixF5[[#Headers],[1,24]]</f>
        <v>17.999999999999993</v>
      </c>
      <c r="AA105" s="126">
        <f>SUMIF(MatrixF5[[1]:[2]],MatrixF5[[#Headers],[1,25]])/MatrixF5[[#Headers],[1,25]]</f>
        <v>23</v>
      </c>
      <c r="AB105" s="126">
        <f>SUMIF(MatrixF5[[1]:[2]],MatrixF5[[#Headers],[1,26]])/MatrixF5[[#Headers],[1,26]]</f>
        <v>20.000000000000007</v>
      </c>
      <c r="AC105" s="126">
        <f>SUMIF(MatrixF5[[1]:[2]],MatrixF5[[#Headers],[1,27]])/MatrixF5[[#Headers],[1,27]]</f>
        <v>20.999999999999996</v>
      </c>
      <c r="AD105" s="126">
        <f>SUMIF(MatrixF5[[1]:[2]],MatrixF5[[#Headers],[1,28]])/MatrixF5[[#Headers],[1,28]]</f>
        <v>24.000000000000007</v>
      </c>
      <c r="AE105" s="126">
        <f>SUMIF(MatrixF5[[1]:[2]],MatrixF5[[#Headers],[1,29]])/MatrixF5[[#Headers],[1,29]]</f>
        <v>21.999999999999989</v>
      </c>
      <c r="AF105" s="126">
        <f>SUMIF(MatrixF5[[1]:[2]],MatrixF5[[#Headers],[1,3]])/MatrixF5[[#Headers],[1,3]]</f>
        <v>25.000000000000004</v>
      </c>
      <c r="AG105" s="126">
        <f>SUMIF(MatrixF5[[1]:[2]],MatrixF5[[#Headers],[1,31]])/MatrixF5[[#Headers],[1,31]]</f>
        <v>25.999999999999996</v>
      </c>
      <c r="AH105" s="126">
        <f>SUMIF(MatrixF5[[1]:[2]],MatrixF5[[#Headers],[1,32]])/MatrixF5[[#Headers],[1,32]]</f>
        <v>27</v>
      </c>
      <c r="AI105" s="126">
        <f>SUMIF(MatrixF5[[1]:[2]],MatrixF5[[#Headers],[1,33]])/MatrixF5[[#Headers],[1,33]]</f>
        <v>25.999999999999982</v>
      </c>
      <c r="AJ105" s="126">
        <f>SUMIF(MatrixF5[[1]:[2]],MatrixF5[[#Headers],[1,34]])/MatrixF5[[#Headers],[1,34]]</f>
        <v>26.000000000000007</v>
      </c>
      <c r="AK105" s="126">
        <f>SUMIF(MatrixF5[[1]:[2]],MatrixF5[[#Headers],[1,35]])/MatrixF5[[#Headers],[1,35]]</f>
        <v>31.000000000000014</v>
      </c>
      <c r="AL105" s="126">
        <f>SUMIF(MatrixF5[[1]:[2]],MatrixF5[[#Headers],[1,36]])/MatrixF5[[#Headers],[1,36]]</f>
        <v>29.999999999999989</v>
      </c>
      <c r="AM105" s="126">
        <f>SUMIF(MatrixF5[[1]:[2]],MatrixF5[[#Headers],[1,37]])/MatrixF5[[#Headers],[1,37]]</f>
        <v>29</v>
      </c>
      <c r="AN105" s="126">
        <f>SUMIF(MatrixF5[[1]:[2]],MatrixF5[[#Headers],[1,38]])/MatrixF5[[#Headers],[1,38]]</f>
        <v>34.000000000000007</v>
      </c>
      <c r="AO105" s="126">
        <f>SUMIF(MatrixF5[[1]:[2]],MatrixF5[[#Headers],[1,39]])/MatrixF5[[#Headers],[1,39]]</f>
        <v>35.000000000000014</v>
      </c>
      <c r="AP105" s="126">
        <f>SUMIF(MatrixF5[[1]:[2]],MatrixF5[[#Headers],[1,4]])/MatrixF5[[#Headers],[1,4]]</f>
        <v>31.999999999999986</v>
      </c>
      <c r="AQ105" s="126">
        <f>SUMIF(MatrixF5[[1]:[2]],MatrixF5[[#Headers],[1,41]])/MatrixF5[[#Headers],[1,41]]</f>
        <v>34.999999999999972</v>
      </c>
      <c r="AR105" s="126">
        <f>SUMIF(MatrixF5[[1]:[2]],MatrixF5[[#Headers],[1,42]])/MatrixF5[[#Headers],[1,42]]</f>
        <v>38.000000000000036</v>
      </c>
      <c r="AS105" s="126">
        <f>SUMIF(MatrixF5[[1]:[2]],MatrixF5[[#Headers],[1,43]])/MatrixF5[[#Headers],[1,43]]</f>
        <v>36</v>
      </c>
      <c r="AT105" s="126">
        <f>SUMIF(MatrixF5[[1]:[2]],MatrixF5[[#Headers],[1,44]])/MatrixF5[[#Headers],[1,44]]</f>
        <v>38.999999999999986</v>
      </c>
      <c r="AU105" s="126">
        <f>SUMIF(MatrixF5[[1]:[2]],MatrixF5[[#Headers],[1,45]])/MatrixF5[[#Headers],[1,45]]</f>
        <v>38.000000000000021</v>
      </c>
      <c r="AV105" s="126">
        <f>SUMIF(MatrixF5[[1]:[2]],MatrixF5[[#Headers],[1,46]])/MatrixF5[[#Headers],[1,46]]</f>
        <v>41.000000000000021</v>
      </c>
      <c r="AW105" s="126">
        <f>SUMIF(MatrixF5[[1]:[2]],MatrixF5[[#Headers],[1,47]])/MatrixF5[[#Headers],[1,47]]</f>
        <v>41.999999999999979</v>
      </c>
      <c r="AX105" s="126">
        <f>SUMIF(MatrixF5[[1]:[2]],MatrixF5[[#Headers],[1,48]])/MatrixF5[[#Headers],[1,48]]</f>
        <v>38.999999999999964</v>
      </c>
      <c r="AY105" s="126">
        <f>SUMIF(MatrixF5[[1]:[2]],MatrixF5[[#Headers],[1,49]])/MatrixF5[[#Headers],[1,49]]</f>
        <v>40.000000000000014</v>
      </c>
      <c r="AZ105" s="126">
        <f>SUMIF(MatrixF5[[1]:[2]],MatrixF5[[#Headers],[1,5]])/MatrixF5[[#Headers],[1,5]]</f>
        <v>61</v>
      </c>
      <c r="BA105" s="126">
        <f>SUMIF(MatrixF5[[1]:[2]],MatrixF5[[#Headers],[1,51]])/MatrixF5[[#Headers],[1,51]]</f>
        <v>41.999999999999979</v>
      </c>
      <c r="BB105" s="126">
        <f>SUMIF(MatrixF5[[1]:[2]],MatrixF5[[#Headers],[1,52]])/MatrixF5[[#Headers],[1,52]]</f>
        <v>45.000000000000028</v>
      </c>
      <c r="BC105" s="126">
        <f>SUMIF(MatrixF5[[1]:[2]],MatrixF5[[#Headers],[1,53]])/MatrixF5[[#Headers],[1,53]]</f>
        <v>48.000000000000028</v>
      </c>
      <c r="BD105" s="126">
        <f>SUMIF(MatrixF5[[1]:[2]],MatrixF5[[#Headers],[1,54]])/MatrixF5[[#Headers],[1,54]]</f>
        <v>49.000000000000014</v>
      </c>
      <c r="BE105" s="126">
        <f>SUMIF(MatrixF5[[1]:[2]],MatrixF5[[#Headers],[1,55]])/MatrixF5[[#Headers],[1,55]]</f>
        <v>51.99999999999995</v>
      </c>
      <c r="BF105" s="126">
        <f>SUMIF(MatrixF5[[1]:[2]],MatrixF5[[#Headers],[1,56]])/MatrixF5[[#Headers],[1,56]]</f>
        <v>51.000000000000036</v>
      </c>
      <c r="BG105" s="126">
        <f>SUMIF(MatrixF5[[1]:[2]],MatrixF5[[#Headers],[1,57]])/MatrixF5[[#Headers],[1,57]]</f>
        <v>51.99999999999995</v>
      </c>
      <c r="BH105" s="126">
        <f>SUMIF(MatrixF5[[1]:[2]],MatrixF5[[#Headers],[1,58]])/MatrixF5[[#Headers],[1,58]]</f>
        <v>56.999999999999957</v>
      </c>
      <c r="BI105" s="126">
        <f>SUMIF(MatrixF5[[1]:[2]],MatrixF5[[#Headers],[1,59]])/MatrixF5[[#Headers],[1,59]]</f>
        <v>56.000000000000071</v>
      </c>
      <c r="BJ105" s="126">
        <f>SUMIF(MatrixF5[[1]:[2]],MatrixF5[[#Headers],[1,6]])/MatrixF5[[#Headers],[1,6]]</f>
        <v>54.999999999999964</v>
      </c>
      <c r="BK105" s="126">
        <f>SUMIF(MatrixF5[[1]:[2]],MatrixF5[[#Headers],[1,61]])/MatrixF5[[#Headers],[1,61]]</f>
        <v>59.999999999999986</v>
      </c>
      <c r="BL105" s="126">
        <f>SUMIF(MatrixF5[[1]:[2]],MatrixF5[[#Headers],[1,62]])/MatrixF5[[#Headers],[1,62]]</f>
        <v>63.000000000000043</v>
      </c>
      <c r="BM105" s="126">
        <f>SUMIF(MatrixF5[[1]:[2]],MatrixF5[[#Headers],[1,63]])/MatrixF5[[#Headers],[1,63]]</f>
        <v>59.999999999999964</v>
      </c>
      <c r="BN105" s="126">
        <f>SUMIF(MatrixF5[[1]:[2]],MatrixF5[[#Headers],[1,64]])/MatrixF5[[#Headers],[1,64]]</f>
        <v>61.000000000000014</v>
      </c>
      <c r="BO105" s="126">
        <f>SUMIF(MatrixF5[[1]:[2]],MatrixF5[[#Headers],[1,65]])/MatrixF5[[#Headers],[1,65]]</f>
        <v>64.000000000000071</v>
      </c>
      <c r="BP105" s="126">
        <f>SUMIF(MatrixF5[[1]:[2]],MatrixF5[[#Headers],[1,66]])/MatrixF5[[#Headers],[1,66]]</f>
        <v>66.999999999999915</v>
      </c>
      <c r="BQ105" s="126">
        <f>SUMIF(MatrixF5[[1]:[2]],MatrixF5[[#Headers],[1,67]])/MatrixF5[[#Headers],[1,67]]</f>
        <v>63.00000000000005</v>
      </c>
      <c r="BR105" s="126">
        <f>SUMIF(MatrixF5[[1]:[2]],MatrixF5[[#Headers],[1,68]])/MatrixF5[[#Headers],[1,68]]</f>
        <v>68.000000000000114</v>
      </c>
      <c r="BS105" s="126">
        <f>SUMIF(MatrixF5[[1]:[2]],MatrixF5[[#Headers],[1,69]])/MatrixF5[[#Headers],[1,69]]</f>
        <v>70.999999999999943</v>
      </c>
      <c r="BT105" s="126">
        <f>SUMIF(MatrixF5[[1]:[2]],MatrixF5[[#Headers],[1,7]])/MatrixF5[[#Headers],[1,7]]</f>
        <v>72.000000000000085</v>
      </c>
      <c r="BU105" s="126">
        <f>SUMIF(MatrixF5[[1]:[2]],MatrixF5[[#Headers],[1,71]])/MatrixF5[[#Headers],[1,71]]</f>
        <v>70.999999999999886</v>
      </c>
      <c r="BV105" s="126">
        <f>SUMIF(MatrixF5[[1]:[2]],MatrixF5[[#Headers],[1,72]])/MatrixF5[[#Headers],[1,72]]</f>
        <v>75.999999999999972</v>
      </c>
      <c r="BW105" s="126">
        <f>SUMIF(MatrixF5[[1]:[2]],MatrixF5[[#Headers],[1,73]])/MatrixF5[[#Headers],[1,73]]</f>
        <v>75.000000000000057</v>
      </c>
      <c r="BX105" s="126">
        <f>SUMIF(MatrixF5[[1]:[2]],MatrixF5[[#Headers],[1,74]])/MatrixF5[[#Headers],[1,74]]</f>
        <v>74.999999999999915</v>
      </c>
      <c r="BY105" s="126">
        <f>SUMIF(MatrixF5[[1]:[2]],MatrixF5[[#Headers],[1,75]])/MatrixF5[[#Headers],[1,75]]</f>
        <v>84</v>
      </c>
      <c r="BZ105" s="126">
        <f>SUMIF(MatrixF5[[1]:[2]],MatrixF5[[#Headers],[1,76]])/MatrixF5[[#Headers],[1,76]]</f>
        <v>77.000000000000071</v>
      </c>
      <c r="CA105" s="126">
        <f>SUMIF(MatrixF5[[1]:[2]],MatrixF5[[#Headers],[1,77]])/MatrixF5[[#Headers],[1,77]]</f>
        <v>82.000000000000014</v>
      </c>
      <c r="CB105" s="126">
        <f>SUMIF(MatrixF5[[1]:[2]],MatrixF5[[#Headers],[1,78]])/MatrixF5[[#Headers],[1,78]]</f>
        <v>83.000000000000043</v>
      </c>
      <c r="CC105" s="126">
        <f>SUMIF(MatrixF5[[1]:[2]],MatrixF5[[#Headers],[1,79]])/MatrixF5[[#Headers],[1,79]]</f>
        <v>87.000000000000043</v>
      </c>
      <c r="CD105" s="126">
        <f>SUMIF(MatrixF5[[1]:[2]],MatrixF5[[#Headers],[1,8]])/MatrixF5[[#Headers],[1,8]]</f>
        <v>86</v>
      </c>
      <c r="CE105" s="126">
        <f>SUMIF(MatrixF5[[1]:[2]],MatrixF5[[#Headers],[1,81]])/MatrixF5[[#Headers],[1,81]]</f>
        <v>89.000000000000071</v>
      </c>
      <c r="CF105" s="126">
        <f>SUMIF(MatrixF5[[1]:[2]],MatrixF5[[#Headers],[1,82]])/MatrixF5[[#Headers],[1,82]]</f>
        <v>91.999999999999787</v>
      </c>
      <c r="CG105" s="126">
        <f>SUMIF(MatrixF5[[1]:[2]],MatrixF5[[#Headers],[1,83]])/MatrixF5[[#Headers],[1,83]]</f>
        <v>95.000000000000114</v>
      </c>
      <c r="CH105" s="126">
        <f>SUMIF(MatrixF5[[1]:[2]],MatrixF5[[#Headers],[1,84]])/MatrixF5[[#Headers],[1,84]]</f>
        <v>91.000000000000128</v>
      </c>
      <c r="CI105" s="126">
        <f>SUMIF(MatrixF5[[1]:[2]],MatrixF5[[#Headers],[1,85]])/MatrixF5[[#Headers],[1,85]]</f>
        <v>95.999999999999829</v>
      </c>
      <c r="CJ105" s="126">
        <f>SUMIF(MatrixF5[[1]:[2]],MatrixF5[[#Headers],[1,86]])/MatrixF5[[#Headers],[1,86]]</f>
        <v>97.000000000000185</v>
      </c>
      <c r="CK105" s="126">
        <f>SUMIF(MatrixF5[[1]:[2]],MatrixF5[[#Headers],[1,87]])/MatrixF5[[#Headers],[1,87]]</f>
        <v>97.000000000000128</v>
      </c>
      <c r="CL105" s="126">
        <f>SUMIF(MatrixF5[[1]:[2]],MatrixF5[[#Headers],[1,88]])/MatrixF5[[#Headers],[1,88]]</f>
        <v>103.99999999999986</v>
      </c>
      <c r="CM105" s="126">
        <f>SUMIF(MatrixF5[[1]:[2]],MatrixF5[[#Headers],[1,89]])/MatrixF5[[#Headers],[1,89]]</f>
        <v>102.99999999999976</v>
      </c>
      <c r="CN105" s="126">
        <f>SUMIF(MatrixF5[[1]:[2]],MatrixF5[[#Headers],[1,9]])/MatrixF5[[#Headers],[1,9]]</f>
        <v>103.0000000000002</v>
      </c>
      <c r="CO105" s="126">
        <f>SUMIF(MatrixF5[[1]:[2]],MatrixF5[[#Headers],[1,91]])/MatrixF5[[#Headers],[1,91]]</f>
        <v>107.99999999999984</v>
      </c>
      <c r="CP105" s="126">
        <f>SUMIF(MatrixF5[[1]:[2]],MatrixF5[[#Headers],[1,92]])/MatrixF5[[#Headers],[1,92]]</f>
        <v>110.99999999999977</v>
      </c>
      <c r="CQ105" s="126">
        <f>SUMIF(MatrixF5[[1]:[2]],MatrixF5[[#Headers],[1,93]])/MatrixF5[[#Headers],[1,93]]</f>
        <v>109.00000000000027</v>
      </c>
      <c r="CR105" s="126">
        <f>SUMIF(MatrixF5[[1]:[2]],MatrixF5[[#Headers],[1,94]])/MatrixF5[[#Headers],[1,94]]</f>
        <v>117.9999999999999</v>
      </c>
      <c r="CS105" s="126">
        <f>SUMIF(MatrixF5[[1]:[2]],MatrixF5[[#Headers],[1,95]])/MatrixF5[[#Headers],[1,95]]</f>
        <v>110.9999999999998</v>
      </c>
      <c r="CT105" s="126">
        <f>SUMIF(MatrixF5[[1]:[2]],MatrixF5[[#Headers],[1,96]])/MatrixF5[[#Headers],[1,96]]</f>
        <v>119.00000000000013</v>
      </c>
      <c r="CU105" s="126">
        <f>SUMIF(MatrixF5[[1]:[2]],MatrixF5[[#Headers],[1,97]])/MatrixF5[[#Headers],[1,97]]</f>
        <v>118.99999999999994</v>
      </c>
      <c r="CV105" s="126">
        <f>SUMIF(MatrixF5[[1]:[2]],MatrixF5[[#Headers],[1,98]])/MatrixF5[[#Headers],[1,98]]</f>
        <v>123.99999999999973</v>
      </c>
      <c r="CW105" s="126">
        <f>SUMIF(MatrixF5[[1]:[2]],MatrixF5[[#Headers],[1,99]])/MatrixF5[[#Headers],[1,99]]</f>
        <v>131.00000000000023</v>
      </c>
      <c r="CX105" s="126">
        <f>SUMIF(MatrixF5[[1]:[2]],MatrixF5[[#Headers],[2]])/MatrixF5[[#Headers],[2]]</f>
        <v>101</v>
      </c>
      <c r="CZ105" s="126">
        <f>SUM(CZ3:DA103)</f>
        <v>10201</v>
      </c>
    </row>
    <row r="106" spans="1:105" ht="21" customHeight="1" x14ac:dyDescent="0.25">
      <c r="B106" s="126"/>
      <c r="C106" s="126">
        <f>SUMIF(MatrixF5[[1]:[2]],MatrixF5[[#Headers],[1,01]]+1)/(MatrixF5[[#Headers],[1,01]]+1)</f>
        <v>130.99999999999977</v>
      </c>
      <c r="D106" s="126">
        <f>SUMIF(MatrixF5[[1]:[2]],MatrixF5[[#Headers],[1,02]]+1)/(MatrixF5[[#Headers],[1,02]]+1)</f>
        <v>124.00000000000026</v>
      </c>
      <c r="E106" s="126">
        <f>SUMIF(MatrixF5[[1]:[2]],MatrixF5[[#Headers],[1,03]]+1)/(MatrixF5[[#Headers],[1,03]]+1)</f>
        <v>119.00000000000004</v>
      </c>
      <c r="F106" s="126">
        <f>SUMIF(MatrixF5[[1]:[2]],MatrixF5[[#Headers],[1,04]]+1)/(MatrixF5[[#Headers],[1,04]]+1)</f>
        <v>118.99999999999987</v>
      </c>
      <c r="G106" s="126">
        <f>SUMIF(MatrixF5[[1]:[2]],MatrixF5[[#Headers],[1,05]]+1)/(MatrixF5[[#Headers],[1,05]]+1)</f>
        <v>111.00000000000023</v>
      </c>
      <c r="H106" s="126">
        <f>SUMIF(MatrixF5[[1]:[2]],MatrixF5[[#Headers],[1,06]]+1)/(MatrixF5[[#Headers],[1,06]]+1)</f>
        <v>118.0000000000001</v>
      </c>
      <c r="I106" s="126">
        <f>SUMIF(MatrixF5[[1]:[2]],MatrixF5[[#Headers],[1,07]]+1)/(MatrixF5[[#Headers],[1,07]]+1)</f>
        <v>108.99999999999973</v>
      </c>
      <c r="J106" s="126">
        <f>SUMIF(MatrixF5[[1]:[2]],MatrixF5[[#Headers],[1,08]]+1)/(MatrixF5[[#Headers],[1,08]]+1)</f>
        <v>111.00000000000026</v>
      </c>
      <c r="K106" s="126">
        <f>SUMIF(MatrixF5[[1]:[2]],MatrixF5[[#Headers],[1,09]]+1)/(MatrixF5[[#Headers],[1,09]]+1)</f>
        <v>108.00000000000016</v>
      </c>
      <c r="L106" s="126">
        <f>SUMIF(MatrixF5[[1]:[2]],MatrixF5[[#Headers],[1,1]]+1)/(MatrixF5[[#Headers],[1,1]]+1)</f>
        <v>102.99999999999982</v>
      </c>
      <c r="M106" s="126">
        <f>SUMIF(MatrixF5[[1]:[2]],MatrixF5[[#Headers],[1,11]]+1)/(MatrixF5[[#Headers],[1,11]]+1)</f>
        <v>103.00000000000024</v>
      </c>
      <c r="N106" s="126">
        <f>SUMIF(MatrixF5[[1]:[2]],MatrixF5[[#Headers],[1,12]]+1)/(MatrixF5[[#Headers],[1,12]]+1)</f>
        <v>108.00000000000014</v>
      </c>
      <c r="O106" s="126">
        <f>SUMIF(MatrixF5[[1]:[2]],MatrixF5[[#Headers],[1,13]]+1)/(MatrixF5[[#Headers],[1,13]]+1)</f>
        <v>92.999999999999886</v>
      </c>
      <c r="P106" s="126">
        <f>SUMIF(MatrixF5[[1]:[2]],MatrixF5[[#Headers],[1,14]]+1)/(MatrixF5[[#Headers],[1,14]]+1)</f>
        <v>96.999999999999787</v>
      </c>
      <c r="Q106" s="126">
        <f>SUMIF(MatrixF5[[1]:[2]],MatrixF5[[#Headers],[1,15]]+1)/(MatrixF5[[#Headers],[1,15]]+1)</f>
        <v>96.000000000000171</v>
      </c>
      <c r="R106" s="126">
        <f>SUMIF(MatrixF5[[1]:[2]],MatrixF5[[#Headers],[1,16]]+1)/(MatrixF5[[#Headers],[1,16]]+1)</f>
        <v>90.999999999999872</v>
      </c>
      <c r="S106" s="126">
        <f>SUMIF(MatrixF5[[1]:[2]],MatrixF5[[#Headers],[1,17]]+1)/(MatrixF5[[#Headers],[1,17]]+1)</f>
        <v>94.999999999999829</v>
      </c>
      <c r="T106" s="126">
        <f>SUMIF(MatrixF5[[1]:[2]],MatrixF5[[#Headers],[1,18]]+1)/(MatrixF5[[#Headers],[1,18]]+1)</f>
        <v>92.000000000000213</v>
      </c>
      <c r="U106" s="126">
        <f>SUMIF(MatrixF5[[1]:[2]],MatrixF5[[#Headers],[1,19]]+1)/(MatrixF5[[#Headers],[1,19]]+1)</f>
        <v>88.999999999999929</v>
      </c>
      <c r="V106" s="126">
        <f>SUMIF(MatrixF5[[1]:[2]],MatrixF5[[#Headers],[1,2]]+1)/(MatrixF5[[#Headers],[1,2]]+1)</f>
        <v>85.999999999999901</v>
      </c>
      <c r="W106" s="126">
        <f>SUMIF(MatrixF5[[1]:[2]],MatrixF5[[#Headers],[1,21]]+1)/(MatrixF5[[#Headers],[1,21]]+1)</f>
        <v>87.000000000000028</v>
      </c>
      <c r="X106" s="126">
        <f>SUMIF(MatrixF5[[1]:[2]],MatrixF5[[#Headers],[1,22]]+1)/(MatrixF5[[#Headers],[1,22]]+1)</f>
        <v>80.999999999999986</v>
      </c>
      <c r="Y106" s="126">
        <f>SUMIF(MatrixF5[[1]:[2]],MatrixF5[[#Headers],[1,23]]+1)/(MatrixF5[[#Headers],[1,23]]+1)</f>
        <v>83.999999999999915</v>
      </c>
      <c r="Z106" s="126">
        <f>SUMIF(MatrixF5[[1]:[2]],MatrixF5[[#Headers],[1,24]]+1)/(MatrixF5[[#Headers],[1,24]]+1)</f>
        <v>77.000000000000028</v>
      </c>
      <c r="AA106" s="126">
        <f>SUMIF(MatrixF5[[1]:[2]],MatrixF5[[#Headers],[1,25]]+1)/(MatrixF5[[#Headers],[1,25]]+1)</f>
        <v>84</v>
      </c>
      <c r="AB106" s="126">
        <f>SUMIF(MatrixF5[[1]:[2]],MatrixF5[[#Headers],[1,26]]+1)/(MatrixF5[[#Headers],[1,26]]+1)</f>
        <v>74.999999999999986</v>
      </c>
      <c r="AC106" s="126">
        <f>SUMIF(MatrixF5[[1]:[2]],MatrixF5[[#Headers],[1,27]]+1)/(MatrixF5[[#Headers],[1,27]]+1)</f>
        <v>77.000000000000057</v>
      </c>
      <c r="AD106" s="126">
        <f>SUMIF(MatrixF5[[1]:[2]],MatrixF5[[#Headers],[1,28]]+1)/(MatrixF5[[#Headers],[1,28]]+1)</f>
        <v>74.000000000000014</v>
      </c>
      <c r="AE106" s="126">
        <f>SUMIF(MatrixF5[[1]:[2]],MatrixF5[[#Headers],[1,29]]+1)/(MatrixF5[[#Headers],[1,29]]+1)</f>
        <v>71.000000000000014</v>
      </c>
      <c r="AF106" s="126">
        <f>SUMIF(MatrixF5[[1]:[2]],MatrixF5[[#Headers],[1,3]]+1)/(MatrixF5[[#Headers],[1,3]]+1)</f>
        <v>72.000000000000043</v>
      </c>
      <c r="AG106" s="126">
        <f>SUMIF(MatrixF5[[1]:[2]],MatrixF5[[#Headers],[1,31]]+1)/(MatrixF5[[#Headers],[1,31]]+1)</f>
        <v>71.000000000000043</v>
      </c>
      <c r="AH106" s="126">
        <f>SUMIF(MatrixF5[[1]:[2]],MatrixF5[[#Headers],[1,32]]+1)/(MatrixF5[[#Headers],[1,32]]+1)</f>
        <v>67.999999999999872</v>
      </c>
      <c r="AI106" s="126">
        <f>SUMIF(MatrixF5[[1]:[2]],MatrixF5[[#Headers],[1,33]]+1)/(MatrixF5[[#Headers],[1,33]]+1)</f>
        <v>63.000000000000007</v>
      </c>
      <c r="AJ106" s="126">
        <f>SUMIF(MatrixF5[[1]:[2]],MatrixF5[[#Headers],[1,34]]+1)/(MatrixF5[[#Headers],[1,34]]+1)</f>
        <v>67.000000000000071</v>
      </c>
      <c r="AK106" s="126">
        <f>SUMIF(MatrixF5[[1]:[2]],MatrixF5[[#Headers],[1,35]]+1)/(MatrixF5[[#Headers],[1,35]]+1)</f>
        <v>63.999999999999929</v>
      </c>
      <c r="AL106" s="126">
        <f>SUMIF(MatrixF5[[1]:[2]],MatrixF5[[#Headers],[1,36]]+1)/(MatrixF5[[#Headers],[1,36]]+1)</f>
        <v>61.000000000000021</v>
      </c>
      <c r="AM106" s="126">
        <f>SUMIF(MatrixF5[[1]:[2]],MatrixF5[[#Headers],[1,37]]+1)/(MatrixF5[[#Headers],[1,37]]+1)</f>
        <v>62.000000000000043</v>
      </c>
      <c r="AN106" s="126">
        <f>SUMIF(MatrixF5[[1]:[2]],MatrixF5[[#Headers],[1,38]]+1)/(MatrixF5[[#Headers],[1,38]]+1)</f>
        <v>60.999999999999943</v>
      </c>
      <c r="AO106" s="126">
        <f>SUMIF(MatrixF5[[1]:[2]],MatrixF5[[#Headers],[1,39]]+1)/(MatrixF5[[#Headers],[1,39]]+1)</f>
        <v>59.999999999999972</v>
      </c>
      <c r="AP106" s="126">
        <f>SUMIF(MatrixF5[[1]:[2]],MatrixF5[[#Headers],[1,4]]+1)/(MatrixF5[[#Headers],[1,4]]+1)</f>
        <v>55.000000000000064</v>
      </c>
      <c r="AQ106" s="126">
        <f>SUMIF(MatrixF5[[1]:[2]],MatrixF5[[#Headers],[1,41]]+1)/(MatrixF5[[#Headers],[1,41]]+1)</f>
        <v>55.999999999999943</v>
      </c>
      <c r="AR106" s="126">
        <f>SUMIF(MatrixF5[[1]:[2]],MatrixF5[[#Headers],[1,42]]+1)/(MatrixF5[[#Headers],[1,42]]+1)</f>
        <v>57.000000000000014</v>
      </c>
      <c r="AS106" s="126">
        <f>SUMIF(MatrixF5[[1]:[2]],MatrixF5[[#Headers],[1,43]]+1)/(MatrixF5[[#Headers],[1,43]]+1)</f>
        <v>52.000000000000078</v>
      </c>
      <c r="AT106" s="126">
        <f>SUMIF(MatrixF5[[1]:[2]],MatrixF5[[#Headers],[1,44]]+1)/(MatrixF5[[#Headers],[1,44]]+1)</f>
        <v>50.999999999999972</v>
      </c>
      <c r="AU106" s="126">
        <f>SUMIF(MatrixF5[[1]:[2]],MatrixF5[[#Headers],[1,45]]+1)/(MatrixF5[[#Headers],[1,45]]+1)</f>
        <v>52.000000000000043</v>
      </c>
      <c r="AV106" s="126">
        <f>SUMIF(MatrixF5[[1]:[2]],MatrixF5[[#Headers],[1,46]]+1)/(MatrixF5[[#Headers],[1,46]]+1)</f>
        <v>48.99999999999995</v>
      </c>
      <c r="AW106" s="126">
        <f>SUMIF(MatrixF5[[1]:[2]],MatrixF5[[#Headers],[1,47]]+1)/(MatrixF5[[#Headers],[1,47]]+1)</f>
        <v>49.999999999999986</v>
      </c>
      <c r="AX106" s="126">
        <f>SUMIF(MatrixF5[[1]:[2]],MatrixF5[[#Headers],[1,48]]+1)/(MatrixF5[[#Headers],[1,48]]+1)</f>
        <v>43.000000000000014</v>
      </c>
      <c r="AY106" s="126">
        <f>SUMIF(MatrixF5[[1]:[2]],MatrixF5[[#Headers],[1,49]]+1)/(MatrixF5[[#Headers],[1,49]]+1)</f>
        <v>41.999999999999979</v>
      </c>
      <c r="AZ106" s="126">
        <f>SUMIF(MatrixF5[[1]:[2]],MatrixF5[[#Headers],[1,5]]+1)/(MatrixF5[[#Headers],[1,5]]+1)</f>
        <v>61</v>
      </c>
      <c r="BA106" s="126">
        <f>SUMIF(MatrixF5[[1]:[2]],MatrixF5[[#Headers],[1,51]]+1)/(MatrixF5[[#Headers],[1,51]]+1)</f>
        <v>40.000000000000014</v>
      </c>
      <c r="BB106" s="126">
        <f>SUMIF(MatrixF5[[1]:[2]],MatrixF5[[#Headers],[1,52]]+1)/(MatrixF5[[#Headers],[1,52]]+1)</f>
        <v>38.999999999999993</v>
      </c>
      <c r="BC106" s="126">
        <f>SUMIF(MatrixF5[[1]:[2]],MatrixF5[[#Headers],[1,53]]+1)/(MatrixF5[[#Headers],[1,53]]+1)</f>
        <v>42.000000000000007</v>
      </c>
      <c r="BD106" s="126">
        <f>SUMIF(MatrixF5[[1]:[2]],MatrixF5[[#Headers],[1,54]]+1)/(MatrixF5[[#Headers],[1,54]]+1)</f>
        <v>41.000000000000036</v>
      </c>
      <c r="BE106" s="126">
        <f>SUMIF(MatrixF5[[1]:[2]],MatrixF5[[#Headers],[1,55]]+1)/(MatrixF5[[#Headers],[1,55]]+1)</f>
        <v>37.999999999999979</v>
      </c>
      <c r="BF106" s="126">
        <f>SUMIF(MatrixF5[[1]:[2]],MatrixF5[[#Headers],[1,56]]+1)/(MatrixF5[[#Headers],[1,56]]+1)</f>
        <v>39.000000000000014</v>
      </c>
      <c r="BG106" s="126">
        <f>SUMIF(MatrixF5[[1]:[2]],MatrixF5[[#Headers],[1,57]]+1)/(MatrixF5[[#Headers],[1,57]]+1)</f>
        <v>35.999999999999964</v>
      </c>
      <c r="BH106" s="126">
        <f>SUMIF(MatrixF5[[1]:[2]],MatrixF5[[#Headers],[1,58]]+1)/(MatrixF5[[#Headers],[1,58]]+1)</f>
        <v>37.999999999999979</v>
      </c>
      <c r="BI106" s="126">
        <f>SUMIF(MatrixF5[[1]:[2]],MatrixF5[[#Headers],[1,59]]+1)/(MatrixF5[[#Headers],[1,59]]+1)</f>
        <v>35.000000000000028</v>
      </c>
      <c r="BJ106" s="126">
        <f>SUMIF(MatrixF5[[1]:[2]],MatrixF5[[#Headers],[1,6]]+1)/(MatrixF5[[#Headers],[1,6]]+1)</f>
        <v>31.999999999999989</v>
      </c>
      <c r="BK106" s="126">
        <f>SUMIF(MatrixF5[[1]:[2]],MatrixF5[[#Headers],[1,61]]+1)/(MatrixF5[[#Headers],[1,61]]+1)</f>
        <v>34.999999999999993</v>
      </c>
      <c r="BL106" s="126">
        <f>SUMIF(MatrixF5[[1]:[2]],MatrixF5[[#Headers],[1,62]]+1)/(MatrixF5[[#Headers],[1,62]]+1)</f>
        <v>34.000000000000007</v>
      </c>
      <c r="BM106" s="126">
        <f>SUMIF(MatrixF5[[1]:[2]],MatrixF5[[#Headers],[1,63]]+1)/(MatrixF5[[#Headers],[1,63]]+1)</f>
        <v>29</v>
      </c>
      <c r="BN106" s="126">
        <f>SUMIF(MatrixF5[[1]:[2]],MatrixF5[[#Headers],[1,64]]+1)/(MatrixF5[[#Headers],[1,64]]+1)</f>
        <v>30.000000000000004</v>
      </c>
      <c r="BO106" s="126">
        <f>SUMIF(MatrixF5[[1]:[2]],MatrixF5[[#Headers],[1,65]]+1)/(MatrixF5[[#Headers],[1,65]]+1)</f>
        <v>31.000000000000007</v>
      </c>
      <c r="BP106" s="126">
        <f>SUMIF(MatrixF5[[1]:[2]],MatrixF5[[#Headers],[1,66]]+1)/(MatrixF5[[#Headers],[1,66]]+1)</f>
        <v>25.999999999999982</v>
      </c>
      <c r="BQ106" s="126">
        <f>SUMIF(MatrixF5[[1]:[2]],MatrixF5[[#Headers],[1,67]]+1)/(MatrixF5[[#Headers],[1,67]]+1)</f>
        <v>26.000000000000011</v>
      </c>
      <c r="BR106" s="126">
        <f>SUMIF(MatrixF5[[1]:[2]],MatrixF5[[#Headers],[1,68]]+1)/(MatrixF5[[#Headers],[1,68]]+1)</f>
        <v>27.000000000000014</v>
      </c>
      <c r="BS106" s="126">
        <f>SUMIF(MatrixF5[[1]:[2]],MatrixF5[[#Headers],[1,69]]+1)/(MatrixF5[[#Headers],[1,69]]+1)</f>
        <v>25.999999999999993</v>
      </c>
      <c r="BT106" s="126">
        <f>SUMIF(MatrixF5[[1]:[2]],MatrixF5[[#Headers],[1,7]]+1)/(MatrixF5[[#Headers],[1,7]]+1)</f>
        <v>25.000000000000007</v>
      </c>
      <c r="BU106" s="126">
        <f>SUMIF(MatrixF5[[1]:[2]],MatrixF5[[#Headers],[1,71]]+1)/(MatrixF5[[#Headers],[1,71]]+1)</f>
        <v>22.000000000000004</v>
      </c>
      <c r="BV106" s="126">
        <f>SUMIF(MatrixF5[[1]:[2]],MatrixF5[[#Headers],[1,72]]+1)/(MatrixF5[[#Headers],[1,72]]+1)</f>
        <v>23.999999999999996</v>
      </c>
      <c r="BW106" s="126">
        <f>SUMIF(MatrixF5[[1]:[2]],MatrixF5[[#Headers],[1,73]]+1)/(MatrixF5[[#Headers],[1,73]]+1)</f>
        <v>20.999999999999989</v>
      </c>
      <c r="BX106" s="126">
        <f>SUMIF(MatrixF5[[1]:[2]],MatrixF5[[#Headers],[1,74]]+1)/(MatrixF5[[#Headers],[1,74]]+1)</f>
        <v>20.000000000000007</v>
      </c>
      <c r="BY106" s="126">
        <f>SUMIF(MatrixF5[[1]:[2]],MatrixF5[[#Headers],[1,75]]+1)/(MatrixF5[[#Headers],[1,75]]+1)</f>
        <v>23</v>
      </c>
      <c r="BZ106" s="126">
        <f>SUMIF(MatrixF5[[1]:[2]],MatrixF5[[#Headers],[1,76]]+1)/(MatrixF5[[#Headers],[1,76]]+1)</f>
        <v>17.999999999999993</v>
      </c>
      <c r="CA106" s="126">
        <f>SUMIF(MatrixF5[[1]:[2]],MatrixF5[[#Headers],[1,77]]+1)/(MatrixF5[[#Headers],[1,77]]+1)</f>
        <v>18.000000000000007</v>
      </c>
      <c r="CB106" s="126">
        <f>SUMIF(MatrixF5[[1]:[2]],MatrixF5[[#Headers],[1,78]]+1)/(MatrixF5[[#Headers],[1,78]]+1)</f>
        <v>17.000000000000004</v>
      </c>
      <c r="CC106" s="126">
        <f>SUMIF(MatrixF5[[1]:[2]],MatrixF5[[#Headers],[1,79]]+1)/(MatrixF5[[#Headers],[1,79]]+1)</f>
        <v>17.999999999999996</v>
      </c>
      <c r="CD106" s="126">
        <f>SUMIF(MatrixF5[[1]:[2]],MatrixF5[[#Headers],[1,8]]+1)/(MatrixF5[[#Headers],[1,8]]+1)</f>
        <v>14.999999999999998</v>
      </c>
      <c r="CE106" s="126">
        <f>SUMIF(MatrixF5[[1]:[2]],MatrixF5[[#Headers],[1,81]]+1)/(MatrixF5[[#Headers],[1,81]]+1)</f>
        <v>13.999999999999998</v>
      </c>
      <c r="CF106" s="126">
        <f>SUMIF(MatrixF5[[1]:[2]],MatrixF5[[#Headers],[1,82]]+1)/(MatrixF5[[#Headers],[1,82]]+1)</f>
        <v>13.999999999999998</v>
      </c>
      <c r="CG106" s="126">
        <f>SUMIF(MatrixF5[[1]:[2]],MatrixF5[[#Headers],[1,83]]+1)/(MatrixF5[[#Headers],[1,83]]+1)</f>
        <v>14.999999999999996</v>
      </c>
      <c r="CH106" s="126">
        <f>SUMIF(MatrixF5[[1]:[2]],MatrixF5[[#Headers],[1,84]]+1)/(MatrixF5[[#Headers],[1,84]]+1)</f>
        <v>12</v>
      </c>
      <c r="CI106" s="126">
        <f>SUMIF(MatrixF5[[1]:[2]],MatrixF5[[#Headers],[1,85]]+1)/(MatrixF5[[#Headers],[1,85]]+1)</f>
        <v>12.000000000000004</v>
      </c>
      <c r="CJ106" s="126">
        <f>SUMIF(MatrixF5[[1]:[2]],MatrixF5[[#Headers],[1,86]]+1)/(MatrixF5[[#Headers],[1,86]]+1)</f>
        <v>10.999999999999998</v>
      </c>
      <c r="CK106" s="126">
        <f>SUMIF(MatrixF5[[1]:[2]],MatrixF5[[#Headers],[1,87]]+1)/(MatrixF5[[#Headers],[1,87]]+1)</f>
        <v>10.000000000000002</v>
      </c>
      <c r="CL106" s="126">
        <f>SUMIF(MatrixF5[[1]:[2]],MatrixF5[[#Headers],[1,88]]+1)/(MatrixF5[[#Headers],[1,88]]+1)</f>
        <v>10.999999999999998</v>
      </c>
      <c r="CM106" s="126">
        <f>SUMIF(MatrixF5[[1]:[2]],MatrixF5[[#Headers],[1,89]]+1)/(MatrixF5[[#Headers],[1,89]]+1)</f>
        <v>8.0000000000000018</v>
      </c>
      <c r="CN106" s="126">
        <f>SUMIF(MatrixF5[[1]:[2]],MatrixF5[[#Headers],[1,9]]+1)/(MatrixF5[[#Headers],[1,9]]+1)</f>
        <v>7.9999999999999991</v>
      </c>
      <c r="CO106" s="126">
        <f>SUMIF(MatrixF5[[1]:[2]],MatrixF5[[#Headers],[1,91]]+1)/(MatrixF5[[#Headers],[1,91]]+1)</f>
        <v>7</v>
      </c>
      <c r="CP106" s="126">
        <f>SUMIF(MatrixF5[[1]:[2]],MatrixF5[[#Headers],[1,92]]+1)/(MatrixF5[[#Headers],[1,92]]+1)</f>
        <v>6</v>
      </c>
      <c r="CQ106" s="126">
        <f>SUMIF(MatrixF5[[1]:[2]],MatrixF5[[#Headers],[1,93]]+1)/(MatrixF5[[#Headers],[1,93]]+1)</f>
        <v>6.0000000000000009</v>
      </c>
      <c r="CR106" s="126">
        <f>SUMIF(MatrixF5[[1]:[2]],MatrixF5[[#Headers],[1,94]]+1)/(MatrixF5[[#Headers],[1,94]]+1)</f>
        <v>5</v>
      </c>
      <c r="CS106" s="126">
        <f>SUMIF(MatrixF5[[1]:[2]],MatrixF5[[#Headers],[1,95]]+1)/(MatrixF5[[#Headers],[1,95]]+1)</f>
        <v>4</v>
      </c>
      <c r="CT106" s="126">
        <f>SUMIF(MatrixF5[[1]:[2]],MatrixF5[[#Headers],[1,96]]+1)/(MatrixF5[[#Headers],[1,96]]+1)</f>
        <v>4</v>
      </c>
      <c r="CU106" s="126">
        <f>SUMIF(MatrixF5[[1]:[2]],MatrixF5[[#Headers],[1,97]]+1)/(MatrixF5[[#Headers],[1,97]]+1)</f>
        <v>3.0000000000000004</v>
      </c>
      <c r="CV106" s="126">
        <f>SUMIF(MatrixF5[[1]:[2]],MatrixF5[[#Headers],[1,98]]+1)/(MatrixF5[[#Headers],[1,98]]+1)</f>
        <v>2</v>
      </c>
      <c r="CW106" s="126">
        <f>SUMIF(MatrixF5[[1]:[2]],MatrixF5[[#Headers],[1,99]]+1)/(MatrixF5[[#Headers],[1,99]]+1)</f>
        <v>2</v>
      </c>
      <c r="CX106" s="126">
        <f>SUMIF(MatrixF5[[1]:[2]],MatrixF5[[#Headers],[2]]+1)/(MatrixF5[[#Headers],[2]]+1)</f>
        <v>1</v>
      </c>
    </row>
  </sheetData>
  <mergeCells count="1">
    <mergeCell ref="A1:C1"/>
  </mergeCells>
  <conditionalFormatting sqref="B3:CX103">
    <cfRule type="cellIs" dxfId="9" priority="1" operator="equal">
      <formula>1.57</formula>
    </cfRule>
    <cfRule type="colorScale" priority="2">
      <colorScale>
        <cfvo type="min"/>
        <cfvo type="percentile" val="50"/>
        <cfvo type="max"/>
        <color rgb="FFF8696B"/>
        <color rgb="FFFFEB84"/>
        <color rgb="FF63BE7B"/>
      </colorScale>
    </cfRule>
  </conditionalFormatting>
  <hyperlinks>
    <hyperlink ref="A1:C1" location="Содержание!A1" display="&lt;&lt;НАЗАД" xr:uid="{00000000-0004-0000-1100-000000000000}"/>
  </hyperlinks>
  <pageMargins left="0.7" right="0.7" top="0.75" bottom="0.75" header="0.3" footer="0.3"/>
  <pageSetup paperSize="9" orientation="portrait" r:id="rId1"/>
  <ignoredErrors>
    <ignoredError sqref="CZ105" emptyCellReference="1"/>
  </ignoredErrors>
  <tableParts count="1">
    <tablePart r:id="rId2"/>
  </tableParts>
</worksheet>
</file>

<file path=customUI/_rels/customUI.xml.rels><?xml version="1.0" encoding="UTF-8" standalone="yes"?>
<Relationships xmlns="http://schemas.openxmlformats.org/package/2006/relationships"><Relationship Id="&#1050;&#1088;&#1080;&#1090;&#1077;&#1088;&#1080;&#1081;_7" Type="http://schemas.openxmlformats.org/officeDocument/2006/relationships/image" Target="images/xT6xU8xU0xUAxTXxU8xU0xU1_71.png"/><Relationship Id="&#1057;&#1074;&#1105;&#1088;&#1090;&#1082;&#1072;_8" Type="http://schemas.openxmlformats.org/officeDocument/2006/relationships/image" Target="images/xTDxTUxUPxU8xUAxU2xTS_81.png"/><Relationship Id="&#1054;&#1095;&#1080;&#1089;&#1090;&#1082;&#1072;_&#1086;&#1073;&#1083;&#1072;&#1089;&#1090;&#1080;_7" Type="http://schemas.openxmlformats.org/officeDocument/2006/relationships/image" Target="images/xTAxUFxU0xU9xUAxU2xTS_xU6xTTxU3xTSxU9xUAxU0_71.png"/><Relationship Id="&#1057;&#1083;&#1091;&#1095;&#1072;&#1081;&#1085;&#1086;&#1077;_&#1085;&#1072;&#1087;&#1086;&#1083;&#1077;&#1085;&#1080;&#1077;_&#1084;&#1072;&#1090;&#1088;&#1080;&#1094;&#1099;" Type="http://schemas.openxmlformats.org/officeDocument/2006/relationships/image" Target="images/xTDxU3xUBxUFxTSxU1xU5xU6xTX_xU5xTSxU7xU6xU3xTXxU5xU0xTX_xU4xTSxUAxU8xU0xUExUJ1.png"/><Relationship Id="&#1053;&#1086;&#1074;&#1099;&#1081;_&#1083;&#1080;&#1089;&#1090;_7" Type="http://schemas.openxmlformats.org/officeDocument/2006/relationships/image" Target="images/xT9xU6xTUxUJxU1_xU3xU0xU9xUA_71.png"/><Relationship Id="&#1040;&#1082;&#1090;&#1080;&#1074;&#1085;&#1072;&#1103;_&#1101;&#1082;&#1089;&#1087;&#1077;&#1088;&#1090;&#1080;&#1079;&#1072;_7" Type="http://schemas.openxmlformats.org/officeDocument/2006/relationships/image" Target="images/xSWxU2xUAxU0xTUxU5xTSxUN_xULxU2xU9xU7xTXxU8xUAxU0xTZxTS_71.png"/><Relationship Id="&#1041;&#1072;&#1079;&#1072;" Type="http://schemas.openxmlformats.org/officeDocument/2006/relationships/image" Target="images/xSXxTSxTZxTS1.png"/></Relationships>
</file>

<file path=customUI/_rels/customUI14.xml.rels><?xml version="1.0" encoding="UTF-8" standalone="yes"?>
<Relationships xmlns="http://schemas.openxmlformats.org/package/2006/relationships"><Relationship Id="&#1050;&#1088;&#1080;&#1090;&#1077;&#1088;&#1080;&#1081;_7" Type="http://schemas.openxmlformats.org/officeDocument/2006/relationships/image" Target="images/xT6xU8xU0xUAxTXxU8xU0xU1_7.png"/><Relationship Id="&#1057;&#1074;&#1105;&#1088;&#1090;&#1082;&#1072;_8" Type="http://schemas.openxmlformats.org/officeDocument/2006/relationships/image" Target="images/xTDxTUxUPxU8xUAxU2xTS_8.png"/><Relationship Id="&#1054;&#1095;&#1080;&#1089;&#1090;&#1082;&#1072;_&#1086;&#1073;&#1083;&#1072;&#1089;&#1090;&#1080;_7" Type="http://schemas.openxmlformats.org/officeDocument/2006/relationships/image" Target="images/xTAxUFxU0xU9xUAxU2xTS_xU6xTTxU3xTSxU9xUAxU0_7.png"/><Relationship Id="&#1057;&#1083;&#1091;&#1095;&#1072;&#1081;&#1085;&#1086;&#1077;_&#1085;&#1072;&#1087;&#1086;&#1083;&#1077;&#1085;&#1080;&#1077;_&#1084;&#1072;&#1090;&#1088;&#1080;&#1094;&#1099;" Type="http://schemas.openxmlformats.org/officeDocument/2006/relationships/image" Target="images/xTDxU3xUBxUFxTSxU1xU5xU6xTX_xU5xTSxU7xU6xU3xTXxU5xU0xTX_xU4xTSxUAxU8xU0xUExUJ.png"/><Relationship Id="&#1053;&#1086;&#1074;&#1099;&#1081;_&#1083;&#1080;&#1089;&#1090;_7" Type="http://schemas.openxmlformats.org/officeDocument/2006/relationships/image" Target="images/xT9xU6xTUxUJxU1_xU3xU0xU9xUA_7.png"/><Relationship Id="&#1040;&#1082;&#1090;&#1080;&#1074;&#1085;&#1072;&#1103;_&#1101;&#1082;&#1089;&#1087;&#1077;&#1088;&#1090;&#1080;&#1079;&#1072;_7" Type="http://schemas.openxmlformats.org/officeDocument/2006/relationships/image" Target="images/xSWxU2xUAxU0xTUxU5xTSxUN_xULxU2xU9xU7xTXxU8xUAxU0xTZxTS_7.png"/><Relationship Id="&#1041;&#1072;&#1079;&#1072;" Type="http://schemas.openxmlformats.org/officeDocument/2006/relationships/image" Target="images/xSXxTSxTZxTS.png"/></Relationships>
</file>

<file path=customUI/customUI.xml><?xml version="1.0" encoding="utf-8"?>
<!-- <?xml version="1.0" encoding="UTF-8" standalone="yes"?> -->
<customUI xmlns="http://schemas.microsoft.com/office/2006/01/customui">
  <ribbon startFromScratch="false">
    <tabs>
      <tab id="EDEKONMODAL" label="EDEKONMODAL" visible="true" insertBeforeMso="TabHome">
        <group id="Создание_модели" label="Создание модели">
          <button id="Вставить_критерий" label="Вставить критерий" size="large" image="Критерий_7" onAction="RibbonButtonCriteriumAdd" description="Элемент предназначен для вставки блока приведения критерия из количественной формы в качественную" screentip="Вставка блока приведения критерия" supertip="Элемент предназначен для вставки блока приведения критерия из количественной формы в качественну"/>
          <button id="Вставить_свёртку" label="Вставить свёртку" size="large" image="Свёртка_8" onAction="RibbonButtonMatrixAdd" description="Элемент предназначен для вставки блока матрицы свёртки" screentip="Вставка блока матрицы свёртки" supertip="Элемент предназначен для вставки блока матрицы свёртки пары критериев"/>
          <button id="Случайное_наполнение" label="Случайное наполнение свёртки" size="large" image="Случайное_наполение_матрицы" onAction="RibbonButtonAutoMatrixClick" description="Элемент предназначен для случайного наполнения свёртки" screentip="Элемент предназначен для случайного наполнения свёртки" supertip="Если у Вас есть необходимость создать быструю демонстрационную модель, то Вы можете воспользоваться данной опцией"/>
          <button id="Вставить_экспертизу" label="Вставить экспертизу" size="large" image="Активная_экспертиза_7" onAction="RibbonButtonExpAdd" description="Элемент предназначен для вставки блока проведения жкспертного анализа на лист" screentip="Вставка блока Активная экспертиза" supertip="Элемент предназначен для вставки блока проведения экспертного анализа на лист"/>
          <button id="Очистить_область" label="Очистить область" size="large" image="Очистка_области_7" onAction="RibbonButtonClearandClearcontentClick" description="Элемент предназначен для очистки определённой пользователем области на листе от форм и форматирования" screentip="Элемент предназначен для очистки определённой пользователем области" supertip="Элемент предназначен для очистки определённой пользователем области"/>
        </group>
        <group id="Дополнительно" label="Дополнительно">
          <button id="Подключить_базу_данных" label="Подключить базу данных" size="large" image="База" onAction="RibbonButtonBaseOntClick" description="Элемент предназначен для принудительного подключения базы данных наполнения квадрантов матриц" screentip="Элемент предназначен для подключения базы данных" supertip="В некоторых расчётах требуется подключение базы данных наполнения квадрантов матрицы. Этот элемент наполнит программу подготовленными данными."/>
        </group>
      </tab>
    </tabs>
  </ribbon>
</customUI>
</file>

<file path=customUI/customUI14.xml><?xml version="1.0" encoding="utf-8"?>
<!-- <?xml version="1.0" standalone="yes"?> -->
<customUI xmlns="http://schemas.microsoft.com/office/2009/07/customui">
  <ribbon startFromScratch="false">
    <tabs>
      <tab id="EDEKONMODAL" label="EDEKONMODAL" visible="true" insertBeforeMso="TabHome">
        <group id="Работа_с_листами" label="Новый лист для модели">
          <button id="Вставить_лист" label="Вставить новый лист для модели" size="large" image="Новый_лист_7" onAction="RibbonButtonNewSheet" description="Элемент предназначен для с удобной рпзмерностью ячеек" screentip="Вставка нового листа с ячейками удобной размерности" supertip="Вставка нового листа с ячейками удобной размерности"/>
        </group>
        <group id="Создание_модели" label="Создание модели">
          <button id="Вставить_критерий" label="Вставить критерий" size="large" image="Критерий_7" onAction="RibbonButtonCriteriumAdd" description="Элемент предназначен для вставки блока приведения критерия из количественной формы в качественную" screentip="Вставка блока приведения критерия" supertip="Элемент предназначен для вставки блока приведения критерия из количественной формы в качественну"/>
          <button id="Вставить_свёртку" label="Вставить свёртку" size="large" image="Свёртка_8" onAction="RibbonButtonMatrixAdd" description="Элемент предназначен для вставки блока матрицы свёртки" screentip="Вставка блока матрицы свёртки" supertip="Элемент предназначен для вставки блока матрицы свёртки пары критериев"/>
          <button id="Случайное_наполнение" label="Случайное наполнение свёртки" size="large" image="Случайное_наполение_матрицы" onAction="RibbonButtonAutoMatrixClick" description="Элемент предназначен для случайного наполнения свёртки" screentip="Элемент предназначен для случайного наполнения свёртки" supertip="Если у Вас есть необходимость создать быструю демонстрационную модель, то Вы можете воспользоваться данной опцией"/>
          <button id="Вставить_экспертизу" label="Вставить экспертизу" size="large" image="Активная_экспертиза_7" onAction="RibbonButtonExpAdd" description="Элемент предназначен для вставки блока проведения жкспертного анализа на лист" screentip="Вставка блока Активная экспертиза" supertip="Элемент предназначен для вставки блока проведения экспертного анализа на лист"/>
          <button id="Очистить_область" label="Очистить область" size="large" image="Очистка_области_7" onAction="RibbonButtonClearandClearcontentClick" description="Элемент предназначен для очистки определённой пользователем области на листе от форм и форматирования" screentip="Элемент предназначен для очистки определённой пользователем области" supertip="Элемент предназначен для очистки определённой пользователем области"/>
        </group>
        <group id="Дополнительно" label="Дополнительно">
          <button id="Подключить_базу_данных" label="Подключить базу данных" size="large" image="База" onAction="RibbonButtonBaseOntClick" description="Элемент предназначен для принудительного подключения базы данных наполнения квадрантов матриц" screentip="Элемент предназначен для подключения базы данных" supertip="В некоторых расчётах требуется подключение базы данных наполнения квадрантов матрицы. Этот элемент наполнит программу подготовленными данными."/>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22</vt:i4>
      </vt:variant>
    </vt:vector>
  </HeadingPairs>
  <TitlesOfParts>
    <vt:vector size="22" baseType="lpstr">
      <vt:lpstr>Содержание</vt:lpstr>
      <vt:lpstr>Чувствительность</vt:lpstr>
      <vt:lpstr>Чувствительность (мини)</vt:lpstr>
      <vt:lpstr>Чувчтвительность 2</vt:lpstr>
      <vt:lpstr>Множество</vt:lpstr>
      <vt:lpstr>Множество_202208012240571257</vt:lpstr>
      <vt:lpstr>Множество_202207112140401240</vt:lpstr>
      <vt:lpstr>Почетный результат изъёбов 1</vt:lpstr>
      <vt:lpstr>Модель</vt:lpstr>
      <vt:lpstr>Лист1</vt:lpstr>
      <vt:lpstr>Подбор 2</vt:lpstr>
      <vt:lpstr>Перебор_2_20170709140117</vt:lpstr>
      <vt:lpstr>123</vt:lpstr>
      <vt:lpstr>Модель - Формы</vt:lpstr>
      <vt:lpstr>Перебор</vt:lpstr>
      <vt:lpstr>Лист9</vt:lpstr>
      <vt:lpstr>F0</vt:lpstr>
      <vt:lpstr>F1</vt:lpstr>
      <vt:lpstr>F2</vt:lpstr>
      <vt:lpstr>F3</vt:lpstr>
      <vt:lpstr>F4</vt:lpstr>
      <vt:lpstr>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Gureev Self</dc:creator>
  <cp:lastModifiedBy>Dan</cp:lastModifiedBy>
  <cp:lastPrinted>2016-08-12T21:33:30Z</cp:lastPrinted>
  <dcterms:created xsi:type="dcterms:W3CDTF">2016-05-11T07:45:58Z</dcterms:created>
  <dcterms:modified xsi:type="dcterms:W3CDTF">2022-08-01T18:09:44Z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bc49aea5-e1f2-40fd-9fd7-ac05925cf6fd</vt:lpwstr>
  </property>
</Properties>
</file>